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 5" sheetId="1" r:id="rId5"/>
    <sheet state="visible" name="On-Boarding" sheetId="2" r:id="rId6"/>
    <sheet state="visible" name="Off-Boarding" sheetId="3" r:id="rId7"/>
    <sheet state="visible" name="Join &amp; Induc By HR" sheetId="4" r:id="rId8"/>
    <sheet state="hidden" name="DMKT-Actv" sheetId="5" r:id="rId9"/>
    <sheet state="visible" name="NJ_Laptop Data" sheetId="6" r:id="rId10"/>
    <sheet state="visible" name="AT_Data" sheetId="7" r:id="rId11"/>
    <sheet state="visible" name="Public Domain" sheetId="8" r:id="rId12"/>
    <sheet state="hidden" name="Pivot Table 8" sheetId="9" r:id="rId13"/>
    <sheet state="hidden" name="jcUsersList20250623" sheetId="10" r:id="rId14"/>
    <sheet state="hidden" name="Chat GPT" sheetId="11" r:id="rId15"/>
    <sheet state="hidden" name="Exit" sheetId="12" r:id="rId16"/>
    <sheet state="hidden" name="Ms-Office" sheetId="13" r:id="rId17"/>
    <sheet state="hidden" name="Lists" sheetId="14" r:id="rId18"/>
    <sheet state="hidden" name="Pivot Table 1" sheetId="15" r:id="rId19"/>
    <sheet state="hidden" name="Mobiles" sheetId="16" r:id="rId20"/>
    <sheet state="hidden" name="Display &amp; VC" sheetId="17" r:id="rId21"/>
    <sheet state="hidden" name="Network Devices" sheetId="18" r:id="rId22"/>
    <sheet state="hidden" name="Printer" sheetId="19" r:id="rId23"/>
    <sheet state="hidden" name="Accessories" sheetId="20" r:id="rId24"/>
    <sheet state="hidden" name="M3 LP Assigned " sheetId="21" r:id="rId25"/>
    <sheet state="hidden" name="Mobbin" sheetId="22" r:id="rId26"/>
    <sheet state="hidden" name="Adobe" sheetId="23" r:id="rId27"/>
    <sheet state="hidden" name="Mobbin-2" sheetId="24" r:id="rId28"/>
    <sheet state="hidden" name="zupee-backend" sheetId="25" r:id="rId29"/>
    <sheet state="hidden" name="zupee-frontend" sheetId="26" r:id="rId30"/>
    <sheet state="hidden" name="zupee-devops" sheetId="27" r:id="rId31"/>
    <sheet state="hidden" name="zupee-data" sheetId="28" r:id="rId32"/>
  </sheets>
  <definedNames>
    <definedName hidden="1" localSheetId="8" name="_xlnm._FilterDatabase">'Pivot Table 8'!$A$1:$AC$998</definedName>
    <definedName hidden="1" localSheetId="10" name="_xlnm._FilterDatabase">'Chat GPT'!$A$1:$E$1000</definedName>
    <definedName hidden="1" localSheetId="11" name="_xlnm._FilterDatabase">Exit!$A$1:$S$1000</definedName>
    <definedName hidden="1" localSheetId="12" name="_xlnm._FilterDatabase">'Ms-Office'!$A$1:$J$233</definedName>
    <definedName hidden="1" localSheetId="21" name="_xlnm._FilterDatabase">Mobbin!$A$1:$E$23</definedName>
    <definedName hidden="1" localSheetId="22" name="_xlnm._FilterDatabase">Adobe!$A$1:$G$1000</definedName>
    <definedName hidden="1" localSheetId="24" name="_xlnm._FilterDatabase">'zupee-backend'!$A$1:$AA$1000</definedName>
    <definedName hidden="1" localSheetId="25" name="_xlnm._FilterDatabase">'zupee-frontend'!$A$1:$AA$1000</definedName>
    <definedName hidden="1" localSheetId="27" name="_xlnm._FilterDatabase">'zupee-data'!$A$1:$AA$1000</definedName>
    <definedName hidden="1" localSheetId="15" name="Z_1F3C1025_CEA9_4A75_9443_85E4026329F8_.wvu.FilterData">Mobiles!$A$151:$O$268</definedName>
    <definedName hidden="1" localSheetId="15" name="Z_E61A7C41_574A_4585_958A_6D9729148A54_.wvu.FilterData">Mobiles!$A$1:$J$268</definedName>
    <definedName hidden="1" localSheetId="2" name="Z_38A0F86F_54EB_4548_95BB_06A331D58524_.wvu.FilterData">'Off-Boarding'!$A$2:$S$521</definedName>
    <definedName hidden="1" localSheetId="15" name="Z_38A0F86F_54EB_4548_95BB_06A331D58524_.wvu.FilterData">Mobiles!$A$1:$I$268</definedName>
    <definedName hidden="1" localSheetId="15" name="Z_76163EF3_C0AE_46B8_BAF5_311148E90DAD_.wvu.FilterData">Mobiles!$A$1:$M$268</definedName>
    <definedName hidden="1" localSheetId="15" name="Z_10CB09A8_21B4_4A27_8516_48571AE4DD3F_.wvu.FilterData">Mobiles!$A$1:$M$268</definedName>
  </definedNames>
  <calcPr/>
  <customWorkbookViews>
    <customWorkbookView activeSheetId="0" maximized="1" windowHeight="0" windowWidth="0" guid="{10CB09A8-21B4-4A27-8516-48571AE4DD3F}" name="Filter 4"/>
    <customWorkbookView activeSheetId="0" maximized="1" windowHeight="0" windowWidth="0" guid="{76163EF3-C0AE-46B8-BAF5-311148E90DAD}" name="Filter 5"/>
    <customWorkbookView activeSheetId="0" maximized="1" windowHeight="0" windowWidth="0" guid="{1F3C1025-CEA9-4A75-9443-85E4026329F8}" name="Filter 2"/>
    <customWorkbookView activeSheetId="0" maximized="1" windowHeight="0" windowWidth="0" guid="{E61A7C41-574A-4585-958A-6D9729148A54}" name="Filter 3"/>
    <customWorkbookView activeSheetId="0" maximized="1" windowHeight="0" windowWidth="0" guid="{38A0F86F-54EB-4548-95BB-06A331D58524}" name="Filter 1"/>
  </customWorkbookViews>
  <pivotCaches>
    <pivotCache cacheId="0" r:id="rId33"/>
    <pivotCache cacheId="1" r:id="rId34"/>
    <pivotCache cacheId="2" r:id="rId35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tc={2c61f564-0559-4a1a-8bba-e6e57fdc4794}</author>
    <author>tc={439fd238-3033-46b2-9709-ddd77a413d89}</author>
    <author>tc={f1604c36-1c93-4e30-b910-097ea153942d}</author>
  </authors>
  <commentList>
    <comment authorId="0" xr:uid="{2c61f564-0559-4a1a-8bba-e6e57fdc4794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check with Raj
</t>
      </text>
    </comment>
    <comment authorId="1" xr:uid="{439fd238-3033-46b2-9709-ddd77a413d89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check with Raj
</t>
      </text>
    </comment>
    <comment authorId="2" xr:uid="{f1604c36-1c93-4e30-b910-097ea153942d}" ref="G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license extra showing in JC because ithelpdeak@zupee.in is Group ID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tc={0dfe382d-3fe8-42ad-8b72-12a7055d8661}</author>
    <author>tc={16359738-a783-4ccd-808d-e07cfe47dc4e}</author>
    <author>tc={318202ce-55ae-43c6-a3f3-9a786a14f444}</author>
    <author>tc={4b5ffea9-8123-422c-be3e-556e8386672c}</author>
    <author>tc={622ae5ad-c277-44ae-bec1-573b7ff4ec74}</author>
    <author>tc={779f6533-d10c-4dbe-9049-90163b379189}</author>
    <author>tc={78d8d382-f928-4df0-a6b4-d0f92b7ae969}</author>
    <author>tc={958b4191-8291-4bb3-8093-451eb8d5a947}</author>
    <author>tc={a14326a5-993e-4ad3-9e14-4f75a83cdff9}</author>
    <author>tc={a60d268c-9502-4ac1-8308-697fbdee2ab1}</author>
    <author>tc={aea04c5b-06e3-44e5-8f87-9e1e84154cde}</author>
    <author>tc={c3c3daf6-58b2-4721-9bc3-afa005a76016}</author>
    <author>tc={c4c0de70-80ea-4584-ac66-f85e805f55e5}</author>
    <author>tc={e3dd6fb0-2e6b-4da6-84c6-c2294afdecca}</author>
    <author>tc={ebaf456f-c3f6-42b2-af37-f068b2130299}</author>
    <author>tc={f45fe138-8ef7-47bc-9cf1-0f77b0bd28f7}</author>
    <author>tc={ff715c7b-1cd0-4261-89a3-75e261708796}</author>
  </authors>
  <commentList>
    <comment authorId="0" xr:uid="{0dfe382d-3fe8-42ad-8b72-12a7055d8661}" ref="C9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Investor email id created by Raj
</t>
      </text>
    </comment>
    <comment authorId="1" xr:uid="{16359738-a783-4ccd-808d-e07cfe47dc4e}" ref="C10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Investor email account : As per confirm by Naveen on email
</t>
      </text>
    </comment>
    <comment authorId="2" xr:uid="{318202ce-55ae-43c6-a3f3-9a786a14f444}" ref="C9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Naveen comments :-Confirm with Abhishek
</t>
      </text>
    </comment>
    <comment authorId="3" xr:uid="{4b5ffea9-8123-422c-be3e-556e8386672c}" ref="C9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Naveen comments :- Confirm with Abhishek
</t>
      </text>
    </comment>
    <comment authorId="4" xr:uid="{622ae5ad-c277-44ae-bec1-573b7ff4ec74}" ref="C6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Naveen comment :- Need Check with Hitesh Vats
</t>
      </text>
    </comment>
    <comment authorId="5" xr:uid="{779f6533-d10c-4dbe-9049-90163b379189}" ref="C6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Naveen comments :- Confirm with Anshul Mittal
</t>
      </text>
    </comment>
    <comment authorId="6" xr:uid="{78d8d382-f928-4df0-a6b4-d0f92b7ae969}" ref="C10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Naveen Comments :- Need to Confirm with Piyush Shukla
</t>
      </text>
    </comment>
    <comment authorId="7" xr:uid="{958b4191-8291-4bb3-8093-451eb8d5a947}" ref="C7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without MDM need to enroll the JC in the laptop as per availability.
</t>
      </text>
    </comment>
    <comment authorId="8" xr:uid="{a14326a5-993e-4ad3-9e14-4f75a83cdff9}" ref="C10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Used by Dilsher don.t delete.
</t>
      </text>
    </comment>
    <comment authorId="9" xr:uid="{a60d268c-9502-4ac1-8308-697fbdee2ab1}" ref="C8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User Portal Access
</t>
      </text>
    </comment>
    <comment authorId="10" xr:uid="{aea04c5b-06e3-44e5-8f87-9e1e84154cde}" ref="C7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without MDM need to enroll the JC in the laptop as user leave for 1 month.
</t>
      </text>
    </comment>
    <comment authorId="11" xr:uid="{c3c3daf6-58b2-4721-9bc3-afa005a76016}" ref="C9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Requested by Avijit Contractual As confirm with naveen
</t>
      </text>
    </comment>
    <comment authorId="12" xr:uid="{c4c0de70-80ea-4584-ac66-f85e805f55e5}" ref="C8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Investor email account created by Raj
</t>
      </text>
    </comment>
    <comment authorId="13" xr:uid="{e3dd6fb0-2e6b-4da6-84c6-c2294afdecca}" ref="C8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user portal access
</t>
      </text>
    </comment>
    <comment authorId="14" xr:uid="{ebaf456f-c3f6-42b2-af37-f068b2130299}" ref="C6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Email Subject line :- Re: New task(s) assigned for Completion
</t>
      </text>
    </comment>
    <comment authorId="15" xr:uid="{f45fe138-8ef7-47bc-9cf1-0f77b0bd28f7}" ref="K5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{subject Line} Re: Temporary Deactivation of Atul’s Gmail and Slack Access
</t>
      </text>
    </comment>
    <comment authorId="16" xr:uid="{ff715c7b-1cd0-4261-89a3-75e261708796}" ref="C1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Naveen Comments :- 
Requested by Sangeetha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tc={98fb11bf-c026-4efb-be78-93fbbd661bb5}</author>
  </authors>
  <commentList>
    <comment authorId="0" xr:uid="{98fb11bf-c026-4efb-be78-93fbbd661bb5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Is tihs exit user or not .plz confirm because as per exit sheet user remarks are exit.
Neha Sharma neha.sharma@zupee.in Date of exit : 13/12/2024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tc={a6ddf738-a7f9-4da5-a646-12886415d57f}</author>
  </authors>
  <commentList>
    <comment authorId="0" xr:uid="{a6ddf738-a7f9-4da5-a646-12886415d57f}" ref="B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@naveen.k@zupee.in :
Is tihs exit user or not .plz confirm because as per exit sheet user remarks are exit.
Neha Sharma neha.sharma@zupee.in Date of exit : 13/12/2024
Assigned to 
Reply:
	Simler email ID create for New user so that in GWS account status are active
</t>
      </text>
    </comment>
  </commentList>
</comments>
</file>

<file path=xl/sharedStrings.xml><?xml version="1.0" encoding="utf-8"?>
<sst xmlns="http://schemas.openxmlformats.org/spreadsheetml/2006/main" count="38364" uniqueCount="7833">
  <si>
    <t>Archived User Email</t>
  </si>
  <si>
    <t>New Owner Email</t>
  </si>
  <si>
    <t>Status</t>
  </si>
  <si>
    <t>Details</t>
  </si>
  <si>
    <t>Last Updated</t>
  </si>
  <si>
    <t>Active Accounts 🔂</t>
  </si>
  <si>
    <t>7+HOD</t>
  </si>
  <si>
    <t>User Group_JumpCloud</t>
  </si>
  <si>
    <t>User Group ID_GWS</t>
  </si>
  <si>
    <t>New OU Recommendation</t>
  </si>
  <si>
    <t>Org</t>
  </si>
  <si>
    <t>jcorg@zupee.in</t>
  </si>
  <si>
    <t>Administration</t>
  </si>
  <si>
    <t>x</t>
  </si>
  <si>
    <t>Technology</t>
  </si>
  <si>
    <t>jctech@zupee.in</t>
  </si>
  <si>
    <t>Brand Marketing</t>
  </si>
  <si>
    <t>Product Design</t>
  </si>
  <si>
    <t>jcproduct@zupee.in</t>
  </si>
  <si>
    <t>C-Suite</t>
  </si>
  <si>
    <t>jcadm@zupee.in</t>
  </si>
  <si>
    <t>Customer Experience</t>
  </si>
  <si>
    <t>Data</t>
  </si>
  <si>
    <t>jcdata@zupee.in</t>
  </si>
  <si>
    <t>Chromebook VIP and Ticketing Team</t>
  </si>
  <si>
    <t>Human Resources</t>
  </si>
  <si>
    <t>jchr@zupee.in</t>
  </si>
  <si>
    <t>ChromeBook OB Team</t>
  </si>
  <si>
    <t>Strategy</t>
  </si>
  <si>
    <t>jcst@zupee.in</t>
  </si>
  <si>
    <t>Digital Marketing</t>
  </si>
  <si>
    <t>jcdm@zupee.in</t>
  </si>
  <si>
    <t>jcbm@zupee.in</t>
  </si>
  <si>
    <t>Finance</t>
  </si>
  <si>
    <t>jcfinance@zupee.in</t>
  </si>
  <si>
    <t>Founder's Office</t>
  </si>
  <si>
    <t>IT Infra</t>
  </si>
  <si>
    <t>jcitinfra@zupee.in</t>
  </si>
  <si>
    <t>Head Of Department</t>
  </si>
  <si>
    <t>Legal</t>
  </si>
  <si>
    <t>jclegal@zupee.in</t>
  </si>
  <si>
    <t>jcce@zupee.in</t>
  </si>
  <si>
    <t>Public Policy</t>
  </si>
  <si>
    <t>jcpp@zupee.in</t>
  </si>
  <si>
    <t>Public Relations &amp; Corporate Communications</t>
  </si>
  <si>
    <t>jcprc@zupee.in</t>
  </si>
  <si>
    <t>PR &amp; Corporate Comms</t>
  </si>
  <si>
    <t>Product</t>
  </si>
  <si>
    <t>jc.product@zupee.in</t>
  </si>
  <si>
    <t>All Zupee for On roll</t>
  </si>
  <si>
    <t>zpeople@zupee.in</t>
  </si>
  <si>
    <t>Vertical TV</t>
  </si>
  <si>
    <t>jc.vtv@zupee.in</t>
  </si>
  <si>
    <t>Nucanon</t>
  </si>
  <si>
    <t>Generic ID</t>
  </si>
  <si>
    <t>No-2SV</t>
  </si>
  <si>
    <t xml:space="preserve">TEST Environment	</t>
  </si>
  <si>
    <t>Creation Date</t>
  </si>
  <si>
    <t>Full Name</t>
  </si>
  <si>
    <t>Office Email Address</t>
  </si>
  <si>
    <t>Department</t>
  </si>
  <si>
    <t>Acc Info</t>
  </si>
  <si>
    <t>Work Phone</t>
  </si>
  <si>
    <t>Employee Type</t>
  </si>
  <si>
    <t>Employee Title [Required]</t>
  </si>
  <si>
    <t>Manager Email [Required]</t>
  </si>
  <si>
    <t>Personal Email ID</t>
  </si>
  <si>
    <t>Remarks (If any)</t>
  </si>
  <si>
    <t>01-Jan-1111</t>
  </si>
  <si>
    <t>Rohan Ray</t>
  </si>
  <si>
    <t>rohan.ray@zupee.in</t>
  </si>
  <si>
    <t>GWS</t>
  </si>
  <si>
    <t>Full Time</t>
  </si>
  <si>
    <t>Content Operations Associate</t>
  </si>
  <si>
    <t>chirag.sabhadiya@zupee.in</t>
  </si>
  <si>
    <t>No-Dues</t>
  </si>
  <si>
    <t>Aakash Pal</t>
  </si>
  <si>
    <t>aakash.pal@zupee.in</t>
  </si>
  <si>
    <t/>
  </si>
  <si>
    <t>Aatmiy Tomar</t>
  </si>
  <si>
    <t>aatmiy.tomar@zupee.in</t>
  </si>
  <si>
    <t>Aayushi Siddhi Bhatta</t>
  </si>
  <si>
    <t>aayushi.bhatta@zupee.in</t>
  </si>
  <si>
    <t>Aayushi Sharma</t>
  </si>
  <si>
    <t>aayushi.sharma@zupee.in</t>
  </si>
  <si>
    <t>Abhinav Magow</t>
  </si>
  <si>
    <t>abhinav.magow@zupee.in</t>
  </si>
  <si>
    <t>Abhinav Srivastava</t>
  </si>
  <si>
    <t>abhinav.srivastava@zupee.in</t>
  </si>
  <si>
    <t>Abhinav Venkat</t>
  </si>
  <si>
    <t>abhinav.venkat@zupee.in</t>
  </si>
  <si>
    <t>Abhishek Aga</t>
  </si>
  <si>
    <t>abhishek.aga@zupee.in</t>
  </si>
  <si>
    <t>Abhishek Anand</t>
  </si>
  <si>
    <t>abhishek.anand@zupee.in</t>
  </si>
  <si>
    <t>Abhishek Chaudhary</t>
  </si>
  <si>
    <t>abhishek.chaudhary@zupee.in</t>
  </si>
  <si>
    <t>Abhishek Kumar</t>
  </si>
  <si>
    <t>abhishek.kumar@zupee.in</t>
  </si>
  <si>
    <t>Abhishek Maheshwari</t>
  </si>
  <si>
    <t>abhishek.maheshwari@zupee.in</t>
  </si>
  <si>
    <t>Abhishek Mishra</t>
  </si>
  <si>
    <t>abhishek.mishra@zupee.in</t>
  </si>
  <si>
    <t>Abhishek Mudgal</t>
  </si>
  <si>
    <t>abhishek.mudgal@zupee.in</t>
  </si>
  <si>
    <t>Abhishek Raj</t>
  </si>
  <si>
    <t>abhishek.raj@zupee.in</t>
  </si>
  <si>
    <t>Abhishek Singh</t>
  </si>
  <si>
    <t>abhishek.singh@zupee.in</t>
  </si>
  <si>
    <t>Achla Vatsa</t>
  </si>
  <si>
    <t>achla.vatsa@zupee.in</t>
  </si>
  <si>
    <t>Adesh Sharma</t>
  </si>
  <si>
    <t>adesh.sharma@zupee.in</t>
  </si>
  <si>
    <t>Aditya Ganguly</t>
  </si>
  <si>
    <t>aditya.ganguly@zupee.in</t>
  </si>
  <si>
    <t>Aditya Garg</t>
  </si>
  <si>
    <t>aditya.garg@zupee.in</t>
  </si>
  <si>
    <t>Aditya Marda</t>
  </si>
  <si>
    <t>aditya.marda@zupee.in</t>
  </si>
  <si>
    <t>Advait Mulay - Intern</t>
  </si>
  <si>
    <t>advait.mulay@zupee.in</t>
  </si>
  <si>
    <t>Afshan Akram</t>
  </si>
  <si>
    <t>afshan.akram@zupee.in</t>
  </si>
  <si>
    <t>Ajayraj Singh - Intern</t>
  </si>
  <si>
    <t>ajayraj.singh@zupee.in</t>
  </si>
  <si>
    <t>Ajinkya Sirohi</t>
  </si>
  <si>
    <t>ajinkya.sirohi@zupee.in</t>
  </si>
  <si>
    <t>Ajitesh Mohanta</t>
  </si>
  <si>
    <t>ajitesh.mohanta@zupee.in</t>
  </si>
  <si>
    <t>Akanksha Bhatia</t>
  </si>
  <si>
    <t>akanksha.bhatia@zupee.in</t>
  </si>
  <si>
    <t>Akash Bisht</t>
  </si>
  <si>
    <t>akash.bisht@zupee.in</t>
  </si>
  <si>
    <t>Akash Chauhan</t>
  </si>
  <si>
    <t>akash.chauhan@zupee.in</t>
  </si>
  <si>
    <t>Akhilesh Boppana</t>
  </si>
  <si>
    <t>akhilesh.boppana@zupee.in</t>
  </si>
  <si>
    <t>Akshay Kumar</t>
  </si>
  <si>
    <t>akshay.kumar@zupee.in</t>
  </si>
  <si>
    <t>Akshit Kumar</t>
  </si>
  <si>
    <t>akshit.kumar@zupee.in</t>
  </si>
  <si>
    <t>Aksshay Malaviya</t>
  </si>
  <si>
    <t>aksshay.malaviya@zupee.in</t>
  </si>
  <si>
    <t>Alankrita Sharma</t>
  </si>
  <si>
    <t>alankrita.sharma@zupee.in</t>
  </si>
  <si>
    <t>Alok</t>
  </si>
  <si>
    <t>alok.mahor@zupee.in</t>
  </si>
  <si>
    <t>Alok Singh</t>
  </si>
  <si>
    <t>alok.singh@zupee.in</t>
  </si>
  <si>
    <t>Alpika Singh</t>
  </si>
  <si>
    <t>alpika.singh@zupee.in</t>
  </si>
  <si>
    <t>Aman Choudhury</t>
  </si>
  <si>
    <t>aman.choudhury@zupee.in</t>
  </si>
  <si>
    <t>Aman Ludhwani</t>
  </si>
  <si>
    <t>aman.ludhwani@zupee.in</t>
  </si>
  <si>
    <t>Amit Arora</t>
  </si>
  <si>
    <t>amit.arora@zupee.in</t>
  </si>
  <si>
    <t>Amit K</t>
  </si>
  <si>
    <t>amit.k@zupee.in</t>
  </si>
  <si>
    <t>Amit Kumar</t>
  </si>
  <si>
    <t>amit.kumar@zupee.in</t>
  </si>
  <si>
    <t>Amit Shukla</t>
  </si>
  <si>
    <t>amit.shukla@zupee.in</t>
  </si>
  <si>
    <t>Amiya Panda</t>
  </si>
  <si>
    <t>amiya.panda@zupee.in</t>
  </si>
  <si>
    <t>Amul</t>
  </si>
  <si>
    <t>amul.singh@zupee.in</t>
  </si>
  <si>
    <t>Anais Kumar</t>
  </si>
  <si>
    <t>anais.kumar@zupee.in</t>
  </si>
  <si>
    <t>Aneesh Garg</t>
  </si>
  <si>
    <t>aneesh.garg@zupee.in</t>
  </si>
  <si>
    <t>Anil Meher</t>
  </si>
  <si>
    <t>anil.meher@zupee.in</t>
  </si>
  <si>
    <t>Aniruddh Sharma</t>
  </si>
  <si>
    <t>aniruddha.sharma@zupee.in</t>
  </si>
  <si>
    <t>Anish Choudhary</t>
  </si>
  <si>
    <t>anish.choudhary@zupee.in</t>
  </si>
  <si>
    <t>Anita Rane</t>
  </si>
  <si>
    <t>anita.rane@zupee.in</t>
  </si>
  <si>
    <t>Anjali</t>
  </si>
  <si>
    <t>anjali.rai@zupee.in</t>
  </si>
  <si>
    <t>Ankita Pradhan</t>
  </si>
  <si>
    <t>ankita.pradhan@zupee.in</t>
  </si>
  <si>
    <t>Ankur Agarwal</t>
  </si>
  <si>
    <t>ankur.agarwal@zupee.in</t>
  </si>
  <si>
    <t>Ankur Sharma</t>
  </si>
  <si>
    <t>ankur.sharma@zupee.in</t>
  </si>
  <si>
    <t>Anshu Satheesh</t>
  </si>
  <si>
    <t>anshu.satheesh@zupee.in</t>
  </si>
  <si>
    <t>Anubhav Mishra</t>
  </si>
  <si>
    <t>anubhav.mishra@zupee.in</t>
  </si>
  <si>
    <t>Anuj Singh</t>
  </si>
  <si>
    <t>anuj.singh@zupee.in</t>
  </si>
  <si>
    <t>anupam.‚Äãkushwah</t>
  </si>
  <si>
    <t>anupam.kushwah@zupee.in</t>
  </si>
  <si>
    <t>Anurag Dhandhi</t>
  </si>
  <si>
    <t>anurag.dhandhi@zupee.in</t>
  </si>
  <si>
    <t>Anurag Shukla</t>
  </si>
  <si>
    <t>anurag.shukla@zupee.in</t>
  </si>
  <si>
    <t>Anurag Pratap Singh</t>
  </si>
  <si>
    <t>anurag.singh@zupee.in</t>
  </si>
  <si>
    <t>Apoorv Bhargava</t>
  </si>
  <si>
    <t>apoorv.bhargava@zupee.in</t>
  </si>
  <si>
    <t>Apoorv Kalia</t>
  </si>
  <si>
    <t>apoorv.kalia@zupee.in</t>
  </si>
  <si>
    <t>Apurav Garg</t>
  </si>
  <si>
    <t>apurav.garg@zupee.in</t>
  </si>
  <si>
    <t>Ara Avasthi</t>
  </si>
  <si>
    <t>ara.avasthi@zupee.in</t>
  </si>
  <si>
    <t>Aral Avasthi</t>
  </si>
  <si>
    <t>aral.avasthi@zupee.in</t>
  </si>
  <si>
    <t>Archit Kumar</t>
  </si>
  <si>
    <t>archit.kumar@zupee.in</t>
  </si>
  <si>
    <t>Arjun Sankhala</t>
  </si>
  <si>
    <t>arjun.sankhala@zupee.in</t>
  </si>
  <si>
    <t>Arpan Khosla</t>
  </si>
  <si>
    <t>arpan.khosla@zupee.in</t>
  </si>
  <si>
    <t>Arpit Gulati</t>
  </si>
  <si>
    <t>arpit.gulati@zupee.in</t>
  </si>
  <si>
    <t>Arpit Jain</t>
  </si>
  <si>
    <t>arpit.jain@zupee.in</t>
  </si>
  <si>
    <t>Arshad Iqbal</t>
  </si>
  <si>
    <t>arshad.iqbal@zupee.in</t>
  </si>
  <si>
    <t>Arun Kumar</t>
  </si>
  <si>
    <t>arun.kumar2@zupee.in</t>
  </si>
  <si>
    <t>Arun Rajaram</t>
  </si>
  <si>
    <t>arun.rajaram@zupee.in</t>
  </si>
  <si>
    <t>Arun Singh</t>
  </si>
  <si>
    <t>arun.singh@zupee.in</t>
  </si>
  <si>
    <t>arvinder singla</t>
  </si>
  <si>
    <t>arvinder.singla@zupee.in</t>
  </si>
  <si>
    <t>Arya Soni</t>
  </si>
  <si>
    <t>arya.soni@zupee.in</t>
  </si>
  <si>
    <t>aryan.bahl</t>
  </si>
  <si>
    <t>aryan.bahl@zupee.in</t>
  </si>
  <si>
    <t>Aryan Gupta</t>
  </si>
  <si>
    <t>aryan.gupta@zupee.in</t>
  </si>
  <si>
    <t>Aryan Mehta</t>
  </si>
  <si>
    <t>aryan.mehta@zupee.in</t>
  </si>
  <si>
    <t>Ashish Chandra</t>
  </si>
  <si>
    <t>ashish.chandra@zupee.in</t>
  </si>
  <si>
    <t>Ashmita Dwivedi</t>
  </si>
  <si>
    <t>ashmita.dwivedi@zupee.in</t>
  </si>
  <si>
    <t>Ashmita Jain</t>
  </si>
  <si>
    <t>ashmita.jain@zupee.in</t>
  </si>
  <si>
    <t>Ashutosh Barthwal</t>
  </si>
  <si>
    <t>ashutosh.barthwal@zupee.in</t>
  </si>
  <si>
    <t>Ashutosh Bharatwal</t>
  </si>
  <si>
    <t>ashutosh.bharatwal@zupee.in</t>
  </si>
  <si>
    <t>Ashvani Kumar Yadav</t>
  </si>
  <si>
    <t>ashvani.kumar@zupee.in</t>
  </si>
  <si>
    <t>Ashwani Goyal</t>
  </si>
  <si>
    <t>ashwani.goyal@zupee.in</t>
  </si>
  <si>
    <t>Ashwani Raja</t>
  </si>
  <si>
    <t>ashwani.raja@zupee.in</t>
  </si>
  <si>
    <t>Ashwani Rana</t>
  </si>
  <si>
    <t>ashwani.rana@zupee.in</t>
  </si>
  <si>
    <t>Ashwini Rana</t>
  </si>
  <si>
    <t>Ashwini.Rana@Zupee.in</t>
  </si>
  <si>
    <t>Astha Yadav</t>
  </si>
  <si>
    <t>astha.yadav@zupee.in</t>
  </si>
  <si>
    <t>Atique Firoz</t>
  </si>
  <si>
    <t>atique.firoz@zupee.in</t>
  </si>
  <si>
    <t>Avijit Sharma</t>
  </si>
  <si>
    <t>avijit.sharma@zupee.in</t>
  </si>
  <si>
    <t>Avinash Srivastava</t>
  </si>
  <si>
    <t>avinash.srivastava@zupee.in</t>
  </si>
  <si>
    <t>Aviral</t>
  </si>
  <si>
    <t>aviral.rastogi@zupee.in</t>
  </si>
  <si>
    <t>Avisha Singh</t>
  </si>
  <si>
    <t>avisha.singh@zupee.in</t>
  </si>
  <si>
    <t>Ayasha Swain</t>
  </si>
  <si>
    <t>ayasha.swain@zupee.in</t>
  </si>
  <si>
    <t>Ayush Gupta</t>
  </si>
  <si>
    <t>ayush.gupta@zupee.in</t>
  </si>
  <si>
    <t>Ayush Kumar</t>
  </si>
  <si>
    <t>ayush.kumar@zupee.in</t>
  </si>
  <si>
    <t>Ayushi Goyal</t>
  </si>
  <si>
    <t>ayushi.goyal@zupee.in</t>
  </si>
  <si>
    <t>Ayushi Priya</t>
  </si>
  <si>
    <t>ayushi.priya@zupee.in</t>
  </si>
  <si>
    <t>Baldev Singh</t>
  </si>
  <si>
    <t>baldev.singh@zupee.in</t>
  </si>
  <si>
    <t>Bunny</t>
  </si>
  <si>
    <t>baljinder.singh@zupee.in</t>
  </si>
  <si>
    <t>Bharat Rustagi</t>
  </si>
  <si>
    <t>bharat.rustagi@zupee.in</t>
  </si>
  <si>
    <t>Binod Gupta</t>
  </si>
  <si>
    <t>binod.gupta@zupee.in</t>
  </si>
  <si>
    <t>Biplab Dholey</t>
  </si>
  <si>
    <t>biplab.dholey@zupee.in</t>
  </si>
  <si>
    <t>Biswajit Haldar</t>
  </si>
  <si>
    <t>biswajit.haldar@zupee.in</t>
  </si>
  <si>
    <t>Chaitanya Salunke</t>
  </si>
  <si>
    <t>chaitanya.salunke@zupee.in</t>
  </si>
  <si>
    <t>Chanchal Verma</t>
  </si>
  <si>
    <t>chanchal.verma@zupee.in</t>
  </si>
  <si>
    <t>Chandan Dwivedi</t>
  </si>
  <si>
    <t>chandan.dwivedi@zupee.in</t>
  </si>
  <si>
    <t>chestha.sharma</t>
  </si>
  <si>
    <t>chestha.sharma@zupee.in</t>
  </si>
  <si>
    <t>Chinmay Malhotra</t>
  </si>
  <si>
    <t>chinmay.malhotra@zupee.in</t>
  </si>
  <si>
    <t>Chirag Sethi</t>
  </si>
  <si>
    <t>chirag.sethi@zupee.in</t>
  </si>
  <si>
    <t>Dakshita Sharma</t>
  </si>
  <si>
    <t>dakshita.sharma@zupee.in</t>
  </si>
  <si>
    <t>Dalveer Sandhu</t>
  </si>
  <si>
    <t>dalveer.sandhu@zupee.in</t>
  </si>
  <si>
    <t>Deekshant kharkwal</t>
  </si>
  <si>
    <t>deekshant.kharkwal@zupee.in</t>
  </si>
  <si>
    <t>Deepak Bajaj</t>
  </si>
  <si>
    <t>deepak.bajaj@zupee.in</t>
  </si>
  <si>
    <t>Deepak Dahiya</t>
  </si>
  <si>
    <t>deepak.dahiya@zupee.in</t>
  </si>
  <si>
    <t>Deepak Manglani</t>
  </si>
  <si>
    <t>deepak.manglani@zupee.in</t>
  </si>
  <si>
    <t>Deepak Mehndiratta</t>
  </si>
  <si>
    <t>deepak.mehndiratta@zupee.in</t>
  </si>
  <si>
    <t>Deepak R</t>
  </si>
  <si>
    <t>deepak.r@zupee.in</t>
  </si>
  <si>
    <t>Deepanker Gupta</t>
  </si>
  <si>
    <t>deepanker.gupta@zupee.in</t>
  </si>
  <si>
    <t>Deepanshi Tongria</t>
  </si>
  <si>
    <t>deepanshi.tongria@zupee.in</t>
  </si>
  <si>
    <t>Dheeraj Kumar</t>
  </si>
  <si>
    <t>dheeraj.kumar@zupee.in</t>
  </si>
  <si>
    <t>Dimple Jaswal</t>
  </si>
  <si>
    <t>dimple.jaswal@zupee.in</t>
  </si>
  <si>
    <t>Divya 1</t>
  </si>
  <si>
    <t>divya.1@zupee.in</t>
  </si>
  <si>
    <t>Divya Kanwar</t>
  </si>
  <si>
    <t>divya.kanwar@zupee.in</t>
  </si>
  <si>
    <t>Divya Kiran Wangoo</t>
  </si>
  <si>
    <t>divya.wangoo@zupee.in</t>
  </si>
  <si>
    <t>Divyanshu Goel</t>
  </si>
  <si>
    <t>divyanshu.goel@zupee.in</t>
  </si>
  <si>
    <t>Dolly Atariya</t>
  </si>
  <si>
    <t>dolly.atariya@zupee.in</t>
  </si>
  <si>
    <t>Dravit Gupta</t>
  </si>
  <si>
    <t>dravit.gupta@zupee.in</t>
  </si>
  <si>
    <t>Gagan Agrawal</t>
  </si>
  <si>
    <t>gagan.agrawal@zupee.in</t>
  </si>
  <si>
    <t>Garima Bothra</t>
  </si>
  <si>
    <t>garima.bothra@zupee.in</t>
  </si>
  <si>
    <t>Garima Prakash</t>
  </si>
  <si>
    <t>garima.prakash@zupee.in</t>
  </si>
  <si>
    <t>Gaurav Dahiya</t>
  </si>
  <si>
    <t>gaurav.dahiya@zupee.in</t>
  </si>
  <si>
    <t>Gaurav Lal</t>
  </si>
  <si>
    <t>gaurav.lal@zupee.in</t>
  </si>
  <si>
    <t>Gaurav Malhotra</t>
  </si>
  <si>
    <t>gaurav.malhotra@zupee.in</t>
  </si>
  <si>
    <t>Gaurav Sharma</t>
  </si>
  <si>
    <t>gaurav.s@zupee.in</t>
  </si>
  <si>
    <t>Gaurav Saxena</t>
  </si>
  <si>
    <t>gaurav.saxena@zupee.in</t>
  </si>
  <si>
    <t>Gaurav Mehta</t>
  </si>
  <si>
    <t>gaurav@zupee.in</t>
  </si>
  <si>
    <t>Gautam Malhotra</t>
  </si>
  <si>
    <t>gautam.malhotra@zupee.in</t>
  </si>
  <si>
    <t>Girish Singh</t>
  </si>
  <si>
    <t>girish.singh@zupee.in</t>
  </si>
  <si>
    <t>Gitika pal</t>
  </si>
  <si>
    <t>gitika.gitika@zupee.in</t>
  </si>
  <si>
    <t>Gourav Sharma</t>
  </si>
  <si>
    <t>gourav.sharma@zupee.in</t>
  </si>
  <si>
    <t>Gouri Shankar</t>
  </si>
  <si>
    <t>gouri.shankar@zupee.in</t>
  </si>
  <si>
    <t>growth-tech</t>
  </si>
  <si>
    <t>growth-tech@zupee.in</t>
  </si>
  <si>
    <t>Gursharan Chawla</t>
  </si>
  <si>
    <t>gursharan.chawla@zupee.in</t>
  </si>
  <si>
    <t>Gyan Mishra</t>
  </si>
  <si>
    <t>gyan.mishra@zupee.in</t>
  </si>
  <si>
    <t>Gyanendra Maurya</t>
  </si>
  <si>
    <t>gyanendra.maurya@zupee.in</t>
  </si>
  <si>
    <t>Hardik Chhatrala</t>
  </si>
  <si>
    <t>hardik.chhatrala@zupee.in</t>
  </si>
  <si>
    <t>Harjeet Kaur</t>
  </si>
  <si>
    <t>harjeet.kaur@zupee.in</t>
  </si>
  <si>
    <t>harsh.‚Äãmehta</t>
  </si>
  <si>
    <t>harsh.mehta@zupee.in</t>
  </si>
  <si>
    <t>Harsh Rathways</t>
  </si>
  <si>
    <t>harsh.rathways@zupee.in</t>
  </si>
  <si>
    <t>Harshil Tyagi</t>
  </si>
  <si>
    <t>harshil.tyagi@zupee.in</t>
  </si>
  <si>
    <t>Harshit Raj</t>
  </si>
  <si>
    <t>harshit.raj@zupee.in</t>
  </si>
  <si>
    <t>Hemail Askary</t>
  </si>
  <si>
    <t>hemail.askary@zupee.in</t>
  </si>
  <si>
    <t>Hemant Kumar</t>
  </si>
  <si>
    <t>hemant.kumar@zupee.in</t>
  </si>
  <si>
    <t>Himani Rautela</t>
  </si>
  <si>
    <t>himani.rautela@zupee.in</t>
  </si>
  <si>
    <t>Himanshi Manral</t>
  </si>
  <si>
    <t>himanshi.manral@zupee.in</t>
  </si>
  <si>
    <t>Himanshu Chopra</t>
  </si>
  <si>
    <t>himanshu.chopra@zupee.in</t>
  </si>
  <si>
    <t>Himanshu Grover</t>
  </si>
  <si>
    <t>himanshu.grover@zupee.in</t>
  </si>
  <si>
    <t>Hina Jain</t>
  </si>
  <si>
    <t>hina.jain@zupee.in</t>
  </si>
  <si>
    <t>Hitesh Das</t>
  </si>
  <si>
    <t>hitesh.das@zupee.in</t>
  </si>
  <si>
    <t>hritik.‚Äãraj</t>
  </si>
  <si>
    <t>hritik.raj@zupee.in</t>
  </si>
  <si>
    <t>Hritik Wadhwa</t>
  </si>
  <si>
    <t>hritik.wadhwa@zupee.in</t>
  </si>
  <si>
    <t>Ishan Margamwar</t>
  </si>
  <si>
    <t>ishan.margamwar@zupee.in</t>
  </si>
  <si>
    <t>Jagjit Singh</t>
  </si>
  <si>
    <t>jagjit.singh@zupee.in</t>
  </si>
  <si>
    <t>Jasmeet Bhandari</t>
  </si>
  <si>
    <t>jasmeet.bhandari@zupee.in</t>
  </si>
  <si>
    <t>Jay</t>
  </si>
  <si>
    <t>jay.rustagi@zupee.in</t>
  </si>
  <si>
    <t>Jayata Dureja</t>
  </si>
  <si>
    <t>jayata.dureja@zupee.in</t>
  </si>
  <si>
    <t>Jessica Dawda</t>
  </si>
  <si>
    <t>jessica.dawda@zupee.in</t>
  </si>
  <si>
    <t>Jhanvi Pandha</t>
  </si>
  <si>
    <t>jhanvi.pandha@zupee.in</t>
  </si>
  <si>
    <t>Jitendra Kaintura</t>
  </si>
  <si>
    <t>jitendra.kaintura@zupee.in</t>
  </si>
  <si>
    <t>Jitendra Nayyar</t>
  </si>
  <si>
    <t>jitendra.nayyar@zupee.in</t>
  </si>
  <si>
    <t>Jithin Mathew</t>
  </si>
  <si>
    <t>jithin.mathew@zupee.in</t>
  </si>
  <si>
    <t>Kabeer Manocha</t>
  </si>
  <si>
    <t>kabeer.manocha@zupee.in</t>
  </si>
  <si>
    <t>Kailash Lakshmikanth</t>
  </si>
  <si>
    <t>kailash.lakshmikanth@zupee.in</t>
  </si>
  <si>
    <t>Kalpana Singh</t>
  </si>
  <si>
    <t>kalpana.singh@zupee.in</t>
  </si>
  <si>
    <t>Kalpriksh Bist</t>
  </si>
  <si>
    <t>kalpriksh.bist@zupee.in</t>
  </si>
  <si>
    <t>Subharanjan Sahoo</t>
  </si>
  <si>
    <t>kanhaiya.tomar@zupee.in</t>
  </si>
  <si>
    <t>Kapil Kant</t>
  </si>
  <si>
    <t>kapil.kant@zupee.in</t>
  </si>
  <si>
    <t>Karan Bali</t>
  </si>
  <si>
    <t>karan.bali@zupee.in</t>
  </si>
  <si>
    <t>Karan Bhyana</t>
  </si>
  <si>
    <t>karan.bhyana@zupee.in</t>
  </si>
  <si>
    <t>Karan Ghosh</t>
  </si>
  <si>
    <t>karan.ghosh@zupee.in</t>
  </si>
  <si>
    <t>Karan Jhinga</t>
  </si>
  <si>
    <t>karan.jhinga@zupee.in</t>
  </si>
  <si>
    <t>Kavita Morwani</t>
  </si>
  <si>
    <t>kavita.morwani@zupee.in</t>
  </si>
  <si>
    <t>Keerat Kaur</t>
  </si>
  <si>
    <t>keerat.kaur@zupee.in</t>
  </si>
  <si>
    <t>Keshav Jindal</t>
  </si>
  <si>
    <t>keshav.jindal@zupee.in</t>
  </si>
  <si>
    <t>Kirandeep Kaur</t>
  </si>
  <si>
    <t>kirandeep.kaur@zupee.in</t>
  </si>
  <si>
    <t>Kirtesh Kpaliwal</t>
  </si>
  <si>
    <t>kirtesh.kpaliwal@zupee.in</t>
  </si>
  <si>
    <t>Kunal Garg</t>
  </si>
  <si>
    <t>kunal.garg@zupee.in</t>
  </si>
  <si>
    <t>Kush Gupta</t>
  </si>
  <si>
    <t>kush.gupta@zupee.in</t>
  </si>
  <si>
    <t>Lakshay Jain</t>
  </si>
  <si>
    <t>lakshay.jain@zupee.in</t>
  </si>
  <si>
    <t>Lakshay Kapoor</t>
  </si>
  <si>
    <t>lakshay.kapoor@zupee.in</t>
  </si>
  <si>
    <t>Lalit</t>
  </si>
  <si>
    <t>lalit.mohan@zupee.in</t>
  </si>
  <si>
    <t>Lalit Tokas</t>
  </si>
  <si>
    <t>lalit.tokas@zupee.in</t>
  </si>
  <si>
    <t>Life</t>
  </si>
  <si>
    <t>life@zupee.in</t>
  </si>
  <si>
    <t>Madhumati Kivande</t>
  </si>
  <si>
    <t>madhumati.kivande@zupee.in</t>
  </si>
  <si>
    <t>Madhur Aggarwal</t>
  </si>
  <si>
    <t>madhur.aggarwal@zupee.in</t>
  </si>
  <si>
    <t>Madhuri Dutta</t>
  </si>
  <si>
    <t>madhuri.dutta@zupee.in</t>
  </si>
  <si>
    <t>Manan Bhatia</t>
  </si>
  <si>
    <t>manan.bhatia@zupee.in</t>
  </si>
  <si>
    <t>Manav Jain</t>
  </si>
  <si>
    <t>manav.jain@zupee.in</t>
  </si>
  <si>
    <t>Mandhir Singh</t>
  </si>
  <si>
    <t>mandhir.singh@zupee.in</t>
  </si>
  <si>
    <t>Maneesh Goel</t>
  </si>
  <si>
    <t>maneesh.goel@zupee.in</t>
  </si>
  <si>
    <t>maninder saluja</t>
  </si>
  <si>
    <t>maninder.saluja@zupee.in</t>
  </si>
  <si>
    <t>Manish Karnatak</t>
  </si>
  <si>
    <t>manish.karnatak@zupee.in</t>
  </si>
  <si>
    <t>Manish Kawatra</t>
  </si>
  <si>
    <t>manish.kawatra@zupee.in</t>
  </si>
  <si>
    <t>Manish Kumar</t>
  </si>
  <si>
    <t>manish.kumar@zupee.in</t>
  </si>
  <si>
    <t>Mansi Bedi</t>
  </si>
  <si>
    <t>mansi.bedi@zupee.in</t>
  </si>
  <si>
    <t>Manvi Agarwal</t>
  </si>
  <si>
    <t>manvi.agarwal@zupee.in</t>
  </si>
  <si>
    <t>Mathias Lakra</t>
  </si>
  <si>
    <t>mathias.lakra@zupee.in</t>
  </si>
  <si>
    <t>Pathak</t>
  </si>
  <si>
    <t>mayank.pathak@zupee.in</t>
  </si>
  <si>
    <t>Sanjeed - Intern</t>
  </si>
  <si>
    <t>md.sanjeed@zupee.in</t>
  </si>
  <si>
    <t>Meera Pawar</t>
  </si>
  <si>
    <t>meera.pawar@zupee.in</t>
  </si>
  <si>
    <t>Mehul Shah</t>
  </si>
  <si>
    <t>mehul.shah@zupee.in</t>
  </si>
  <si>
    <t>Mitali Tyagi</t>
  </si>
  <si>
    <t>mitali.tyagi@zupee.in</t>
  </si>
  <si>
    <t>mitali</t>
  </si>
  <si>
    <t>mitali@zupee.in</t>
  </si>
  <si>
    <t>Mohammed Faheem</t>
  </si>
  <si>
    <t>mohammed.faheem@zupee.in</t>
  </si>
  <si>
    <t>Mohd Nadeem Ansari</t>
  </si>
  <si>
    <t>mohd.ansari@zupee.in</t>
  </si>
  <si>
    <t>mohd.‚Äãdanish</t>
  </si>
  <si>
    <t>mohd.danish@zupee.in</t>
  </si>
  <si>
    <t>Mohit Bakshi</t>
  </si>
  <si>
    <t>mohit.bakshi@zupee.in</t>
  </si>
  <si>
    <t>Mohit Kaushik</t>
  </si>
  <si>
    <t>mohit.kaushik@zupee.in</t>
  </si>
  <si>
    <t>Mohit Mangal</t>
  </si>
  <si>
    <t>mohit.mangal@zupee.in</t>
  </si>
  <si>
    <t>Molik Chauhan</t>
  </si>
  <si>
    <t>molik.chauhan@zupee.in</t>
  </si>
  <si>
    <t>Mounica Duvva</t>
  </si>
  <si>
    <t>mounica.duvva@zupee.in</t>
  </si>
  <si>
    <t>Mudit Khandelwal</t>
  </si>
  <si>
    <t>mudit.khandelwal@zupee.in</t>
  </si>
  <si>
    <t>Mukesh Vaidya</t>
  </si>
  <si>
    <t>mukesh.vaidya@zupee.in</t>
  </si>
  <si>
    <t>Muskan Arora</t>
  </si>
  <si>
    <t>muskan.arora@zupee.in</t>
  </si>
  <si>
    <t>Nabil Syed</t>
  </si>
  <si>
    <t>nabil.syed@zupee.in</t>
  </si>
  <si>
    <t>Neha</t>
  </si>
  <si>
    <t>neha.singh@zupee.in</t>
  </si>
  <si>
    <t>Nidhi Agarwal</t>
  </si>
  <si>
    <t>nidhi.agarwal@zupee.in</t>
  </si>
  <si>
    <t>nidhi.kumari</t>
  </si>
  <si>
    <t>nidhi.kumari@zupee.in</t>
  </si>
  <si>
    <t>Nihal Sidhu</t>
  </si>
  <si>
    <t>nihal.sandhu@zupee.in</t>
  </si>
  <si>
    <t>nihal.sidhu@zupee.in</t>
  </si>
  <si>
    <t>Nikhil Jha</t>
  </si>
  <si>
    <t>nikhil.jha@zupee.in</t>
  </si>
  <si>
    <t>Nikhil Singhal</t>
  </si>
  <si>
    <t>nikhil.singhal@zupee.in</t>
  </si>
  <si>
    <t>nikhil@zupee.in</t>
  </si>
  <si>
    <t>Nikunj Aggarwal</t>
  </si>
  <si>
    <t>nikunj.aggarwal@zupee.in</t>
  </si>
  <si>
    <t>Nilesh Kumar</t>
  </si>
  <si>
    <t>nilesh.kumar@zupee.in</t>
  </si>
  <si>
    <t>Nilesh Saxena</t>
  </si>
  <si>
    <t>nilesh.saxena@zupee.in</t>
  </si>
  <si>
    <t>Nirmal Kumar</t>
  </si>
  <si>
    <t>nirmal.kumar@zupee.in</t>
  </si>
  <si>
    <t>Nischay</t>
  </si>
  <si>
    <t>nischay.sabherwal@zupee.in</t>
  </si>
  <si>
    <t>Nishchay Singh</t>
  </si>
  <si>
    <t>nishchay.singh@zupee.in</t>
  </si>
  <si>
    <t>Nishtha Pandey</t>
  </si>
  <si>
    <t>nishtha.pandey@zupee.in</t>
  </si>
  <si>
    <t>Nithin Kumar Munaga</t>
  </si>
  <si>
    <t>nithin.munaga@zupee.in</t>
  </si>
  <si>
    <t>Nitin Chauhan</t>
  </si>
  <si>
    <t>nitin.chauhan@zupee.in</t>
  </si>
  <si>
    <t>Niyati Verma</t>
  </si>
  <si>
    <t>niyati.verma@zupee.in</t>
  </si>
  <si>
    <t>Om Deoli</t>
  </si>
  <si>
    <t>om.deoli@zupee.in</t>
  </si>
  <si>
    <t>Pallavi Singh</t>
  </si>
  <si>
    <t>pallavi.singh@zupee.in</t>
  </si>
  <si>
    <t>Pankaj Sharma</t>
  </si>
  <si>
    <t>pankaj.sharma@zupee.in</t>
  </si>
  <si>
    <t>Pankhuri Mittal</t>
  </si>
  <si>
    <t>pankhuri.mittal@zupee.in</t>
  </si>
  <si>
    <t>Paramvir Singh</t>
  </si>
  <si>
    <t>paramvir.singh@zupee.in</t>
  </si>
  <si>
    <t>Paras Sharma</t>
  </si>
  <si>
    <t>paras.sharma@zupee.in</t>
  </si>
  <si>
    <t>Parth Kumar</t>
  </si>
  <si>
    <t>parth.kumar@zupee.in</t>
  </si>
  <si>
    <t>Parv</t>
  </si>
  <si>
    <t>parv.sharma@zupee.in</t>
  </si>
  <si>
    <t>Pavit Batra</t>
  </si>
  <si>
    <t>pavit.batra@zupee.in</t>
  </si>
  <si>
    <t>Piyush Bansal</t>
  </si>
  <si>
    <t>piyush.bansal@zupee.in</t>
  </si>
  <si>
    <t>Piyush Charles</t>
  </si>
  <si>
    <t>piyush.charles@zupee.in</t>
  </si>
  <si>
    <t>Piyush Mathpal</t>
  </si>
  <si>
    <t>piyush.mathpal@zupee.in</t>
  </si>
  <si>
    <t>Piyush Singh Mewar</t>
  </si>
  <si>
    <t>piyush.mewar@zupee.in</t>
  </si>
  <si>
    <t>Piyush Raghuvanshi</t>
  </si>
  <si>
    <t>piyush.raghuvanshi@zupee.in</t>
  </si>
  <si>
    <t>Prabhat Kumar</t>
  </si>
  <si>
    <t>prabhat.kumar@zupee.in</t>
  </si>
  <si>
    <t>Prachi Kanthiyal</t>
  </si>
  <si>
    <t>prachi.Kanthiyal@zupee.in</t>
  </si>
  <si>
    <t>Prakash Acharya</t>
  </si>
  <si>
    <t>prakash.acharya@zupee.in</t>
  </si>
  <si>
    <t>Prakash Upadhyay</t>
  </si>
  <si>
    <t>prakash.upadhyay@zupee.in</t>
  </si>
  <si>
    <t>prakhar.gupta</t>
  </si>
  <si>
    <t>prakhar.gupta@zupee.in</t>
  </si>
  <si>
    <t>Pranjali Kumar</t>
  </si>
  <si>
    <t>pranjali.kumar@zupee.in</t>
  </si>
  <si>
    <t>Prarabdh Sharma</t>
  </si>
  <si>
    <t>prarabdh.sharma@zupee.in</t>
  </si>
  <si>
    <t>Prarth Desai</t>
  </si>
  <si>
    <t>prarth.desai@zupee.in</t>
  </si>
  <si>
    <t>Prashant Pundir</t>
  </si>
  <si>
    <t>prashant.pundir@zupee.in</t>
  </si>
  <si>
    <t>Prateek Asthana</t>
  </si>
  <si>
    <t>prateek.asthana@zupee.in</t>
  </si>
  <si>
    <t>prateek.chawala</t>
  </si>
  <si>
    <t>prateek.chawala@zupee.in</t>
  </si>
  <si>
    <t>Prateek Chawla</t>
  </si>
  <si>
    <t>prateek.chawla@zupee.in</t>
  </si>
  <si>
    <t>Prateek Jain</t>
  </si>
  <si>
    <t>prateek.jain@zupee.in</t>
  </si>
  <si>
    <t>Prathamesh K</t>
  </si>
  <si>
    <t>prathamesh.kurambhatti@zupee.in</t>
  </si>
  <si>
    <t>Preeti Malik</t>
  </si>
  <si>
    <t>preeti.malik@zupee.in</t>
  </si>
  <si>
    <t>Prince Batra</t>
  </si>
  <si>
    <t>prince.batra@zupee.in</t>
  </si>
  <si>
    <t>Prityankur Biswas</t>
  </si>
  <si>
    <t>pritiyankur.biswas@zupee.in</t>
  </si>
  <si>
    <t>Priya Vadan</t>
  </si>
  <si>
    <t>priya.vadan@zupee.in</t>
  </si>
  <si>
    <t>Priyanka Gangwani</t>
  </si>
  <si>
    <t>priyanka.gangwani@zupee.in</t>
  </si>
  <si>
    <t>Priyanka Srivastava</t>
  </si>
  <si>
    <t>priyanka.srivastava@zupee.in</t>
  </si>
  <si>
    <t>Priyanshu Jain</t>
  </si>
  <si>
    <t>priyanshu.jain@zupee.in</t>
  </si>
  <si>
    <t>Puja Rai</t>
  </si>
  <si>
    <t>puja.rai@zupee.in</t>
  </si>
  <si>
    <t>Pulkit Chhabra</t>
  </si>
  <si>
    <t>pulkit.chhabra@zupee.in</t>
  </si>
  <si>
    <t>Pulkit Gupta</t>
  </si>
  <si>
    <t>pulkit.gupta@zupee.in</t>
  </si>
  <si>
    <t>Puneet Dhiman</t>
  </si>
  <si>
    <t>puneet.dhiman@zupee.in</t>
  </si>
  <si>
    <t>Pushkar Mourya</t>
  </si>
  <si>
    <t>pushkar.mourya@zupee.in</t>
  </si>
  <si>
    <t>Rabindra Gundura</t>
  </si>
  <si>
    <t>rabindra.gundura@zupee.in</t>
  </si>
  <si>
    <t>Rachit Agrawal</t>
  </si>
  <si>
    <t>rachit.agrawal@zupee.in</t>
  </si>
  <si>
    <t>Rahul Bisht</t>
  </si>
  <si>
    <t>rahul.bisht@zupee.in</t>
  </si>
  <si>
    <t>Rahul Goyal</t>
  </si>
  <si>
    <t>rahul.goyal@zupee.in</t>
  </si>
  <si>
    <t>Rahul Kashyap</t>
  </si>
  <si>
    <t>rahul.kashyap@zupee.in</t>
  </si>
  <si>
    <t>Rahul Kumar</t>
  </si>
  <si>
    <t>rahul.kumar@zupee.in</t>
  </si>
  <si>
    <t>Rahul Sharma2</t>
  </si>
  <si>
    <t>rahul.sharma2@zupee.in</t>
  </si>
  <si>
    <t>Rahul Verma</t>
  </si>
  <si>
    <t>rahul.verma@zupee.in</t>
  </si>
  <si>
    <t>Rajashekhar Nari</t>
  </si>
  <si>
    <t>rajashekhar.nari@zupee.in</t>
  </si>
  <si>
    <t>Rajat Sharma</t>
  </si>
  <si>
    <t>rajat.sharma@zupee.in</t>
  </si>
  <si>
    <t>Rakshanda Thakur</t>
  </si>
  <si>
    <t>rakshanda.thakur@zupee.in</t>
  </si>
  <si>
    <t>Ram Prasad V S</t>
  </si>
  <si>
    <t>ram.prasad@zupee.in</t>
  </si>
  <si>
    <t>Ram Vyas Sehgal</t>
  </si>
  <si>
    <t>ram.sehgal@zupee.in</t>
  </si>
  <si>
    <t>Raman Bedi</t>
  </si>
  <si>
    <t>raman.bedi@zupee.in</t>
  </si>
  <si>
    <t>Ramkunwar Meghwal</t>
  </si>
  <si>
    <t>ramkunwar.meghwal@zupee.in</t>
  </si>
  <si>
    <t>Ranjeesh Yadav</t>
  </si>
  <si>
    <t>ranjeesh.yadav@zupee.in</t>
  </si>
  <si>
    <t>Ratnish RM</t>
  </si>
  <si>
    <t>ratnish.malhotra@zupee.in</t>
  </si>
  <si>
    <t>Reyansh Mishra</t>
  </si>
  <si>
    <t>reyansh.mishra@zupee.in</t>
  </si>
  <si>
    <t>Rishab Sachdev</t>
  </si>
  <si>
    <t>rishab.sachdev@zupee.in</t>
  </si>
  <si>
    <t>Rishab Sachdeva</t>
  </si>
  <si>
    <t>rishab.sachdeva@zupee.in</t>
  </si>
  <si>
    <t>Rishabh Garg</t>
  </si>
  <si>
    <t>rishabh.garg@zupee.in</t>
  </si>
  <si>
    <t>Rishabh Nigam</t>
  </si>
  <si>
    <t>rishabh.nigam@zupee.in</t>
  </si>
  <si>
    <t>Rishi Gour</t>
  </si>
  <si>
    <t>rishi.gour@zupee.in</t>
  </si>
  <si>
    <t>Ritika Gola</t>
  </si>
  <si>
    <t>ritika.gola@zupee.in</t>
  </si>
  <si>
    <t>Ritika Pathania</t>
  </si>
  <si>
    <t>ritika.pathania@zupee.in</t>
  </si>
  <si>
    <t>Ritika Tatiya</t>
  </si>
  <si>
    <t>ritika.tatiya@zupee.in</t>
  </si>
  <si>
    <t>Ritu Singh</t>
  </si>
  <si>
    <t>ritu.singh@zupee.in</t>
  </si>
  <si>
    <t>Riya Maurya</t>
  </si>
  <si>
    <t>riya.maurya@zupee.in</t>
  </si>
  <si>
    <t>Robin Achankunju</t>
  </si>
  <si>
    <t>robin.achankunju@zupee.in</t>
  </si>
  <si>
    <t>Rohan Aggarwal</t>
  </si>
  <si>
    <t>rohan.aggarwal@zupee.in</t>
  </si>
  <si>
    <t>Rohan Bhagat</t>
  </si>
  <si>
    <t>rohan.bhagat@zupee.in</t>
  </si>
  <si>
    <t>Rohan Kochhar</t>
  </si>
  <si>
    <t>rohan.kochhar@zupee.in</t>
  </si>
  <si>
    <t>Rohan Singh</t>
  </si>
  <si>
    <t>rohan.singh@zupee.in</t>
  </si>
  <si>
    <t>ronnie.henrikson</t>
  </si>
  <si>
    <t>ronnie.henrikson@zupee.in</t>
  </si>
  <si>
    <t>Roopesh Kaushik</t>
  </si>
  <si>
    <t>roopesh.kaushik@zupee.in</t>
  </si>
  <si>
    <t>Rubaab Sood</t>
  </si>
  <si>
    <t>rubaab.sood@zupee.in</t>
  </si>
  <si>
    <t>Ruhi Kapoor</t>
  </si>
  <si>
    <t>ruhi.kapoor@zupee.in</t>
  </si>
  <si>
    <t>Rupam Das</t>
  </si>
  <si>
    <t>rupam.das@zupee.in</t>
  </si>
  <si>
    <t>Sachin Purohit</t>
  </si>
  <si>
    <t>sachin.purohit@zupee.in</t>
  </si>
  <si>
    <t>Sachin Tanwar</t>
  </si>
  <si>
    <t>sachin.tanwar@zupee.in</t>
  </si>
  <si>
    <t>Sachin Yadav</t>
  </si>
  <si>
    <t>sachin.yadav@zupee.in</t>
  </si>
  <si>
    <t>Sahil Aggarwal</t>
  </si>
  <si>
    <t>sahil.aggarwal@zupee.in</t>
  </si>
  <si>
    <t>Sahil Aggrawal</t>
  </si>
  <si>
    <t>sahil.aggrawal@zupee.in</t>
  </si>
  <si>
    <t>Sahil Narang</t>
  </si>
  <si>
    <t>sahil.narang@zupee.in</t>
  </si>
  <si>
    <t>Sahil Shah</t>
  </si>
  <si>
    <t>sahil.shah@zupee.in</t>
  </si>
  <si>
    <t>Saifulla Khan</t>
  </si>
  <si>
    <t>saifulla.khan@zupee.in</t>
  </si>
  <si>
    <t>Sakshi Gupta</t>
  </si>
  <si>
    <t>sakshi.gupta@zupee.in</t>
  </si>
  <si>
    <t>Sakshi Pathak</t>
  </si>
  <si>
    <t>sakshi.pathak@zupee.in</t>
  </si>
  <si>
    <t>Sakshi Singh</t>
  </si>
  <si>
    <t>sakshi.singh@zupee.in</t>
  </si>
  <si>
    <t>Saloni Madan</t>
  </si>
  <si>
    <t>saloni.madan@zupee.in</t>
  </si>
  <si>
    <t>Samarth U</t>
  </si>
  <si>
    <t>samarth.u@zupee.in</t>
  </si>
  <si>
    <t>Samarth Udasin</t>
  </si>
  <si>
    <t>samarth.udasin@zupee.in</t>
  </si>
  <si>
    <t>Saneesh Maheshwari</t>
  </si>
  <si>
    <t>saneesh.maheshwari@zupee.in</t>
  </si>
  <si>
    <t>Sanjit Chauhan</t>
  </si>
  <si>
    <t>sanjit.chauhan@zupee.in</t>
  </si>
  <si>
    <t>Sankalp Sharma</t>
  </si>
  <si>
    <t>sankalp.sharma@zupee.in</t>
  </si>
  <si>
    <t>Saravana Gupta</t>
  </si>
  <si>
    <t>saravana.gupta@zupee.in</t>
  </si>
  <si>
    <t>Satish Chandra</t>
  </si>
  <si>
    <t>satish.chandra@zupee.in</t>
  </si>
  <si>
    <t>Saurabh Dandriyal</t>
  </si>
  <si>
    <t>saurabh.dandriyal@zupee.in</t>
  </si>
  <si>
    <t>Saurabh Shrivastava</t>
  </si>
  <si>
    <t>saurabh.shrivastava@zupee.in</t>
  </si>
  <si>
    <t>Saurabh Srivastava</t>
  </si>
  <si>
    <t>saurabh.srivastava@zupee.in</t>
  </si>
  <si>
    <t>Saurabh Yadav</t>
  </si>
  <si>
    <t>saurabh.yadav@zupee.in</t>
  </si>
  <si>
    <t>Saurav Temp</t>
  </si>
  <si>
    <t>saurav.temp@zupee.in</t>
  </si>
  <si>
    <t>Sayantima Paul</t>
  </si>
  <si>
    <t>sayantima.paul@zupee.in</t>
  </si>
  <si>
    <t>Mohd Shaad Khan</t>
  </si>
  <si>
    <t>shaad.khan@zupee.in</t>
  </si>
  <si>
    <t>Shahid Rabbani</t>
  </si>
  <si>
    <t>shahid.rabbani@zupee.in</t>
  </si>
  <si>
    <t>Shailendra Singh Bhadouriya</t>
  </si>
  <si>
    <t>shailendra.bhadouriya@zupee.in</t>
  </si>
  <si>
    <t>Shameek Datta</t>
  </si>
  <si>
    <t>shameek.datta@zupee.in</t>
  </si>
  <si>
    <t>Shankhaneel Saikia</t>
  </si>
  <si>
    <t>shankhaneel.saikia@zupee.in</t>
  </si>
  <si>
    <t>Sharath Kowligi</t>
  </si>
  <si>
    <t>sharath.kowligi@zupee.in</t>
  </si>
  <si>
    <t>Shashwati Ghosh</t>
  </si>
  <si>
    <t>shashwati.ghosh@zupee.in</t>
  </si>
  <si>
    <t>Shaurya Upadhyay</t>
  </si>
  <si>
    <t>shaurya.upadhyay@zupee.in</t>
  </si>
  <si>
    <t>Shikha Devrani</t>
  </si>
  <si>
    <t>shikha.devrani@zupee.in</t>
  </si>
  <si>
    <t>Shikha Maheshwari</t>
  </si>
  <si>
    <t>shikha.maheshwari@zupee.in</t>
  </si>
  <si>
    <t>Shikha Meheshwari</t>
  </si>
  <si>
    <t>shikha.meheshwari@zupee.in</t>
  </si>
  <si>
    <t>Shikha Tripathi</t>
  </si>
  <si>
    <t>shikha.tripathi@zupee.in</t>
  </si>
  <si>
    <t>Shikha Verma</t>
  </si>
  <si>
    <t>shikha.verma@zupee.in</t>
  </si>
  <si>
    <t>Shikhar Varshney</t>
  </si>
  <si>
    <t>shikhar.varshney@zupee.in</t>
  </si>
  <si>
    <t>Shilpasree Chatterjee</t>
  </si>
  <si>
    <t>shilpasree.chatterjee@zupee.in</t>
  </si>
  <si>
    <t>Shirish Shubhanker</t>
  </si>
  <si>
    <t>shirish.shubhanker@zupee.in</t>
  </si>
  <si>
    <t>Shiv Kumar ( IT )</t>
  </si>
  <si>
    <t>shiv.kumar@zupee.in</t>
  </si>
  <si>
    <t>Shiv Sharma</t>
  </si>
  <si>
    <t>shiv.sharma@zupee.in</t>
  </si>
  <si>
    <t>Shivangi</t>
  </si>
  <si>
    <t>shivangi.shivangi@zupee.in</t>
  </si>
  <si>
    <t>shivani mehta</t>
  </si>
  <si>
    <t>shivani.mehta@zupee.in</t>
  </si>
  <si>
    <t>Shoorvir Gupta</t>
  </si>
  <si>
    <t>shoorvir.gupta@zupee.in</t>
  </si>
  <si>
    <t>Shreya Manchanda</t>
  </si>
  <si>
    <t>shreya.manchanda@zupee.in</t>
  </si>
  <si>
    <t>Shreyansh Bengani</t>
  </si>
  <si>
    <t>shreyansh.bengani@zupee.in</t>
  </si>
  <si>
    <t>Shreyansh Goel</t>
  </si>
  <si>
    <t>shreyansh.goel@zupee.in</t>
  </si>
  <si>
    <t>shreyansh.jain</t>
  </si>
  <si>
    <t>shreyansh.jain@zupee.in</t>
  </si>
  <si>
    <t>Shristi Agrawal</t>
  </si>
  <si>
    <t>shristi.agrawal@zupee.in</t>
  </si>
  <si>
    <t>Shruti sachdeva</t>
  </si>
  <si>
    <t>shrutisachdeva16@gmail.com</t>
  </si>
  <si>
    <t>Shubham Agarwal</t>
  </si>
  <si>
    <t>shubham.agarwal@zupee.in</t>
  </si>
  <si>
    <t>Shubham Chander</t>
  </si>
  <si>
    <t>shubham.chander@zupee.in</t>
  </si>
  <si>
    <t>Shubham Gupta</t>
  </si>
  <si>
    <t>shubham.gupta@zupee.in</t>
  </si>
  <si>
    <t>Shubham Vishwakarma</t>
  </si>
  <si>
    <t>shubham.vishwakarma@zupee.in</t>
  </si>
  <si>
    <t>Shwetank Anand</t>
  </si>
  <si>
    <t>shwetank.anand@zupee.in</t>
  </si>
  <si>
    <t>Shyam Singh</t>
  </si>
  <si>
    <t>shyam.singh@zupee.in</t>
  </si>
  <si>
    <t>Siddharth Jain</t>
  </si>
  <si>
    <t>siddharth.jain@zupee.in</t>
  </si>
  <si>
    <t>Siddharth Rehani</t>
  </si>
  <si>
    <t>siddharth.rehani@zupee.in</t>
  </si>
  <si>
    <t>Simran Bansal (BDO)</t>
  </si>
  <si>
    <t>simran.bansal@zupee.in</t>
  </si>
  <si>
    <t>Simran Mukhia</t>
  </si>
  <si>
    <t>simran.mukhia@zupee.in</t>
  </si>
  <si>
    <t>Simran Taneja</t>
  </si>
  <si>
    <t>simran.taneja@zupee.in</t>
  </si>
  <si>
    <t>Sneha Thapa</t>
  </si>
  <si>
    <t>sneha.thapa@zupee.in</t>
  </si>
  <si>
    <t>Snigdha Tripathi</t>
  </si>
  <si>
    <t>snigdha.tripathi@zupee.in</t>
  </si>
  <si>
    <t>Somanshu</t>
  </si>
  <si>
    <t>somanshu.suran@zupee.in</t>
  </si>
  <si>
    <t>Somya Singla</t>
  </si>
  <si>
    <t>somya.singla@zupee.in</t>
  </si>
  <si>
    <t>Sonali Pandey</t>
  </si>
  <si>
    <t>sonali.pandey@zupee.in</t>
  </si>
  <si>
    <t>Sonam Gupta</t>
  </si>
  <si>
    <t>sonam.gupta@zupee.in</t>
  </si>
  <si>
    <t>Sonam Rathore</t>
  </si>
  <si>
    <t>sonam.rathore@zupee.in</t>
  </si>
  <si>
    <t>Soni Saurav</t>
  </si>
  <si>
    <t>soni.saurav@zupee.in</t>
  </si>
  <si>
    <t>Soumyadip Deb</t>
  </si>
  <si>
    <t>soumyadip.deb@zupee.in</t>
  </si>
  <si>
    <t>Sourabh Mukherjee</t>
  </si>
  <si>
    <t>sourabh.mukherjee@zupee.in</t>
  </si>
  <si>
    <t>Sourabh Singh</t>
  </si>
  <si>
    <t>sourabh.singh@zupee.in</t>
  </si>
  <si>
    <t>Sruja Gangolu</t>
  </si>
  <si>
    <t>sruja.gangolu@zupee.in</t>
  </si>
  <si>
    <t>Subhrajit Makur</t>
  </si>
  <si>
    <t>subhrajit.makur@zupee.in</t>
  </si>
  <si>
    <t>Dr Subi Chaturvedi</t>
  </si>
  <si>
    <t>subi.chaturvedi@zupee.in</t>
  </si>
  <si>
    <t>Sucheta Sharma</t>
  </si>
  <si>
    <t>sucheta.sharma@zupee.in</t>
  </si>
  <si>
    <t>Sudhanshu Singh</t>
  </si>
  <si>
    <t>sudhanshu.singh@zupee.in</t>
  </si>
  <si>
    <t>Suhani Arya</t>
  </si>
  <si>
    <t>suhani.arya@zupee.in</t>
  </si>
  <si>
    <t>Sujoy Ghosh</t>
  </si>
  <si>
    <t>sujoy.ghosh@zupee.in</t>
  </si>
  <si>
    <t>sumit.‚Äãchugh</t>
  </si>
  <si>
    <t>sumit.chugh@zupee.in</t>
  </si>
  <si>
    <t>Sumit Kumar</t>
  </si>
  <si>
    <t>sumit.k@zupee.in</t>
  </si>
  <si>
    <t>sumit.kumar@zupee.in</t>
  </si>
  <si>
    <t>Sandeep Sharma</t>
  </si>
  <si>
    <t>sundeep.sharma@zupee.in</t>
  </si>
  <si>
    <t>Sunil Gupta</t>
  </si>
  <si>
    <t>sunil.gupta@zupee.in</t>
  </si>
  <si>
    <t>Supreet Kaur</t>
  </si>
  <si>
    <t>supreet.kaur@zupee.in</t>
  </si>
  <si>
    <t>Supreet Srivastava</t>
  </si>
  <si>
    <t>supreet.srivastava@zupee.in</t>
  </si>
  <si>
    <t>Supriya Chauhan</t>
  </si>
  <si>
    <t>supriya.chauhan@zupee.in</t>
  </si>
  <si>
    <t>Surabhi Sanchita</t>
  </si>
  <si>
    <t>surabhi.sanchita@zupee.in</t>
  </si>
  <si>
    <t>Suresh Gupta</t>
  </si>
  <si>
    <t>suresh.gupta@zupee.in</t>
  </si>
  <si>
    <t>Swati Bhardwaj</t>
  </si>
  <si>
    <t>swati.bhardwaj@zupee.in</t>
  </si>
  <si>
    <t>Syed Suheb Hussain</t>
  </si>
  <si>
    <t>syed.hussain@zupee.in</t>
  </si>
  <si>
    <t>Tanisha Gupta</t>
  </si>
  <si>
    <t>tanisha.gupta@zupee.in</t>
  </si>
  <si>
    <t>Tanmeet Ahuja</t>
  </si>
  <si>
    <t>tanmeet.ahuja@zupee.in</t>
  </si>
  <si>
    <t>Taranpreet Kaur</t>
  </si>
  <si>
    <t>taranpreet.kaur@zupee.in</t>
  </si>
  <si>
    <t>Tarun Misra</t>
  </si>
  <si>
    <t>tarun.misra@zupee.in</t>
  </si>
  <si>
    <t>Tarun Talan</t>
  </si>
  <si>
    <t>tarun.talan@zupee.in</t>
  </si>
  <si>
    <t>taufique.khan</t>
  </si>
  <si>
    <t>taufique.khan@zupee.in</t>
  </si>
  <si>
    <t>Tavisi Malpani</t>
  </si>
  <si>
    <t>tavisi.malpani@zupee.in</t>
  </si>
  <si>
    <t>Tejveer Singh</t>
  </si>
  <si>
    <t>tejveer.singh@zupee.in</t>
  </si>
  <si>
    <t>test.it10</t>
  </si>
  <si>
    <t>test.it10@zupee.in</t>
  </si>
  <si>
    <t>test.it7</t>
  </si>
  <si>
    <t>test.it7@zupee.in</t>
  </si>
  <si>
    <t>Tripti Jain</t>
  </si>
  <si>
    <t>tripti.jain@zupee.in</t>
  </si>
  <si>
    <t>Udit Mahendra</t>
  </si>
  <si>
    <t>udit.mahendra@zupee.in</t>
  </si>
  <si>
    <t>Umesh Patnaik</t>
  </si>
  <si>
    <t>umesh.patnaik@zupee.in</t>
  </si>
  <si>
    <t>Umme Asma</t>
  </si>
  <si>
    <t>umme.asma@zupee.in</t>
  </si>
  <si>
    <t>Vaibhav Sharma</t>
  </si>
  <si>
    <t>vaibhav.sharma@zupee.in</t>
  </si>
  <si>
    <t>Vamci Vishal</t>
  </si>
  <si>
    <t>vamci.vishal@zupee.in</t>
  </si>
  <si>
    <t>Vanshika Rathi</t>
  </si>
  <si>
    <t>vanshika.rathi@zupee.in</t>
  </si>
  <si>
    <t>Varsha Sk</t>
  </si>
  <si>
    <t>varsha.sk@zupee.in</t>
  </si>
  <si>
    <t>Vartin Jain</t>
  </si>
  <si>
    <t>vartin.jain@zupee.in</t>
  </si>
  <si>
    <t>Varun Yadav</t>
  </si>
  <si>
    <t>varun.yadav@zupee.in</t>
  </si>
  <si>
    <t>Vasudev Yadav</t>
  </si>
  <si>
    <t>vasudev.yadav@zupee.in</t>
  </si>
  <si>
    <t>Vicky Mehra</t>
  </si>
  <si>
    <t>vicky.mehra@zupee.in</t>
  </si>
  <si>
    <t>Vidhi Arora</t>
  </si>
  <si>
    <t>vidhi.arora@zupee.in</t>
  </si>
  <si>
    <t>Vidhi Dutta</t>
  </si>
  <si>
    <t>vidhi.dutta@zupee.in</t>
  </si>
  <si>
    <t>Vidushi Gupta</t>
  </si>
  <si>
    <t>vidushi.gupta@zupee.in</t>
  </si>
  <si>
    <t>Vidya Bhushan</t>
  </si>
  <si>
    <t>vidya.bhushan@zupee.in</t>
  </si>
  <si>
    <t>Vihsal Agarwal</t>
  </si>
  <si>
    <t>vihsal.agarwal@zupee.in</t>
  </si>
  <si>
    <t>Vijay Mr</t>
  </si>
  <si>
    <t>vijay.mr@zupee.in</t>
  </si>
  <si>
    <t>Vikas Kumar</t>
  </si>
  <si>
    <t>vikas.kumar@zupee.in</t>
  </si>
  <si>
    <t>Vikram Bhadoriya</t>
  </si>
  <si>
    <t>vikram.bhadoriya@zupee.in</t>
  </si>
  <si>
    <t>Vinay Pratap</t>
  </si>
  <si>
    <t>vinay.pratap@zupee.in</t>
  </si>
  <si>
    <t>Vinay Singh Rawat</t>
  </si>
  <si>
    <t>vinay.rawat@zupee.in</t>
  </si>
  <si>
    <t>Vinni Kalra Francis</t>
  </si>
  <si>
    <t>vinni.francis@zupee.in</t>
  </si>
  <si>
    <t>Vinoth R</t>
  </si>
  <si>
    <t>vinoth.r@zupee.in</t>
  </si>
  <si>
    <t>Vipul Jalal</t>
  </si>
  <si>
    <t>vipul.jalal@zupee.in</t>
  </si>
  <si>
    <t>virender.gupta</t>
  </si>
  <si>
    <t>virender.gupta@zupee.in</t>
  </si>
  <si>
    <t>Vishal Kumar Saw</t>
  </si>
  <si>
    <t>vishal.saw@zupee.in</t>
  </si>
  <si>
    <t>Vishu Chopra</t>
  </si>
  <si>
    <t>vishu.chopra@zupee.in</t>
  </si>
  <si>
    <t>Vishu Singh</t>
  </si>
  <si>
    <t>vishu.singh@zupee.in</t>
  </si>
  <si>
    <t>Vivek Goyal</t>
  </si>
  <si>
    <t>vivek.goyal@zupee.in</t>
  </si>
  <si>
    <t>Vivek Sharma</t>
  </si>
  <si>
    <t>vivek.sharma@zupee.in</t>
  </si>
  <si>
    <t>Vivek Walecha</t>
  </si>
  <si>
    <t>vivek.walecha@zupee.in</t>
  </si>
  <si>
    <t>Vivek Yadav</t>
  </si>
  <si>
    <t>vivek.yadav@zupee.in</t>
  </si>
  <si>
    <t>Wajid Ali Ansari</t>
  </si>
  <si>
    <t>wajid.ansari@zupee.in</t>
  </si>
  <si>
    <t>Yash Anand</t>
  </si>
  <si>
    <t>yash.anand@zupee.in</t>
  </si>
  <si>
    <t>Yash Dixit</t>
  </si>
  <si>
    <t>yash.dixit@zupee.in</t>
  </si>
  <si>
    <t>Yash Gola</t>
  </si>
  <si>
    <t>yash.gola@zupee.in</t>
  </si>
  <si>
    <t>Yash Lamba</t>
  </si>
  <si>
    <t>yash.lamba@zupee.in</t>
  </si>
  <si>
    <t>Yuvika Duggal</t>
  </si>
  <si>
    <t>yuvika.duggal@zupee.in</t>
  </si>
  <si>
    <t>Zeba Sheikh</t>
  </si>
  <si>
    <t>zeba.sheikh@zupee.in</t>
  </si>
  <si>
    <t>Zoya Ruhi</t>
  </si>
  <si>
    <t>zoya.ruhi@zupee.in</t>
  </si>
  <si>
    <t>Aaditya Singh</t>
  </si>
  <si>
    <t>aaditya.singh@zupee.in</t>
  </si>
  <si>
    <t>Senior Manager - Marketing Design</t>
  </si>
  <si>
    <t>katha.tara@zupee.in</t>
  </si>
  <si>
    <t>Aakash Phogat</t>
  </si>
  <si>
    <t>aakash.phogat@zupee.in</t>
  </si>
  <si>
    <t>Software Engineer</t>
  </si>
  <si>
    <t>aman.k@zupee.in</t>
  </si>
  <si>
    <t>Aakashdeep Madaan</t>
  </si>
  <si>
    <t>aakashdeep.madaan@zupee.in</t>
  </si>
  <si>
    <t>+919466654900</t>
  </si>
  <si>
    <t>Security Engineer</t>
  </si>
  <si>
    <t>saurav.yadav@zupee.in</t>
  </si>
  <si>
    <t>Aashi Mangal</t>
  </si>
  <si>
    <t>aashi.mangal@zupee.in</t>
  </si>
  <si>
    <t>rahul.sharma@zupee.in</t>
  </si>
  <si>
    <t>Abhay Kumar</t>
  </si>
  <si>
    <t>abhay.kumar@zupee.in</t>
  </si>
  <si>
    <t>Software Development Engineer in Test Intern</t>
  </si>
  <si>
    <t>yogesh.yadav@zupee.in</t>
  </si>
  <si>
    <t>Abhishek Gupta</t>
  </si>
  <si>
    <t>abhishek.g@zupee.in</t>
  </si>
  <si>
    <t>bal.sikandar@zupee.in</t>
  </si>
  <si>
    <t>Abhishek Swami</t>
  </si>
  <si>
    <t>abhishek.swami@zupee.in</t>
  </si>
  <si>
    <t>Senior Associate - Digital Marketing</t>
  </si>
  <si>
    <t>ritwika.maitra@zupee.in</t>
  </si>
  <si>
    <t>Abhishek Dharmman</t>
  </si>
  <si>
    <t>abhishek.dharmman@zupee.in</t>
  </si>
  <si>
    <t>Contractual</t>
  </si>
  <si>
    <t>vishal.agarwal@zupee.in</t>
  </si>
  <si>
    <t>Abhishek Bisht</t>
  </si>
  <si>
    <t>abhishek.bisht@zupee.in</t>
  </si>
  <si>
    <t>Software Development Engineer in Test</t>
  </si>
  <si>
    <t>sahil.puri@zupee.in</t>
  </si>
  <si>
    <t>abhishek.kumar1@zupee.in</t>
  </si>
  <si>
    <t>Contractual: Test Yantra</t>
  </si>
  <si>
    <t>abhishek.k@zupee.in</t>
  </si>
  <si>
    <t>Customer Support Executive</t>
  </si>
  <si>
    <t>mritunjay.kumar@zupee.in</t>
  </si>
  <si>
    <t>abhishek.gupta@zupee.in</t>
  </si>
  <si>
    <t>VP Engineering</t>
  </si>
  <si>
    <t>dilsher.malhi@zupee.in</t>
  </si>
  <si>
    <t>Adarsh Kumar</t>
  </si>
  <si>
    <t>adarsh.kumar@zupee.in</t>
  </si>
  <si>
    <t>+919012270979</t>
  </si>
  <si>
    <t>Software Engineer - Unity</t>
  </si>
  <si>
    <t>anuj.baghel@zupee.in</t>
  </si>
  <si>
    <t>Aditya Pathak</t>
  </si>
  <si>
    <t>aditya.pathak@zupee.in</t>
  </si>
  <si>
    <t>+917065453356</t>
  </si>
  <si>
    <t>Senior Fraud Analyst</t>
  </si>
  <si>
    <t>aman.khare@zupee.in</t>
  </si>
  <si>
    <t>Aditya Kumar Chaubey</t>
  </si>
  <si>
    <t>aditya.chaubey@zupee.in</t>
  </si>
  <si>
    <t>Aditya Rai</t>
  </si>
  <si>
    <t>aditya.rai@zupee.in</t>
  </si>
  <si>
    <t>+919677196330</t>
  </si>
  <si>
    <t>Assistant Manager-Strategy</t>
  </si>
  <si>
    <t>karan.aggarwal@zupee.in</t>
  </si>
  <si>
    <t>Aditya Jha</t>
  </si>
  <si>
    <t>aditya.jha@zupee.in</t>
  </si>
  <si>
    <t>Product Marketing Manager</t>
  </si>
  <si>
    <t>ishank.mehta@zupee.in</t>
  </si>
  <si>
    <t>Agrim Panwar</t>
  </si>
  <si>
    <t>agrim.panwar@zupee.in</t>
  </si>
  <si>
    <t>+919871947526</t>
  </si>
  <si>
    <t>Strategy Associate</t>
  </si>
  <si>
    <t>abhishek.goyal@zupee.in</t>
  </si>
  <si>
    <t>Ajay Talukdar</t>
  </si>
  <si>
    <t>ajay.talukdar@zupee.in</t>
  </si>
  <si>
    <t>aman.kumar@zupee.in</t>
  </si>
  <si>
    <t>Akanksha Anand</t>
  </si>
  <si>
    <t>akanksha.anand@zupee.in</t>
  </si>
  <si>
    <t>Associate - Content Writer</t>
  </si>
  <si>
    <t>saumil.shah@zupee.in</t>
  </si>
  <si>
    <t>Akhilesh Singh</t>
  </si>
  <si>
    <t>akhilesh.singh@zupee.in</t>
  </si>
  <si>
    <t>+917905883361</t>
  </si>
  <si>
    <t>Test Yantra</t>
  </si>
  <si>
    <t>vipul.gupta@zupee.in</t>
  </si>
  <si>
    <t>Akshata Upari</t>
  </si>
  <si>
    <t>akshata.upari@zupee.in</t>
  </si>
  <si>
    <t>Executive - Customer Experience</t>
  </si>
  <si>
    <t>Akshit Batra HR Consultant</t>
  </si>
  <si>
    <t>akshit.batra@zupee.in</t>
  </si>
  <si>
    <t>vivek.jain@zupee.in</t>
  </si>
  <si>
    <t>Aman Khare</t>
  </si>
  <si>
    <t>Manager - FRM</t>
  </si>
  <si>
    <t>sumit.yadav@zupee.in</t>
  </si>
  <si>
    <t>Amarjeet Yadav</t>
  </si>
  <si>
    <t>amarjeet.yadav@zupee.in</t>
  </si>
  <si>
    <t>+917999230378</t>
  </si>
  <si>
    <t>Senior Software Engineer</t>
  </si>
  <si>
    <t>jatin.kinra@zupee.in</t>
  </si>
  <si>
    <t>Amit Mohanta</t>
  </si>
  <si>
    <t>amit.mohanta@zupee.in</t>
  </si>
  <si>
    <t>Senior 3D Animator</t>
  </si>
  <si>
    <t>aarti.luthra@zupee.in</t>
  </si>
  <si>
    <t>Amroj Sandhu</t>
  </si>
  <si>
    <t>amroj.sandhu@zupee.in</t>
  </si>
  <si>
    <t>Engineering Manager</t>
  </si>
  <si>
    <t>aman.g@zupee.in</t>
  </si>
  <si>
    <t>Anant Upadhyaya</t>
  </si>
  <si>
    <t>anant.upadhyaya@zupee.in</t>
  </si>
  <si>
    <t>+919610353635</t>
  </si>
  <si>
    <t>Senior Data Analyst</t>
  </si>
  <si>
    <t>pankaj.gautam@zupee.in</t>
  </si>
  <si>
    <t>Anant P Barla</t>
  </si>
  <si>
    <t>anant.barla@zupee.in</t>
  </si>
  <si>
    <t>UI/UX Designer</t>
  </si>
  <si>
    <t>abhishek.srivastava@zupee.in</t>
  </si>
  <si>
    <t>Anish Agarwal</t>
  </si>
  <si>
    <t>anish.agarwal@zupee.in</t>
  </si>
  <si>
    <t>Assistant Manager - Finance</t>
  </si>
  <si>
    <t>pulkit.sehgal@zupee.in</t>
  </si>
  <si>
    <t>Anjelina Tirkey</t>
  </si>
  <si>
    <t>anjelina.tirkey@zupee.in</t>
  </si>
  <si>
    <t>Senior Manager</t>
  </si>
  <si>
    <t>ankur.a@zupee.in</t>
  </si>
  <si>
    <t>Financial Controller</t>
  </si>
  <si>
    <t>ankit.maheshwari@zupee.in</t>
  </si>
  <si>
    <t>Ankush Gupta</t>
  </si>
  <si>
    <t>ankush.gupta@zupee.in</t>
  </si>
  <si>
    <t>suryanshu.shekhar@zupee.in</t>
  </si>
  <si>
    <t>Anubhav Pandey</t>
  </si>
  <si>
    <t>anubhav.pandey@zupee.in</t>
  </si>
  <si>
    <t>+919887852990</t>
  </si>
  <si>
    <t>Team Leader - FRM</t>
  </si>
  <si>
    <t>Anuj Gupta</t>
  </si>
  <si>
    <t>anuj.gupta@zupee.in</t>
  </si>
  <si>
    <t>+917503624202</t>
  </si>
  <si>
    <t>Quality Assurance Engineer - 2</t>
  </si>
  <si>
    <t>pranav.jaradi@zupee.in</t>
  </si>
  <si>
    <t>Anuradha Sharma</t>
  </si>
  <si>
    <t>anuradha.sharma@zupee.in</t>
  </si>
  <si>
    <t>Customer Service Associate</t>
  </si>
  <si>
    <t>-</t>
  </si>
  <si>
    <t>Anurag Dwivedi</t>
  </si>
  <si>
    <t>anurag.dwivedi@zupee.in</t>
  </si>
  <si>
    <t>Anushka Murgudkar</t>
  </si>
  <si>
    <t>anushka.murgudkar@zupee.in</t>
  </si>
  <si>
    <t>Tech</t>
  </si>
  <si>
    <t>Apoorv Mathur</t>
  </si>
  <si>
    <t>apoorv.mathur@zupee.in</t>
  </si>
  <si>
    <t>+919458260880</t>
  </si>
  <si>
    <t>Lead Data Engineer</t>
  </si>
  <si>
    <t>Aradhana choudhary</t>
  </si>
  <si>
    <t>aradhana.choudhary@zupee.in</t>
  </si>
  <si>
    <t>CRM HRO</t>
  </si>
  <si>
    <t>mrityunjay.k@zupee.in</t>
  </si>
  <si>
    <t>Arpit Rathore</t>
  </si>
  <si>
    <t>arpit.rathore@zupee.in</t>
  </si>
  <si>
    <t>Sr. Quality Analyst</t>
  </si>
  <si>
    <t>shiwani.pokhriyal@zupee.in</t>
  </si>
  <si>
    <t>Arsalan Abbasi</t>
  </si>
  <si>
    <t>arsalan.abbasi@zupee.in</t>
  </si>
  <si>
    <t>Associate- Digital Marketing</t>
  </si>
  <si>
    <t>Arushi Patni</t>
  </si>
  <si>
    <t>arushi.patni@zupee.in</t>
  </si>
  <si>
    <t>AM-Business Finance</t>
  </si>
  <si>
    <t>shashank.gupta@zupee.in</t>
  </si>
  <si>
    <t>Arvind Kumar Gupta</t>
  </si>
  <si>
    <t>arvind.gupta@zupee.in</t>
  </si>
  <si>
    <t>Senior Manager - Media</t>
  </si>
  <si>
    <t>Atharv Dinesh Bende</t>
  </si>
  <si>
    <t>atharv.bende@zupee.in</t>
  </si>
  <si>
    <t>Atiullaha Siddiqui</t>
  </si>
  <si>
    <t>atiullaha.siddiqui@zupee.in</t>
  </si>
  <si>
    <t>Fraud Analyst</t>
  </si>
  <si>
    <t>Atul Kumar Sangwan</t>
  </si>
  <si>
    <t>atul.sangwan@zupee.in</t>
  </si>
  <si>
    <t>Relationship Manager</t>
  </si>
  <si>
    <t>shivam.bali@zupee.in</t>
  </si>
  <si>
    <t>As per mail Confirmation we have decativate the mail ID</t>
  </si>
  <si>
    <t>Ayan Pathan</t>
  </si>
  <si>
    <t>ayan.pathan@zupee.in</t>
  </si>
  <si>
    <t>Jindal</t>
  </si>
  <si>
    <t>mohini.bhardwaj@zupee.in</t>
  </si>
  <si>
    <t>Ayush Singhal</t>
  </si>
  <si>
    <t>ayush.singhal@zupee.in</t>
  </si>
  <si>
    <t>+918950022186</t>
  </si>
  <si>
    <t>Quality Assurance Engineer - 1</t>
  </si>
  <si>
    <t>divya.koundal@zupee.in</t>
  </si>
  <si>
    <t>ayush.k@zupee.in</t>
  </si>
  <si>
    <t>Software Engineer Intern</t>
  </si>
  <si>
    <t>shivam.sharma@zupee.in</t>
  </si>
  <si>
    <t>Ayushi Sharma</t>
  </si>
  <si>
    <t>ayushi.sharma@zupee.in</t>
  </si>
  <si>
    <t>+917348803275</t>
  </si>
  <si>
    <t>Bal Sikandar</t>
  </si>
  <si>
    <t>Technical Lead - iOS</t>
  </si>
  <si>
    <t>anshul.mittal@zupee.in</t>
  </si>
  <si>
    <t>Baljinder Kaur</t>
  </si>
  <si>
    <t>baljinder.kaur@zupee.in</t>
  </si>
  <si>
    <t>Product Manager</t>
  </si>
  <si>
    <t>naveen.kadyan@zupee.in</t>
  </si>
  <si>
    <t>Banta Singh</t>
  </si>
  <si>
    <t>banta.singh@zupee.in</t>
  </si>
  <si>
    <t>Sr. Executive - Customer Experience</t>
  </si>
  <si>
    <t>divya.khare@zupee.in</t>
  </si>
  <si>
    <t>Bhanu Pratap</t>
  </si>
  <si>
    <t>bhanu.pratap@zupee.in</t>
  </si>
  <si>
    <t>Bharti Rani</t>
  </si>
  <si>
    <t>bharti.rani@zupee.in</t>
  </si>
  <si>
    <t>Bhoomika Arora</t>
  </si>
  <si>
    <t>bhoomika.arora@zupee.in</t>
  </si>
  <si>
    <t>Bikash Kumar Jha</t>
  </si>
  <si>
    <t>bikash.jha@zupee.in</t>
  </si>
  <si>
    <t>Bishan Bhadra</t>
  </si>
  <si>
    <t>bishan.bhadra@zupee.in</t>
  </si>
  <si>
    <t>Manager- Data Analytics</t>
  </si>
  <si>
    <t>raman.malik@zupee.in</t>
  </si>
  <si>
    <t>Biswajit Dey</t>
  </si>
  <si>
    <t>biswajit.dey@zupee.in</t>
  </si>
  <si>
    <t>+919920370131</t>
  </si>
  <si>
    <t>Community Growth Manager</t>
  </si>
  <si>
    <t>khushali.bagga@zupee.in</t>
  </si>
  <si>
    <t>Chaitanya Kapoor</t>
  </si>
  <si>
    <t>chaitanya.kapoor@zupee.in</t>
  </si>
  <si>
    <t>Lead Data Analyst</t>
  </si>
  <si>
    <t>Daksh Tyagi</t>
  </si>
  <si>
    <t>daksh.tyagi@zupee.in</t>
  </si>
  <si>
    <t>Head of Government Relations</t>
  </si>
  <si>
    <t>thomas.phillippe@zupee.in</t>
  </si>
  <si>
    <t>Deep Dwivedi</t>
  </si>
  <si>
    <t>deep.dwivedi@zupee.in</t>
  </si>
  <si>
    <t>+918971800272</t>
  </si>
  <si>
    <t>Director- Data Science</t>
  </si>
  <si>
    <t>sairam.mushyam@zupee.in</t>
  </si>
  <si>
    <t>Deepak Singh Rawat</t>
  </si>
  <si>
    <t>deepak.rawat@zupee.in</t>
  </si>
  <si>
    <t>Process Trainer - CRM</t>
  </si>
  <si>
    <t>Deeplata Singh</t>
  </si>
  <si>
    <t>deeplata.singh@zupee.in</t>
  </si>
  <si>
    <t>Senior Executive- Customer Experience</t>
  </si>
  <si>
    <t>Dev Peshawari</t>
  </si>
  <si>
    <t>dev.peshawari@zupee.in</t>
  </si>
  <si>
    <t>Dev Gupta</t>
  </si>
  <si>
    <t>dev.gupta@zupee.in</t>
  </si>
  <si>
    <t>Dhanishtha Bansal</t>
  </si>
  <si>
    <t>dhanishtha.bansal@zupee.in</t>
  </si>
  <si>
    <t>Software Development Engineer 2</t>
  </si>
  <si>
    <t>Diksha Verma</t>
  </si>
  <si>
    <t>diksha.verma@zupee.in</t>
  </si>
  <si>
    <t>Divang Singh</t>
  </si>
  <si>
    <t>divang.singh@zupee.in</t>
  </si>
  <si>
    <t>Divij Bhola</t>
  </si>
  <si>
    <t>divij.bhola@zupee.in</t>
  </si>
  <si>
    <t>Sr.Software Engineer-Android</t>
  </si>
  <si>
    <t>rohit.saini@zupee.in</t>
  </si>
  <si>
    <t>Divya Dhiman</t>
  </si>
  <si>
    <t>divya.dhiman@zupee.in</t>
  </si>
  <si>
    <t>Team Leader</t>
  </si>
  <si>
    <t>Divyansh Singh</t>
  </si>
  <si>
    <t>divyansh.singh@zupee.in</t>
  </si>
  <si>
    <t>Software Engineer- DevOps</t>
  </si>
  <si>
    <t>Gargi Singh Bhadu</t>
  </si>
  <si>
    <t>gargi.bhadu@zupee.in</t>
  </si>
  <si>
    <t>Intern</t>
  </si>
  <si>
    <t>Brand Marketing Intern</t>
  </si>
  <si>
    <t>Gaurav Midda</t>
  </si>
  <si>
    <t>gaurav.midda@zupee.in</t>
  </si>
  <si>
    <t>Gauri Menghani</t>
  </si>
  <si>
    <t>gauri.menghani@zupee.in</t>
  </si>
  <si>
    <t>Quality Analyst</t>
  </si>
  <si>
    <t>Goldee Arora</t>
  </si>
  <si>
    <t>goldee.arora@zupee.in</t>
  </si>
  <si>
    <t>Gulshan Varshney</t>
  </si>
  <si>
    <t>gulshan.varshney@zupee.in</t>
  </si>
  <si>
    <t>Gunn Bhargava</t>
  </si>
  <si>
    <t>gunn.bhargava@zupee.in</t>
  </si>
  <si>
    <t>Procurement Intern</t>
  </si>
  <si>
    <t>siddharth.monga@zupee.in</t>
  </si>
  <si>
    <t>Gurchetan Singh</t>
  </si>
  <si>
    <t>gurchetan.singh@zupee.in</t>
  </si>
  <si>
    <t>Senior Data Scientist</t>
  </si>
  <si>
    <t>Harkirat Singh</t>
  </si>
  <si>
    <t>harkirat.singh@zupee.in</t>
  </si>
  <si>
    <t>+918872446815</t>
  </si>
  <si>
    <t>Harsh Raghuvanshi</t>
  </si>
  <si>
    <t>harsh.raghuvanshi@zupee.in</t>
  </si>
  <si>
    <t>+918882247118</t>
  </si>
  <si>
    <t>satya.vart@zupee.in</t>
  </si>
  <si>
    <t>Harsh Anand</t>
  </si>
  <si>
    <t>harsh.anand@zupee.in</t>
  </si>
  <si>
    <t>+919717007291</t>
  </si>
  <si>
    <t>Data Scientist</t>
  </si>
  <si>
    <t>Harsh Yadav</t>
  </si>
  <si>
    <t>harsh.yadav@zupee.in</t>
  </si>
  <si>
    <t>Harsh Mehta</t>
  </si>
  <si>
    <t>harsh.m@zupee.in</t>
  </si>
  <si>
    <t>Harsh ratwaya</t>
  </si>
  <si>
    <t>harsh.ratwaya@zupee.in</t>
  </si>
  <si>
    <t>9-Jul-2025 last working day was 17 jun but confirmation received from HR on 9/july</t>
  </si>
  <si>
    <t>Harsh Thaplyal</t>
  </si>
  <si>
    <t>harsh.thaplyal@zupee.in</t>
  </si>
  <si>
    <t>Harsha Nanwani</t>
  </si>
  <si>
    <t>harsha.nanwani@zupee.in</t>
  </si>
  <si>
    <t>+917692882186</t>
  </si>
  <si>
    <t>Senior Associate- Talent Acquisition</t>
  </si>
  <si>
    <t>m.sangeetha@zupee.in</t>
  </si>
  <si>
    <t>Hemant Dandotiya</t>
  </si>
  <si>
    <t>hemant.dandotiya@zupee.in</t>
  </si>
  <si>
    <t>+918800327796</t>
  </si>
  <si>
    <t>Senior 3D Game Artist</t>
  </si>
  <si>
    <t>Himanshu Solanki</t>
  </si>
  <si>
    <t>himanshu.solanki@zupee.in</t>
  </si>
  <si>
    <t>Senior Associate-Digital Marketing</t>
  </si>
  <si>
    <t>ritwika.rai@zupee.in</t>
  </si>
  <si>
    <t>Himanshu Sharma</t>
  </si>
  <si>
    <t>himanshu.sharma@zupee.in</t>
  </si>
  <si>
    <t>+919650818290</t>
  </si>
  <si>
    <t>Senior Associate � Graphic Designer</t>
  </si>
  <si>
    <t>akshit.sharma@zupee.in</t>
  </si>
  <si>
    <t>Hitesh Kwatra</t>
  </si>
  <si>
    <t>hitesh.kwatra@zupee.in</t>
  </si>
  <si>
    <t>amit.garg@zupee.in</t>
  </si>
  <si>
    <t>Hritik Garg</t>
  </si>
  <si>
    <t>hritik.garg@zupee.in</t>
  </si>
  <si>
    <t>Data Analyst</t>
  </si>
  <si>
    <t>Iqra Islam</t>
  </si>
  <si>
    <t>iqra.islam@zupee.in</t>
  </si>
  <si>
    <t>Ishpreet Singh</t>
  </si>
  <si>
    <t>ishpreet.singh@zupee.in</t>
  </si>
  <si>
    <t>Iteshree Ipsita</t>
  </si>
  <si>
    <t>iteshree.ipsita@zupee.in</t>
  </si>
  <si>
    <t>Janvi Rajpoot</t>
  </si>
  <si>
    <t>janvi.rajpoot@zupee.in</t>
  </si>
  <si>
    <t>Jasleen Kaur</t>
  </si>
  <si>
    <t>jasleen.kaur@zupee.in</t>
  </si>
  <si>
    <t>Jeevan Kumar Singla</t>
  </si>
  <si>
    <t>jeevan.singla@zupee.in</t>
  </si>
  <si>
    <t>Senior Software Engineer- Unity</t>
  </si>
  <si>
    <t>Jitendra Rawat</t>
  </si>
  <si>
    <t>jitendra.rawat@zupee.in</t>
  </si>
  <si>
    <t>Senior Manager- Digital Marketing</t>
  </si>
  <si>
    <t>nishant.jaiswal@zupee.in</t>
  </si>
  <si>
    <t>Jitesh Suneja</t>
  </si>
  <si>
    <t>jitesh.suneja@zupee.in</t>
  </si>
  <si>
    <t>+918588822320</t>
  </si>
  <si>
    <t>Manager- Taxation</t>
  </si>
  <si>
    <t>rahul.satija@zupee.in</t>
  </si>
  <si>
    <t>Jyoti Singh</t>
  </si>
  <si>
    <t>jyoti.singh@zupee.in</t>
  </si>
  <si>
    <t>Kailash Lalta</t>
  </si>
  <si>
    <t>kailash.lalta@zupee.in</t>
  </si>
  <si>
    <t>+919882223818</t>
  </si>
  <si>
    <t>Kailash Chand</t>
  </si>
  <si>
    <t>kailash.chand@zupee.in</t>
  </si>
  <si>
    <t>Assistant Manager - Taxation</t>
  </si>
  <si>
    <t>Karan Goyal</t>
  </si>
  <si>
    <t>karan.goyal@zupee.in</t>
  </si>
  <si>
    <t>Product management Intern</t>
  </si>
  <si>
    <t>maneesha.negi@zupee.in</t>
  </si>
  <si>
    <t>Karan Aggarwal</t>
  </si>
  <si>
    <t>Director - Revenue and Growth</t>
  </si>
  <si>
    <t>Kashish Nagpal</t>
  </si>
  <si>
    <t>kashish.nagpal@zupee.in</t>
  </si>
  <si>
    <t>Customer Success Executive (HRO)</t>
  </si>
  <si>
    <t>Kashish Rathore</t>
  </si>
  <si>
    <t>kashish.rathore@zupee.in</t>
  </si>
  <si>
    <t>Keshav Khatri</t>
  </si>
  <si>
    <t>keshav.khatri@zupee.in</t>
  </si>
  <si>
    <t>+917737040690</t>
  </si>
  <si>
    <t>Manager - Procurement</t>
  </si>
  <si>
    <t>hitesh.vats@zupee.in</t>
  </si>
  <si>
    <t>Khushboo Chopra</t>
  </si>
  <si>
    <t>khushboo.chopra@zupee.in</t>
  </si>
  <si>
    <t>Senior Manager � Brand Marketing</t>
  </si>
  <si>
    <t>Khushboo Yadav</t>
  </si>
  <si>
    <t>khushboo.yadav@zupee.in</t>
  </si>
  <si>
    <t>Kirtesh Paliwal</t>
  </si>
  <si>
    <t>kirtesh.paliwal@zupee.in</t>
  </si>
  <si>
    <t>Contractual: Deqode</t>
  </si>
  <si>
    <t>Kishan Singh</t>
  </si>
  <si>
    <t>kishan.singh@zupee.in</t>
  </si>
  <si>
    <t>KS Chetan</t>
  </si>
  <si>
    <t>ks.chetan@zupee.in</t>
  </si>
  <si>
    <t>+919353881749</t>
  </si>
  <si>
    <t>Lakshya Jain</t>
  </si>
  <si>
    <t>lakshya.jain@zupee.in</t>
  </si>
  <si>
    <t>+919521413919</t>
  </si>
  <si>
    <t>eeshma.anand@zupee.in</t>
  </si>
  <si>
    <t>Lalit Jadli</t>
  </si>
  <si>
    <t>lalit.jadli@zupee.in</t>
  </si>
  <si>
    <t>sanjeev.kumar@zupee.in</t>
  </si>
  <si>
    <t>Lokesh Gawande</t>
  </si>
  <si>
    <t>lokesh.gawande@zupee.in</t>
  </si>
  <si>
    <t>+918827467326</t>
  </si>
  <si>
    <t>Lucky Singh - Jindal</t>
  </si>
  <si>
    <t>lucky.singh@zupee.in</t>
  </si>
  <si>
    <t>Madhurika Nayak</t>
  </si>
  <si>
    <t>madhurika.nayak@zupee.in</t>
  </si>
  <si>
    <t>Mamta Pandey</t>
  </si>
  <si>
    <t>mamta.pandey@zupee.in</t>
  </si>
  <si>
    <t>Senior Associate - Talent Acquisition</t>
  </si>
  <si>
    <t>rajneesh.yadav@zupee.in</t>
  </si>
  <si>
    <t>Manas Singh</t>
  </si>
  <si>
    <t>manas.singh@zupee.in</t>
  </si>
  <si>
    <t>Manjot Juyal</t>
  </si>
  <si>
    <t>manjot.juyal@zupee.in</t>
  </si>
  <si>
    <t>Associate Director- Brand Marketing</t>
  </si>
  <si>
    <t>Manoj M</t>
  </si>
  <si>
    <t>manoj.m@zupee.in</t>
  </si>
  <si>
    <t>Mayank Goyal</t>
  </si>
  <si>
    <t>mayank.goyal@zupee.in</t>
  </si>
  <si>
    <t>Finance Analyst</t>
  </si>
  <si>
    <t>Mayank Kumar</t>
  </si>
  <si>
    <t>mayank.kumar@zupee.in</t>
  </si>
  <si>
    <t>+918471083566</t>
  </si>
  <si>
    <t>Technical Lead</t>
  </si>
  <si>
    <t>Mayank Kakkar</t>
  </si>
  <si>
    <t>mayank.kakkar@zupee.in</t>
  </si>
  <si>
    <t>Software Engineer Trainee</t>
  </si>
  <si>
    <t>narender.tyagi@zupee.in</t>
  </si>
  <si>
    <t>Md Neyaz</t>
  </si>
  <si>
    <t>md.neyaz@zupee.in</t>
  </si>
  <si>
    <t>+919163044287</t>
  </si>
  <si>
    <t>Md Sameer Alam</t>
  </si>
  <si>
    <t>sameer.alam@zupee.in</t>
  </si>
  <si>
    <t>Meenu Gupta</t>
  </si>
  <si>
    <t>meenu.gupta@zupee.in</t>
  </si>
  <si>
    <t>Mohammed Nayeem</t>
  </si>
  <si>
    <t>mohammed.nayeem@zupee.in</t>
  </si>
  <si>
    <t>Senior Creative Designer</t>
  </si>
  <si>
    <t>Mohd Mohiuddin Khan</t>
  </si>
  <si>
    <t>mohd.khan@zupee.in</t>
  </si>
  <si>
    <t>Mohd Ghufran Ansari</t>
  </si>
  <si>
    <t>mohd.ghufran@zupee.in</t>
  </si>
  <si>
    <t>Lead - Business intelligence</t>
  </si>
  <si>
    <t>saurabh.khurana@zupee.in</t>
  </si>
  <si>
    <t>Mohini Lal</t>
  </si>
  <si>
    <t>mohini.lal@zupee.in</t>
  </si>
  <si>
    <t>Contract: Programming</t>
  </si>
  <si>
    <t>Mohini Bhardwaj</t>
  </si>
  <si>
    <t>Senior Manager � Customer Experience</t>
  </si>
  <si>
    <t>Mohit Tanwar</t>
  </si>
  <si>
    <t>mohit.tanwar@zupee.in</t>
  </si>
  <si>
    <t>Mohit Choudhary</t>
  </si>
  <si>
    <t>mohit.choudhary@zupee.in</t>
  </si>
  <si>
    <t>Mohit kumar</t>
  </si>
  <si>
    <t>mohit.kumar@zupee.in</t>
  </si>
  <si>
    <t>+918076568233</t>
  </si>
  <si>
    <t>Mritunjay Kumar</t>
  </si>
  <si>
    <t>+919999221098</t>
  </si>
  <si>
    <t>Associate Manager</t>
  </si>
  <si>
    <t>Mudit Jain</t>
  </si>
  <si>
    <t>mudit.jain@zupee.in</t>
  </si>
  <si>
    <t>Mukul Chaudhary</t>
  </si>
  <si>
    <t>mukul.chaudhary@zupee.in</t>
  </si>
  <si>
    <t>Senior Motion Graphic Designer.</t>
  </si>
  <si>
    <t>Munnu Kumar</t>
  </si>
  <si>
    <t>munnu.kumar@zupee.in</t>
  </si>
  <si>
    <t>Software Development Engineer 3</t>
  </si>
  <si>
    <t>Muskan Khan - Jindal</t>
  </si>
  <si>
    <t>muskan.khan@zupee.in</t>
  </si>
  <si>
    <t>CRM</t>
  </si>
  <si>
    <t>Naman Vijay</t>
  </si>
  <si>
    <t>naman.vijay@zupee.in</t>
  </si>
  <si>
    <t>+917340333828</t>
  </si>
  <si>
    <t>Naman Khandelwal</t>
  </si>
  <si>
    <t>naman.khandelwal@zupee.in</t>
  </si>
  <si>
    <t>Nasir Ali</t>
  </si>
  <si>
    <t>nasir.ali@zupee.in</t>
  </si>
  <si>
    <t>deepak.khandelwal@zupee.in</t>
  </si>
  <si>
    <t>Naveen Yadav</t>
  </si>
  <si>
    <t>naveen.yadav@zupee.in</t>
  </si>
  <si>
    <t>+919205568805</t>
  </si>
  <si>
    <t>Naveen Sangepu</t>
  </si>
  <si>
    <t>naveen.sangepu@zupee.in</t>
  </si>
  <si>
    <t>+918688998064</t>
  </si>
  <si>
    <t>piyush.shukla@zupee.in</t>
  </si>
  <si>
    <t>Naveen Kumar</t>
  </si>
  <si>
    <t>naveen.k@zupee.in</t>
  </si>
  <si>
    <t>+919873223404</t>
  </si>
  <si>
    <t>Associate Manager - IT Infra</t>
  </si>
  <si>
    <t>rajkumar.singh@zupee.in</t>
  </si>
  <si>
    <t>Neha Sharma</t>
  </si>
  <si>
    <t>neha.sharma@zupee.in</t>
  </si>
  <si>
    <t>+919981074915</t>
  </si>
  <si>
    <t>Nidhi Khedekar</t>
  </si>
  <si>
    <t>nidhi.khedekar@zupee.in</t>
  </si>
  <si>
    <t>Senior Executive</t>
  </si>
  <si>
    <t>Nikhil Sharma</t>
  </si>
  <si>
    <t>nikhil.sharma@zupee.in</t>
  </si>
  <si>
    <t>Nikhil Kansotia</t>
  </si>
  <si>
    <t>nikhil.kansotia@zupee.in</t>
  </si>
  <si>
    <t>Nikhil Kumar</t>
  </si>
  <si>
    <t>nikhil.kumar@zupee.in</t>
  </si>
  <si>
    <t>Nikita Mantri</t>
  </si>
  <si>
    <t>nikita.mantri@zupee.in</t>
  </si>
  <si>
    <t>Senior Brand Manager</t>
  </si>
  <si>
    <t>Nishant Tripathi</t>
  </si>
  <si>
    <t>nishant.tripathi@zupee.in</t>
  </si>
  <si>
    <t>Executive</t>
  </si>
  <si>
    <t>pratyaksh.rawat@zupee.in</t>
  </si>
  <si>
    <t>Nitin Kaplas</t>
  </si>
  <si>
    <t>nitin.kaplas@zupee.in</t>
  </si>
  <si>
    <t>Pankaj Pankaj</t>
  </si>
  <si>
    <t>pankaj.pankaj@zupee.in</t>
  </si>
  <si>
    <t>Pankaj Rana</t>
  </si>
  <si>
    <t>pankaj.rana@zupee.in</t>
  </si>
  <si>
    <t>Pankaj Garg</t>
  </si>
  <si>
    <t>pankaj.garg@zupee.in</t>
  </si>
  <si>
    <t>Pawan Kumar Sarswat</t>
  </si>
  <si>
    <t>pawan.sarswat@zupee.in</t>
  </si>
  <si>
    <t>Piyush Kumar</t>
  </si>
  <si>
    <t>piyush.kumar@zupee.in</t>
  </si>
  <si>
    <t>piyush.b@zupee.in</t>
  </si>
  <si>
    <t>Pooja Lunia</t>
  </si>
  <si>
    <t>pooja.lunia@zupee.in</t>
  </si>
  <si>
    <t>Senior Manager- Consumer Insight</t>
  </si>
  <si>
    <t>Pooja Kumari</t>
  </si>
  <si>
    <t>pooja.kumari@zupee.in</t>
  </si>
  <si>
    <t>Prachi Kabthiyal</t>
  </si>
  <si>
    <t>prachi.kabthiyal@zupee.in</t>
  </si>
  <si>
    <t>P R &amp; Corporate Comms</t>
  </si>
  <si>
    <t>+919890179987</t>
  </si>
  <si>
    <t>Manager - Public relations</t>
  </si>
  <si>
    <t>amrit.anand@zupee.in</t>
  </si>
  <si>
    <t>Pragya Singh</t>
  </si>
  <si>
    <t>pragya.singh@zupee.in</t>
  </si>
  <si>
    <t>+917905611649</t>
  </si>
  <si>
    <t>Pranjal Saxena</t>
  </si>
  <si>
    <t>pranjal.saxena@zupee.in</t>
  </si>
  <si>
    <t>+918791713443</t>
  </si>
  <si>
    <t>Pranjay Dhamija</t>
  </si>
  <si>
    <t>pranjay.dhamija@zupee.in</t>
  </si>
  <si>
    <t>Prashant Jha</t>
  </si>
  <si>
    <t>prashant.jha@zupee.in</t>
  </si>
  <si>
    <t>Preeti Singh</t>
  </si>
  <si>
    <t>preeti.singh@zupee.in</t>
  </si>
  <si>
    <t>+919811452061</t>
  </si>
  <si>
    <t>Senior Advisor - Public Policy</t>
  </si>
  <si>
    <t>govind.mittal@zupee.in</t>
  </si>
  <si>
    <t>As per HR confirmation we have reactivated the mail ID</t>
  </si>
  <si>
    <t>Prerna Sharma</t>
  </si>
  <si>
    <t>prerna.sharma@zupee.in</t>
  </si>
  <si>
    <t>ankit.wadhwa@zupee.in</t>
  </si>
  <si>
    <t>Pritesh Kumar</t>
  </si>
  <si>
    <t>pritesh.kumar@zupee.in</t>
  </si>
  <si>
    <t>Priyanka Tiwari - Jindal</t>
  </si>
  <si>
    <t>priyanka.tiwari@zupee.in</t>
  </si>
  <si>
    <t>Priyansh Gupta</t>
  </si>
  <si>
    <t>priyansh.gupta@zupee.in</t>
  </si>
  <si>
    <t>+919352410818</t>
  </si>
  <si>
    <t>Pulkit Sehgal</t>
  </si>
  <si>
    <t>+918595233273</t>
  </si>
  <si>
    <t>Purodha Singh</t>
  </si>
  <si>
    <t>purodha.singh@zupee.in</t>
  </si>
  <si>
    <t>+917827559600</t>
  </si>
  <si>
    <t>Senior Manager-Business Finance</t>
  </si>
  <si>
    <t>Raghav Maheshwari</t>
  </si>
  <si>
    <t>raghav.maheshwari@zupee.in</t>
  </si>
  <si>
    <t>+919582386283</t>
  </si>
  <si>
    <t>Senior Manager - Strategy</t>
  </si>
  <si>
    <t>Raghavv M Garg</t>
  </si>
  <si>
    <t>raghavv.garg@zupee.in</t>
  </si>
  <si>
    <t>Founder's Office Intern</t>
  </si>
  <si>
    <t>Rahil Choudhary</t>
  </si>
  <si>
    <t>rahil.choudhary@zupee.in</t>
  </si>
  <si>
    <t>Rahul Kundu</t>
  </si>
  <si>
    <t>rahul.kundu@zupee.in</t>
  </si>
  <si>
    <t>Rahul Yadav</t>
  </si>
  <si>
    <t>rahul.yadav@zupee.in</t>
  </si>
  <si>
    <t>User rejoin (we have activate the mail ID as per mail )</t>
  </si>
  <si>
    <t>Rahul Prasad Suman</t>
  </si>
  <si>
    <t>rahul.suman@zupee.in</t>
  </si>
  <si>
    <t>Assistant Manager- IT</t>
  </si>
  <si>
    <t>Rahul Sharma</t>
  </si>
  <si>
    <t>rahul.s@zupee.in</t>
  </si>
  <si>
    <t>+919266653647</t>
  </si>
  <si>
    <t>Senior Executive - HR Operation</t>
  </si>
  <si>
    <t>Rahul Shukla</t>
  </si>
  <si>
    <t>rahul.shukla@zupee.in</t>
  </si>
  <si>
    <t>Rahul Jaat</t>
  </si>
  <si>
    <t>rahul.jaat@zupee.in</t>
  </si>
  <si>
    <t>+917529030199</t>
  </si>
  <si>
    <t>Rahul Saini</t>
  </si>
  <si>
    <t>rahul.saini@zupee.in</t>
  </si>
  <si>
    <t>Executive-Quality Auditor</t>
  </si>
  <si>
    <t>Rahul Thakur</t>
  </si>
  <si>
    <t>rahul.thakur@zupee.in</t>
  </si>
  <si>
    <t>SME - CRM</t>
  </si>
  <si>
    <t>Rajiv Yadav</t>
  </si>
  <si>
    <t>rajiv.yadav@zupee.in</t>
  </si>
  <si>
    <t>Raman Dixit</t>
  </si>
  <si>
    <t>raman.dixit@zupee.in</t>
  </si>
  <si>
    <t>Software Engineer - Android</t>
  </si>
  <si>
    <t>aman.gupta@zupee.in</t>
  </si>
  <si>
    <t>Ramendra Singh</t>
  </si>
  <si>
    <t>ramendra.singh@zupee.in</t>
  </si>
  <si>
    <t>Rashmi Navale</t>
  </si>
  <si>
    <t>rashmi.navale@zupee.in</t>
  </si>
  <si>
    <t>Raushan Thakur</t>
  </si>
  <si>
    <t>raushan.thakur@zupee.in</t>
  </si>
  <si>
    <t>+919511874042</t>
  </si>
  <si>
    <t>Ravi Kumar</t>
  </si>
  <si>
    <t>ravi.kumar@zupee.in</t>
  </si>
  <si>
    <t>Ravneet Kaur</t>
  </si>
  <si>
    <t>ravneet.kaur@zupee.in</t>
  </si>
  <si>
    <t>suvra.das@zupee.in</t>
  </si>
  <si>
    <t>Rhythm Jain</t>
  </si>
  <si>
    <t>rhythm.jain@zupee.in</t>
  </si>
  <si>
    <t>Richa Sharma</t>
  </si>
  <si>
    <t>richa.s@zupee.in</t>
  </si>
  <si>
    <t>Rijul Sehgal</t>
  </si>
  <si>
    <t>rijul.sehgal@zupee.in</t>
  </si>
  <si>
    <t>+919953987225</t>
  </si>
  <si>
    <t>Executive Producer</t>
  </si>
  <si>
    <t>Rishabh Solanki</t>
  </si>
  <si>
    <t>rishabh.solanki@zupee.in</t>
  </si>
  <si>
    <t>mail deleted on the jc on 16-july-2025</t>
  </si>
  <si>
    <t>Ritesh Gupta</t>
  </si>
  <si>
    <t>ritesh.gupta@zupee.in</t>
  </si>
  <si>
    <t>Ritik Kumar</t>
  </si>
  <si>
    <t>ritik.kumar@zupee.in</t>
  </si>
  <si>
    <t>+918171740440</t>
  </si>
  <si>
    <t>Ritwika Maitra</t>
  </si>
  <si>
    <t>Manager - Performance Marketing</t>
  </si>
  <si>
    <t>Ritwika Rai</t>
  </si>
  <si>
    <t>+917038405006</t>
  </si>
  <si>
    <t>Rohit Sahni</t>
  </si>
  <si>
    <t>rohit.sahni@zupee.in</t>
  </si>
  <si>
    <t>Rohit Chhabra</t>
  </si>
  <si>
    <t>rohit.chhabra@zupee.in</t>
  </si>
  <si>
    <t>+918802343972</t>
  </si>
  <si>
    <t>using By Hitesh Vats, appv by Raj on Slack</t>
  </si>
  <si>
    <t>Rohit Raj</t>
  </si>
  <si>
    <t>rohit.raj@zupee.in</t>
  </si>
  <si>
    <t>Roma Mehta</t>
  </si>
  <si>
    <t>roma.mehta@zupee.in</t>
  </si>
  <si>
    <t>Senior Executive- IT Operations</t>
  </si>
  <si>
    <t>Saaksshi Makkar</t>
  </si>
  <si>
    <t>saaksshi.makkar@zupee.in</t>
  </si>
  <si>
    <t>Associate Director- Product Management</t>
  </si>
  <si>
    <t>Sagar Kumar Tekriwal - Jindal</t>
  </si>
  <si>
    <t>sagar.tekriwal@zupee.in</t>
  </si>
  <si>
    <t>Sagar Saini</t>
  </si>
  <si>
    <t>sagar.saini@zupee.in</t>
  </si>
  <si>
    <t>Sahil Singh</t>
  </si>
  <si>
    <t>sahil.singh@zupee.in</t>
  </si>
  <si>
    <t>Innovation</t>
  </si>
  <si>
    <t>aman.kumar2@zupee.in</t>
  </si>
  <si>
    <t>Sameer Negi</t>
  </si>
  <si>
    <t>sameer.negi@zupee.in</t>
  </si>
  <si>
    <t>Contractual Ogma</t>
  </si>
  <si>
    <t>Sameer Abbasi</t>
  </si>
  <si>
    <t>sameer.abbasi@zupee.in</t>
  </si>
  <si>
    <t>Samir Halder ( External )</t>
  </si>
  <si>
    <t>samir.halder@zupee.in</t>
  </si>
  <si>
    <t>Sanjana Bhardwaj</t>
  </si>
  <si>
    <t>sanjana.bhardwaj@zupee.in</t>
  </si>
  <si>
    <t>Sanjeev Kumar</t>
  </si>
  <si>
    <t>+919570825046</t>
  </si>
  <si>
    <t>Team Leader - CRM</t>
  </si>
  <si>
    <t>Sanket Jain</t>
  </si>
  <si>
    <t>sanket.jain@zupee.in</t>
  </si>
  <si>
    <t>Manager</t>
  </si>
  <si>
    <t>Saravana Kumar</t>
  </si>
  <si>
    <t>saravana.kumar@zupee.in</t>
  </si>
  <si>
    <t>Associate Product Manager</t>
  </si>
  <si>
    <t>Sarthak Jain</t>
  </si>
  <si>
    <t>sarthak.jain@zupee.in</t>
  </si>
  <si>
    <t>Finance Controller</t>
  </si>
  <si>
    <t>Satish Kumar</t>
  </si>
  <si>
    <t>satish.kumar@zupee.in</t>
  </si>
  <si>
    <t>+917644984079</t>
  </si>
  <si>
    <t>Software Test Engineer</t>
  </si>
  <si>
    <t>Satya Vart</t>
  </si>
  <si>
    <t>Saumya Ranjan Behera</t>
  </si>
  <si>
    <t>saumya.behera@zupee.in</t>
  </si>
  <si>
    <t>Saurav Garg</t>
  </si>
  <si>
    <t>saurav.garg@zupee.in</t>
  </si>
  <si>
    <t>Sayanika Nandi</t>
  </si>
  <si>
    <t>sayanika.nandi@zupee.in</t>
  </si>
  <si>
    <t>Shambhavi Khare</t>
  </si>
  <si>
    <t>shambhavi.khare@zupee.in</t>
  </si>
  <si>
    <t>Sheshant Sinha</t>
  </si>
  <si>
    <t>sheshant.sinha@zupee.in</t>
  </si>
  <si>
    <t>sumit.singh@zupee.in</t>
  </si>
  <si>
    <t>Shitiza Arora</t>
  </si>
  <si>
    <t>shitiza.arora@zupee.in</t>
  </si>
  <si>
    <t>+917042432283</t>
  </si>
  <si>
    <t>Financial Planning and Analysis Manager</t>
  </si>
  <si>
    <t>Shivam Kumar</t>
  </si>
  <si>
    <t>shivam.kumar@zupee.in</t>
  </si>
  <si>
    <t>IT</t>
  </si>
  <si>
    <t>Shivam Yadav</t>
  </si>
  <si>
    <t>shivam.yadav@zupee.in</t>
  </si>
  <si>
    <t>+917701891644</t>
  </si>
  <si>
    <t>Shivam Bali</t>
  </si>
  <si>
    <t>+917291015806</t>
  </si>
  <si>
    <t>Shivangi Dalmia</t>
  </si>
  <si>
    <t>shivangi.dalmia@zupee.in</t>
  </si>
  <si>
    <t>+918240746893</t>
  </si>
  <si>
    <t>Assistant Manager- Finance</t>
  </si>
  <si>
    <t>Shivani Patil</t>
  </si>
  <si>
    <t>shivani.patil@zupee.in</t>
  </si>
  <si>
    <t>Shobhit Sharma</t>
  </si>
  <si>
    <t>shobhit.sharma@zupee.in</t>
  </si>
  <si>
    <t>+917817076900</t>
  </si>
  <si>
    <t>Shreya Pandey</t>
  </si>
  <si>
    <t>shreya.pandey@zupee.in</t>
  </si>
  <si>
    <t>Shubham Khosla</t>
  </si>
  <si>
    <t>shubham.khosla@zupee.in</t>
  </si>
  <si>
    <t>Shubham Kumar Thakur</t>
  </si>
  <si>
    <t>shubham.thakur@zupee.in</t>
  </si>
  <si>
    <t>Shubham Kumar</t>
  </si>
  <si>
    <t>shubham.kumar@zupee.in</t>
  </si>
  <si>
    <t>nikhil.kaplas@zupee.in</t>
  </si>
  <si>
    <t>Shubham Maurya</t>
  </si>
  <si>
    <t>shubham.maurya@zupee.in</t>
  </si>
  <si>
    <t>Shubham Goyal</t>
  </si>
  <si>
    <t>shubham.goyal@zupee.in</t>
  </si>
  <si>
    <t>Senior Executive - Customer Experience</t>
  </si>
  <si>
    <t>Shubham Verma</t>
  </si>
  <si>
    <t>shubham.v@zupee.in</t>
  </si>
  <si>
    <t>+919311880111</t>
  </si>
  <si>
    <t>Siddharth Saurav</t>
  </si>
  <si>
    <t>siddharth.saurav@zupee.in</t>
  </si>
  <si>
    <t>Siddharth Monga</t>
  </si>
  <si>
    <t>Senior Manager- Procurement</t>
  </si>
  <si>
    <t>Sidharth Dhiman</t>
  </si>
  <si>
    <t>sidharth.dhiman@zupee.in</t>
  </si>
  <si>
    <t>Simran Verma</t>
  </si>
  <si>
    <t>simran.v@zupee.in</t>
  </si>
  <si>
    <t>simran.verma@zupee.in</t>
  </si>
  <si>
    <t>SME - Quality</t>
  </si>
  <si>
    <t>Simran Rana</t>
  </si>
  <si>
    <t>simran.rana@zupee.in</t>
  </si>
  <si>
    <t>Sonu Modi</t>
  </si>
  <si>
    <t>sonu.modi@zupee.in</t>
  </si>
  <si>
    <t>Soumya Manna</t>
  </si>
  <si>
    <t>soumya.manna@zupee.in</t>
  </si>
  <si>
    <t>Sourabh Kumar</t>
  </si>
  <si>
    <t>sourabh.kumar@zupee.in</t>
  </si>
  <si>
    <t>Srijith Shaji</t>
  </si>
  <si>
    <t>srijith.shaji@zupee.in</t>
  </si>
  <si>
    <t>Suman Kumar</t>
  </si>
  <si>
    <t>suman.kumar@zupee.in</t>
  </si>
  <si>
    <t>Sumit Paul</t>
  </si>
  <si>
    <t>sumit.paul@zupee.in</t>
  </si>
  <si>
    <t>Suraj Negi</t>
  </si>
  <si>
    <t>suraj.negi@zupee.in</t>
  </si>
  <si>
    <t>Sushant Upadhyay</t>
  </si>
  <si>
    <t>sushant.upadhyay@zupee.in</t>
  </si>
  <si>
    <t>+916394419882</t>
  </si>
  <si>
    <t>nitesh.vijay@zupee.in</t>
  </si>
  <si>
    <t>Suvam Debata</t>
  </si>
  <si>
    <t>suvam.debata@zupee.in</t>
  </si>
  <si>
    <t>+919040127075</t>
  </si>
  <si>
    <t>Suvra Das</t>
  </si>
  <si>
    <t>+917605889435</t>
  </si>
  <si>
    <t>tarun.sharma@zupee.in</t>
  </si>
  <si>
    <t>Swati Puhan</t>
  </si>
  <si>
    <t>swati.puhan@zupee.in</t>
  </si>
  <si>
    <t>Tarun Kumar</t>
  </si>
  <si>
    <t>tarun.kumar@zupee.in</t>
  </si>
  <si>
    <t>Tarun Sharma</t>
  </si>
  <si>
    <t>Manager-Quality</t>
  </si>
  <si>
    <t>Teena Gupta</t>
  </si>
  <si>
    <t>teena.gupta@zupee.in</t>
  </si>
  <si>
    <t>Tripat Kaur</t>
  </si>
  <si>
    <t>tripat.kaur@zupee.in</t>
  </si>
  <si>
    <t>Tulika Bhatnagar</t>
  </si>
  <si>
    <t>tulika.bhatnagar@zupee.in</t>
  </si>
  <si>
    <t>Tushar Sharma</t>
  </si>
  <si>
    <t>tushar.sharma@zupee.in</t>
  </si>
  <si>
    <t>aman.patni@zupee.in</t>
  </si>
  <si>
    <t>Twinkle Bhati</t>
  </si>
  <si>
    <t>twinkle.bhati@zupee.in</t>
  </si>
  <si>
    <t>Analyst-Finance</t>
  </si>
  <si>
    <t>Uma Batra</t>
  </si>
  <si>
    <t>uma.batra@zupee.in</t>
  </si>
  <si>
    <t>SME - Operations</t>
  </si>
  <si>
    <t>Umair Iliyas</t>
  </si>
  <si>
    <t>umair.iliyas@zupee.in</t>
  </si>
  <si>
    <t>Umar Khan</t>
  </si>
  <si>
    <t>umar.khan@zupee.in</t>
  </si>
  <si>
    <t>Utkarsh Vishal</t>
  </si>
  <si>
    <t>utkarsh.vishal@zupee.in</t>
  </si>
  <si>
    <t>Utkarsh Sharma</t>
  </si>
  <si>
    <t>utkarsh.sharma@zupee.in</t>
  </si>
  <si>
    <t>+919816696116</t>
  </si>
  <si>
    <t>Associate - SEO</t>
  </si>
  <si>
    <t>Vansh Kumar Dua</t>
  </si>
  <si>
    <t>vansh.dua@zupee.in</t>
  </si>
  <si>
    <t>Varsha Mishra</t>
  </si>
  <si>
    <t>varsha.mishra@zupee.in</t>
  </si>
  <si>
    <t>Vedaant Magow</t>
  </si>
  <si>
    <t>vedaant.magow@zupee.in</t>
  </si>
  <si>
    <t>Vedant Sharma</t>
  </si>
  <si>
    <t>vedant.sharma@zupee.in</t>
  </si>
  <si>
    <t>+919599165055</t>
  </si>
  <si>
    <t>Vidhya Bharathi</t>
  </si>
  <si>
    <t>vidhya.bharathi@zupee.in</t>
  </si>
  <si>
    <t>Content Strategist</t>
  </si>
  <si>
    <t>anish.abraham@zupee.in</t>
  </si>
  <si>
    <t>Vikas Gupta</t>
  </si>
  <si>
    <t>vikas.gupta@zupee.in</t>
  </si>
  <si>
    <t>+918800274005</t>
  </si>
  <si>
    <t>Manager- FinOps</t>
  </si>
  <si>
    <t>Vikas Joshi</t>
  </si>
  <si>
    <t>vikas.joshi@zupee.in</t>
  </si>
  <si>
    <t>+917291052534</t>
  </si>
  <si>
    <t>Vimal Prajapati</t>
  </si>
  <si>
    <t>vimal.prajapati@zupee.in</t>
  </si>
  <si>
    <t>Vinay Mishra</t>
  </si>
  <si>
    <t>vinay.mishra@zupee.in</t>
  </si>
  <si>
    <t>Contractual IT</t>
  </si>
  <si>
    <t>Vipin Yadav</t>
  </si>
  <si>
    <t>vipin.yadav@zupee.in</t>
  </si>
  <si>
    <t>Vishal Kumar Lal</t>
  </si>
  <si>
    <t>vishal.lal@zupee.in</t>
  </si>
  <si>
    <t>Gen AI Intern</t>
  </si>
  <si>
    <t>Vivek Jain</t>
  </si>
  <si>
    <t>+919953198801</t>
  </si>
  <si>
    <t>sushil.patel@zupee.in</t>
  </si>
  <si>
    <t>Vivek Soni</t>
  </si>
  <si>
    <t>vivek.soni@zupee.in</t>
  </si>
  <si>
    <t>Vivek Claudius</t>
  </si>
  <si>
    <t>vivek.claudius@zupee.in</t>
  </si>
  <si>
    <t>+918905755342</t>
  </si>
  <si>
    <t>Yakshita Behl</t>
  </si>
  <si>
    <t>yakshita.behl@zupee.in</t>
  </si>
  <si>
    <t>+919311560404</t>
  </si>
  <si>
    <t>Yash Oberoi</t>
  </si>
  <si>
    <t>yash.oberoi@zupee.in</t>
  </si>
  <si>
    <t>PR Executive</t>
  </si>
  <si>
    <t>Yogesha k</t>
  </si>
  <si>
    <t>yogesha.k@zupee.in</t>
  </si>
  <si>
    <t>Yuvam Parmar</t>
  </si>
  <si>
    <t>yuvam.parmar@zupee.in</t>
  </si>
  <si>
    <t>+919818826113</t>
  </si>
  <si>
    <t>Lead Game Designer</t>
  </si>
  <si>
    <t>Zaid Anwar</t>
  </si>
  <si>
    <t>zaid.anwar@zupee.in</t>
  </si>
  <si>
    <t>Digitech</t>
  </si>
  <si>
    <t>gaurav.m@zupee.in</t>
  </si>
  <si>
    <t>Senior Executive-Customer Experience</t>
  </si>
  <si>
    <t>Jan 1, 1111</t>
  </si>
  <si>
    <t>Aditya Pawar</t>
  </si>
  <si>
    <t>aditya.pawar@zupee.in</t>
  </si>
  <si>
    <t>Customer Success Executive</t>
  </si>
  <si>
    <t>Siddhant Saurabh</t>
  </si>
  <si>
    <t>siddhant.saurabh@zupee.in</t>
  </si>
  <si>
    <t>+919999913305</t>
  </si>
  <si>
    <t>Chief Technical Officer</t>
  </si>
  <si>
    <t>Dilsher Malhi</t>
  </si>
  <si>
    <t>+919928060889</t>
  </si>
  <si>
    <t>Chief Executive Officer</t>
  </si>
  <si>
    <t>Zupee Support</t>
  </si>
  <si>
    <t>support@zupee.in</t>
  </si>
  <si>
    <t>+919897939666</t>
  </si>
  <si>
    <t>Genric ID</t>
  </si>
  <si>
    <t>Aarti Luthra</t>
  </si>
  <si>
    <t>+919810213957</t>
  </si>
  <si>
    <t>Senior Manager - Design</t>
  </si>
  <si>
    <t>Sawai Singh</t>
  </si>
  <si>
    <t>sawai.singh@zupee.in</t>
  </si>
  <si>
    <t>+919958293705</t>
  </si>
  <si>
    <t>Software Development Engineer in Test 2</t>
  </si>
  <si>
    <t>Zupee Design</t>
  </si>
  <si>
    <t>design@zupee.in</t>
  </si>
  <si>
    <t>Pranav Jaradi</t>
  </si>
  <si>
    <t>Quality Assurance Engineer 3</t>
  </si>
  <si>
    <t>Arun Prabhakaran</t>
  </si>
  <si>
    <t>arun.prabhakaran@zupee.in</t>
  </si>
  <si>
    <t>Technical Architect</t>
  </si>
  <si>
    <t>ranjeet.kumar@zupee.in</t>
  </si>
  <si>
    <t>Jyoti Gupta</t>
  </si>
  <si>
    <t>jyoti.gupta@zupee.in</t>
  </si>
  <si>
    <t>Vice President - Engineering</t>
  </si>
  <si>
    <t>Pratyaksh Rawat</t>
  </si>
  <si>
    <t>Innovation Lead</t>
  </si>
  <si>
    <t>Zupee Grievance</t>
  </si>
  <si>
    <t>grievances@zupee.in</t>
  </si>
  <si>
    <t>Aman Kumar Bahl</t>
  </si>
  <si>
    <t>Associate Director - Data Engineering</t>
  </si>
  <si>
    <t>Gurmeet Singh</t>
  </si>
  <si>
    <t>gurmeet.singh@zupee.in</t>
  </si>
  <si>
    <t>Design Lead</t>
  </si>
  <si>
    <t>Sumit Singh</t>
  </si>
  <si>
    <t>+918006606806</t>
  </si>
  <si>
    <t>Akshit Sharma</t>
  </si>
  <si>
    <t>+918510054225</t>
  </si>
  <si>
    <t>Lead - Motion Graphic Designer</t>
  </si>
  <si>
    <t>Ranjeet Kumar</t>
  </si>
  <si>
    <t>Principal Architect</t>
  </si>
  <si>
    <t>akanksha.dhamija@zupee.in</t>
  </si>
  <si>
    <t>Govind Mittal</t>
  </si>
  <si>
    <t>Chief of Staff</t>
  </si>
  <si>
    <t>Shruti Sachdeva</t>
  </si>
  <si>
    <t>shruti.sachdeva@zupee.in</t>
  </si>
  <si>
    <t>Quality Assurance 2</t>
  </si>
  <si>
    <t>Zupee Careers</t>
  </si>
  <si>
    <t>careers@zupee.in</t>
  </si>
  <si>
    <t>+919911825866</t>
  </si>
  <si>
    <t>Akanksha Dhamija</t>
  </si>
  <si>
    <t>+918800980872</t>
  </si>
  <si>
    <t>COO</t>
  </si>
  <si>
    <t>M Sangeetha</t>
  </si>
  <si>
    <t>+919821070176</t>
  </si>
  <si>
    <t>Associate Director - HR</t>
  </si>
  <si>
    <t>Piyush Shukla</t>
  </si>
  <si>
    <t>Senior Engineering Manager</t>
  </si>
  <si>
    <t>Piyali Kar</t>
  </si>
  <si>
    <t>piyali.kar@zupee.in</t>
  </si>
  <si>
    <t>Team HR</t>
  </si>
  <si>
    <t>hr@zupee.in</t>
  </si>
  <si>
    <t>+917982058712</t>
  </si>
  <si>
    <t>Vishal Agarwal</t>
  </si>
  <si>
    <t>+917760982692</t>
  </si>
  <si>
    <t>QA Manager</t>
  </si>
  <si>
    <t>Disha Garg</t>
  </si>
  <si>
    <t>disha.garg@zupee.in</t>
  </si>
  <si>
    <t>Rajneesh Yadav</t>
  </si>
  <si>
    <t>Zupee Social</t>
  </si>
  <si>
    <t>social@zupee.in</t>
  </si>
  <si>
    <t>Rahul Sharma - Tech</t>
  </si>
  <si>
    <t>Nishant Jaiswal</t>
  </si>
  <si>
    <t>+919999106918</t>
  </si>
  <si>
    <t>Vice President - Digital Marketing</t>
  </si>
  <si>
    <t>Narender Tyagi</t>
  </si>
  <si>
    <t>Rahul Ranjan</t>
  </si>
  <si>
    <t>rahul.ranjan@zupee.in</t>
  </si>
  <si>
    <t>+918802118601</t>
  </si>
  <si>
    <t>Vishnu Khowal</t>
  </si>
  <si>
    <t>vishnu.khowal@zupee.in</t>
  </si>
  <si>
    <t>UI Designer</t>
  </si>
  <si>
    <t>Aman Kumar</t>
  </si>
  <si>
    <t>+917004319253</t>
  </si>
  <si>
    <t>Naveen Kadyan</t>
  </si>
  <si>
    <t>Vice President - Product</t>
  </si>
  <si>
    <t>Zupee Digital</t>
  </si>
  <si>
    <t>acquisition@zupee.in</t>
  </si>
  <si>
    <t>Amogh Babbar</t>
  </si>
  <si>
    <t>amogh.babbar@zupee.in</t>
  </si>
  <si>
    <t>Staff Data Scientist</t>
  </si>
  <si>
    <t>Babita Sharma</t>
  </si>
  <si>
    <t>babita.sharma@zupee.in</t>
  </si>
  <si>
    <t>Marketing Designer</t>
  </si>
  <si>
    <t>Nayan Intwala</t>
  </si>
  <si>
    <t>nayan.intwala@zupee.in</t>
  </si>
  <si>
    <t>+917669386089</t>
  </si>
  <si>
    <t>Saurabh Khurana</t>
  </si>
  <si>
    <t>+918800326042</t>
  </si>
  <si>
    <t>Gagan Sharma</t>
  </si>
  <si>
    <t>gagan.sharma@zupee.in</t>
  </si>
  <si>
    <t>+919136223610</t>
  </si>
  <si>
    <t>Associate</t>
  </si>
  <si>
    <t>gaurav.khanna@zupee.in</t>
  </si>
  <si>
    <t>Shahid Gauri</t>
  </si>
  <si>
    <t>shahid.gauri@zupee.in</t>
  </si>
  <si>
    <t>Chirag Jain</t>
  </si>
  <si>
    <t>chirag.jain@zupee.in</t>
  </si>
  <si>
    <t>Arif Jamal</t>
  </si>
  <si>
    <t>arif.jamal@zupee.in</t>
  </si>
  <si>
    <t>Anuj Baghel</t>
  </si>
  <si>
    <t>+918800249887</t>
  </si>
  <si>
    <t>gaurav.sharma@zupee.in</t>
  </si>
  <si>
    <t>+918742980202</t>
  </si>
  <si>
    <t>Legal Support</t>
  </si>
  <si>
    <t>legal@zupee.in</t>
  </si>
  <si>
    <t>+919818761514</t>
  </si>
  <si>
    <t>arpita.latta@zupee.in</t>
  </si>
  <si>
    <t>Amit Garg</t>
  </si>
  <si>
    <t>Ishant Wadhwa</t>
  </si>
  <si>
    <t>ishant.wadhwa@zupee.in</t>
  </si>
  <si>
    <t>Nikhil Kaplas</t>
  </si>
  <si>
    <t>Sumit Khaitan</t>
  </si>
  <si>
    <t>sumit.khaitan@zupee.in</t>
  </si>
  <si>
    <t>Payroll Team</t>
  </si>
  <si>
    <t>payroll@zupee.in</t>
  </si>
  <si>
    <t>Ankit Kumar Sahu</t>
  </si>
  <si>
    <t>ankit.sahu@zupee.in</t>
  </si>
  <si>
    <t>+919479464683</t>
  </si>
  <si>
    <t>Eeshma Anand</t>
  </si>
  <si>
    <t>Kamal Kishore Sharma</t>
  </si>
  <si>
    <t>kamal.sharma@zupee.in</t>
  </si>
  <si>
    <t>+919910457434</t>
  </si>
  <si>
    <t>Sairam Mushyam</t>
  </si>
  <si>
    <t>Vice President - Data Science &amp; Analytics</t>
  </si>
  <si>
    <t>Akshay Gulati</t>
  </si>
  <si>
    <t>akshay.gulati@zupee.in</t>
  </si>
  <si>
    <t>+919999597330</t>
  </si>
  <si>
    <t>Associate Director</t>
  </si>
  <si>
    <t>iOS Support</t>
  </si>
  <si>
    <t>tech-ios@zupee.in</t>
  </si>
  <si>
    <t>Aman Gupta</t>
  </si>
  <si>
    <t>+919407226795</t>
  </si>
  <si>
    <t>Lead - Engineering</t>
  </si>
  <si>
    <t>Mohit Arora</t>
  </si>
  <si>
    <t>mohit.arora@zupee.in</t>
  </si>
  <si>
    <t>Rohit Saini</t>
  </si>
  <si>
    <t>+919940243821</t>
  </si>
  <si>
    <t>Ishank Mehta</t>
  </si>
  <si>
    <t>+919811726986</t>
  </si>
  <si>
    <t>Director - Revenue Strategy</t>
  </si>
  <si>
    <t>siddhant.saurabh@chococrush.com</t>
  </si>
  <si>
    <t>Ludo Turbo Support</t>
  </si>
  <si>
    <t>support@ludoturbo.com</t>
  </si>
  <si>
    <t>strategy</t>
  </si>
  <si>
    <t>Zupee Recharges</t>
  </si>
  <si>
    <t>recharges@zupee.in</t>
  </si>
  <si>
    <t>siddhant.saurabh@ludoturbo.com</t>
  </si>
  <si>
    <t>Kinshuk Puri</t>
  </si>
  <si>
    <t>kinshuk.puri@zupee.in</t>
  </si>
  <si>
    <t>+918527863751</t>
  </si>
  <si>
    <t>Marketing Dashboard</t>
  </si>
  <si>
    <t>marketing.dashboard@zupee.in</t>
  </si>
  <si>
    <t>Raghav Bansal</t>
  </si>
  <si>
    <t>raghav.bansal@zupee.in</t>
  </si>
  <si>
    <t>Senior Product Manager</t>
  </si>
  <si>
    <t>Naina Sharma</t>
  </si>
  <si>
    <t>naina.sharma@zupee.in</t>
  </si>
  <si>
    <t>Aman Chhabra</t>
  </si>
  <si>
    <t>aman.chhabra@zupee.in</t>
  </si>
  <si>
    <t>Rohit Nandan Dubey</t>
  </si>
  <si>
    <t>rohit.dubey@zupee.in</t>
  </si>
  <si>
    <t>+918305816012</t>
  </si>
  <si>
    <t>naveen.kumar@zupee.in</t>
  </si>
  <si>
    <t>Kamran Ahmad Hadi</t>
  </si>
  <si>
    <t>kamran.hadi@zupee.in</t>
  </si>
  <si>
    <t>Ankita Jugran</t>
  </si>
  <si>
    <t>ankita.jugran@zupee.in</t>
  </si>
  <si>
    <t>Senior Graphic Designer</t>
  </si>
  <si>
    <t>Rahul Punia</t>
  </si>
  <si>
    <t>rahul.punia@zupee.in</t>
  </si>
  <si>
    <t>Shivam Sharma</t>
  </si>
  <si>
    <t>shubham.verma@zupee.in</t>
  </si>
  <si>
    <t>+917065286013</t>
  </si>
  <si>
    <t>Vedank Goyal</t>
  </si>
  <si>
    <t>vedank.goyal@zupee.in</t>
  </si>
  <si>
    <t>Vinay Bansal</t>
  </si>
  <si>
    <t>vinay.bansal@zupee.in</t>
  </si>
  <si>
    <t>Katha Pankaj Tara</t>
  </si>
  <si>
    <t>+919810796066</t>
  </si>
  <si>
    <t>VP - Brand Marketing</t>
  </si>
  <si>
    <t>Vishwa Patel</t>
  </si>
  <si>
    <t>vishwa.patel@zupee.in</t>
  </si>
  <si>
    <t>Abhinav Shandilya</t>
  </si>
  <si>
    <t>abhinav.shandilya@zupee.in</t>
  </si>
  <si>
    <t>Raman Malik</t>
  </si>
  <si>
    <t>Dashboard Entities</t>
  </si>
  <si>
    <t>dashboard.entities@zupee.in</t>
  </si>
  <si>
    <t>Nodal Head</t>
  </si>
  <si>
    <t>nodal@zupee.in</t>
  </si>
  <si>
    <t>SXSyJhyq=Hq&lt;7yZ=</t>
  </si>
  <si>
    <t>shobhit.nanda@zupee.in</t>
  </si>
  <si>
    <t>Bhargavkumar Khalasi</t>
  </si>
  <si>
    <t>bhargavkumar.khalasi@zupee.in</t>
  </si>
  <si>
    <t>+917874782241</t>
  </si>
  <si>
    <t>Riya Jhalani</t>
  </si>
  <si>
    <t>riya.jhalani@zupee.in</t>
  </si>
  <si>
    <t>+917737255358</t>
  </si>
  <si>
    <t>Mayank Jain</t>
  </si>
  <si>
    <t>mayank.jain@zupee.in</t>
  </si>
  <si>
    <t>Principal Product Manager</t>
  </si>
  <si>
    <t>Diksha Sachdeva</t>
  </si>
  <si>
    <t>diksha.sachdeva@zupee.in</t>
  </si>
  <si>
    <t>Saurav Yadav</t>
  </si>
  <si>
    <t>Director - DevOps</t>
  </si>
  <si>
    <t>Sahil Puri</t>
  </si>
  <si>
    <t>Divya Koundal</t>
  </si>
  <si>
    <t>Deepak Khandelwal</t>
  </si>
  <si>
    <t>Frontend Web SDE - II</t>
  </si>
  <si>
    <t>Amit Shukracharya Sutar</t>
  </si>
  <si>
    <t>amit.sutar@zupee.in</t>
  </si>
  <si>
    <t>Senior Game Artist</t>
  </si>
  <si>
    <t>Vishal Kapoor</t>
  </si>
  <si>
    <t>vishal.kapoor@zupee.in</t>
  </si>
  <si>
    <t>User Research</t>
  </si>
  <si>
    <t>research@zupee.in</t>
  </si>
  <si>
    <t>Lekhika Dhariyal</t>
  </si>
  <si>
    <t>lekhika.dhariyal@zupee.in</t>
  </si>
  <si>
    <t>Sachin Sharma</t>
  </si>
  <si>
    <t>sachin.sharma@zupee.in</t>
  </si>
  <si>
    <t>+918527095302</t>
  </si>
  <si>
    <t>Divya Khare</t>
  </si>
  <si>
    <t>Team Lead - Social Media &amp; Operations</t>
  </si>
  <si>
    <t>Hitesh Vats</t>
  </si>
  <si>
    <t>Associate Director- Finops &amp; Revenue Assurance</t>
  </si>
  <si>
    <t>Annu Nirmal</t>
  </si>
  <si>
    <t>annu.nirmal@zupee.in</t>
  </si>
  <si>
    <t>Kritika Kapoor</t>
  </si>
  <si>
    <t>kritika.kapoor@zupee.in</t>
  </si>
  <si>
    <t>+919034575564</t>
  </si>
  <si>
    <t>Nikhil Kumar Gupta</t>
  </si>
  <si>
    <t>nikhil.gupta@zupee.in</t>
  </si>
  <si>
    <t>Senior DevOps Engineer</t>
  </si>
  <si>
    <t>Prashant Kumar</t>
  </si>
  <si>
    <t>prashant.kumar@zupee.in</t>
  </si>
  <si>
    <t>+917042168083</t>
  </si>
  <si>
    <t>Harsha Ratnam</t>
  </si>
  <si>
    <t>harsha.ratnam@zupee.in</t>
  </si>
  <si>
    <t>Nitesh Vijay</t>
  </si>
  <si>
    <t>Saksham Aneja</t>
  </si>
  <si>
    <t>saksham.aneja@zupee.in</t>
  </si>
  <si>
    <t>+918770855347</t>
  </si>
  <si>
    <t>Vijay Singh</t>
  </si>
  <si>
    <t>vijay.singh@zupee.in</t>
  </si>
  <si>
    <t>Head - Commercial &amp; Financial Projects</t>
  </si>
  <si>
    <t>Fresh Desk</t>
  </si>
  <si>
    <t>freshdesk@zupee.in</t>
  </si>
  <si>
    <t>Shreya Dwivedi</t>
  </si>
  <si>
    <t>shreya.dwivedi@zupee.in</t>
  </si>
  <si>
    <t>Senior UX Designer</t>
  </si>
  <si>
    <t>care@zupee.in</t>
  </si>
  <si>
    <t>+919990123068</t>
  </si>
  <si>
    <t>Himanshu Barsiwal</t>
  </si>
  <si>
    <t>himanshu.barsiwal@zupee.in</t>
  </si>
  <si>
    <t>Quality Assurance Engineer 2</t>
  </si>
  <si>
    <t>payal.katoch@zupee.in</t>
  </si>
  <si>
    <t>Nodal Helpdesk</t>
  </si>
  <si>
    <t>nodal.helpdesk@zupee.in</t>
  </si>
  <si>
    <t>6bnEA8NjGedZ9dQ&gt;</t>
  </si>
  <si>
    <t>A Rushyant Reddy</t>
  </si>
  <si>
    <t>a.reddy@zupee.in</t>
  </si>
  <si>
    <t>+918588836434</t>
  </si>
  <si>
    <t>Lead - Data Science</t>
  </si>
  <si>
    <t>Ishu Sharma</t>
  </si>
  <si>
    <t>ishu.sharma@zupee.in</t>
  </si>
  <si>
    <t>Lead Designer</t>
  </si>
  <si>
    <t>Vamsidhar Yeddu</t>
  </si>
  <si>
    <t>vamsidhar.yeddu@zupee.in</t>
  </si>
  <si>
    <t>+918800596489</t>
  </si>
  <si>
    <t>Technology Lead</t>
  </si>
  <si>
    <t>Zupee Secretarial</t>
  </si>
  <si>
    <t>cs@zupee.in</t>
  </si>
  <si>
    <t>It Services</t>
  </si>
  <si>
    <t>itservices@zupee.in</t>
  </si>
  <si>
    <t>Ramit Arora</t>
  </si>
  <si>
    <t>ramit.arora@zupee.in</t>
  </si>
  <si>
    <t>Payal Katoch</t>
  </si>
  <si>
    <t>Lead - Quality Assurance</t>
  </si>
  <si>
    <t>+919582027321</t>
  </si>
  <si>
    <t>Posh Team</t>
  </si>
  <si>
    <t>posh@zupee.in</t>
  </si>
  <si>
    <t>Ananya Apurva</t>
  </si>
  <si>
    <t>ananya.apurva@zupee.in</t>
  </si>
  <si>
    <t>Lead - Analyst</t>
  </si>
  <si>
    <t>Harshitaa Prakash</t>
  </si>
  <si>
    <t>harshitaa.prakash@zupee.in</t>
  </si>
  <si>
    <t>Senior Associate</t>
  </si>
  <si>
    <t>Manoj Rane</t>
  </si>
  <si>
    <t>manoj.rane@zupee.in</t>
  </si>
  <si>
    <t>+919700270687</t>
  </si>
  <si>
    <t>Senior 2D Animator</t>
  </si>
  <si>
    <t>Prashant Yadav</t>
  </si>
  <si>
    <t>prashant.yadav@zupee.in</t>
  </si>
  <si>
    <t>+917409782849</t>
  </si>
  <si>
    <t>Senior Software Development Engineer in Test</t>
  </si>
  <si>
    <t>Satyam Govila</t>
  </si>
  <si>
    <t>satyam.govila@zupee.in</t>
  </si>
  <si>
    <t>Senior Data Engineer</t>
  </si>
  <si>
    <t>IT Support</t>
  </si>
  <si>
    <t>itsupport@zupee.in</t>
  </si>
  <si>
    <t>Z People</t>
  </si>
  <si>
    <t>people@zupee.in</t>
  </si>
  <si>
    <t>+917838015028</t>
  </si>
  <si>
    <t>Anish Joseph Abraham</t>
  </si>
  <si>
    <t>Director - Design</t>
  </si>
  <si>
    <t>Khushali Bagga</t>
  </si>
  <si>
    <t>Nandeshwar Gupta</t>
  </si>
  <si>
    <t>nandeshwar.gupta@zupee.in</t>
  </si>
  <si>
    <t>Lead ML Engineer</t>
  </si>
  <si>
    <t>Anshul Mittal</t>
  </si>
  <si>
    <t>Engineering Manager - Android</t>
  </si>
  <si>
    <t>Pratik Aswal</t>
  </si>
  <si>
    <t>pratik.aswal@zupee.in</t>
  </si>
  <si>
    <t>Senior Executive - Branded Content</t>
  </si>
  <si>
    <t>Devagya Kumar</t>
  </si>
  <si>
    <t>devagya.kumar@zupee.in</t>
  </si>
  <si>
    <t>Nikhil Kumar Jha</t>
  </si>
  <si>
    <t>nikhil.j@zupee.in</t>
  </si>
  <si>
    <t>Gyani Dass</t>
  </si>
  <si>
    <t>gyani.dass@zupee.in</t>
  </si>
  <si>
    <t>Arpita Latta</t>
  </si>
  <si>
    <t>Senior Manager - Contracts</t>
  </si>
  <si>
    <t>CRM QA</t>
  </si>
  <si>
    <t>crm-qa@zupee.in</t>
  </si>
  <si>
    <t>Marcom Zupee</t>
  </si>
  <si>
    <t>marcom@zupee.in</t>
  </si>
  <si>
    <t>Monika Yadav</t>
  </si>
  <si>
    <t>monika.yadav@zupee.in</t>
  </si>
  <si>
    <t>Lead - Database Administrator</t>
  </si>
  <si>
    <t>Amarjeet Singh</t>
  </si>
  <si>
    <t>amarjeet.singh@zupee.in</t>
  </si>
  <si>
    <t>+917354854331</t>
  </si>
  <si>
    <t>Speakup @Zupee</t>
  </si>
  <si>
    <t>speakup@zupee.in</t>
  </si>
  <si>
    <t>Astha Mishra</t>
  </si>
  <si>
    <t>astha.mishra@zupee.in</t>
  </si>
  <si>
    <t>Yogesh Yadav</t>
  </si>
  <si>
    <t>Maneesha Negi</t>
  </si>
  <si>
    <t>+919815049488</t>
  </si>
  <si>
    <t>Shubham Singh</t>
  </si>
  <si>
    <t>shubham.singh@zupee.in</t>
  </si>
  <si>
    <t>Senior Manager-Strategy</t>
  </si>
  <si>
    <t>Harish Bahl</t>
  </si>
  <si>
    <t>harish@zupee.in</t>
  </si>
  <si>
    <t>Dhruv Adlakha</t>
  </si>
  <si>
    <t>dhruv.adlakha@zupee.in</t>
  </si>
  <si>
    <t>Assistant Manager</t>
  </si>
  <si>
    <t xml:space="preserve">Hold </t>
  </si>
  <si>
    <t>Nimish Goyal</t>
  </si>
  <si>
    <t>nimish.goyal@zupee.in</t>
  </si>
  <si>
    <t>Product Manager 1</t>
  </si>
  <si>
    <t>Repo Master</t>
  </si>
  <si>
    <t>zupee.repomaster@zupee.in</t>
  </si>
  <si>
    <t>Saksham Kochhar - Intern</t>
  </si>
  <si>
    <t>saksham.kochhar@zupee.in</t>
  </si>
  <si>
    <t>Data Science Intern</t>
  </si>
  <si>
    <t>Support Zupeefree</t>
  </si>
  <si>
    <t>support.zupeefree@zupee.in</t>
  </si>
  <si>
    <t>+918010583231</t>
  </si>
  <si>
    <t>We Care</t>
  </si>
  <si>
    <t>wecare@zupee.in</t>
  </si>
  <si>
    <t>Pareena Singh</t>
  </si>
  <si>
    <t>pareena.singh@zupee.in</t>
  </si>
  <si>
    <t>Lead User Researcher</t>
  </si>
  <si>
    <t>nikunj.a@zupee.in</t>
  </si>
  <si>
    <t>+919810210616</t>
  </si>
  <si>
    <t>Software Engineer- Android</t>
  </si>
  <si>
    <t>Rakesh Kumar</t>
  </si>
  <si>
    <t>rakesh.kumar@zupee.in</t>
  </si>
  <si>
    <t>Amit Singh</t>
  </si>
  <si>
    <t>amit.singh@zupee.in</t>
  </si>
  <si>
    <t>+917678112581</t>
  </si>
  <si>
    <t>Senior Staff Engineer</t>
  </si>
  <si>
    <t>Manmohan Sagar</t>
  </si>
  <si>
    <t>manmohan.sagar@zupee.in</t>
  </si>
  <si>
    <t>Pratik Taltia</t>
  </si>
  <si>
    <t>pratik.taltia@zupee.in</t>
  </si>
  <si>
    <t>Senior Associate - Product Marketing</t>
  </si>
  <si>
    <t>Pradeep Agrawal</t>
  </si>
  <si>
    <t>pradeep.agrawal@zupee.in</t>
  </si>
  <si>
    <t>Shrasti Tomar</t>
  </si>
  <si>
    <t>shrasti.tomar@zupee.in</t>
  </si>
  <si>
    <t>Data Engineer</t>
  </si>
  <si>
    <t>Satyam Jaiswal</t>
  </si>
  <si>
    <t>satyam.jaiswal@zupee.in</t>
  </si>
  <si>
    <t>payroll Support</t>
  </si>
  <si>
    <t>payrollsupport@zupee.in</t>
  </si>
  <si>
    <t>Tushar Rajendra Patil</t>
  </si>
  <si>
    <t>tushar.patil@zupee.in</t>
  </si>
  <si>
    <t>Machine Learning Engineer</t>
  </si>
  <si>
    <t>Mukul Bhatt</t>
  </si>
  <si>
    <t>mukul.bhatt@zupee.in</t>
  </si>
  <si>
    <t>Quality Assurance Engineer- 1</t>
  </si>
  <si>
    <t>Mohit Singh Rathore</t>
  </si>
  <si>
    <t>mohit.rathore@zupee.in</t>
  </si>
  <si>
    <t>+919351318554</t>
  </si>
  <si>
    <t>Abhishek Goyal</t>
  </si>
  <si>
    <t>+917974831301</t>
  </si>
  <si>
    <t>Gaurav Khanna</t>
  </si>
  <si>
    <t>Rajkumar Singh</t>
  </si>
  <si>
    <t>Senior Manager - IT Infra</t>
  </si>
  <si>
    <t>Adhip Kushwaha</t>
  </si>
  <si>
    <t>adhip.kushwaha@zupee.in</t>
  </si>
  <si>
    <t>DevOps Integration</t>
  </si>
  <si>
    <t>devops.integrations@zupee.in</t>
  </si>
  <si>
    <t>Jatin Kinra</t>
  </si>
  <si>
    <t>+919557854494</t>
  </si>
  <si>
    <t>ESOP Communication</t>
  </si>
  <si>
    <t>esop@zupee.in</t>
  </si>
  <si>
    <t>Mohit Singh</t>
  </si>
  <si>
    <t>mohit.singh@zupee.in.</t>
  </si>
  <si>
    <t>SEO Content Writer</t>
  </si>
  <si>
    <t>Zai Bot</t>
  </si>
  <si>
    <t>zai-bot@zupee.in</t>
  </si>
  <si>
    <t>arunarun.prabhakaran@zupee.in</t>
  </si>
  <si>
    <t>Anwesha Raj</t>
  </si>
  <si>
    <t>anwesha.raj@zupee.in</t>
  </si>
  <si>
    <t>Tushar Mehta</t>
  </si>
  <si>
    <t>tushar.mehta@zupee.in</t>
  </si>
  <si>
    <t>Senior Software Engineer - Android</t>
  </si>
  <si>
    <t>Rijul Sharma</t>
  </si>
  <si>
    <t>rijul.sharma@zupee.in</t>
  </si>
  <si>
    <t>Mukesh Kumar Maurya</t>
  </si>
  <si>
    <t>mukesh.maurya@zupee.in</t>
  </si>
  <si>
    <t>Senior Motion Graphic Designer</t>
  </si>
  <si>
    <t>Zupee Talent</t>
  </si>
  <si>
    <t>talent@zupee.in</t>
  </si>
  <si>
    <t>Kanika Wadhwa</t>
  </si>
  <si>
    <t>kanika.wadhwa@zupee.in</t>
  </si>
  <si>
    <t>Team Lead - Operations</t>
  </si>
  <si>
    <t>Sumit Yadav</t>
  </si>
  <si>
    <t>Head of Customer Relationship Management</t>
  </si>
  <si>
    <t>Anand Keshav</t>
  </si>
  <si>
    <t>anand.keshav@zupee.in</t>
  </si>
  <si>
    <t>Rajat Garg</t>
  </si>
  <si>
    <t>rajat.garg@zupee.in</t>
  </si>
  <si>
    <t>Aman Hans</t>
  </si>
  <si>
    <t>aman.hans@zupee.in</t>
  </si>
  <si>
    <t>Shiv Kumar IT</t>
  </si>
  <si>
    <t>shiv.k@zupee.in</t>
  </si>
  <si>
    <t>IT Executive</t>
  </si>
  <si>
    <t>Basilnath Samson Masabiel</t>
  </si>
  <si>
    <t>basilnath.masabiel@zupee.in</t>
  </si>
  <si>
    <t>Senior Analyst � Process Excellence</t>
  </si>
  <si>
    <t>shashwat Agarwal</t>
  </si>
  <si>
    <t>shashwat.agarwal@zupee.in</t>
  </si>
  <si>
    <t>Tarun Mangal</t>
  </si>
  <si>
    <t>tarun.mangal@zupee.in</t>
  </si>
  <si>
    <t>Security Zupee</t>
  </si>
  <si>
    <t>security@zupee.in</t>
  </si>
  <si>
    <t>+919911031310</t>
  </si>
  <si>
    <t>Piyush Maurya</t>
  </si>
  <si>
    <t>piyush.maurya@zupee.in</t>
  </si>
  <si>
    <t>SDET Trainee</t>
  </si>
  <si>
    <t>Gokul Verma</t>
  </si>
  <si>
    <t>gokul.verma@zupee.in</t>
  </si>
  <si>
    <t>+918677910193</t>
  </si>
  <si>
    <t>Ritvik Sharma</t>
  </si>
  <si>
    <t>ritvik.sharma@zupee.in</t>
  </si>
  <si>
    <t>Lead Data Scientist</t>
  </si>
  <si>
    <t>Satyam Singh</t>
  </si>
  <si>
    <t>satyam.singh@zupee.in</t>
  </si>
  <si>
    <t>+919528178911</t>
  </si>
  <si>
    <t>SEO Executive</t>
  </si>
  <si>
    <t>Kanwar Aditya Singh</t>
  </si>
  <si>
    <t>kanwar.singh@zupee.in</t>
  </si>
  <si>
    <t>Sanchi Gupta</t>
  </si>
  <si>
    <t>sanchi.gupta@zupee.in</t>
  </si>
  <si>
    <t>Senior SEO Content Writer</t>
  </si>
  <si>
    <t>Rahul Satija</t>
  </si>
  <si>
    <t>Associate Director - Taxation</t>
  </si>
  <si>
    <t>Nikhil Jain</t>
  </si>
  <si>
    <t>nikhil.jain@zupee.in</t>
  </si>
  <si>
    <t>+918950085725</t>
  </si>
  <si>
    <t>Anjali pal</t>
  </si>
  <si>
    <t>anjali.pal@zupee.in</t>
  </si>
  <si>
    <t>Nidhi Kashyap</t>
  </si>
  <si>
    <t>nidhi.kashyap@zupee.in</t>
  </si>
  <si>
    <t>Rukhsar Bano - Jindal</t>
  </si>
  <si>
    <t>rukhsar.bano@zupee.in</t>
  </si>
  <si>
    <t>Mrityunjay Kumar</t>
  </si>
  <si>
    <t>+917694966881</t>
  </si>
  <si>
    <t>Assistant Manager - Operations &amp; Strategy</t>
  </si>
  <si>
    <t>Shivani Bisht</t>
  </si>
  <si>
    <t>shivani.bisht@zupee.in</t>
  </si>
  <si>
    <t>Senior Executive HR</t>
  </si>
  <si>
    <t>Ravi Jha</t>
  </si>
  <si>
    <t>ravi.jha@zupee.in</t>
  </si>
  <si>
    <t>Director - Public Policy</t>
  </si>
  <si>
    <t>richa.sharma@zupee.in</t>
  </si>
  <si>
    <t>+919650926072</t>
  </si>
  <si>
    <t>Manager - HRBP</t>
  </si>
  <si>
    <t>Avanish Kumar Dubey</t>
  </si>
  <si>
    <t>avanish.dubey@zupee.in</t>
  </si>
  <si>
    <t>+918294133035</t>
  </si>
  <si>
    <t>prityankur.biswas@zupee.in</t>
  </si>
  <si>
    <t>Aditi Khanna</t>
  </si>
  <si>
    <t>aditi.khanna@zupee.in</t>
  </si>
  <si>
    <t>+918287549188</t>
  </si>
  <si>
    <t>Executive- Founder's Office</t>
  </si>
  <si>
    <t>Abhishek Prasad</t>
  </si>
  <si>
    <t>abhishek.prasad@zupee.in</t>
  </si>
  <si>
    <t>+918092541196</t>
  </si>
  <si>
    <t>QA Executive</t>
  </si>
  <si>
    <t>Piyush Patel</t>
  </si>
  <si>
    <t>piyush.patel@zupee.in</t>
  </si>
  <si>
    <t>+917085852100</t>
  </si>
  <si>
    <t>Associate Director Digital Marketing</t>
  </si>
  <si>
    <t>ayush.g@zupee.in</t>
  </si>
  <si>
    <t>Harshit Makhija</t>
  </si>
  <si>
    <t>harshit.makhija@zupee.in</t>
  </si>
  <si>
    <t>Om Hari Mishra</t>
  </si>
  <si>
    <t>om.mishra@zupee.in</t>
  </si>
  <si>
    <t>Parth Jindal</t>
  </si>
  <si>
    <t>parth.jindal@zupee.in</t>
  </si>
  <si>
    <t>Punit Sharma</t>
  </si>
  <si>
    <t>punit.sharma@zupee.in</t>
  </si>
  <si>
    <t>AM-FP&amp;A</t>
  </si>
  <si>
    <t>Shankar Sangwan - Jindal</t>
  </si>
  <si>
    <t>shankar.sangwan@zupee.in</t>
  </si>
  <si>
    <t>Ravi Kaushik - Jindal</t>
  </si>
  <si>
    <t>ravi.kaushik@zupee.in</t>
  </si>
  <si>
    <t>Vip Team</t>
  </si>
  <si>
    <t>vip-team@zupee.in</t>
  </si>
  <si>
    <t>Data Auth</t>
  </si>
  <si>
    <t>data-auth@zupee.in</t>
  </si>
  <si>
    <t>Jaidev Chauhan</t>
  </si>
  <si>
    <t>jaidev.chauhan@zupee.in</t>
  </si>
  <si>
    <t>shivam.s@zupee.in</t>
  </si>
  <si>
    <t>Assistant Manager - Talent Acquisition</t>
  </si>
  <si>
    <t>Shyam Sunder Verma</t>
  </si>
  <si>
    <t>shyam.verma@zupee.in</t>
  </si>
  <si>
    <t>+919289299149</t>
  </si>
  <si>
    <t>Personal Assistant</t>
  </si>
  <si>
    <t>Aditya Samantaray</t>
  </si>
  <si>
    <t>aditya.samantaray@zupee.in</t>
  </si>
  <si>
    <t>HR Informant</t>
  </si>
  <si>
    <t>informant@zupee.in</t>
  </si>
  <si>
    <t>Meenu Bharti</t>
  </si>
  <si>
    <t>meenu.bharti@zupee.in</t>
  </si>
  <si>
    <t>Assistant Manager - HRBP</t>
  </si>
  <si>
    <t>Ayush Dabas</t>
  </si>
  <si>
    <t>ayush.dabas@zupee.in</t>
  </si>
  <si>
    <t>Trainee</t>
  </si>
  <si>
    <t>Vivek Choudhary</t>
  </si>
  <si>
    <t>vivek.choudhary@zupee.in</t>
  </si>
  <si>
    <t>Founders Office</t>
  </si>
  <si>
    <t>foundersoffice@zupee.in</t>
  </si>
  <si>
    <t>Chetan More</t>
  </si>
  <si>
    <t>chetan.more@zupee.in</t>
  </si>
  <si>
    <t>98102 44341</t>
  </si>
  <si>
    <t>Shashank Gupta</t>
  </si>
  <si>
    <t>AD- Business Finance</t>
  </si>
  <si>
    <t>Sunny Singh</t>
  </si>
  <si>
    <t>sunny.singh@zupee.in</t>
  </si>
  <si>
    <t>Field Staff</t>
  </si>
  <si>
    <t>Rishabh Bhatia</t>
  </si>
  <si>
    <t>rishabh.bhatia@zupee.in</t>
  </si>
  <si>
    <t>+919999893268</t>
  </si>
  <si>
    <t>Rajan Jayaswal</t>
  </si>
  <si>
    <t>rajan.jayaswal@zupee.in</t>
  </si>
  <si>
    <t>+918805937549</t>
  </si>
  <si>
    <t>Senior Hindi UX Content Writer</t>
  </si>
  <si>
    <t>Amrit Anand</t>
  </si>
  <si>
    <t>+919958001195</t>
  </si>
  <si>
    <t>Associate Director- Communications</t>
  </si>
  <si>
    <t>Himanshu Nagpal</t>
  </si>
  <si>
    <t>himanshu.nagpal@zupee.in</t>
  </si>
  <si>
    <t>Sr. Relationship Manager</t>
  </si>
  <si>
    <t>Suryanshu Shekhar</t>
  </si>
  <si>
    <t>Manager-Data Analyst</t>
  </si>
  <si>
    <t>CRM VIP</t>
  </si>
  <si>
    <t>crm-vip@zupee.in</t>
  </si>
  <si>
    <t>CX OPS</t>
  </si>
  <si>
    <t>cx-ops@zupee.in</t>
  </si>
  <si>
    <t>Vipul Gupta</t>
  </si>
  <si>
    <t>SDET Lead</t>
  </si>
  <si>
    <t>Suraj Arora</t>
  </si>
  <si>
    <t>suraj.arora@zupee.in</t>
  </si>
  <si>
    <t>Senior Product Designer</t>
  </si>
  <si>
    <t>Ajay Yadav</t>
  </si>
  <si>
    <t>ajay.yadav@zupee.in</t>
  </si>
  <si>
    <t>+917987675177</t>
  </si>
  <si>
    <t>Dipankar Jha</t>
  </si>
  <si>
    <t>dipankar.jha@zupee.in</t>
  </si>
  <si>
    <t>Executive- Finance</t>
  </si>
  <si>
    <t>Geeta Joshi</t>
  </si>
  <si>
    <t>geeta.joshi@zupee.in</t>
  </si>
  <si>
    <t>Khushboo Singh</t>
  </si>
  <si>
    <t>khushboo.singh@zupee.in</t>
  </si>
  <si>
    <t>Lucky Singh</t>
  </si>
  <si>
    <t>lucky.singh1@zupee.in</t>
  </si>
  <si>
    <t>Russell Dreisenstock</t>
  </si>
  <si>
    <t>rad@zupee.in</t>
  </si>
  <si>
    <t>+6588794896</t>
  </si>
  <si>
    <t>Sambhav Singh</t>
  </si>
  <si>
    <t>sambhav.singh@zupee.in</t>
  </si>
  <si>
    <t>Full Stack Trainee</t>
  </si>
  <si>
    <t>Zupee Tools</t>
  </si>
  <si>
    <t>tools@zupee.in</t>
  </si>
  <si>
    <t>Priyansh Barya</t>
  </si>
  <si>
    <t>priyansh.barya@zupee.in</t>
  </si>
  <si>
    <t>Karan Pal Sunkariya</t>
  </si>
  <si>
    <t>karan.sunkariya@zupee.in</t>
  </si>
  <si>
    <t>+919456386177</t>
  </si>
  <si>
    <t>Ankit Wadhwa</t>
  </si>
  <si>
    <t>Manager-Taxation</t>
  </si>
  <si>
    <t>Sparsh Pandey</t>
  </si>
  <si>
    <t>sparsh.pandey@zupee.in</t>
  </si>
  <si>
    <t>Senior SDET</t>
  </si>
  <si>
    <t>App Tezrummy</t>
  </si>
  <si>
    <t>app@tezrummy.com</t>
  </si>
  <si>
    <t>Attar Kaur</t>
  </si>
  <si>
    <t>attar.kaur@zupee.in</t>
  </si>
  <si>
    <t>Social Tez</t>
  </si>
  <si>
    <t>social@tezrummy.com</t>
  </si>
  <si>
    <t>+919450537500</t>
  </si>
  <si>
    <t>jyoti.gupta@cardspatti.com</t>
  </si>
  <si>
    <t>support .</t>
  </si>
  <si>
    <t>support@cardspatti.com</t>
  </si>
  <si>
    <t>techsupport .</t>
  </si>
  <si>
    <t>techsupport@cardspatti.com</t>
  </si>
  <si>
    <t>Ranu Gupta</t>
  </si>
  <si>
    <t>ranu.gupta@zupee.in</t>
  </si>
  <si>
    <t>Shridhar Sharma</t>
  </si>
  <si>
    <t>shridhar.sharma@zupee.in</t>
  </si>
  <si>
    <t>+917045800526</t>
  </si>
  <si>
    <t>Sunil Yadav</t>
  </si>
  <si>
    <t>sunil.yadav@zupee.in</t>
  </si>
  <si>
    <t>+917742331018</t>
  </si>
  <si>
    <t>Care Tez</t>
  </si>
  <si>
    <t>care@tezrummy.com</t>
  </si>
  <si>
    <t>Generic Id</t>
  </si>
  <si>
    <t>Aman Patni</t>
  </si>
  <si>
    <t>Manager-Finance</t>
  </si>
  <si>
    <t>Vipin Kumar</t>
  </si>
  <si>
    <t>vipin.kumar@zupee.in</t>
  </si>
  <si>
    <t>Associate-TA</t>
  </si>
  <si>
    <t>jyoti.gupta@ludozing.com</t>
  </si>
  <si>
    <t>naveen@ludozing.com</t>
  </si>
  <si>
    <t>Tech Support</t>
  </si>
  <si>
    <t>tech@ludozing.com</t>
  </si>
  <si>
    <t>Compliance Team</t>
  </si>
  <si>
    <t>compliance@proludo.in</t>
  </si>
  <si>
    <t>Ankur Prajapati</t>
  </si>
  <si>
    <t>ankur.prajapati@zupee.in</t>
  </si>
  <si>
    <t>QA OPS</t>
  </si>
  <si>
    <t>qa.ops@zupee.in</t>
  </si>
  <si>
    <t>Thomas Phillippe</t>
  </si>
  <si>
    <t>General Counsel</t>
  </si>
  <si>
    <t>shivam.sharma1@zupee.in</t>
  </si>
  <si>
    <t>+918979486153</t>
  </si>
  <si>
    <t>Test Care</t>
  </si>
  <si>
    <t>testcare@zupee.in</t>
  </si>
  <si>
    <t>testcare@tezrummy.com</t>
  </si>
  <si>
    <t>Sanjeev Bhardwaj</t>
  </si>
  <si>
    <t>sanjeev.bhardwaj@zupee.in</t>
  </si>
  <si>
    <t>Armaan Nayyar</t>
  </si>
  <si>
    <t>armaan.nayyar@zupee.in</t>
  </si>
  <si>
    <t>Himanshu Thakur</t>
  </si>
  <si>
    <t>himanshu.thakur@zupee.in</t>
  </si>
  <si>
    <t>Sanchit Mittal</t>
  </si>
  <si>
    <t>sanchit.mittal@zupee.in</t>
  </si>
  <si>
    <t>admin Ludozing</t>
  </si>
  <si>
    <t>admin@ludozing.com</t>
  </si>
  <si>
    <t>Ashu Salmani</t>
  </si>
  <si>
    <t>ashu.salmani@zupee.in</t>
  </si>
  <si>
    <t>Reema Gupta</t>
  </si>
  <si>
    <t>reema.gupta@zupee.in</t>
  </si>
  <si>
    <t>+918287111593</t>
  </si>
  <si>
    <t>Sameer Singh</t>
  </si>
  <si>
    <t>sameer.singh@zupee.in</t>
  </si>
  <si>
    <t>+919877368129</t>
  </si>
  <si>
    <t>Pranav Gautam</t>
  </si>
  <si>
    <t>pranav.gautam@zupee.in</t>
  </si>
  <si>
    <t>Data Science Trainee</t>
  </si>
  <si>
    <t>Srijan Bhageria</t>
  </si>
  <si>
    <t>srijan.bhageria@zupee.in</t>
  </si>
  <si>
    <t>Test Trainee</t>
  </si>
  <si>
    <t>Abhiroop Hora</t>
  </si>
  <si>
    <t>abhiroop.hora@zupee.in</t>
  </si>
  <si>
    <t>Prakhar Srivastava</t>
  </si>
  <si>
    <t>prakhar.srivastava@zupee.in</t>
  </si>
  <si>
    <t>+919958029663</t>
  </si>
  <si>
    <t>Sushil Patel</t>
  </si>
  <si>
    <t>Associate Director- HRBP &amp; COE</t>
  </si>
  <si>
    <t>Grievance Tezrummy</t>
  </si>
  <si>
    <t>grievance@tezrummy.com</t>
  </si>
  <si>
    <t>Nodal Tezrummy</t>
  </si>
  <si>
    <t>nodal@tezrummy.com</t>
  </si>
  <si>
    <t>Genric IC</t>
  </si>
  <si>
    <t>Support Tezrummy</t>
  </si>
  <si>
    <t>support@tezrummy.com</t>
  </si>
  <si>
    <t>Ankit Maheshwari</t>
  </si>
  <si>
    <t>Head of Finance</t>
  </si>
  <si>
    <t>Rajat Saurav</t>
  </si>
  <si>
    <t>rajat.saurav@zupee.in</t>
  </si>
  <si>
    <t>Aryan Chopra</t>
  </si>
  <si>
    <t>aryan.chopra@zupee.in</t>
  </si>
  <si>
    <t>Senior Software Engineer-Website</t>
  </si>
  <si>
    <t>Compliance Manager</t>
  </si>
  <si>
    <t>compliance.manager@zupee.in</t>
  </si>
  <si>
    <t>Abhishek Srivastava</t>
  </si>
  <si>
    <t>Lead-Product Designer</t>
  </si>
  <si>
    <t>Rahul Shivani</t>
  </si>
  <si>
    <t>rahul.shivani@zupee.in</t>
  </si>
  <si>
    <t>+918126857914</t>
  </si>
  <si>
    <t>Senior Machine Learning Engineer</t>
  </si>
  <si>
    <t>Shiwani Pokhriyal</t>
  </si>
  <si>
    <t>+919634477354</t>
  </si>
  <si>
    <t>Senior Quality Team Lead</t>
  </si>
  <si>
    <t>Arsh Jethi</t>
  </si>
  <si>
    <t>arsh.jethi@zupee.in</t>
  </si>
  <si>
    <t>Priyanshu Agrawal</t>
  </si>
  <si>
    <t>priyanshu.agrawal@zupee.in</t>
  </si>
  <si>
    <t>+919936428207</t>
  </si>
  <si>
    <t>Full TIme</t>
  </si>
  <si>
    <t>Pankaj Gautam</t>
  </si>
  <si>
    <t>+917259032047</t>
  </si>
  <si>
    <t>Manager - Data Analytics</t>
  </si>
  <si>
    <t>Anant Dnayeshwar Admane</t>
  </si>
  <si>
    <t>anant.admane@zupee.in</t>
  </si>
  <si>
    <t>Mukesh Singh</t>
  </si>
  <si>
    <t>mukesh.singh@zupee.in</t>
  </si>
  <si>
    <t>Developer Ludozing</t>
  </si>
  <si>
    <t>developer@ludozing.com</t>
  </si>
  <si>
    <t>Suraj Yadav</t>
  </si>
  <si>
    <t>suraj.yadav@zupee.in</t>
  </si>
  <si>
    <t>Aditya Rao</t>
  </si>
  <si>
    <t>aditya.rao@zupee.in</t>
  </si>
  <si>
    <t>Aditya Nath</t>
  </si>
  <si>
    <t>aditya.nath@zupee.in</t>
  </si>
  <si>
    <t>+919717825689</t>
  </si>
  <si>
    <t>Amit Roy</t>
  </si>
  <si>
    <t>amit.roy@zupee.in</t>
  </si>
  <si>
    <t>+917099254028</t>
  </si>
  <si>
    <t>amit.a@zupee.in</t>
  </si>
  <si>
    <t>Aryan Duhan</t>
  </si>
  <si>
    <t>aryan.duhan@zupee.in</t>
  </si>
  <si>
    <t>+918700174108</t>
  </si>
  <si>
    <t>Priyanshu Jha</t>
  </si>
  <si>
    <t>priyanshu.jha@zupee.in</t>
  </si>
  <si>
    <t>Rudraksh Sharma</t>
  </si>
  <si>
    <t>rudraksh.sharma@zupee.in</t>
  </si>
  <si>
    <t>Shrujai Gupta</t>
  </si>
  <si>
    <t>shrujai.gupta@zupee.in</t>
  </si>
  <si>
    <t>Upamdeep Buragohain</t>
  </si>
  <si>
    <t>upamdeep.buragohain@zupee.in</t>
  </si>
  <si>
    <t>Vamsi Haridasu</t>
  </si>
  <si>
    <t>vamsi.haridasu@zupee.in</t>
  </si>
  <si>
    <t>Dhruv Gupta</t>
  </si>
  <si>
    <t>dhruv.gupta@zupee.in</t>
  </si>
  <si>
    <t>Machine Learning Intern</t>
  </si>
  <si>
    <t>Purchase Requisition</t>
  </si>
  <si>
    <t>purchase.requisition@zupee.in</t>
  </si>
  <si>
    <t>Ankit Kumar</t>
  </si>
  <si>
    <t>ankit.kumar@zupee.in</t>
  </si>
  <si>
    <t>+917424960674</t>
  </si>
  <si>
    <t>New App</t>
  </si>
  <si>
    <t>app@fantazyn.com</t>
  </si>
  <si>
    <t>Tech Team</t>
  </si>
  <si>
    <t>tech@fantazyn.com</t>
  </si>
  <si>
    <t>Mirza Azhar</t>
  </si>
  <si>
    <t>mirza.azhar@zupee.in</t>
  </si>
  <si>
    <t>Query KBC</t>
  </si>
  <si>
    <t>query_kbc@zupee.in</t>
  </si>
  <si>
    <t>Corp Comm</t>
  </si>
  <si>
    <t>corpcomm@zupee.in</t>
  </si>
  <si>
    <t>CA IT</t>
  </si>
  <si>
    <t>ca.it@zupee.in</t>
  </si>
  <si>
    <t>Gift Card</t>
  </si>
  <si>
    <t>giftcard@zupee.in</t>
  </si>
  <si>
    <t>Giftcard Support</t>
  </si>
  <si>
    <t>giftcardsupport@zupee.in</t>
  </si>
  <si>
    <t>Prateek Mittal</t>
  </si>
  <si>
    <t>prateek.mittal@zupee.in</t>
  </si>
  <si>
    <t>Dipankar Dipankar Yadav</t>
  </si>
  <si>
    <t>dipankar.yadav@zupee.in</t>
  </si>
  <si>
    <t>Rochak Kumar Ritam</t>
  </si>
  <si>
    <t>rochak.ritam@zupee.in</t>
  </si>
  <si>
    <t>User Experience Researcher</t>
  </si>
  <si>
    <t>D S</t>
  </si>
  <si>
    <t>ds@zupee.in</t>
  </si>
  <si>
    <t>Product Marketing</t>
  </si>
  <si>
    <t>product.marketing@zupee.in</t>
  </si>
  <si>
    <t>Kamal Dixit</t>
  </si>
  <si>
    <t>kamal.dixit@zupee.in</t>
  </si>
  <si>
    <t>+918076926601</t>
  </si>
  <si>
    <t>After HR approval on email(Rejoin Offroll to onroll) 0n 07/jul/2025</t>
  </si>
  <si>
    <t>App Vipjyotish</t>
  </si>
  <si>
    <t>app@vipjyotish.com</t>
  </si>
  <si>
    <t>Abhishek Choudhary</t>
  </si>
  <si>
    <t>abhishek.choudhary@zupee.in</t>
  </si>
  <si>
    <t>+919354265087</t>
  </si>
  <si>
    <t>Data Engineering Intern</t>
  </si>
  <si>
    <t>Sparsh Agarwal</t>
  </si>
  <si>
    <t>sparsh.agarwal@zupee.in</t>
  </si>
  <si>
    <t>+917302537303</t>
  </si>
  <si>
    <t>CA Intern</t>
  </si>
  <si>
    <t>Web Frontend</t>
  </si>
  <si>
    <t>web.frontend@zupee.in</t>
  </si>
  <si>
    <t>Oracle Zupee</t>
  </si>
  <si>
    <t>oracle@zupee.in</t>
  </si>
  <si>
    <t>Anupam Kishore</t>
  </si>
  <si>
    <t>anupam.kishore@zupee.in</t>
  </si>
  <si>
    <t>Ankit Vikram</t>
  </si>
  <si>
    <t>ankit.vikram@zupee.in</t>
  </si>
  <si>
    <t>Content Writer</t>
  </si>
  <si>
    <t>Pranav Arora</t>
  </si>
  <si>
    <t>pranav.arora@zupee.in</t>
  </si>
  <si>
    <t>Product manager</t>
  </si>
  <si>
    <t>Auditor Zupee</t>
  </si>
  <si>
    <t>auditor@zupee.in</t>
  </si>
  <si>
    <t>+918287403033</t>
  </si>
  <si>
    <t>Shubham Agrawal</t>
  </si>
  <si>
    <t>shubham.agrawal@zupee.in</t>
  </si>
  <si>
    <t>+918292003414</t>
  </si>
  <si>
    <t>Ashutosh Garg - Intern</t>
  </si>
  <si>
    <t>ashutosh.garg@zupee.in</t>
  </si>
  <si>
    <t>Priyanshu Gandhi</t>
  </si>
  <si>
    <t>priyanshu.gandhi@zupee.in</t>
  </si>
  <si>
    <t>prashant.k@zupee.in</t>
  </si>
  <si>
    <t>Graphic Designer</t>
  </si>
  <si>
    <t>App Neoastro</t>
  </si>
  <si>
    <t>app@neoastro.com</t>
  </si>
  <si>
    <t>Care Neoastro</t>
  </si>
  <si>
    <t>care@neoastro.com</t>
  </si>
  <si>
    <t>Grievance Neoastro</t>
  </si>
  <si>
    <t>grievance@neoastro.com</t>
  </si>
  <si>
    <t>EkcO6p0Q#f9H0&amp;j}</t>
  </si>
  <si>
    <t>Nodal Neoastro</t>
  </si>
  <si>
    <t>nodal@neoastro.com</t>
  </si>
  <si>
    <t>[G$e74sEQ-[wbU]a</t>
  </si>
  <si>
    <t>Social Neoastro</t>
  </si>
  <si>
    <t>social@neoastro.com</t>
  </si>
  <si>
    <t>Support Neoastro</t>
  </si>
  <si>
    <t>support@neoastro.com</t>
  </si>
  <si>
    <t>Testcare Neoastro</t>
  </si>
  <si>
    <t>testcare@neoastro.com</t>
  </si>
  <si>
    <t>Shubham Kashyap</t>
  </si>
  <si>
    <t>shubham.kashyap@zupee.in</t>
  </si>
  <si>
    <t>Product Marketing Executive</t>
  </si>
  <si>
    <t>Admin Lite</t>
  </si>
  <si>
    <t>adminlite@zupee.in</t>
  </si>
  <si>
    <t>Admin Ludo</t>
  </si>
  <si>
    <t>adminludo@zupee.in</t>
  </si>
  <si>
    <t>Admin Rummy</t>
  </si>
  <si>
    <t>adminrummy@tezrummy.com</t>
  </si>
  <si>
    <t>Diksha Garg</t>
  </si>
  <si>
    <t>diksha.garg@zupee.in</t>
  </si>
  <si>
    <t>+919463558005</t>
  </si>
  <si>
    <t>Assistant Manager-Digital Marketing</t>
  </si>
  <si>
    <t>Yash Satwani</t>
  </si>
  <si>
    <t>yash.satwani@zupee.in</t>
  </si>
  <si>
    <t>Kajal Kaim</t>
  </si>
  <si>
    <t>kajal.kaim@zupee.in</t>
  </si>
  <si>
    <t>Mini Agarwal</t>
  </si>
  <si>
    <t>mini.agarwal@zupee.in</t>
  </si>
  <si>
    <t>Saumil Shah</t>
  </si>
  <si>
    <t>Senior Manager SEO</t>
  </si>
  <si>
    <t>Vijay Yadav</t>
  </si>
  <si>
    <t>vijay.yadav@zupee.in</t>
  </si>
  <si>
    <t>SDET - Intern</t>
  </si>
  <si>
    <t>Mitali Luthra</t>
  </si>
  <si>
    <t>mitali.luthra@zupee.in</t>
  </si>
  <si>
    <t>Shobhit Nanda</t>
  </si>
  <si>
    <t>Associate Director - Legal</t>
  </si>
  <si>
    <t>Subhankar Jha</t>
  </si>
  <si>
    <t>subhankar.jha@zupee.in</t>
  </si>
  <si>
    <t>Kunal Bansal</t>
  </si>
  <si>
    <t>kunal.bansal@zupee.in</t>
  </si>
  <si>
    <t>+918708738880</t>
  </si>
  <si>
    <t>Rajnish Kumar</t>
  </si>
  <si>
    <t>rajnish.kumar@zupee.in</t>
  </si>
  <si>
    <t>Pooja Uppal</t>
  </si>
  <si>
    <t>pooja.uppal@zupee.in</t>
  </si>
  <si>
    <t>+919582431326</t>
  </si>
  <si>
    <t>Anshul Ahuja</t>
  </si>
  <si>
    <t>anshul.ahuja@zupee.in</t>
  </si>
  <si>
    <t>+919999109096</t>
  </si>
  <si>
    <t>Engineering Manager - Software Development in Testing</t>
  </si>
  <si>
    <t>Divy Dwivedi</t>
  </si>
  <si>
    <t>divy.dwivedi@zupee.in</t>
  </si>
  <si>
    <t>Senior Software Engineer-Android</t>
  </si>
  <si>
    <t>Umang Chhabra</t>
  </si>
  <si>
    <t>umang.chhabra@zupee.in</t>
  </si>
  <si>
    <t>Ajinkya Puranik</t>
  </si>
  <si>
    <t>ajinkya.puranik@zupee.in</t>
  </si>
  <si>
    <t>Manager-Strategy</t>
  </si>
  <si>
    <t>Reetik Rajan</t>
  </si>
  <si>
    <t>reetik.rajan@zupee.in</t>
  </si>
  <si>
    <t>Sahil Verma</t>
  </si>
  <si>
    <t>sahil.verma@zupee.in</t>
  </si>
  <si>
    <t>+919306254667</t>
  </si>
  <si>
    <t>Product Designer</t>
  </si>
  <si>
    <t>Divakar Garg</t>
  </si>
  <si>
    <t>divakar.garg@zupee.in</t>
  </si>
  <si>
    <t>Manager-Data Analytics</t>
  </si>
  <si>
    <t>Harshita Sethi</t>
  </si>
  <si>
    <t>harshita.sethi@zupee.in</t>
  </si>
  <si>
    <t>Motion Graphics Designer</t>
  </si>
  <si>
    <t>Saurabh Singh</t>
  </si>
  <si>
    <t>saurabh.singh@zupee.in</t>
  </si>
  <si>
    <t>Shivam Pandita</t>
  </si>
  <si>
    <t>shivam.pandita@zupee.in</t>
  </si>
  <si>
    <t>+917889364518</t>
  </si>
  <si>
    <t>Vania Islam</t>
  </si>
  <si>
    <t>vania.islam@zupee.in</t>
  </si>
  <si>
    <t>+917568079097</t>
  </si>
  <si>
    <t>Yagya Srivastava</t>
  </si>
  <si>
    <t>yagya.srivastava@zupee.in</t>
  </si>
  <si>
    <t>+919920972126</t>
  </si>
  <si>
    <t>Assistant Manager- Public Policy</t>
  </si>
  <si>
    <t>Super Admin</t>
  </si>
  <si>
    <t>super.admin@zupee.in</t>
  </si>
  <si>
    <t>Sagar Nassa</t>
  </si>
  <si>
    <t>sagar.nassa@zupee.in</t>
  </si>
  <si>
    <t>+919760825726</t>
  </si>
  <si>
    <t>saurabh.s@zupee.in</t>
  </si>
  <si>
    <t>+919873780168</t>
  </si>
  <si>
    <t>Manager- Digital Marketing</t>
  </si>
  <si>
    <t>Ketan Keshri</t>
  </si>
  <si>
    <t>ketan.keshri@zupee.in</t>
  </si>
  <si>
    <t>+919113946425</t>
  </si>
  <si>
    <t>Nitesh Dagar</t>
  </si>
  <si>
    <t>nitesh.dagar@zupee.in</t>
  </si>
  <si>
    <t>buildwithus@zupee.in</t>
  </si>
  <si>
    <t>Anshit Singh</t>
  </si>
  <si>
    <t>anshit.singh@zupee.in</t>
  </si>
  <si>
    <t>+919933909873</t>
  </si>
  <si>
    <t>Manager - Strategy</t>
  </si>
  <si>
    <t>Himanshu Mittal</t>
  </si>
  <si>
    <t>himanshu.mittal@zupee.in</t>
  </si>
  <si>
    <t>Harshit Kumar Singh</t>
  </si>
  <si>
    <t>harshit.singh@zupee.in</t>
  </si>
  <si>
    <t>Archit Goswami</t>
  </si>
  <si>
    <t>archit.goswami@zupee.in</t>
  </si>
  <si>
    <t>Renuka Sarvaiya</t>
  </si>
  <si>
    <t>renuka.sarvaiya@zupee.in</t>
  </si>
  <si>
    <t>Senior Business Intelligence Engineer</t>
  </si>
  <si>
    <t>Richa Sahal</t>
  </si>
  <si>
    <t>richa.sahal@zupee.in</t>
  </si>
  <si>
    <t>Manager - SEO</t>
  </si>
  <si>
    <t>Saumitra Raj</t>
  </si>
  <si>
    <t>saumitra.raj@zupee.in</t>
  </si>
  <si>
    <t>Director- Revenue and Growth</t>
  </si>
  <si>
    <t>User already join and asset allocation on 15-july-2025</t>
  </si>
  <si>
    <t>Ujwal Tandon</t>
  </si>
  <si>
    <t>ujwal.tandon@zupee.in</t>
  </si>
  <si>
    <t>Lead - Machine Learning Engineer</t>
  </si>
  <si>
    <t>Genai Ds</t>
  </si>
  <si>
    <t>genai_ds@zupee.in</t>
  </si>
  <si>
    <t>rahul.sharma1@zupee.in</t>
  </si>
  <si>
    <t>+919910654455</t>
  </si>
  <si>
    <t>Director Data engineer</t>
  </si>
  <si>
    <t>Rohan Negi</t>
  </si>
  <si>
    <t>rohan.negi@zupee.in</t>
  </si>
  <si>
    <t>+918700345226</t>
  </si>
  <si>
    <t>Sagar Rohi</t>
  </si>
  <si>
    <t>sagar.rohi@zupee.in</t>
  </si>
  <si>
    <t>+917838806675</t>
  </si>
  <si>
    <t>Arun A R</t>
  </si>
  <si>
    <t>arun.r@zupee.in</t>
  </si>
  <si>
    <t>Jaya Tiwari</t>
  </si>
  <si>
    <t>jaya.tiwari@zupee.in</t>
  </si>
  <si>
    <t>+919156297164</t>
  </si>
  <si>
    <t>Assistant Manager- Talent Acquisition</t>
  </si>
  <si>
    <t>Yogendra Tiwari</t>
  </si>
  <si>
    <t>yogendra.tiwari@zupee.in</t>
  </si>
  <si>
    <t>Shailja Tiwari</t>
  </si>
  <si>
    <t>shailja.tiwari@zupee.in</t>
  </si>
  <si>
    <t>Senior Public Relations Executive</t>
  </si>
  <si>
    <t>proofponit TRAP</t>
  </si>
  <si>
    <t>proofponit.trap@zupee.in</t>
  </si>
  <si>
    <t>Sahil Brahmania</t>
  </si>
  <si>
    <t>sahil.brahmania@zupee.in</t>
  </si>
  <si>
    <t>+919041228695</t>
  </si>
  <si>
    <t>General Manager - Digital Marketing</t>
  </si>
  <si>
    <t>Rohit Kumar Gupta</t>
  </si>
  <si>
    <t>rohit.gupta@zupee.in</t>
  </si>
  <si>
    <t>Social Ludo</t>
  </si>
  <si>
    <t>socialludo@zupee.in</t>
  </si>
  <si>
    <t>Rishabh Raj</t>
  </si>
  <si>
    <t>rishabh.raj@zupee.in</t>
  </si>
  <si>
    <t>+919123119980</t>
  </si>
  <si>
    <t>Dhiraj Kumar</t>
  </si>
  <si>
    <t>dhiraj.kumar@zupee.in</t>
  </si>
  <si>
    <t>Kushagra Agrawal</t>
  </si>
  <si>
    <t>kushagra.agrawal@zupee.in</t>
  </si>
  <si>
    <t>Mohit Garg</t>
  </si>
  <si>
    <t>mohit.garg@zupee.in</t>
  </si>
  <si>
    <t>Director- Marketing</t>
  </si>
  <si>
    <t>Proofpoint phishalarm</t>
  </si>
  <si>
    <t>proofpoint.phishalarm@zupee.in</t>
  </si>
  <si>
    <t>Proofpoint CASB</t>
  </si>
  <si>
    <t>proofpoint.casb@zupee.in</t>
  </si>
  <si>
    <t>Srishti Seth</t>
  </si>
  <si>
    <t>srishti.seth@zupee.in</t>
  </si>
  <si>
    <t>Content Lead &amp; Strategist</t>
  </si>
  <si>
    <t>Varun Sahu</t>
  </si>
  <si>
    <t>varun.sahu@zupee.in</t>
  </si>
  <si>
    <t>Nisha Yadav</t>
  </si>
  <si>
    <t>nisha.yadav@zupee.in</t>
  </si>
  <si>
    <t>Sushmita Kannadi</t>
  </si>
  <si>
    <t>sushmita.kannadi@zupee.in</t>
  </si>
  <si>
    <t>Harshil Dhawan</t>
  </si>
  <si>
    <t>harshil.dhawan@zupee.in</t>
  </si>
  <si>
    <t>Creative Director</t>
  </si>
  <si>
    <t>Neha Jain</t>
  </si>
  <si>
    <t>neha.jain@zupee.in</t>
  </si>
  <si>
    <t>Data Analytics</t>
  </si>
  <si>
    <t>Aman Srivastav</t>
  </si>
  <si>
    <t>aman.srivastav@zupee.in</t>
  </si>
  <si>
    <t>Finance Records</t>
  </si>
  <si>
    <t>finance.records@zupee.in</t>
  </si>
  <si>
    <t>Aarti Mangla</t>
  </si>
  <si>
    <t>aarti.mangla@zupee.in</t>
  </si>
  <si>
    <t>Bharat Gupta</t>
  </si>
  <si>
    <t>bharat.gupta@zupee.in</t>
  </si>
  <si>
    <t>Cheshtha Sharma</t>
  </si>
  <si>
    <t>cheshtha.sharma@zupee.in.</t>
  </si>
  <si>
    <t>Abhisar Gautam</t>
  </si>
  <si>
    <t>abhisar.gautam@zupee.in</t>
  </si>
  <si>
    <t>Rishabh Baid</t>
  </si>
  <si>
    <t>rishabh.baid@zupee.in</t>
  </si>
  <si>
    <t>Samir Halder</t>
  </si>
  <si>
    <t>samir.h@zupee.in.</t>
  </si>
  <si>
    <t>Video Editor</t>
  </si>
  <si>
    <t>Gaurav Singh</t>
  </si>
  <si>
    <t>gaurav.singh@zupee.in</t>
  </si>
  <si>
    <t>Associate - Talent Acquisition</t>
  </si>
  <si>
    <t>vivek.sharma1@zupee.in</t>
  </si>
  <si>
    <t>Saurav Atram</t>
  </si>
  <si>
    <t>saurav.atram@zupee.in</t>
  </si>
  <si>
    <t>Malviya Malviya</t>
  </si>
  <si>
    <t>siddharth.malviya@zupee.in</t>
  </si>
  <si>
    <t>Rohan Gauda</t>
  </si>
  <si>
    <t>rohan.gauda@zupee.in</t>
  </si>
  <si>
    <t>Priyanshu Tripathi</t>
  </si>
  <si>
    <t>priyanshu.tripathi@zupee.in</t>
  </si>
  <si>
    <t>Akansha Rajawat</t>
  </si>
  <si>
    <t>akansha.rajawat@zupee.in</t>
  </si>
  <si>
    <t>Kinjal Sharma</t>
  </si>
  <si>
    <t>kinjal.sharma@zupee.in</t>
  </si>
  <si>
    <t>Pratham Bansal</t>
  </si>
  <si>
    <t>pratham.bansal@zupee.in</t>
  </si>
  <si>
    <t>Lakshya Gupta</t>
  </si>
  <si>
    <t>lakshya.gupta@zupee.in</t>
  </si>
  <si>
    <t>Arpan Garg</t>
  </si>
  <si>
    <t>arpan.garg@zupee.in</t>
  </si>
  <si>
    <t>Animesh Jain</t>
  </si>
  <si>
    <t>animesh.jain@zupee.in</t>
  </si>
  <si>
    <t>Abhishek Rawat</t>
  </si>
  <si>
    <t>abhishek.rawat@zupee.in</t>
  </si>
  <si>
    <t>Shyam Warrier</t>
  </si>
  <si>
    <t>shyam.warrier@zupee.in</t>
  </si>
  <si>
    <t>Associate-Digital Marketing</t>
  </si>
  <si>
    <t>Ambika G</t>
  </si>
  <si>
    <t>ambika.g@zupee.in</t>
  </si>
  <si>
    <t>Abhishek Bajiya</t>
  </si>
  <si>
    <t>abhishek.bajiya@zupee.in</t>
  </si>
  <si>
    <t>rajnish.kumar1@zupee.in</t>
  </si>
  <si>
    <t>Lead Database Administrator</t>
  </si>
  <si>
    <t>Chirag Goyal</t>
  </si>
  <si>
    <t>chirag.goyal@zupee.in</t>
  </si>
  <si>
    <t>Akhil Nr</t>
  </si>
  <si>
    <t>akhil.nr@zupee.in</t>
  </si>
  <si>
    <t>Manager- Government Affairs</t>
  </si>
  <si>
    <t>Suyash Kumar</t>
  </si>
  <si>
    <t>suyash.kumar@zupee.in</t>
  </si>
  <si>
    <t>Jay Patel</t>
  </si>
  <si>
    <t>jay.patel@zupee.in</t>
  </si>
  <si>
    <t>Rishabh Sharma</t>
  </si>
  <si>
    <t>rishabh.sharma@zupee.in</t>
  </si>
  <si>
    <t>Vaibhav Binaykiya</t>
  </si>
  <si>
    <t>vaibhav.binaykiya@zupee.in</t>
  </si>
  <si>
    <t>Piyush Saraf</t>
  </si>
  <si>
    <t>piyush.saraf@zupee.in</t>
  </si>
  <si>
    <t>Software Engineer-Devops</t>
  </si>
  <si>
    <t>Lovleen Thapar</t>
  </si>
  <si>
    <t>lovleen.thapar@zupee.in</t>
  </si>
  <si>
    <t>Social Ludo1</t>
  </si>
  <si>
    <t>Social.ludo1@zupee.in</t>
  </si>
  <si>
    <t>Mail ID used by Vedant Sharma</t>
  </si>
  <si>
    <t>Anuj Mittal</t>
  </si>
  <si>
    <t>anuj.mittal@zupee.in</t>
  </si>
  <si>
    <t>Urvashi Matta</t>
  </si>
  <si>
    <t>urvashi.matta@zupee.in</t>
  </si>
  <si>
    <t>Senior User Researcher</t>
  </si>
  <si>
    <t>Tarun Khandelwal</t>
  </si>
  <si>
    <t>tarun.khandelwal@zupee.in</t>
  </si>
  <si>
    <t>Abhishek Bithu</t>
  </si>
  <si>
    <t>abhishek.bithu@zupee.in</t>
  </si>
  <si>
    <t>Bhavya Arora</t>
  </si>
  <si>
    <t>bhavya.arora@zupee.in</t>
  </si>
  <si>
    <t>Jatin Jatin</t>
  </si>
  <si>
    <t>jatin.jatin@zupee.in</t>
  </si>
  <si>
    <t>Banking &amp; Treasury Analyst</t>
  </si>
  <si>
    <t>Sarthak Chhabra</t>
  </si>
  <si>
    <t>sarthak.chhabra@zupee.in</t>
  </si>
  <si>
    <t>Abhinav Pant</t>
  </si>
  <si>
    <t>abhinav.pant@zupee.in</t>
  </si>
  <si>
    <t>Senior Manager Strategy</t>
  </si>
  <si>
    <t>Divyanshu Rastogi</t>
  </si>
  <si>
    <t>divyanshu.rastogi@zupee.in</t>
  </si>
  <si>
    <t>Principal Product manager</t>
  </si>
  <si>
    <t>Yash Agarwal</t>
  </si>
  <si>
    <t>yash.agarwal@zupee.in</t>
  </si>
  <si>
    <t>Shuvamoy Roy</t>
  </si>
  <si>
    <t>shuvamoy.roy@zupee.in</t>
  </si>
  <si>
    <t>Senior Security Engineer</t>
  </si>
  <si>
    <t>Akrant Sharma</t>
  </si>
  <si>
    <t>akrant.sharma@zupee.in</t>
  </si>
  <si>
    <t>Senior Associate- Digital Marketing</t>
  </si>
  <si>
    <t>Ankit Madan</t>
  </si>
  <si>
    <t>ankit.madan@zupee.in</t>
  </si>
  <si>
    <t>Director- Strategy and Growth</t>
  </si>
  <si>
    <t>Mohim Singla</t>
  </si>
  <si>
    <t>mohim.singla@zupee.in</t>
  </si>
  <si>
    <t>Prakrati Gupta</t>
  </si>
  <si>
    <t>prakrati.gupta@zupee.in</t>
  </si>
  <si>
    <t>Aditya Singh Jaswal</t>
  </si>
  <si>
    <t>aditya.jaswal@zupee.in</t>
  </si>
  <si>
    <t>Assistant Manager- Digital Marketing</t>
  </si>
  <si>
    <t>Kunal Shivhare</t>
  </si>
  <si>
    <t>kunal.shivhare@zupee.in</t>
  </si>
  <si>
    <t>Software Engineer - React Native</t>
  </si>
  <si>
    <t>Harshit Singh Negi</t>
  </si>
  <si>
    <t>harshit.negi@zupee.in</t>
  </si>
  <si>
    <t>Senior Executive- Product Marketing</t>
  </si>
  <si>
    <t>Nitish Naidu</t>
  </si>
  <si>
    <t>nitish.naidu@zupee.in</t>
  </si>
  <si>
    <t>Varen Gupta</t>
  </si>
  <si>
    <t>varen.gupta@zupee.in</t>
  </si>
  <si>
    <t>Kashish Baliyan</t>
  </si>
  <si>
    <t>kashish.baliyan@zupee.in</t>
  </si>
  <si>
    <t>Contractual : Test Yantra</t>
  </si>
  <si>
    <t>Kamini Rathore</t>
  </si>
  <si>
    <t>kamini.rathore@zupee.in</t>
  </si>
  <si>
    <t>Vinod Kumar</t>
  </si>
  <si>
    <t>vinod.kumar@zupee.in</t>
  </si>
  <si>
    <t>Durgesh Shukla</t>
  </si>
  <si>
    <t>durgesh.shukla@zupee.in</t>
  </si>
  <si>
    <t>Mohd Saad Khan</t>
  </si>
  <si>
    <t>mohd.saad@zupee.in</t>
  </si>
  <si>
    <t>Laxmi Rajput</t>
  </si>
  <si>
    <t>laxmi.rajput@zupee.in</t>
  </si>
  <si>
    <t>Jatin Solanki</t>
  </si>
  <si>
    <t>jatin.solanki@zupee.in</t>
  </si>
  <si>
    <t>Mohammad Ubed</t>
  </si>
  <si>
    <t>mohammad.ubed@zupee.in</t>
  </si>
  <si>
    <t>Aditya Goswami</t>
  </si>
  <si>
    <t>aditya.goswami@zupee.in</t>
  </si>
  <si>
    <t>Vivek Pal</t>
  </si>
  <si>
    <t>vivek.pal@zupee.in</t>
  </si>
  <si>
    <t>Prateek Sharma</t>
  </si>
  <si>
    <t>prateek.sharma1@zupee.in</t>
  </si>
  <si>
    <t>Gaurav Prakash</t>
  </si>
  <si>
    <t>gaurav.prakash1@zupee.in</t>
  </si>
  <si>
    <t>Ishan Rajendra Margamwar</t>
  </si>
  <si>
    <t>ishan.margamwar1@zupee.in</t>
  </si>
  <si>
    <t>Assistant Manager- FRM</t>
  </si>
  <si>
    <t>Arham Ali</t>
  </si>
  <si>
    <t>arham.ali@zupee.in</t>
  </si>
  <si>
    <t>Harshit Khanna</t>
  </si>
  <si>
    <t>harshit.khanna@zupee.in</t>
  </si>
  <si>
    <t>Gaurav Gaurav</t>
  </si>
  <si>
    <t>gaurav.gaurav@zupee.in</t>
  </si>
  <si>
    <t>Kulvinder Singh</t>
  </si>
  <si>
    <t>kulvinder.singh@zupee.in</t>
  </si>
  <si>
    <t>Mamta Yadav</t>
  </si>
  <si>
    <t>mamta.yadav@zupee.in</t>
  </si>
  <si>
    <t>Bhawna Bhawna</t>
  </si>
  <si>
    <t>bhawna.bhawna@zupee.in</t>
  </si>
  <si>
    <t>Sameer Qureshi</t>
  </si>
  <si>
    <t>sameer.qureshi@zupee.in</t>
  </si>
  <si>
    <t>MD Irfan</t>
  </si>
  <si>
    <t>md.Irfan@zupee.in</t>
  </si>
  <si>
    <t>Biswin K</t>
  </si>
  <si>
    <t>biswin.k@zupee.in</t>
  </si>
  <si>
    <t>Soyesh Dixit</t>
  </si>
  <si>
    <t>soyesh.dixit@zupee.in</t>
  </si>
  <si>
    <t>Senior IT Executive</t>
  </si>
  <si>
    <t>Bhupendra Kumar</t>
  </si>
  <si>
    <t>bhupendra.kumar@zupee.in</t>
  </si>
  <si>
    <t>Shiv Kumar</t>
  </si>
  <si>
    <t>shiv.kumar1@zupee.in</t>
  </si>
  <si>
    <t>Madhav Gupta</t>
  </si>
  <si>
    <t>madhav.gupta@zupee.in</t>
  </si>
  <si>
    <t>Anuj Srivastava</t>
  </si>
  <si>
    <t>anuj.srivastava@zupee.in</t>
  </si>
  <si>
    <t>Hardik Kumar</t>
  </si>
  <si>
    <t>hardik.kumar@zupee.in</t>
  </si>
  <si>
    <t>Saransh Bankiwal</t>
  </si>
  <si>
    <t>saransh.bankiwal@zupee.in</t>
  </si>
  <si>
    <t>Senior Software Engineer- DevOps</t>
  </si>
  <si>
    <t>Aditya Gupta</t>
  </si>
  <si>
    <t>aditya.gupta@zupee.in</t>
  </si>
  <si>
    <t>Devansh Mittal</t>
  </si>
  <si>
    <t>devansh.mittal@zupee.in</t>
  </si>
  <si>
    <t>Deepankar Rao</t>
  </si>
  <si>
    <t>deepankar.rao@zupee.in</t>
  </si>
  <si>
    <t>Rachit Sharma</t>
  </si>
  <si>
    <t>rachit.sharma@zupee.in</t>
  </si>
  <si>
    <t>Intern- Data Analytics</t>
  </si>
  <si>
    <t>Aditya Tamta</t>
  </si>
  <si>
    <t>aditya.tamta@zupee.in</t>
  </si>
  <si>
    <t>Harsh Dubey</t>
  </si>
  <si>
    <t>harsh.dubey@zupee.in</t>
  </si>
  <si>
    <t>Vinay Singh</t>
  </si>
  <si>
    <t>vinay.singh@zupee.in</t>
  </si>
  <si>
    <t>Rishi Patidar</t>
  </si>
  <si>
    <t>rishi.patidar@zupee.in</t>
  </si>
  <si>
    <t>Endpoint Security Engineer</t>
  </si>
  <si>
    <t>Dhruv Bisht</t>
  </si>
  <si>
    <t>dhruv.bisht@zupee.in</t>
  </si>
  <si>
    <t>Copywriter</t>
  </si>
  <si>
    <t>Rishav Bansal</t>
  </si>
  <si>
    <t>rishav.bansal@zupee.in</t>
  </si>
  <si>
    <t>Lead Software Development Engineer in Test</t>
  </si>
  <si>
    <t>Khalique Firoz</t>
  </si>
  <si>
    <t>khalique.firoz@zupee.in</t>
  </si>
  <si>
    <t>Gagandeep Singh</t>
  </si>
  <si>
    <t>gagandeep.singh@zupee.in</t>
  </si>
  <si>
    <t>Senior Executive - Finance</t>
  </si>
  <si>
    <t>Vaishnav Vaishnav</t>
  </si>
  <si>
    <t>vaishnav.vaishnav@zupee.in</t>
  </si>
  <si>
    <t>Executive - founder's office</t>
  </si>
  <si>
    <t>Aditya Gandhi</t>
  </si>
  <si>
    <t>aditya.gandhi@zupee.in</t>
  </si>
  <si>
    <t>rahul.yadav1@zupee.in</t>
  </si>
  <si>
    <t>Vishal Raj</t>
  </si>
  <si>
    <t>vishal.raj@zupee.in</t>
  </si>
  <si>
    <t>prabhat.kumar1@zupee.in</t>
  </si>
  <si>
    <t>Akhil Mudgal</t>
  </si>
  <si>
    <t>akhil.mudgal@zupee.in</t>
  </si>
  <si>
    <t>Engineering Manager- DevOps</t>
  </si>
  <si>
    <t>Shubham Sharma</t>
  </si>
  <si>
    <t>shubham.sharma@zupee.in</t>
  </si>
  <si>
    <t>Mohit Kumar1</t>
  </si>
  <si>
    <t>mohit.kumar1@zupee.in</t>
  </si>
  <si>
    <t>IT Infra Lead</t>
  </si>
  <si>
    <t>Garvit Bhatia</t>
  </si>
  <si>
    <t>garvit.bhatia@zupee.in</t>
  </si>
  <si>
    <t>Rahul Modi</t>
  </si>
  <si>
    <t>rahul.modi@zupee.in</t>
  </si>
  <si>
    <t>Manager Data Analyst</t>
  </si>
  <si>
    <t>Khushank Tayal</t>
  </si>
  <si>
    <t>khushank.tayal@zupee.in</t>
  </si>
  <si>
    <t>Harshit Varshney</t>
  </si>
  <si>
    <t>harshit.varshney@zupee.in</t>
  </si>
  <si>
    <t>Srishty Gagneja</t>
  </si>
  <si>
    <t>srishty.gagneja@zupee.in</t>
  </si>
  <si>
    <t>Madhavam Saxena</t>
  </si>
  <si>
    <t>madhavam.saxena@zupee.in</t>
  </si>
  <si>
    <t>Shubham Srivastava</t>
  </si>
  <si>
    <t>shubham.srivastava@zupee.in</t>
  </si>
  <si>
    <t>Gauravjit Singh</t>
  </si>
  <si>
    <t>gauravjit.singh@zupee.in</t>
  </si>
  <si>
    <t>Senior Manager- Experiential Marketing</t>
  </si>
  <si>
    <t>Aashit Dua</t>
  </si>
  <si>
    <t>aashit.dua@zupee.in</t>
  </si>
  <si>
    <t>Palak Dua</t>
  </si>
  <si>
    <t>palak.dua@zupee.in</t>
  </si>
  <si>
    <t>Engineering Manager- Frontend</t>
  </si>
  <si>
    <t>Akash Tamta</t>
  </si>
  <si>
    <t>akash.tamta@zupee.in</t>
  </si>
  <si>
    <t>Kunal Chauhan</t>
  </si>
  <si>
    <t>kunal.chauhan@zupee.in</t>
  </si>
  <si>
    <t>Pashupathi Ravi</t>
  </si>
  <si>
    <t>pashupathi.ravi@zupee.in</t>
  </si>
  <si>
    <t>Rohit Dutta</t>
  </si>
  <si>
    <t>rohit.dutta@zupee.in</t>
  </si>
  <si>
    <t>Divyansh Jaiswal</t>
  </si>
  <si>
    <t>divyansh.jaiswal@zupee.in</t>
  </si>
  <si>
    <t>sumit.kumar2@zupee.in</t>
  </si>
  <si>
    <t>Aniket Goel</t>
  </si>
  <si>
    <t>aniket.goel@zupee.in</t>
  </si>
  <si>
    <t>Staff Data Engineer</t>
  </si>
  <si>
    <t>Ritik Asati</t>
  </si>
  <si>
    <t>ritik.asati@zupee.in</t>
  </si>
  <si>
    <t>Contract: Testyantra</t>
  </si>
  <si>
    <t>Vidit Mathur</t>
  </si>
  <si>
    <t>vidit.mathur@zupee.in</t>
  </si>
  <si>
    <t>Sahil Bajaj</t>
  </si>
  <si>
    <t>sahil.bajaj@zupee.in</t>
  </si>
  <si>
    <t>Deepak Kumar</t>
  </si>
  <si>
    <t>deepak.kumar@zupee.in</t>
  </si>
  <si>
    <t>Suraj Kumar</t>
  </si>
  <si>
    <t>suraj.kumar@zupee.in</t>
  </si>
  <si>
    <t>Praveen Kumar</t>
  </si>
  <si>
    <t>praveen.kumar@zupee.in</t>
  </si>
  <si>
    <t>Ashutosh Wadhwani</t>
  </si>
  <si>
    <t>ashutosh.wadhwani@zupee.in</t>
  </si>
  <si>
    <t>Director- Growth</t>
  </si>
  <si>
    <t>Divas Gupta</t>
  </si>
  <si>
    <t>divas.gupta@zupee.in</t>
  </si>
  <si>
    <t>Abhishek Saxena</t>
  </si>
  <si>
    <t>abhishek.saxena@zupee.in</t>
  </si>
  <si>
    <t>Nitesh Gupta</t>
  </si>
  <si>
    <t>nitesh.gupta@zupee.in</t>
  </si>
  <si>
    <t>Software Engineer-Android</t>
  </si>
  <si>
    <t>Navneet Lohia</t>
  </si>
  <si>
    <t>navneet.lohia@zupee.in</t>
  </si>
  <si>
    <t>Sarthak Saluja</t>
  </si>
  <si>
    <t>sarthak.saluja@zupee.in</t>
  </si>
  <si>
    <t>Kamya Aggarwal</t>
  </si>
  <si>
    <t>kamya.aggarwal@zupee.in</t>
  </si>
  <si>
    <t>Assistant Manager - Marketing Analytics</t>
  </si>
  <si>
    <t>Vikas Pandey</t>
  </si>
  <si>
    <t>vikas.pandey@zupee.in</t>
  </si>
  <si>
    <t>A Chakravarthy Thalluri</t>
  </si>
  <si>
    <t>chakravarthy.thalluri@zupee.in</t>
  </si>
  <si>
    <t>Staff Data Analyst</t>
  </si>
  <si>
    <t>Shah Faizal Khan</t>
  </si>
  <si>
    <t>faizal.khan@zupee.in</t>
  </si>
  <si>
    <t>As per HR confirmation he is not joining so we have suspend the Mail ID</t>
  </si>
  <si>
    <t>Shivam Goel</t>
  </si>
  <si>
    <t>shivam.goel@zupee.in</t>
  </si>
  <si>
    <t>Assistant Manager - Strategy</t>
  </si>
  <si>
    <t>Sunny Shanker Anand</t>
  </si>
  <si>
    <t>sunny.anand@zupee.in</t>
  </si>
  <si>
    <t>Manager-Public Policy</t>
  </si>
  <si>
    <t>Anmol Rawlani</t>
  </si>
  <si>
    <t>anmol.rawlani@zupee.in</t>
  </si>
  <si>
    <t>Brand Manager</t>
  </si>
  <si>
    <t>Joyce Dass</t>
  </si>
  <si>
    <t>joyce.dass@zupee.in</t>
  </si>
  <si>
    <t>sumit.yadav@neoastro.com</t>
  </si>
  <si>
    <t>om.mishra@neoastro.com</t>
  </si>
  <si>
    <t>Support</t>
  </si>
  <si>
    <t>support@zupeestudio.com</t>
  </si>
  <si>
    <t>+918971355133</t>
  </si>
  <si>
    <t>Grievances</t>
  </si>
  <si>
    <t>grievances@zupeestudio.com</t>
  </si>
  <si>
    <t>Nodal</t>
  </si>
  <si>
    <t>nodal@zupeestudio.com</t>
  </si>
  <si>
    <t>mukesh.singh@neoastro.com</t>
  </si>
  <si>
    <t>Shubham Khan</t>
  </si>
  <si>
    <t>shubham.khan@zupee.in</t>
  </si>
  <si>
    <t>Content Lead</t>
  </si>
  <si>
    <t>Consultant 1</t>
  </si>
  <si>
    <t>consultant.1@zupee.in</t>
  </si>
  <si>
    <t>Consultant 2</t>
  </si>
  <si>
    <t>consultant.2@zupee.in</t>
  </si>
  <si>
    <t>Consultant 3</t>
  </si>
  <si>
    <t>consultant.3@zupee.in</t>
  </si>
  <si>
    <t>Consultant 4</t>
  </si>
  <si>
    <t>consultant.4@zupee.in</t>
  </si>
  <si>
    <t>tech@neoastro.com</t>
  </si>
  <si>
    <t>support@zaplearn.com</t>
  </si>
  <si>
    <t>sumit.yadav@zupee.com</t>
  </si>
  <si>
    <t>tech@zaplearn.com</t>
  </si>
  <si>
    <t>+919429439007</t>
  </si>
  <si>
    <t>grievances@zaplearn.com</t>
  </si>
  <si>
    <t>nodal@zaplearn.com</t>
  </si>
  <si>
    <t>+9176949 66881</t>
  </si>
  <si>
    <t>Avinash Kumar</t>
  </si>
  <si>
    <t>avinash.kumar@zupee.in</t>
  </si>
  <si>
    <t>Creative Head</t>
  </si>
  <si>
    <t>Amrit Raj Jha</t>
  </si>
  <si>
    <t>amritraj.jha@zupee.in</t>
  </si>
  <si>
    <t>Content Operations Lead</t>
  </si>
  <si>
    <t>Chiragkumar Savjibhai Sabhadiya</t>
  </si>
  <si>
    <t>+919586411885</t>
  </si>
  <si>
    <t>Content Operations Manager</t>
  </si>
  <si>
    <t>Admin Neoastro</t>
  </si>
  <si>
    <t>admin_neoastro@zupee.in</t>
  </si>
  <si>
    <t>Rqst By Pulkit Sehgal Appv By Ankit Maheshwari</t>
  </si>
  <si>
    <t>Admin Vedicsankalp</t>
  </si>
  <si>
    <t>admin_vedicsankalp@zupee.in</t>
  </si>
  <si>
    <t>Admin Zupeestudio</t>
  </si>
  <si>
    <t>admin_zupeestudio@zupee.in</t>
  </si>
  <si>
    <t>Admin Zaplearn</t>
  </si>
  <si>
    <t>admin_zaplearn@zupee.in</t>
  </si>
  <si>
    <t>Gaurav Mishra</t>
  </si>
  <si>
    <t>gaurav.mishra@zupee.in</t>
  </si>
  <si>
    <t>+918982834662</t>
  </si>
  <si>
    <t>Promo Lead</t>
  </si>
  <si>
    <t>Nivedita Sharma</t>
  </si>
  <si>
    <t>nivedita.sharma@zupee.in</t>
  </si>
  <si>
    <t>+919818458488</t>
  </si>
  <si>
    <t>Promo Writer</t>
  </si>
  <si>
    <t>Strategy Growth &amp; Revenue</t>
  </si>
  <si>
    <t>strategy@zupee.in</t>
  </si>
  <si>
    <t>mNr1E&lt;iJvgnfM&lt;pu</t>
  </si>
  <si>
    <t>Shriya Sarda</t>
  </si>
  <si>
    <t>shriya.sarda@zupee.in</t>
  </si>
  <si>
    <t>+919509955324</t>
  </si>
  <si>
    <t>Data Science Micro Drama</t>
  </si>
  <si>
    <t>data-science-micro-drama-auth@zupee.in</t>
  </si>
  <si>
    <t>+9180100 01317</t>
  </si>
  <si>
    <t>CR&gt;QJyg2dnr&lt;6yS&gt;</t>
  </si>
  <si>
    <t>Rqst by amogh.babbar@zupee.in Appv by</t>
  </si>
  <si>
    <t>Rishabh Pratap Singh</t>
  </si>
  <si>
    <t>rishabhpratap.singh@zupee.in</t>
  </si>
  <si>
    <t>Graphic Designer - Contract</t>
  </si>
  <si>
    <t>Akshay S Poddar</t>
  </si>
  <si>
    <t>akshay.poddar@zupee.in</t>
  </si>
  <si>
    <t>+918800759006</t>
  </si>
  <si>
    <t>Z Tech</t>
  </si>
  <si>
    <t>ztech@zupee.in</t>
  </si>
  <si>
    <t>Neoastro Team</t>
  </si>
  <si>
    <t>neoastro@zupee.in</t>
  </si>
  <si>
    <t>JuMy2Ma2WV8S7dC*</t>
  </si>
  <si>
    <t>Rqst By srishti.seth@zupee.in Appv By Rajkuma</t>
  </si>
  <si>
    <t>Superlearn Team</t>
  </si>
  <si>
    <t>superlearn@zupee.in</t>
  </si>
  <si>
    <t>5HhTd8AC4A5n9mD&lt;</t>
  </si>
  <si>
    <t>Zupeestudio Team</t>
  </si>
  <si>
    <t>zupeestudio@zupee.in</t>
  </si>
  <si>
    <t>V7nyHG9mV%Pg4mS=</t>
  </si>
  <si>
    <t>Tina Khurana</t>
  </si>
  <si>
    <t>tina.khurana@zupee.in</t>
  </si>
  <si>
    <t>+91999990255</t>
  </si>
  <si>
    <t>Katha.tara@zupee.in</t>
  </si>
  <si>
    <t>Lovenith S Rampure</t>
  </si>
  <si>
    <t>lovenith.rampure@zupee.in</t>
  </si>
  <si>
    <t>+919071355544</t>
  </si>
  <si>
    <t>XWbFEAjK&gt;WKK3gA* "Rqst By Shivani Bisht Appv By Sushil Patel"</t>
  </si>
  <si>
    <t>aman.chhabra@neoastro.com</t>
  </si>
  <si>
    <t>Dell@2025!</t>
  </si>
  <si>
    <t>Rqst By Aman Chhabra Appv By Sumit Yadav</t>
  </si>
  <si>
    <t>Astrologer Team</t>
  </si>
  <si>
    <t>astrologer@neoastro.com</t>
  </si>
  <si>
    <t>Reshma Shikalgar</t>
  </si>
  <si>
    <t>reshma.shikalgar@zupee.in</t>
  </si>
  <si>
    <t>+918669140316</t>
  </si>
  <si>
    <t>Content Operations Senior Associate</t>
  </si>
  <si>
    <t>Rohit Upadhyay</t>
  </si>
  <si>
    <t>rohit.upadhyay@zupee.in</t>
  </si>
  <si>
    <t>+917977193933</t>
  </si>
  <si>
    <t>Creative Producer</t>
  </si>
  <si>
    <t>Nilushanan Kulasingham</t>
  </si>
  <si>
    <t>nilushanan.kulasingham@zupee.in</t>
  </si>
  <si>
    <t>nucanon</t>
  </si>
  <si>
    <t>2y%MLdcLDe%H22Ch</t>
  </si>
  <si>
    <t>Rqsted By Ankit Maheshwari Appr By RajKumar</t>
  </si>
  <si>
    <t>Brijesh Trivedi</t>
  </si>
  <si>
    <t>brijesh.trivedi@zupee.in</t>
  </si>
  <si>
    <t>B@Qyx5nt6V1#lS2A</t>
  </si>
  <si>
    <t>Mohit Paliwal</t>
  </si>
  <si>
    <t>mohit.paliwal@zupee.in</t>
  </si>
  <si>
    <t>Vertical Tv</t>
  </si>
  <si>
    <t>+917030956326</t>
  </si>
  <si>
    <t>eight.network</t>
  </si>
  <si>
    <t>OpaxNJnJt4KL4EBz</t>
  </si>
  <si>
    <t>Rqsted By Naveen Kadyan Appr By RajKumar</t>
  </si>
  <si>
    <t>Mohit Goswami</t>
  </si>
  <si>
    <t>mohit@zupee.in</t>
  </si>
  <si>
    <t>+919717503354</t>
  </si>
  <si>
    <t>S1n5dOD6pPYpr13X</t>
  </si>
  <si>
    <t>aditya.rai1@zupee.in</t>
  </si>
  <si>
    <t>$$LjRbyOCyhM5DEW</t>
  </si>
  <si>
    <t>Ravi Pradhan</t>
  </si>
  <si>
    <t>ravi.pradhan@zupee.in</t>
  </si>
  <si>
    <t>XmEAr&amp;ZZgpsIrfjB</t>
  </si>
  <si>
    <t>Vengadesan Devagourou</t>
  </si>
  <si>
    <t>vengadesan.devagourou@zupee.in</t>
  </si>
  <si>
    <t>ByJ&amp;DoU4saJE@AsN</t>
  </si>
  <si>
    <t>Anup Thanvi</t>
  </si>
  <si>
    <t>anup.thanvi@zupee.in</t>
  </si>
  <si>
    <t>nEnw#Wif2H&amp;6CnFL</t>
  </si>
  <si>
    <t>Maimoona Shafique</t>
  </si>
  <si>
    <t>maimoona.shafique@zupee.in</t>
  </si>
  <si>
    <t>jXUuZmUoYy@P$Kdd</t>
  </si>
  <si>
    <t>Abhinav Banerjee</t>
  </si>
  <si>
    <t>abhinav.banerjee@zupee.in</t>
  </si>
  <si>
    <t>u8HWAqJEWPMMKTsY</t>
  </si>
  <si>
    <t>Rushabh Mangloorkar</t>
  </si>
  <si>
    <t>rushabh.mangloorkar@zupee.in</t>
  </si>
  <si>
    <t>oD5PYaHc#mZ@q&amp;cR</t>
  </si>
  <si>
    <t>Vaishnav Binu Nair</t>
  </si>
  <si>
    <t>vaishnav.nair@zupee.in</t>
  </si>
  <si>
    <t>6Z3UIsifRmyLgDym</t>
  </si>
  <si>
    <t>Mohit Shandilya</t>
  </si>
  <si>
    <t>mohit.shandilya@zupee.in</t>
  </si>
  <si>
    <t>Job PJ</t>
  </si>
  <si>
    <t>job.pj@zupee.in</t>
  </si>
  <si>
    <t>+919072891464</t>
  </si>
  <si>
    <t>qG2r@Bi7h#DgRezr</t>
  </si>
  <si>
    <t>Anto Thomas</t>
  </si>
  <si>
    <t>anto.thomas@zupee.in</t>
  </si>
  <si>
    <t>OdQStnxcU9iXrLP@</t>
  </si>
  <si>
    <t>Muhammed Rashin N</t>
  </si>
  <si>
    <t>rashin.muhammed@zupee.in</t>
  </si>
  <si>
    <t>Up4k5LymMiLlxjMR</t>
  </si>
  <si>
    <t>Bishal Kumar Gurung</t>
  </si>
  <si>
    <t>bishal.gurung@zupee.in</t>
  </si>
  <si>
    <t>Z9j$u#db5f&amp;$vVFr</t>
  </si>
  <si>
    <t>Kirti</t>
  </si>
  <si>
    <t>kirti.maurya@zupee.in</t>
  </si>
  <si>
    <t>r#HfL24DWOOb6zJ4</t>
  </si>
  <si>
    <t>Ritesh Panda</t>
  </si>
  <si>
    <t>ritesh.panda@zupee.in</t>
  </si>
  <si>
    <t>UdTXCVOOq%V4oCEO</t>
  </si>
  <si>
    <t>Akash Verma</t>
  </si>
  <si>
    <t>akash.verma@zupee.in</t>
  </si>
  <si>
    <t>+919990454397</t>
  </si>
  <si>
    <t>6UzMmwBNApEkxdA#</t>
  </si>
  <si>
    <t>gaurav.sharma1@zupee.in</t>
  </si>
  <si>
    <t>ONKBdoKYEQdreZrf</t>
  </si>
  <si>
    <t>Pratham Sharma</t>
  </si>
  <si>
    <t>pratham.sharma@zupee.in</t>
  </si>
  <si>
    <t>oL7Hp7wOlvOEg#MG</t>
  </si>
  <si>
    <t>Request by HR because she Rejoined</t>
  </si>
  <si>
    <t>Nilesh Ashok Inkar</t>
  </si>
  <si>
    <t>nilesh.inkar@zupee.in</t>
  </si>
  <si>
    <t>+918446161484</t>
  </si>
  <si>
    <t>Content Operations Intern</t>
  </si>
  <si>
    <t>Vaibhav Patawari</t>
  </si>
  <si>
    <t>vaibhav.patawari@zupee.in</t>
  </si>
  <si>
    <t>+918851216990</t>
  </si>
  <si>
    <t>cheshtha.sharma@zupee.in</t>
  </si>
  <si>
    <t>+918920697235</t>
  </si>
  <si>
    <t>Nikhil Goswami</t>
  </si>
  <si>
    <t>nikhil.goswami@zupee.in</t>
  </si>
  <si>
    <t>+918700190151</t>
  </si>
  <si>
    <t>Nishant Pandey</t>
  </si>
  <si>
    <t>nishant.pandey@zupee.in</t>
  </si>
  <si>
    <t>+918076687289</t>
  </si>
  <si>
    <t>Khushboo Bansal</t>
  </si>
  <si>
    <t>khushboo.bansal@zupee.in</t>
  </si>
  <si>
    <t>+918584006871</t>
  </si>
  <si>
    <t>Promo Producer</t>
  </si>
  <si>
    <t>khushboo.bansal0404@gmail.com</t>
  </si>
  <si>
    <t>Rqsted By Naina Sharma Appr By RajKumar</t>
  </si>
  <si>
    <t>Sajiya</t>
  </si>
  <si>
    <t>sajiya@zupee.in</t>
  </si>
  <si>
    <t>+918860065980</t>
  </si>
  <si>
    <t>life123with@gmail.com</t>
  </si>
  <si>
    <t>Mukul Vikram</t>
  </si>
  <si>
    <t>mukul.vikram@zupee.in</t>
  </si>
  <si>
    <t>+919769789207</t>
  </si>
  <si>
    <t>Senior Producer</t>
  </si>
  <si>
    <t>mukul.vg@gmail.com</t>
  </si>
  <si>
    <t>Divyansh Srivastava</t>
  </si>
  <si>
    <t>divyansh.srivastava@zupee.in</t>
  </si>
  <si>
    <t>+917290890045</t>
  </si>
  <si>
    <t>Sound Engineer</t>
  </si>
  <si>
    <t>xstudiosyt@gmail.com</t>
  </si>
  <si>
    <t>Sujal Verma</t>
  </si>
  <si>
    <t>sujal.verma@zupee.in</t>
  </si>
  <si>
    <t>+918585997401</t>
  </si>
  <si>
    <t>sujalv84@gmail.com</t>
  </si>
  <si>
    <t>tech@superlearn.in</t>
  </si>
  <si>
    <t>Requested by raghav.bansal@zupee.in approved by Rajkumar</t>
  </si>
  <si>
    <t>nodal@superlearn.in</t>
  </si>
  <si>
    <t>support@superlearn.in</t>
  </si>
  <si>
    <t>grievances@superlearn.in</t>
  </si>
  <si>
    <t>Sagarika Sarin</t>
  </si>
  <si>
    <t>sagarika.sarin@zupee.in</t>
  </si>
  <si>
    <t>+919599992863</t>
  </si>
  <si>
    <t>Associate Director - Finance</t>
  </si>
  <si>
    <t>Rqsted By M Sangeetha Appr By RajKumar</t>
  </si>
  <si>
    <t>Aman Maurya</t>
  </si>
  <si>
    <t>aman.maurya1@zupee.in</t>
  </si>
  <si>
    <t>+919625572595</t>
  </si>
  <si>
    <t>Machine learning Intern</t>
  </si>
  <si>
    <t>Anand Dayama</t>
  </si>
  <si>
    <t>anand.dayama@zupee.in</t>
  </si>
  <si>
    <t>+919892599976</t>
  </si>
  <si>
    <t>Creative Team Lead</t>
  </si>
  <si>
    <t>daymaanand19@gmail.com</t>
  </si>
  <si>
    <t>support@verticaltvbyzupee.com</t>
  </si>
  <si>
    <t>Rqsted By Shubham Agrawal Appr By RajKumar</t>
  </si>
  <si>
    <t>Ujjawal Parmar</t>
  </si>
  <si>
    <t>ujjawal.parmar@zupee.in</t>
  </si>
  <si>
    <t>+919993933678</t>
  </si>
  <si>
    <t>Music Producer</t>
  </si>
  <si>
    <t>ujjwalaudio@gmail.com</t>
  </si>
  <si>
    <t>Mayur Kewal Khairkar</t>
  </si>
  <si>
    <t>mayur.khairkar@zupee.in</t>
  </si>
  <si>
    <t>+918208336318</t>
  </si>
  <si>
    <t>Promo Production Manager</t>
  </si>
  <si>
    <t>mayurkhairkar1@gmail.com</t>
  </si>
  <si>
    <t>Mudit Mishra</t>
  </si>
  <si>
    <t>mudit.mishra@zupee.in</t>
  </si>
  <si>
    <t>+918860985558</t>
  </si>
  <si>
    <t>Associate Producer (Content)</t>
  </si>
  <si>
    <t>muditmishra10@gmail.com</t>
  </si>
  <si>
    <t>Abhijeet Yashvant Chavan</t>
  </si>
  <si>
    <t>abhijeet.chavan@zupee.in</t>
  </si>
  <si>
    <t>+919405239462</t>
  </si>
  <si>
    <t>Music Producer (Remote)</t>
  </si>
  <si>
    <t>abhiraag258@gmail.com</t>
  </si>
  <si>
    <t>Aditya Kumar Sinha</t>
  </si>
  <si>
    <t>aditya.sinha@zupee.in</t>
  </si>
  <si>
    <t>+918825309443</t>
  </si>
  <si>
    <t>Siddartha Verma</t>
  </si>
  <si>
    <t>siddartha.verma@zupee.in</t>
  </si>
  <si>
    <t>+919990333493</t>
  </si>
  <si>
    <t>Assistant Manager- Payroll &amp; Compliance</t>
  </si>
  <si>
    <t>Pradeep Kumar</t>
  </si>
  <si>
    <t>pradeep.kumar@zupee.in</t>
  </si>
  <si>
    <t>+918169617462</t>
  </si>
  <si>
    <t>Associate Video Editor</t>
  </si>
  <si>
    <t>mandalpradeep555@gmail.com</t>
  </si>
  <si>
    <t>Abhishek Mohapatra</t>
  </si>
  <si>
    <t>abhishek.mohapatra@zupee.in</t>
  </si>
  <si>
    <t>+916370265585</t>
  </si>
  <si>
    <t>Sumit Kumar Sinha</t>
  </si>
  <si>
    <t>sumit.sinha@zupee.in</t>
  </si>
  <si>
    <t>+918692876332</t>
  </si>
  <si>
    <t>Associate Producer</t>
  </si>
  <si>
    <t>sumitsamarthya@gmail.com</t>
  </si>
  <si>
    <t>Ankit Anil Waghela</t>
  </si>
  <si>
    <t>ankit.waghela@zupee.in</t>
  </si>
  <si>
    <t>+919699882199</t>
  </si>
  <si>
    <t>ankitwaghela93@gmail.com</t>
  </si>
  <si>
    <t>Ashwini Suresh Gaikwad</t>
  </si>
  <si>
    <t>ashwini.gaikwad@zupee.in</t>
  </si>
  <si>
    <t>+918433626104</t>
  </si>
  <si>
    <t>ashwini.gkwd2899@gmail.com</t>
  </si>
  <si>
    <t>sUzfWPOQqaSrxo3R</t>
  </si>
  <si>
    <t>Rohit Abhay Sawant</t>
  </si>
  <si>
    <t>rohit.sawant@zupee.in</t>
  </si>
  <si>
    <t>+919892727454</t>
  </si>
  <si>
    <t>rrohitsawant24@gmail.com</t>
  </si>
  <si>
    <t>U%3hJ6rgqT1x5%b%</t>
  </si>
  <si>
    <t>Arpan Kapadia</t>
  </si>
  <si>
    <t>arpan.kapadia@zupee.in</t>
  </si>
  <si>
    <t>+918905239578</t>
  </si>
  <si>
    <t>arpankapadia13@gmail.com</t>
  </si>
  <si>
    <t>IeHbcy6T8BQpz3ik</t>
  </si>
  <si>
    <t>Omkar Sanjay Palkar</t>
  </si>
  <si>
    <t>omkar.palkar@zupee.in</t>
  </si>
  <si>
    <t>+918149243177</t>
  </si>
  <si>
    <t>QC Engineer (Promo) - Contractual</t>
  </si>
  <si>
    <t>Security Test</t>
  </si>
  <si>
    <t>security.test@zupee.in</t>
  </si>
  <si>
    <t>Rqsted By Amit Singh Appr Ranjeet Kumar for Mobile phone login</t>
  </si>
  <si>
    <t>Rahul Emmanuel</t>
  </si>
  <si>
    <t>rahul.emmanuel@zupee.in</t>
  </si>
  <si>
    <t>+919871711144</t>
  </si>
  <si>
    <t>youreachemmanuel@gmail.com</t>
  </si>
  <si>
    <t>Rahul Bajpai</t>
  </si>
  <si>
    <t>rahul.bajpai@zupee.in</t>
  </si>
  <si>
    <t>+918340516867</t>
  </si>
  <si>
    <t>rawrahul721@gmail.com</t>
  </si>
  <si>
    <t>Deep Singh Mukhtiar</t>
  </si>
  <si>
    <t>deep.mukhtiar@zupee.in</t>
  </si>
  <si>
    <t>+919870027299</t>
  </si>
  <si>
    <t>chandervir2912@gmail.com</t>
  </si>
  <si>
    <t>musician.deepsingh@gmail.com</t>
  </si>
  <si>
    <t>Sigfred Dcruz</t>
  </si>
  <si>
    <t>sigfred.dcruz@zupee.in</t>
  </si>
  <si>
    <t>+918787076339</t>
  </si>
  <si>
    <t>sigfreddcruz@gmail.com</t>
  </si>
  <si>
    <t>Aastha Vimal Shah</t>
  </si>
  <si>
    <t>aastha.shah@zupee.in</t>
  </si>
  <si>
    <t>+918082699754</t>
  </si>
  <si>
    <t>Sr Creative Lead</t>
  </si>
  <si>
    <t>aasthashah214@gmail.com</t>
  </si>
  <si>
    <t>Bahneman Saikia</t>
  </si>
  <si>
    <t>bahneman.saikia@zupee.in</t>
  </si>
  <si>
    <t>+918011638948</t>
  </si>
  <si>
    <t>Sound designer</t>
  </si>
  <si>
    <t>bahneman.saikia@gmail.com</t>
  </si>
  <si>
    <t>Deepak Upadhayay</t>
  </si>
  <si>
    <t>deepak.upadhayay@zupee.in</t>
  </si>
  <si>
    <t>+917011820266</t>
  </si>
  <si>
    <t>Operations Lead-Contractual</t>
  </si>
  <si>
    <t>deepakkumar0224@gmail.com</t>
  </si>
  <si>
    <t>Naman</t>
  </si>
  <si>
    <t>naman@zupee.in</t>
  </si>
  <si>
    <t>+917009298327</t>
  </si>
  <si>
    <t>Associate Video Editor - Contractual</t>
  </si>
  <si>
    <t>namanranga06@gmail.com</t>
  </si>
  <si>
    <t>Saptarshi De</t>
  </si>
  <si>
    <t>saptarshi.de@zupee.in</t>
  </si>
  <si>
    <t>+916002736494</t>
  </si>
  <si>
    <t>Sound Designer cum VO Artist</t>
  </si>
  <si>
    <t>saptarshi4761@gmail.com "Rqsted By Naina Sharma Appr By RajKumar"</t>
  </si>
  <si>
    <t>Manov Bhowmick</t>
  </si>
  <si>
    <t>manov.bhowmick@zupee.in</t>
  </si>
  <si>
    <t>+919790908296</t>
  </si>
  <si>
    <t>Sound Engineer-Contractual</t>
  </si>
  <si>
    <t>Dattatraya Prahlad Ghodke</t>
  </si>
  <si>
    <t>dattatraya.ghodke@zupee.in</t>
  </si>
  <si>
    <t>+919819233193</t>
  </si>
  <si>
    <t>Creative Team Lead (Post Production)</t>
  </si>
  <si>
    <t>dattatraya.g@gmail.com</t>
  </si>
  <si>
    <t>sumit.kumar1@zupee.in</t>
  </si>
  <si>
    <t>+918802974665</t>
  </si>
  <si>
    <t>Senior Associate- Taxation</t>
  </si>
  <si>
    <t>Rohit Kumar Sharma</t>
  </si>
  <si>
    <t>rohit.sharma@zupee.in</t>
  </si>
  <si>
    <t>+917906868262</t>
  </si>
  <si>
    <t>UI/UX Engineer</t>
  </si>
  <si>
    <t>danishshinde07@gmail.com</t>
  </si>
  <si>
    <t>Suraj Jalindar Pol</t>
  </si>
  <si>
    <t>suraj.pol@zupee.in</t>
  </si>
  <si>
    <t>+918108078304</t>
  </si>
  <si>
    <t>Nikhil Chand</t>
  </si>
  <si>
    <t>nikhil.chand@zupee.in</t>
  </si>
  <si>
    <t>+917818919531</t>
  </si>
  <si>
    <t>Promo writer</t>
  </si>
  <si>
    <t>rajwar.nikhil123@gmail.com</t>
  </si>
  <si>
    <t>Promo Editor</t>
  </si>
  <si>
    <t>promo.editor@zupee.in</t>
  </si>
  <si>
    <t>prashant.kumar1@zupee.in</t>
  </si>
  <si>
    <t>+918587095641</t>
  </si>
  <si>
    <t>prashantsingh161510@gmail.com</t>
  </si>
  <si>
    <t>Abhijeet Purohit</t>
  </si>
  <si>
    <t>abhijeet.purohit@zupee.in</t>
  </si>
  <si>
    <t>+918058018483</t>
  </si>
  <si>
    <t>Creative Producer (promo)</t>
  </si>
  <si>
    <t>purohit.abhijeet020795@gmail.com</t>
  </si>
  <si>
    <t>Raunak Rajawant Singh</t>
  </si>
  <si>
    <t>raunak.singh@zupee.in</t>
  </si>
  <si>
    <t>+919769520290</t>
  </si>
  <si>
    <t>Producer</t>
  </si>
  <si>
    <t>ronysingh3007@gmail.com</t>
  </si>
  <si>
    <t>Aashita Jain</t>
  </si>
  <si>
    <t>aashita.jain@zupee.in</t>
  </si>
  <si>
    <t>+918447961977</t>
  </si>
  <si>
    <t>aashitajaindm@gmail.com</t>
  </si>
  <si>
    <t>Nupur Aggarwal</t>
  </si>
  <si>
    <t>nupur.aggarwal@zupee.in</t>
  </si>
  <si>
    <t>+918779156357</t>
  </si>
  <si>
    <t>Procurement Manager</t>
  </si>
  <si>
    <t>nupur.aggarwwal@gmail.com</t>
  </si>
  <si>
    <t>Ganesh Balaso Karande</t>
  </si>
  <si>
    <t>ganesh.karande@zupee.in</t>
  </si>
  <si>
    <t>+919594295840</t>
  </si>
  <si>
    <t>ganesh.psmedia@gmail.com</t>
  </si>
  <si>
    <t>Albina Chishty</t>
  </si>
  <si>
    <t>albina.chishty@zupee.in</t>
  </si>
  <si>
    <t>+919827629787</t>
  </si>
  <si>
    <t>Senior Promo Writer</t>
  </si>
  <si>
    <t>chishtyalbina2@gmail.com</t>
  </si>
  <si>
    <t>Vrushali Prabhakar Sayam</t>
  </si>
  <si>
    <t>vrushali.sayam@zupee.in</t>
  </si>
  <si>
    <t>+919545203842</t>
  </si>
  <si>
    <t>ojaswinisayam@gmail.com</t>
  </si>
  <si>
    <t>Tushar Gulati</t>
  </si>
  <si>
    <t>tushar.gulati@zupee.in</t>
  </si>
  <si>
    <t>+918851276396</t>
  </si>
  <si>
    <t>tushargulati.333@gmail.com</t>
  </si>
  <si>
    <t>Pranay Kumar</t>
  </si>
  <si>
    <t>pranay.kumar@zupee.in</t>
  </si>
  <si>
    <t>+919304936192</t>
  </si>
  <si>
    <t>Promo Writer- Contractual</t>
  </si>
  <si>
    <t>pranayisall@gmail.com</t>
  </si>
  <si>
    <t>Jahanvi Bhagat</t>
  </si>
  <si>
    <t>jahanvi.bhagat@zupee.in</t>
  </si>
  <si>
    <t>+919321313054</t>
  </si>
  <si>
    <t>bhagatjahanvi07@gmail.com</t>
  </si>
  <si>
    <t>Suneel Kumar</t>
  </si>
  <si>
    <t>suneel.kumar@zupee.in</t>
  </si>
  <si>
    <t>+919654319629</t>
  </si>
  <si>
    <t>suneelkb029@gmail.com</t>
  </si>
  <si>
    <t>Pratik Anil Toradmal</t>
  </si>
  <si>
    <t>pratik.toradmal@zupee.in</t>
  </si>
  <si>
    <t>+919503728282</t>
  </si>
  <si>
    <t>pratiktoradmal101@gmail.com</t>
  </si>
  <si>
    <t>Finance Temp</t>
  </si>
  <si>
    <t>finance.temp@zupee.in</t>
  </si>
  <si>
    <t>fe55sWxSqeNUXfF&amp;</t>
  </si>
  <si>
    <t>Nandan Sharma</t>
  </si>
  <si>
    <t>nandan.sharma@zupee.in</t>
  </si>
  <si>
    <t>Senior Vice President- Growth &amp; Operations</t>
  </si>
  <si>
    <t>nandan.pec@gmail.com</t>
  </si>
  <si>
    <t>Devika Prakash</t>
  </si>
  <si>
    <t>devika.prakash@zupee.in</t>
  </si>
  <si>
    <t>devikaprakash5@gmail.com</t>
  </si>
  <si>
    <t>Chhavi Joshi</t>
  </si>
  <si>
    <t>chhavi.joshi@zupee.in</t>
  </si>
  <si>
    <t>Consultant</t>
  </si>
  <si>
    <t>chhavjojoshi@gmail.com</t>
  </si>
  <si>
    <t>Yogesh Ravindra Prajapati</t>
  </si>
  <si>
    <t>yogesh.prajapati@zupee.in</t>
  </si>
  <si>
    <t>prajapatiyogesh207@gmail.com</t>
  </si>
  <si>
    <t>Sound Verticaltv1</t>
  </si>
  <si>
    <t>sound.verticaltv1@zupee.in</t>
  </si>
  <si>
    <t>+917276128716</t>
  </si>
  <si>
    <t>iwjp%$3HDpJYtyCj</t>
  </si>
  <si>
    <t>Sound Verticaltv2</t>
  </si>
  <si>
    <t>sound.verticaltv2@zupee.in</t>
  </si>
  <si>
    <t>VmwCZR5c4eC%Mn7n</t>
  </si>
  <si>
    <t>Sound Verticaltv3</t>
  </si>
  <si>
    <t>sound.verticaltv3@zupee.in</t>
  </si>
  <si>
    <t>PayJd@EjRMthLhTi</t>
  </si>
  <si>
    <t>Sound Verticaltv4</t>
  </si>
  <si>
    <t>sound.verticaltv4@zupee.in</t>
  </si>
  <si>
    <t>$q5HTw8pJLwOEcAQ</t>
  </si>
  <si>
    <t>Sound Verticaltv5</t>
  </si>
  <si>
    <t>sound.verticaltv5@zupee.in</t>
  </si>
  <si>
    <t>YvFfyEYooNKe%RXg</t>
  </si>
  <si>
    <t>Postprod1 Verticaltv</t>
  </si>
  <si>
    <t>postprod1.verticaltv@zupee.in</t>
  </si>
  <si>
    <t>q6j8ymlGKp5ewNNy</t>
  </si>
  <si>
    <t>Fuzail Mushir</t>
  </si>
  <si>
    <t>fuzail.mushir@zupee.in</t>
  </si>
  <si>
    <t>+919919920506</t>
  </si>
  <si>
    <t>mushirfuzail@gmail.com</t>
  </si>
  <si>
    <t>EeHy5cUn2C4H4nIJ</t>
  </si>
  <si>
    <t>Ritesh Kumar</t>
  </si>
  <si>
    <t>ritesh.kumar@zupee.in</t>
  </si>
  <si>
    <t>+917045587972</t>
  </si>
  <si>
    <t>audioguyritesh@gmail.com</t>
  </si>
  <si>
    <t>t3zQbX5zgzMCKbKu</t>
  </si>
  <si>
    <t>Akshay Vidyanand Katkar</t>
  </si>
  <si>
    <t>akshay.katkar@zupee.in</t>
  </si>
  <si>
    <t>akshaykatkar0137@gmail.com</t>
  </si>
  <si>
    <t>Avirath Kadam</t>
  </si>
  <si>
    <t>avirath.kadam@zupee.in</t>
  </si>
  <si>
    <t>avirathkadam@gmail.com</t>
  </si>
  <si>
    <t>Arshdeep Kaur</t>
  </si>
  <si>
    <t>arshdeep.kaur@zupee.in</t>
  </si>
  <si>
    <t>arshkaur0407@gmail.com</t>
  </si>
  <si>
    <t>Sourav Ganguly</t>
  </si>
  <si>
    <t>sourav.ganguly@zupee.in</t>
  </si>
  <si>
    <t>souravganguly2301@gmail.com</t>
  </si>
  <si>
    <t>Suraj Ganesh Ubale</t>
  </si>
  <si>
    <t>suraj.ubale@zupee.in</t>
  </si>
  <si>
    <t>Surajubalelove@gmail.com</t>
  </si>
  <si>
    <t>Shaad Salim Attar</t>
  </si>
  <si>
    <t>shaad.attar@zupee.in</t>
  </si>
  <si>
    <t>createwithflash@gmail.com</t>
  </si>
  <si>
    <t>Vaibhav Gupta</t>
  </si>
  <si>
    <t>vaibhav.gupta@zupee.in</t>
  </si>
  <si>
    <t>vaibhav0240gupta@gmail.com</t>
  </si>
  <si>
    <t>Arjun Sharmu</t>
  </si>
  <si>
    <t>arjun.sharmu@zupee.in</t>
  </si>
  <si>
    <t>+917000884979</t>
  </si>
  <si>
    <t>Rqst By Shashank Gupta Appv By Naveen Kadyan</t>
  </si>
  <si>
    <t>Rohit Vermu</t>
  </si>
  <si>
    <t>rohit.vermu@zupee.in</t>
  </si>
  <si>
    <t>Ankit Goyalaa</t>
  </si>
  <si>
    <t>ankit.goyalaa@zupee.in</t>
  </si>
  <si>
    <t>Rahul Misraa</t>
  </si>
  <si>
    <t>rahul.misraa@zupee.in</t>
  </si>
  <si>
    <t>Priya Jainani</t>
  </si>
  <si>
    <t>priya.jainani@zupee.in</t>
  </si>
  <si>
    <t>piyush.maurya1@zupee.in</t>
  </si>
  <si>
    <t>+919807163858</t>
  </si>
  <si>
    <t>Senior Associate- Operations</t>
  </si>
  <si>
    <t>pm.ddugu@gmail.com</t>
  </si>
  <si>
    <t>Jyoti Prakash</t>
  </si>
  <si>
    <t>jyoti.prakash@zupee.in</t>
  </si>
  <si>
    <t>+919990629065</t>
  </si>
  <si>
    <t>Creative Strategist</t>
  </si>
  <si>
    <t>jyotiprakash189@gmail.com</t>
  </si>
  <si>
    <t>Ankush Das</t>
  </si>
  <si>
    <t>ankush.das@zupee.in</t>
  </si>
  <si>
    <t>+918108262666</t>
  </si>
  <si>
    <t>Senior Video Editor - Creative Team Lead</t>
  </si>
  <si>
    <t>ankush.animator@gmail.com</t>
  </si>
  <si>
    <t>Nikita Gadal</t>
  </si>
  <si>
    <t>nikita.gadal@zupee.in</t>
  </si>
  <si>
    <t>+918794766268</t>
  </si>
  <si>
    <t>nikitagadal1122@gmail.com</t>
  </si>
  <si>
    <t>Saiprasanna Srinivasan</t>
  </si>
  <si>
    <t>saiprasanna.srinivasan@zupee.in</t>
  </si>
  <si>
    <t>+919677231121</t>
  </si>
  <si>
    <t>sala181011@gmail.com</t>
  </si>
  <si>
    <t>Danish Uday Shinde</t>
  </si>
  <si>
    <t>danish.shinde@zupee.in</t>
  </si>
  <si>
    <t>Hardik Yogesh Maniar</t>
  </si>
  <si>
    <t>hardik.maniar@zupee.in</t>
  </si>
  <si>
    <t>hymaniar@gmail.com</t>
  </si>
  <si>
    <t>Vanshika Bansal</t>
  </si>
  <si>
    <t>vanshika.bansal@zupee.in</t>
  </si>
  <si>
    <t xml:space="preserve"> vanshikabansal79927@gmail.com</t>
  </si>
  <si>
    <t>Deepika Goyal</t>
  </si>
  <si>
    <t>deepika.goyal@zupee.in</t>
  </si>
  <si>
    <t>goyaldeepika210@gmail.com</t>
  </si>
  <si>
    <t>Sarwat Niazi</t>
  </si>
  <si>
    <t>sarwat.niazi@zupee.in</t>
  </si>
  <si>
    <t>sarwatniazi4@gmail.com</t>
  </si>
  <si>
    <t>Adarsh Choudhary</t>
  </si>
  <si>
    <t>adarsh.choudhary@zupee.in</t>
  </si>
  <si>
    <t>adarsh.choudhary.adarsh7@gmail.com</t>
  </si>
  <si>
    <t>Prashant Kashinath Malve</t>
  </si>
  <si>
    <t>prashant.malve@zupee.in</t>
  </si>
  <si>
    <t>prashant.malve15@gmail.com</t>
  </si>
  <si>
    <t>Yatharth Sharma</t>
  </si>
  <si>
    <t>yatharth.sharma@zupee.in</t>
  </si>
  <si>
    <t>yatharth465@gmail.com</t>
  </si>
  <si>
    <t>zaid.anwar1@zupee.in</t>
  </si>
  <si>
    <t>+918449461332</t>
  </si>
  <si>
    <t>Request by HR (FW: Replacement Update for HRO Model)</t>
  </si>
  <si>
    <t>lucky.singh2@zupee.in</t>
  </si>
  <si>
    <t>+918178553710</t>
  </si>
  <si>
    <t>Postprod2 Verticaltv</t>
  </si>
  <si>
    <t>postprod2.verticaltv@zupee.in</t>
  </si>
  <si>
    <t>Postprod3 Verticaltv</t>
  </si>
  <si>
    <t>postprod3.verticaltv@zupee.in</t>
  </si>
  <si>
    <t>Sarthak Chawla</t>
  </si>
  <si>
    <t>sarthak.chawla@zupee.in</t>
  </si>
  <si>
    <t>sarthak.chawla54@gmail.com</t>
  </si>
  <si>
    <t>Som Nath Jayaswal</t>
  </si>
  <si>
    <t>som.jayaswal@zupee.in</t>
  </si>
  <si>
    <t>somnathjaiswal1@gmail.com</t>
  </si>
  <si>
    <t>Sarthak Ahuja</t>
  </si>
  <si>
    <t>sarthak.ahuja@zupee.in</t>
  </si>
  <si>
    <t>sarthakahuja89@gmail.com</t>
  </si>
  <si>
    <t>Anuj Dagar</t>
  </si>
  <si>
    <t>anuj.dagar@zupee.in</t>
  </si>
  <si>
    <t>iamanujdagar@gmail.com</t>
  </si>
  <si>
    <t>Richa Sanwal</t>
  </si>
  <si>
    <t>richa.sanwal@zupee.in</t>
  </si>
  <si>
    <t>sanwal.richa@gmail.com</t>
  </si>
  <si>
    <t>Dhruv Singh</t>
  </si>
  <si>
    <t>dhruv.singh@zupee.in</t>
  </si>
  <si>
    <t>singhdhruv7481@gmail.com</t>
  </si>
  <si>
    <t>Noreply Octopus</t>
  </si>
  <si>
    <t>noreply.octopus@zupeestudio.com</t>
  </si>
  <si>
    <t>Rqsted By Goku Appr naveen</t>
  </si>
  <si>
    <t>Promo Verticaltv</t>
  </si>
  <si>
    <t>promo.verticaltv1@zupee.in</t>
  </si>
  <si>
    <t>Aditya Deepak Salgaonkar</t>
  </si>
  <si>
    <t>aditya.salgaonkar@zupee.in</t>
  </si>
  <si>
    <t>adityasalgaonkar77@gmail.com</t>
  </si>
  <si>
    <t>Ryan Dsouza</t>
  </si>
  <si>
    <t>ryan.dsouza@zupee.in</t>
  </si>
  <si>
    <t>ryan13.dsouza@gmail.com</t>
  </si>
  <si>
    <t>Tableau Viewonly</t>
  </si>
  <si>
    <t>tableau_viewonly@zupee.in</t>
  </si>
  <si>
    <t>Rqsted By Rahul Sharma Appr Naveen</t>
  </si>
  <si>
    <t>Prakash Sudhakar Bhatle</t>
  </si>
  <si>
    <t>prakash.bhatle@zupee.in</t>
  </si>
  <si>
    <t>prakash.bhatle@gmail.com</t>
  </si>
  <si>
    <t>Shekhar Sambhaji Shelar</t>
  </si>
  <si>
    <t>shekhar.shelar@zupee.in</t>
  </si>
  <si>
    <t>shekharshelar67514@gmail.com</t>
  </si>
  <si>
    <t>tanvi.kaur@zupee.in</t>
  </si>
  <si>
    <t>tanvikaur03@gmail.com</t>
  </si>
  <si>
    <t>yash.tatkare@zupee.in</t>
  </si>
  <si>
    <t>yashtatkare05@gmail.com</t>
  </si>
  <si>
    <t>Escalations</t>
  </si>
  <si>
    <t>escalations@zupee.in</t>
  </si>
  <si>
    <t>Rqsted By Mrityunjay Appr sumit</t>
  </si>
  <si>
    <t>vivek.vairal@zupee.in</t>
  </si>
  <si>
    <t>vivek.vairal@gmail.com</t>
  </si>
  <si>
    <t>mohit.singh@zupee.in</t>
  </si>
  <si>
    <t>Request by meenu for activation (offroll to onroll) Rejoin</t>
  </si>
  <si>
    <t>samir.h@zupee.in</t>
  </si>
  <si>
    <t>tanya.vishal@zupee.in</t>
  </si>
  <si>
    <t>tanyavishalwork@gmail.com</t>
  </si>
  <si>
    <t>shreya.chhabra@zupee.in</t>
  </si>
  <si>
    <t>schhabra0710@gmail.com</t>
  </si>
  <si>
    <t>yash.sinha@zupee.in</t>
  </si>
  <si>
    <t>yashsinha680@gmail.com</t>
  </si>
  <si>
    <t>lakshay.sharma@zupee.in</t>
  </si>
  <si>
    <t>Laakshaysharma03@gmail.com</t>
  </si>
  <si>
    <t>navin.kumar@zupee.in</t>
  </si>
  <si>
    <t>navinpal512002@gmail.com</t>
  </si>
  <si>
    <t>Astro Gurupad</t>
  </si>
  <si>
    <t>astro.gurupad@neoastro.com</t>
  </si>
  <si>
    <t>+918884807070</t>
  </si>
  <si>
    <t>Rqst By "raman.malik@zupee.in"</t>
  </si>
  <si>
    <t>Astro Radhika</t>
  </si>
  <si>
    <t>astro.radhika@neoastro.com</t>
  </si>
  <si>
    <t>Accounts Info</t>
  </si>
  <si>
    <t>Last Working Info</t>
  </si>
  <si>
    <t>Users Access Info</t>
  </si>
  <si>
    <t>Email ID</t>
  </si>
  <si>
    <t>IT LWD Date</t>
  </si>
  <si>
    <t>Frm Keka LWD</t>
  </si>
  <si>
    <t>IT GWS St</t>
  </si>
  <si>
    <t>Acc &amp; Mail's St</t>
  </si>
  <si>
    <t>GWS Status Details</t>
  </si>
  <si>
    <t>Slack</t>
  </si>
  <si>
    <t>O365</t>
  </si>
  <si>
    <t>Jira</t>
  </si>
  <si>
    <t>New Rlc</t>
  </si>
  <si>
    <t>Adobe</t>
  </si>
  <si>
    <t>Bitbkt</t>
  </si>
  <si>
    <t>CRM DB</t>
  </si>
  <si>
    <t>Mtrx DB</t>
  </si>
  <si>
    <t>Clvr Tap</t>
  </si>
  <si>
    <t>Assets</t>
  </si>
  <si>
    <t>Remarks</t>
  </si>
  <si>
    <t>1-Jan-1111</t>
  </si>
  <si>
    <t>Suspend</t>
  </si>
  <si>
    <t>NOT_FOUND</t>
  </si>
  <si>
    <t>Mail does not exist in GWS</t>
  </si>
  <si>
    <t>❌</t>
  </si>
  <si>
    <t>&gt; 30 Days</t>
  </si>
  <si>
    <t>✅</t>
  </si>
  <si>
    <t>Khushboo kushwah</t>
  </si>
  <si>
    <t>khushboo.kushwah@zupee.in</t>
  </si>
  <si>
    <t>Divya Wangoo</t>
  </si>
  <si>
    <t>Mohit.bakshi@zupee.in</t>
  </si>
  <si>
    <t>Ashmita.Dwivedi@zupee.in</t>
  </si>
  <si>
    <t>Nidhi agarwal</t>
  </si>
  <si>
    <t>Nidhi.agarwal@zupee.in</t>
  </si>
  <si>
    <t>#️⃣</t>
  </si>
  <si>
    <t>Jira, due to Admin Access</t>
  </si>
  <si>
    <t>Sundeep Sharma</t>
  </si>
  <si>
    <t>Samir Halder External</t>
  </si>
  <si>
    <t>Prakash Vedvyas Acharya</t>
  </si>
  <si>
    <t>Nitin Kumar</t>
  </si>
  <si>
    <t>nitin.kumar@zupee.in</t>
  </si>
  <si>
    <t>Anjali Rai</t>
  </si>
  <si>
    <t>Vivek Kumar Walecha</t>
  </si>
  <si>
    <t>Mayank pathak</t>
  </si>
  <si>
    <t>Manav Mukesh Jain</t>
  </si>
  <si>
    <t>SUSPENDED</t>
  </si>
  <si>
    <t>User is SUSPENDED</t>
  </si>
  <si>
    <t>Varsha SK</t>
  </si>
  <si>
    <t>Akshit kumar</t>
  </si>
  <si>
    <t>Akshit.Kumar@zupee.in</t>
  </si>
  <si>
    <t>Karan.Bhyana@zupee.in</t>
  </si>
  <si>
    <t>Ankur.sharma@zupee.in</t>
  </si>
  <si>
    <t>Gitika</t>
  </si>
  <si>
    <t>gitika.pal@zupee.in</t>
  </si>
  <si>
    <t>Rajkumar Varier</t>
  </si>
  <si>
    <t>raj.varier@zupee.in</t>
  </si>
  <si>
    <t>Samarth.Udasin@zupee.in</t>
  </si>
  <si>
    <t>saneesh maheshwari</t>
  </si>
  <si>
    <t>Ashvani kumar</t>
  </si>
  <si>
    <t>Saurabh Singh Yadav</t>
  </si>
  <si>
    <t>Aviral rastogi</t>
  </si>
  <si>
    <t>anish houdhary</t>
  </si>
  <si>
    <t>Yash.lamba@zupee.in</t>
  </si>
  <si>
    <t>Anurag.singh@zupee.in</t>
  </si>
  <si>
    <t>Nikhil@zupee.in</t>
  </si>
  <si>
    <t>NIdhi kumari</t>
  </si>
  <si>
    <t>Prathamesh Gitesh Kurambhatti</t>
  </si>
  <si>
    <t>anupam kushwah</t>
  </si>
  <si>
    <t>Hemail askary</t>
  </si>
  <si>
    <t>pushpushkar mourya</t>
  </si>
  <si>
    <t>prashant pundir</t>
  </si>
  <si>
    <t>puneet dhiman</t>
  </si>
  <si>
    <t>Piyush.bansal@zupee.in</t>
  </si>
  <si>
    <t>niyati verma</t>
  </si>
  <si>
    <t>Arshad iqbal</t>
  </si>
  <si>
    <t>vidhi arora</t>
  </si>
  <si>
    <t>Swati Singh</t>
  </si>
  <si>
    <t>swati.singh@zupee.in</t>
  </si>
  <si>
    <t>hardik chhatrala</t>
  </si>
  <si>
    <t>shubham gupta</t>
  </si>
  <si>
    <t>Tanisha gupta</t>
  </si>
  <si>
    <t>Sakshi SIngh</t>
  </si>
  <si>
    <t>Mohd Danish</t>
  </si>
  <si>
    <t>Nischay Sabherwal</t>
  </si>
  <si>
    <t>Shreyansh Jain</t>
  </si>
  <si>
    <t>Aryan Bahl</t>
  </si>
  <si>
    <t>Taufique Khan</t>
  </si>
  <si>
    <t>rahul kashyap</t>
  </si>
  <si>
    <t>Harsh Ratwaya</t>
  </si>
  <si>
    <t>Kishan.singh@zupee.in</t>
  </si>
  <si>
    <t>Apoorv Mathu</t>
  </si>
  <si>
    <t>Ravi Kuma</t>
  </si>
  <si>
    <t>Abhishar Gautam</t>
  </si>
  <si>
    <t>Shubham Thakur</t>
  </si>
  <si>
    <t>Muskan Khan</t>
  </si>
  <si>
    <t>Yesh Agarwal</t>
  </si>
  <si>
    <t>Exit date delay shared by HR</t>
  </si>
  <si>
    <t>Rashmi Navle</t>
  </si>
  <si>
    <t>MD Neyaz</t>
  </si>
  <si>
    <t>Shivani Patni</t>
  </si>
  <si>
    <t>Mohit Kumar</t>
  </si>
  <si>
    <t>Vipin.Yadav@zupee.in</t>
  </si>
  <si>
    <t>Atul Sangwan</t>
  </si>
  <si>
    <t>As pr the HR confirmation LWD 2-Sep-2025</t>
  </si>
  <si>
    <t>Rahul Kunda</t>
  </si>
  <si>
    <t>Atharv Bende</t>
  </si>
  <si>
    <t>Saumya Behera</t>
  </si>
  <si>
    <t>Ankur A</t>
  </si>
  <si>
    <t>Ritika Asati</t>
  </si>
  <si>
    <t>Ritik.Asati@zupee.in</t>
  </si>
  <si>
    <t>Siddharth Malviya</t>
  </si>
  <si>
    <t>Bikash Jha</t>
  </si>
  <si>
    <t>Mohd Khan</t>
  </si>
  <si>
    <t>Saurav</t>
  </si>
  <si>
    <t>mohd saad</t>
  </si>
  <si>
    <t>jatin solanki</t>
  </si>
  <si>
    <t>md irfan</t>
  </si>
  <si>
    <t>md.irfan@zupee.in</t>
  </si>
  <si>
    <t>rohit dutta</t>
  </si>
  <si>
    <t>sumit kumar2</t>
  </si>
  <si>
    <t>sumit.kumar2@Zupee.in</t>
  </si>
  <si>
    <t>vinod kumar</t>
  </si>
  <si>
    <t>mohammad ubed</t>
  </si>
  <si>
    <t>bhawna bhawna</t>
  </si>
  <si>
    <t>laxmi rajput</t>
  </si>
  <si>
    <t>biswin k</t>
  </si>
  <si>
    <t>mamta yadav</t>
  </si>
  <si>
    <t>sameer qureshi</t>
  </si>
  <si>
    <t>kunal chauhan</t>
  </si>
  <si>
    <t>pashupathi ravi</t>
  </si>
  <si>
    <t>kashish nagpal</t>
  </si>
  <si>
    <t>aradhana choudhary</t>
  </si>
  <si>
    <t>durgesh shukla</t>
  </si>
  <si>
    <t>ritik kumar</t>
  </si>
  <si>
    <t>Priyanka Tiwari</t>
  </si>
  <si>
    <t>Sagar Tekriwal</t>
  </si>
  <si>
    <t>aditya jaswal</t>
  </si>
  <si>
    <t>Ajay talukdar</t>
  </si>
  <si>
    <t>Mayank</t>
  </si>
  <si>
    <t>Dell#2025</t>
  </si>
  <si>
    <t>ERROR</t>
  </si>
  <si>
    <t>Error: API call to directory.users.get failed with error: Type not supported: userKey</t>
  </si>
  <si>
    <t>Reqst By sahil.brahmania@zupee.in Appv By mohit.garg@zupee.in "EkcO6p0Q#f9H0&amp;j}"</t>
  </si>
  <si>
    <t>Mohd. Ghufran Ansari</t>
  </si>
  <si>
    <t>Tushar.Sharma@zupee.in</t>
  </si>
  <si>
    <t>Aditya</t>
  </si>
  <si>
    <t>Akshata Vittal Upari</t>
  </si>
  <si>
    <t>Diksha</t>
  </si>
  <si>
    <t>Srijith</t>
  </si>
  <si>
    <t>Teena</t>
  </si>
  <si>
    <t>Banta Singh Batth</t>
  </si>
  <si>
    <t>Divya</t>
  </si>
  <si>
    <t>Kailash</t>
  </si>
  <si>
    <t>Janvi</t>
  </si>
  <si>
    <t>E Vivek Claudius</t>
  </si>
  <si>
    <t>Deeplata</t>
  </si>
  <si>
    <t>Shivam</t>
  </si>
  <si>
    <t>Ramendra Pratap Singh</t>
  </si>
  <si>
    <t>Sangepu Naveen</t>
  </si>
  <si>
    <t>Prachi Rajanikant Kabthiyal</t>
  </si>
  <si>
    <t>Raushan Jagannath Thakur</t>
  </si>
  <si>
    <t>purodha.singh@zupee.in.</t>
  </si>
  <si>
    <t>Error: API call to directory.users.get failed with error: Not Authorized to access this resource/api</t>
  </si>
  <si>
    <t>Re-Join</t>
  </si>
  <si>
    <t>Mohit</t>
  </si>
  <si>
    <t>Md. Sameer Alam</t>
  </si>
  <si>
    <t>PANKAJ</t>
  </si>
  <si>
    <t>Roma</t>
  </si>
  <si>
    <t>Gurchetan singh</t>
  </si>
  <si>
    <t>Akanksha Chugh Anand</t>
  </si>
  <si>
    <t>Aakash</t>
  </si>
  <si>
    <t>Akhil NR</t>
  </si>
  <si>
    <t>Jatin</t>
  </si>
  <si>
    <t>Ishaan Margamwar</t>
  </si>
  <si>
    <t>Gaurav</t>
  </si>
  <si>
    <t>Vinay</t>
  </si>
  <si>
    <t>Conf pending by Ishank end</t>
  </si>
  <si>
    <t>Sakshi Makkar</t>
  </si>
  <si>
    <t>Siddharth.rehani@zupee.in</t>
  </si>
  <si>
    <t>Drive tf to manmohan.sagar@zupee.in</t>
  </si>
  <si>
    <t>Vansh dua</t>
  </si>
  <si>
    <t>ACTIVE</t>
  </si>
  <si>
    <t>User is ACTIVE</t>
  </si>
  <si>
    <t>Rqst By "Richa Sharma" Apprv by Raj On email</t>
  </si>
  <si>
    <t>Request by meenu bharti on mail (Deactivate Credentials- Srishti Seth)</t>
  </si>
  <si>
    <t>Rqst By Hitesh Vats</t>
  </si>
  <si>
    <t>30-01-2026</t>
  </si>
  <si>
    <t>Temp Active</t>
  </si>
  <si>
    <t>Rqst by akshay.gulati, Apprv by sushil.patel</t>
  </si>
  <si>
    <t>Rqst By 	Richa Sharma  Apprv By Sushil Patel</t>
  </si>
  <si>
    <t>Request by Richa for activation</t>
  </si>
  <si>
    <t>23-02-2026</t>
  </si>
  <si>
    <t>By Email</t>
  </si>
  <si>
    <t>Request by meenu for activation (offroll to onroll)</t>
  </si>
  <si>
    <t>13-02-2026</t>
  </si>
  <si>
    <t>Request by Punit Sharma for activation  3 months</t>
  </si>
  <si>
    <t>17-02-2026</t>
  </si>
  <si>
    <t>20-02-2026</t>
  </si>
  <si>
    <t>≤ 30 Days</t>
  </si>
  <si>
    <t>27-02-2026</t>
  </si>
  <si>
    <t>Rqst by Ankit Maheshwari</t>
  </si>
  <si>
    <t xml:space="preserve">CANDIDATE DETAILS															</t>
  </si>
  <si>
    <t>Designation</t>
  </si>
  <si>
    <t>Reporting Manager</t>
  </si>
  <si>
    <t>Aaditya</t>
  </si>
  <si>
    <t>Lead Marketing Designer</t>
  </si>
  <si>
    <t>Sr. Marketing Designer</t>
  </si>
  <si>
    <t>Assistant Manager - 2D Animator</t>
  </si>
  <si>
    <t>Senior Manager - Content &amp; Social</t>
  </si>
  <si>
    <t>Assistant Manager - Content &amp; Social</t>
  </si>
  <si>
    <t>Akshay S. Poddar</t>
  </si>
  <si>
    <t>Rohit Dinesh Upadhyay</t>
  </si>
  <si>
    <t>Email Address</t>
  </si>
  <si>
    <t>Password</t>
  </si>
  <si>
    <t>Domain Name</t>
  </si>
  <si>
    <t>Work or R No: -</t>
  </si>
  <si>
    <t>Owner Of Account</t>
  </si>
  <si>
    <t>Recovery email</t>
  </si>
  <si>
    <t>Zup 33</t>
  </si>
  <si>
    <t>zup58411@gmail.com</t>
  </si>
  <si>
    <t>Zup33#2025</t>
  </si>
  <si>
    <t>@gmail.com</t>
  </si>
  <si>
    <t>+919871073021</t>
  </si>
  <si>
    <t>Nikhil Kumar Gupta/ Rahul Sharma</t>
  </si>
  <si>
    <t>IT Services</t>
  </si>
  <si>
    <t>Meta Adds</t>
  </si>
  <si>
    <t>metaai.adds@gmail.com</t>
  </si>
  <si>
    <t>Infra Zupee</t>
  </si>
  <si>
    <t>infrazupee@gmail.com</t>
  </si>
  <si>
    <t>Duckmk@92</t>
  </si>
  <si>
    <t>Infra GWS</t>
  </si>
  <si>
    <t>Infra IT Team</t>
  </si>
  <si>
    <t>Zupee aso</t>
  </si>
  <si>
    <t>zupeeaso@gmail.com</t>
  </si>
  <si>
    <t>Zup33#2026</t>
  </si>
  <si>
    <t>COUNTA of Department</t>
  </si>
  <si>
    <t>user_group_name</t>
  </si>
  <si>
    <t>Group related</t>
  </si>
  <si>
    <t>User group rule</t>
  </si>
  <si>
    <t>department</t>
  </si>
  <si>
    <t>COUNTA of email</t>
  </si>
  <si>
    <t>User group Member count</t>
  </si>
  <si>
    <t>User count validate</t>
  </si>
  <si>
    <t>live</t>
  </si>
  <si>
    <t>Auto Dynamic</t>
  </si>
  <si>
    <t>Confirm with Netskope</t>
  </si>
  <si>
    <t>All Users</t>
  </si>
  <si>
    <t>JC defult</t>
  </si>
  <si>
    <t xml:space="preserve">live-only email </t>
  </si>
  <si>
    <t>Dynamic with Approval</t>
  </si>
  <si>
    <t>Analytics</t>
  </si>
  <si>
    <t>Need to remove</t>
  </si>
  <si>
    <t>Need to remove , confirm by Vinay for safe side we remove after 30 june</t>
  </si>
  <si>
    <t>AppsFlyer_SSO</t>
  </si>
  <si>
    <t>SSO</t>
  </si>
  <si>
    <t>CleverTap_SSO</t>
  </si>
  <si>
    <t>Compliance Manager_SSO</t>
  </si>
  <si>
    <t>Conditional policy -test</t>
  </si>
  <si>
    <t>Design</t>
  </si>
  <si>
    <t>DevOps</t>
  </si>
  <si>
    <t>Public policy</t>
  </si>
  <si>
    <t>figma_SSO</t>
  </si>
  <si>
    <t>Fraud Risk Management</t>
  </si>
  <si>
    <t>Grand Total</t>
  </si>
  <si>
    <t>GWS - SSO</t>
  </si>
  <si>
    <t>JC defult (Need to remove)</t>
  </si>
  <si>
    <t>GWS-CAA-policy</t>
  </si>
  <si>
    <t>removed from JC</t>
  </si>
  <si>
    <t>Jenkins Astro_SSO</t>
  </si>
  <si>
    <t>Jenkins CSE_SSO</t>
  </si>
  <si>
    <t>Jenkins Ludo_SSO</t>
  </si>
  <si>
    <t>Jenkins Rummy_SSO</t>
  </si>
  <si>
    <t>Jenkins Stage_SSO</t>
  </si>
  <si>
    <t>Jenkins Zupeelite_SSO</t>
  </si>
  <si>
    <t>Jenkins_SSO</t>
  </si>
  <si>
    <t>JumpCloud Radius Server</t>
  </si>
  <si>
    <t>SSO-Radius group</t>
  </si>
  <si>
    <t>MacOS - JC Admin</t>
  </si>
  <si>
    <t>Marketing</t>
  </si>
  <si>
    <t>NetSuit (Oracle)_SSO</t>
  </si>
  <si>
    <t>watting</t>
  </si>
  <si>
    <t>Password Manager</t>
  </si>
  <si>
    <t>SSO- PSW manager group</t>
  </si>
  <si>
    <t>Sentinelone_SSO</t>
  </si>
  <si>
    <t>SureMDM_SSO</t>
  </si>
  <si>
    <t>Tableau-Server_SSO</t>
  </si>
  <si>
    <t>Tech Private App</t>
  </si>
  <si>
    <t>For Netskope syns</t>
  </si>
  <si>
    <t>Test Tech Deny Policy</t>
  </si>
  <si>
    <t>Win- JC Admin</t>
  </si>
  <si>
    <t>email</t>
  </si>
  <si>
    <t>employeeType</t>
  </si>
  <si>
    <t>firstname</t>
  </si>
  <si>
    <t>jobTitle</t>
  </si>
  <si>
    <t>lastname</t>
  </si>
  <si>
    <t>systemUsername</t>
  </si>
  <si>
    <t>username</t>
  </si>
  <si>
    <t>Rajkumar</t>
  </si>
  <si>
    <t>Singh</t>
  </si>
  <si>
    <t>raj</t>
  </si>
  <si>
    <t>rajkumar.singh</t>
  </si>
  <si>
    <t>Rakesh</t>
  </si>
  <si>
    <t>Kumar</t>
  </si>
  <si>
    <t>rakesh.kumar</t>
  </si>
  <si>
    <t>Naveen</t>
  </si>
  <si>
    <t>naveen.k</t>
  </si>
  <si>
    <t>Shiv</t>
  </si>
  <si>
    <t>Kumar IT</t>
  </si>
  <si>
    <t>Shivkumar</t>
  </si>
  <si>
    <t>shiv.k</t>
  </si>
  <si>
    <t>Aakashdeep</t>
  </si>
  <si>
    <t>Madaan</t>
  </si>
  <si>
    <t>aakashdeep.madaan</t>
  </si>
  <si>
    <t>Rahul</t>
  </si>
  <si>
    <t>Prasad Suman</t>
  </si>
  <si>
    <t>RahulSuman</t>
  </si>
  <si>
    <t>rahul.suman</t>
  </si>
  <si>
    <t>Abhishek</t>
  </si>
  <si>
    <t>Srivastava</t>
  </si>
  <si>
    <t>abhisheksrivastava</t>
  </si>
  <si>
    <t>abhishek.srivastava</t>
  </si>
  <si>
    <t>Shiwani</t>
  </si>
  <si>
    <t>Pokhriyal</t>
  </si>
  <si>
    <t>ShiwaniPokhriyal</t>
  </si>
  <si>
    <t>shiwani.pokhriyal</t>
  </si>
  <si>
    <t>Shivani</t>
  </si>
  <si>
    <t>rahul.shivani</t>
  </si>
  <si>
    <t>ithelpdesk@zupee.in</t>
  </si>
  <si>
    <t>JumpCloud</t>
  </si>
  <si>
    <t>Admin</t>
  </si>
  <si>
    <t>JcAdmin</t>
  </si>
  <si>
    <t>Gagan</t>
  </si>
  <si>
    <t>Sharma</t>
  </si>
  <si>
    <t>gagansharma</t>
  </si>
  <si>
    <t>gagan.sharma</t>
  </si>
  <si>
    <t>Meenu</t>
  </si>
  <si>
    <t>Bharti</t>
  </si>
  <si>
    <t>meenu.bharti</t>
  </si>
  <si>
    <t>Richa</t>
  </si>
  <si>
    <t>RichaSharma</t>
  </si>
  <si>
    <t>richa.sharma</t>
  </si>
  <si>
    <t>Anand</t>
  </si>
  <si>
    <t>Keshav</t>
  </si>
  <si>
    <t>AnandKeshav</t>
  </si>
  <si>
    <t>anand.keshav</t>
  </si>
  <si>
    <t>Srijan</t>
  </si>
  <si>
    <t>Bhageria</t>
  </si>
  <si>
    <t>SrijanBhageria</t>
  </si>
  <si>
    <t>srijan.bhageria</t>
  </si>
  <si>
    <t>Mrityunjay</t>
  </si>
  <si>
    <t>mrityunjay.k</t>
  </si>
  <si>
    <t>Mohini</t>
  </si>
  <si>
    <t>Bhardwaj</t>
  </si>
  <si>
    <t>MohiniBhardwaj</t>
  </si>
  <si>
    <t>mohini.bhardwaj</t>
  </si>
  <si>
    <t>Tushar</t>
  </si>
  <si>
    <t>TusharSharma</t>
  </si>
  <si>
    <t>tushar.sharma</t>
  </si>
  <si>
    <t>Khanna</t>
  </si>
  <si>
    <t>GauravKhanna</t>
  </si>
  <si>
    <t>gaurav.khanna</t>
  </si>
  <si>
    <t>Chand</t>
  </si>
  <si>
    <t>KailashChand</t>
  </si>
  <si>
    <t>kailash.chand</t>
  </si>
  <si>
    <t>Dipankar</t>
  </si>
  <si>
    <t>Jha</t>
  </si>
  <si>
    <t>DipankarJha1</t>
  </si>
  <si>
    <t>dipankar.jha</t>
  </si>
  <si>
    <t>Shyam</t>
  </si>
  <si>
    <t>Sunder Verma</t>
  </si>
  <si>
    <t>Shyamsunder</t>
  </si>
  <si>
    <t>shyam.verma</t>
  </si>
  <si>
    <t>Vijay</t>
  </si>
  <si>
    <t>VijaySingh</t>
  </si>
  <si>
    <t>vijay.singh</t>
  </si>
  <si>
    <t>Manmohan</t>
  </si>
  <si>
    <t>Sagar</t>
  </si>
  <si>
    <t>MaNmoHaN</t>
  </si>
  <si>
    <t>manmohan.sagar</t>
  </si>
  <si>
    <t>Shubham</t>
  </si>
  <si>
    <t>Kumar Thakur</t>
  </si>
  <si>
    <t>shubham.thakur</t>
  </si>
  <si>
    <t>Dhruv</t>
  </si>
  <si>
    <t>Adlakha</t>
  </si>
  <si>
    <t>DhruvAdlakha</t>
  </si>
  <si>
    <t>dhruv.adlakha</t>
  </si>
  <si>
    <t>Arsh</t>
  </si>
  <si>
    <t>Jethi</t>
  </si>
  <si>
    <t>arsh.jethi</t>
  </si>
  <si>
    <t>Priyanshu</t>
  </si>
  <si>
    <t>Agrawal</t>
  </si>
  <si>
    <t>priyanshu.agrawal</t>
  </si>
  <si>
    <t>Ankit</t>
  </si>
  <si>
    <t>Wadhwa</t>
  </si>
  <si>
    <t>Ankitwadhwa</t>
  </si>
  <si>
    <t>ankit.wadhwa</t>
  </si>
  <si>
    <t>Saumya</t>
  </si>
  <si>
    <t>Ranjan Behera</t>
  </si>
  <si>
    <t>saumya.behera</t>
  </si>
  <si>
    <t>Pankaj</t>
  </si>
  <si>
    <t>Gautam</t>
  </si>
  <si>
    <t>pankaj.gautam</t>
  </si>
  <si>
    <t>Khosla</t>
  </si>
  <si>
    <t>ShubhamK</t>
  </si>
  <si>
    <t>shubham.khosla</t>
  </si>
  <si>
    <t>Prityankur</t>
  </si>
  <si>
    <t>Biswas</t>
  </si>
  <si>
    <t>prityankur.biswas</t>
  </si>
  <si>
    <t>Armaan</t>
  </si>
  <si>
    <t>Nayyar</t>
  </si>
  <si>
    <t>ArmaanNayyar</t>
  </si>
  <si>
    <t>armaan.nayyar</t>
  </si>
  <si>
    <t>Sambhav</t>
  </si>
  <si>
    <t>SambhavSingh</t>
  </si>
  <si>
    <t>sambhav.singh</t>
  </si>
  <si>
    <t>Rajat</t>
  </si>
  <si>
    <t>RajatSaurav</t>
  </si>
  <si>
    <t>rajat.saurav</t>
  </si>
  <si>
    <t>Pratik</t>
  </si>
  <si>
    <t>Taltia</t>
  </si>
  <si>
    <t>PratikTaltia</t>
  </si>
  <si>
    <t>pratik.taltia</t>
  </si>
  <si>
    <t>Abhinav</t>
  </si>
  <si>
    <t>Shandilya</t>
  </si>
  <si>
    <t>AbhinavShandilya</t>
  </si>
  <si>
    <t>abhinav.shandilya</t>
  </si>
  <si>
    <t>Anjelina</t>
  </si>
  <si>
    <t>Tirkey</t>
  </si>
  <si>
    <t>anjelina.tirkey</t>
  </si>
  <si>
    <t>Bishan</t>
  </si>
  <si>
    <t>Bhadra</t>
  </si>
  <si>
    <t>BishanBhandra</t>
  </si>
  <si>
    <t>bishan.bhadra</t>
  </si>
  <si>
    <t>Shubhamsingh</t>
  </si>
  <si>
    <t>shubham.singh</t>
  </si>
  <si>
    <t>Chaitanya</t>
  </si>
  <si>
    <t>Kapoor</t>
  </si>
  <si>
    <t>ChaitanyaKapoor</t>
  </si>
  <si>
    <t>chaitanya.kapoor</t>
  </si>
  <si>
    <t>Satyam</t>
  </si>
  <si>
    <t>Jaiswal</t>
  </si>
  <si>
    <t>satyam.jaiswal</t>
  </si>
  <si>
    <t>Bikash</t>
  </si>
  <si>
    <t>Kumar Jha</t>
  </si>
  <si>
    <t>Bikashjha</t>
  </si>
  <si>
    <t>bikash.jha</t>
  </si>
  <si>
    <t>Ankur</t>
  </si>
  <si>
    <t>Prajapati</t>
  </si>
  <si>
    <t>ankur.prajapati</t>
  </si>
  <si>
    <t>Tarun</t>
  </si>
  <si>
    <t>tarun.sharma</t>
  </si>
  <si>
    <t>Mukesh</t>
  </si>
  <si>
    <t>mukesh.singh</t>
  </si>
  <si>
    <t>Utkarsh</t>
  </si>
  <si>
    <t>Vishal</t>
  </si>
  <si>
    <t>utkarhvishal</t>
  </si>
  <si>
    <t>utkarsh.vishal</t>
  </si>
  <si>
    <t>Bisht</t>
  </si>
  <si>
    <t>AbhishekBisht</t>
  </si>
  <si>
    <t>abhishek.bisht</t>
  </si>
  <si>
    <t>Gupta</t>
  </si>
  <si>
    <t>meenu.gupta</t>
  </si>
  <si>
    <t>Anant Dnayeshwar</t>
  </si>
  <si>
    <t>Admane</t>
  </si>
  <si>
    <t>anant.admane</t>
  </si>
  <si>
    <t>Twinkle</t>
  </si>
  <si>
    <t>Bhati</t>
  </si>
  <si>
    <t>TwinkleBhati</t>
  </si>
  <si>
    <t>twinkle.bhati</t>
  </si>
  <si>
    <t>Yadav</t>
  </si>
  <si>
    <t>shivam.yadav</t>
  </si>
  <si>
    <t>Aman</t>
  </si>
  <si>
    <t>Khare</t>
  </si>
  <si>
    <t>AmanKhare</t>
  </si>
  <si>
    <t>aman.khare</t>
  </si>
  <si>
    <t>Satija</t>
  </si>
  <si>
    <t>vijay</t>
  </si>
  <si>
    <t>rahul.satija</t>
  </si>
  <si>
    <t>Vedant</t>
  </si>
  <si>
    <t>VedantSharma</t>
  </si>
  <si>
    <t>vedant.sharma</t>
  </si>
  <si>
    <t>Md</t>
  </si>
  <si>
    <t>Neyaz</t>
  </si>
  <si>
    <t>mdneyaz</t>
  </si>
  <si>
    <t>md.neyaz</t>
  </si>
  <si>
    <t>Vivek</t>
  </si>
  <si>
    <t>Claudius</t>
  </si>
  <si>
    <t>vivek.claudius</t>
  </si>
  <si>
    <t>Yogesha</t>
  </si>
  <si>
    <t>k</t>
  </si>
  <si>
    <t>YogeshaK</t>
  </si>
  <si>
    <t>yogesha.k</t>
  </si>
  <si>
    <t>Bali</t>
  </si>
  <si>
    <t>Shivambali</t>
  </si>
  <si>
    <t>shivam.bali</t>
  </si>
  <si>
    <t>Soumya</t>
  </si>
  <si>
    <t>Manna</t>
  </si>
  <si>
    <t>soumya.manna</t>
  </si>
  <si>
    <t>Ajay</t>
  </si>
  <si>
    <t>ajaysurendra</t>
  </si>
  <si>
    <t>ajay.yadav</t>
  </si>
  <si>
    <t>Garg</t>
  </si>
  <si>
    <t>Rajatgarg</t>
  </si>
  <si>
    <t>rajat.garg</t>
  </si>
  <si>
    <t>Gulshan</t>
  </si>
  <si>
    <t>Varshney</t>
  </si>
  <si>
    <t>gulshan.varshney</t>
  </si>
  <si>
    <t>Sameer</t>
  </si>
  <si>
    <t>SameerSingh</t>
  </si>
  <si>
    <t>sameer.singh</t>
  </si>
  <si>
    <t>Shivamsharma</t>
  </si>
  <si>
    <t>shivam.sharma1</t>
  </si>
  <si>
    <t>Punit</t>
  </si>
  <si>
    <t>Punitsharma</t>
  </si>
  <si>
    <t>punit.sharma</t>
  </si>
  <si>
    <t>Rajiv</t>
  </si>
  <si>
    <t>rajivyadav</t>
  </si>
  <si>
    <t>rajiv.yadav</t>
  </si>
  <si>
    <t>Sanjeev</t>
  </si>
  <si>
    <t>Sanjeevkumar</t>
  </si>
  <si>
    <t>sanjeev.kumar</t>
  </si>
  <si>
    <t>Prakhar</t>
  </si>
  <si>
    <t>prakharsrivashtava</t>
  </si>
  <si>
    <t>prakhar.srivastava</t>
  </si>
  <si>
    <t>Samantaray</t>
  </si>
  <si>
    <t>adityasamantaray</t>
  </si>
  <si>
    <t>aditya.samantaray</t>
  </si>
  <si>
    <t>Hemant</t>
  </si>
  <si>
    <t>Dandotiya</t>
  </si>
  <si>
    <t>hemant</t>
  </si>
  <si>
    <t>hemant.dandotiya</t>
  </si>
  <si>
    <t>Govila</t>
  </si>
  <si>
    <t>SatyamGovila</t>
  </si>
  <si>
    <t>satyam.govila</t>
  </si>
  <si>
    <t>Sonu</t>
  </si>
  <si>
    <t>Modi</t>
  </si>
  <si>
    <t>sonu.modi</t>
  </si>
  <si>
    <t>Prashant</t>
  </si>
  <si>
    <t>prashantkumar</t>
  </si>
  <si>
    <t>prashant.kumar</t>
  </si>
  <si>
    <t>neha.sharma</t>
  </si>
  <si>
    <t>Patil</t>
  </si>
  <si>
    <t>shivanipatil</t>
  </si>
  <si>
    <t>shivani.patil</t>
  </si>
  <si>
    <t>naveen.yadav</t>
  </si>
  <si>
    <t>Parth</t>
  </si>
  <si>
    <t>parthjindal</t>
  </si>
  <si>
    <t>parth.jindal</t>
  </si>
  <si>
    <t>Suraj</t>
  </si>
  <si>
    <t>suraj.yadav</t>
  </si>
  <si>
    <t>Himanshu</t>
  </si>
  <si>
    <t>Thakur</t>
  </si>
  <si>
    <t>himanshuthakur</t>
  </si>
  <si>
    <t>himanshu.thakur</t>
  </si>
  <si>
    <t>Soni</t>
  </si>
  <si>
    <t>viveksoni</t>
  </si>
  <si>
    <t>vivek.soni</t>
  </si>
  <si>
    <t>Arif</t>
  </si>
  <si>
    <t>Jamal</t>
  </si>
  <si>
    <t>arifjamal</t>
  </si>
  <si>
    <t>arif.jamal</t>
  </si>
  <si>
    <t>Kumar Maurya</t>
  </si>
  <si>
    <t>mukeshkumarmaurya</t>
  </si>
  <si>
    <t>mukesh.maurya</t>
  </si>
  <si>
    <t>Ayush</t>
  </si>
  <si>
    <t>Dabas</t>
  </si>
  <si>
    <t>ayushdabas</t>
  </si>
  <si>
    <t>ayush.dabas</t>
  </si>
  <si>
    <t>Amrit</t>
  </si>
  <si>
    <t>amritanand</t>
  </si>
  <si>
    <t>amrit.anand</t>
  </si>
  <si>
    <t>ayushgupta</t>
  </si>
  <si>
    <t>ayush.g</t>
  </si>
  <si>
    <t>Maheshwari</t>
  </si>
  <si>
    <t>ankit.maheshwari</t>
  </si>
  <si>
    <t>Avanish</t>
  </si>
  <si>
    <t>Kumar Dubey</t>
  </si>
  <si>
    <t>avanishkumardubey</t>
  </si>
  <si>
    <t>avanish.dubey</t>
  </si>
  <si>
    <t>Piyush</t>
  </si>
  <si>
    <t>Patel</t>
  </si>
  <si>
    <t>piyushpatel</t>
  </si>
  <si>
    <t>piyush.patel</t>
  </si>
  <si>
    <t>Ritwika</t>
  </si>
  <si>
    <t>Maitra</t>
  </si>
  <si>
    <t>ritwikamaitra</t>
  </si>
  <si>
    <t>ritwika.maitra</t>
  </si>
  <si>
    <t>Pranav</t>
  </si>
  <si>
    <t>Jaradi</t>
  </si>
  <si>
    <t>pranavjaradi</t>
  </si>
  <si>
    <t>pranav.jaradi</t>
  </si>
  <si>
    <t>aditya</t>
  </si>
  <si>
    <t>aditya.jha</t>
  </si>
  <si>
    <t>Sanket</t>
  </si>
  <si>
    <t>Jain</t>
  </si>
  <si>
    <t>sanketjain</t>
  </si>
  <si>
    <t>sanket.jain</t>
  </si>
  <si>
    <t>Shitiza</t>
  </si>
  <si>
    <t>Arora</t>
  </si>
  <si>
    <t>ShitizaArora</t>
  </si>
  <si>
    <t>shitiza.arora</t>
  </si>
  <si>
    <t>Aryan</t>
  </si>
  <si>
    <t>Chopra</t>
  </si>
  <si>
    <t>aryan2</t>
  </si>
  <si>
    <t>aryan.chopra</t>
  </si>
  <si>
    <t>Sunil</t>
  </si>
  <si>
    <t>sunilyadav</t>
  </si>
  <si>
    <t>sunil.yadav</t>
  </si>
  <si>
    <t>Ravi</t>
  </si>
  <si>
    <t>ravikumar</t>
  </si>
  <si>
    <t>ravi.kumar</t>
  </si>
  <si>
    <t>Saaksshi</t>
  </si>
  <si>
    <t>Makkar</t>
  </si>
  <si>
    <t>sakshimakkar</t>
  </si>
  <si>
    <t>saaksshi.makkar</t>
  </si>
  <si>
    <t>Pulkit</t>
  </si>
  <si>
    <t>Sehgal</t>
  </si>
  <si>
    <t>pulkit.sehgal</t>
  </si>
  <si>
    <t>Manjot</t>
  </si>
  <si>
    <t>Juyal</t>
  </si>
  <si>
    <t>manjot</t>
  </si>
  <si>
    <t>manjot.juyal</t>
  </si>
  <si>
    <t>Saravana</t>
  </si>
  <si>
    <t>saravanakumar</t>
  </si>
  <si>
    <t>saravana.kumar</t>
  </si>
  <si>
    <t>Mohd</t>
  </si>
  <si>
    <t>Ghufran Ansari</t>
  </si>
  <si>
    <t>Ghufran</t>
  </si>
  <si>
    <t>mohd.ghufran</t>
  </si>
  <si>
    <t>Divyansh</t>
  </si>
  <si>
    <t>divyansh.singh</t>
  </si>
  <si>
    <t>Nayan</t>
  </si>
  <si>
    <t>Intwala</t>
  </si>
  <si>
    <t>nayan</t>
  </si>
  <si>
    <t>nayan.intwala</t>
  </si>
  <si>
    <t>mohit.arora</t>
  </si>
  <si>
    <t>Mukul</t>
  </si>
  <si>
    <t>Chaudhary</t>
  </si>
  <si>
    <t>mukulchaudhary</t>
  </si>
  <si>
    <t>mukul.chaudhary</t>
  </si>
  <si>
    <t>Rajan</t>
  </si>
  <si>
    <t>Jayaswal</t>
  </si>
  <si>
    <t>rajanjayaswal</t>
  </si>
  <si>
    <t>rajan.jayaswal</t>
  </si>
  <si>
    <t>Agarwal</t>
  </si>
  <si>
    <t>AnkurAgarwal</t>
  </si>
  <si>
    <t>ankur.a</t>
  </si>
  <si>
    <t>Manoj</t>
  </si>
  <si>
    <t>Rane</t>
  </si>
  <si>
    <t>manojr</t>
  </si>
  <si>
    <t>manoj.rane</t>
  </si>
  <si>
    <t>Vipin</t>
  </si>
  <si>
    <t>VipinKumar</t>
  </si>
  <si>
    <t>vipin.kumar</t>
  </si>
  <si>
    <t>Yash</t>
  </si>
  <si>
    <t>Oberoi</t>
  </si>
  <si>
    <t>YashOberoi</t>
  </si>
  <si>
    <t>yash.oberoi</t>
  </si>
  <si>
    <t>ShivamS</t>
  </si>
  <si>
    <t>shivam.s</t>
  </si>
  <si>
    <t>Shambhavi</t>
  </si>
  <si>
    <t>shambhavikhare</t>
  </si>
  <si>
    <t>shambhavi.khare</t>
  </si>
  <si>
    <t>Aditi</t>
  </si>
  <si>
    <t>AditiKhanna</t>
  </si>
  <si>
    <t>aditi.khanna</t>
  </si>
  <si>
    <t>Ishank</t>
  </si>
  <si>
    <t>Mehta</t>
  </si>
  <si>
    <t>ishankm</t>
  </si>
  <si>
    <t>ishank.mehta</t>
  </si>
  <si>
    <t>pranavgoutam</t>
  </si>
  <si>
    <t>pranav.gautam</t>
  </si>
  <si>
    <t>Siddharth</t>
  </si>
  <si>
    <t>Monga</t>
  </si>
  <si>
    <t>SiddharthMonga</t>
  </si>
  <si>
    <t>siddharth.monga</t>
  </si>
  <si>
    <t>Rajneesh</t>
  </si>
  <si>
    <t>RajneeshYadav</t>
  </si>
  <si>
    <t>rajneesh.yadav</t>
  </si>
  <si>
    <t>Naina</t>
  </si>
  <si>
    <t>naina.sharma</t>
  </si>
  <si>
    <t>Patni</t>
  </si>
  <si>
    <t>AmanPatni</t>
  </si>
  <si>
    <t>aman.patni</t>
  </si>
  <si>
    <t>rijulsharma</t>
  </si>
  <si>
    <t>pankaj.garg</t>
  </si>
  <si>
    <t>Shashank</t>
  </si>
  <si>
    <t>ShashankGupta</t>
  </si>
  <si>
    <t>shashank.gupta</t>
  </si>
  <si>
    <t>Harsha</t>
  </si>
  <si>
    <t>Ratnam</t>
  </si>
  <si>
    <t>harsha.ratnam</t>
  </si>
  <si>
    <t>Sushil</t>
  </si>
  <si>
    <t>sushilpatel</t>
  </si>
  <si>
    <t>sushil.patel</t>
  </si>
  <si>
    <t>Anurag</t>
  </si>
  <si>
    <t>Dwivedi</t>
  </si>
  <si>
    <t>AnuragDwivedi</t>
  </si>
  <si>
    <t>anurag.dwivedi</t>
  </si>
  <si>
    <t>Ashu</t>
  </si>
  <si>
    <t>Salmani</t>
  </si>
  <si>
    <t>AshuSalmani</t>
  </si>
  <si>
    <t>ashu.salmani</t>
  </si>
  <si>
    <t>Suryanshu</t>
  </si>
  <si>
    <t>Shekhar</t>
  </si>
  <si>
    <t>suryanshu</t>
  </si>
  <si>
    <t>suryanshu.shekhar</t>
  </si>
  <si>
    <t>Anubhav</t>
  </si>
  <si>
    <t>Pandey</t>
  </si>
  <si>
    <t>Anubhavpandey</t>
  </si>
  <si>
    <t>anubhav.pandey</t>
  </si>
  <si>
    <t>Adityapathak</t>
  </si>
  <si>
    <t>aditya.pathak</t>
  </si>
  <si>
    <t>Atiullaha</t>
  </si>
  <si>
    <t>Siddiqui</t>
  </si>
  <si>
    <t>AtiullahaSiddiqui</t>
  </si>
  <si>
    <t>atiullaha.siddiqui</t>
  </si>
  <si>
    <t>Hans</t>
  </si>
  <si>
    <t>aman</t>
  </si>
  <si>
    <t>aman.hans</t>
  </si>
  <si>
    <t>Prasad</t>
  </si>
  <si>
    <t>abhishek.prasad</t>
  </si>
  <si>
    <t>Vansh Kumar</t>
  </si>
  <si>
    <t>Dua</t>
  </si>
  <si>
    <t>vansh</t>
  </si>
  <si>
    <t>vansh.dua</t>
  </si>
  <si>
    <t>Anish</t>
  </si>
  <si>
    <t>Joseph Abraham</t>
  </si>
  <si>
    <t>anish</t>
  </si>
  <si>
    <t>anish.abraham</t>
  </si>
  <si>
    <t>Munnu</t>
  </si>
  <si>
    <t>munnukumar</t>
  </si>
  <si>
    <t>munnu.kumar</t>
  </si>
  <si>
    <t>Babita</t>
  </si>
  <si>
    <t>babitasharma</t>
  </si>
  <si>
    <t>babita.sharma</t>
  </si>
  <si>
    <t>Ankita</t>
  </si>
  <si>
    <t>Jugran</t>
  </si>
  <si>
    <t>ankitajugran</t>
  </si>
  <si>
    <t>ankita.jugran</t>
  </si>
  <si>
    <t>satyamsingh</t>
  </si>
  <si>
    <t>satyam.singh</t>
  </si>
  <si>
    <t>Amroj</t>
  </si>
  <si>
    <t>Sandhu</t>
  </si>
  <si>
    <t>amrojpalsinghsandhu</t>
  </si>
  <si>
    <t>amroj.sandhu</t>
  </si>
  <si>
    <t>Chirag</t>
  </si>
  <si>
    <t>chiragjain</t>
  </si>
  <si>
    <t>chirag.jain</t>
  </si>
  <si>
    <t>Shreya</t>
  </si>
  <si>
    <t>shreya.dwivedi</t>
  </si>
  <si>
    <t>Suvam</t>
  </si>
  <si>
    <t>Debata</t>
  </si>
  <si>
    <t>suvamdebata</t>
  </si>
  <si>
    <t>suvam.debata</t>
  </si>
  <si>
    <t>vishalagarwal</t>
  </si>
  <si>
    <t>vishal.agarwal</t>
  </si>
  <si>
    <t>Choudhary</t>
  </si>
  <si>
    <t>vivekchoudhary</t>
  </si>
  <si>
    <t>vivek.choudhary</t>
  </si>
  <si>
    <t>Akshit</t>
  </si>
  <si>
    <t>akshitsharma</t>
  </si>
  <si>
    <t>akshit.sharma</t>
  </si>
  <si>
    <t>Rana</t>
  </si>
  <si>
    <t>pankajrana</t>
  </si>
  <si>
    <t>pankaj.rana</t>
  </si>
  <si>
    <t>Sachin</t>
  </si>
  <si>
    <t>sachin.sharma</t>
  </si>
  <si>
    <t>Anwesha</t>
  </si>
  <si>
    <t>Raj</t>
  </si>
  <si>
    <t>anwesha1</t>
  </si>
  <si>
    <t>anwesha.raj</t>
  </si>
  <si>
    <t>Shrasti</t>
  </si>
  <si>
    <t>Tomar</t>
  </si>
  <si>
    <t>shastitomar</t>
  </si>
  <si>
    <t>shrasti.tomar</t>
  </si>
  <si>
    <t>Mritunjay</t>
  </si>
  <si>
    <t>Mritunjaykumar</t>
  </si>
  <si>
    <t>mritunjay.kumar</t>
  </si>
  <si>
    <t>Nikhil</t>
  </si>
  <si>
    <t>nikhil.j</t>
  </si>
  <si>
    <t>Upamdeep</t>
  </si>
  <si>
    <t>Buragohain</t>
  </si>
  <si>
    <t>upamdeep.buragohain</t>
  </si>
  <si>
    <t>Daksh</t>
  </si>
  <si>
    <t>Tyagi</t>
  </si>
  <si>
    <t>daksh.tyagi</t>
  </si>
  <si>
    <t>Verma</t>
  </si>
  <si>
    <t>shubham.verma</t>
  </si>
  <si>
    <t>shubham.v</t>
  </si>
  <si>
    <t>Duhan</t>
  </si>
  <si>
    <t>aryan.duhan</t>
  </si>
  <si>
    <t>Shrujai</t>
  </si>
  <si>
    <t>shrujai.gupta</t>
  </si>
  <si>
    <t>Nath</t>
  </si>
  <si>
    <t>aditya.nath</t>
  </si>
  <si>
    <t>Amit</t>
  </si>
  <si>
    <t>Roy</t>
  </si>
  <si>
    <t>amit.roy</t>
  </si>
  <si>
    <t>Rudraksh</t>
  </si>
  <si>
    <t>rudraksh.sharma</t>
  </si>
  <si>
    <t>Rao</t>
  </si>
  <si>
    <t>aditya.rao</t>
  </si>
  <si>
    <t>Maneesha</t>
  </si>
  <si>
    <t>Negi</t>
  </si>
  <si>
    <t>maneesha</t>
  </si>
  <si>
    <t>maneesha.negi</t>
  </si>
  <si>
    <t>Vamsi</t>
  </si>
  <si>
    <t>Haridasu</t>
  </si>
  <si>
    <t>vamsi.haridasu</t>
  </si>
  <si>
    <t>priyanshu.jha</t>
  </si>
  <si>
    <t>piyush.kumar</t>
  </si>
  <si>
    <t>Jeevan</t>
  </si>
  <si>
    <t>Kumar Singla</t>
  </si>
  <si>
    <t>jeevansingla</t>
  </si>
  <si>
    <t>jeevan.singla</t>
  </si>
  <si>
    <t>himanshu.sharma</t>
  </si>
  <si>
    <t>Satya</t>
  </si>
  <si>
    <t>Vart</t>
  </si>
  <si>
    <t>satyavart</t>
  </si>
  <si>
    <t>satya.vart</t>
  </si>
  <si>
    <t>Gokul</t>
  </si>
  <si>
    <t>gokulverma</t>
  </si>
  <si>
    <t>gokul.verma</t>
  </si>
  <si>
    <t>Khushboo</t>
  </si>
  <si>
    <t>khushboo</t>
  </si>
  <si>
    <t>khushboo.chopra</t>
  </si>
  <si>
    <t>gauravsharma</t>
  </si>
  <si>
    <t>gaurav.sharma</t>
  </si>
  <si>
    <t>dhruv.gupta</t>
  </si>
  <si>
    <t>surajarora</t>
  </si>
  <si>
    <t>suraj.arora</t>
  </si>
  <si>
    <t>Nishant</t>
  </si>
  <si>
    <t>Tripathi</t>
  </si>
  <si>
    <t>nishant.tripathi</t>
  </si>
  <si>
    <t>amangupta</t>
  </si>
  <si>
    <t>aman.g</t>
  </si>
  <si>
    <t>Biswajit</t>
  </si>
  <si>
    <t>Dey</t>
  </si>
  <si>
    <t>Biswajitdey</t>
  </si>
  <si>
    <t>biswajit.dey</t>
  </si>
  <si>
    <t>Prerna</t>
  </si>
  <si>
    <t>PrernaSharma</t>
  </si>
  <si>
    <t>prerna.sharma</t>
  </si>
  <si>
    <t>Mamta</t>
  </si>
  <si>
    <t>mamtapandey</t>
  </si>
  <si>
    <t>mamta.pandey</t>
  </si>
  <si>
    <t>Nidhi</t>
  </si>
  <si>
    <t>Khedekar</t>
  </si>
  <si>
    <t>NidhiKhedekar</t>
  </si>
  <si>
    <t>nidhi.khedekar</t>
  </si>
  <si>
    <t>Mohit1</t>
  </si>
  <si>
    <t>mohit.singh</t>
  </si>
  <si>
    <t>ankit.kumar</t>
  </si>
  <si>
    <t>Deep</t>
  </si>
  <si>
    <t>deep.dwivedi</t>
  </si>
  <si>
    <t>amitsingh</t>
  </si>
  <si>
    <t>amit.singh</t>
  </si>
  <si>
    <t>Harshitaa</t>
  </si>
  <si>
    <t>Prakash</t>
  </si>
  <si>
    <t>harshitaa.prakash</t>
  </si>
  <si>
    <t>mohitchoudhary</t>
  </si>
  <si>
    <t>mohit.choudhary</t>
  </si>
  <si>
    <t>Vimal</t>
  </si>
  <si>
    <t>vimalprajapati</t>
  </si>
  <si>
    <t>vimal.prajapati</t>
  </si>
  <si>
    <t>Sanchi</t>
  </si>
  <si>
    <t>SanchiGupta</t>
  </si>
  <si>
    <t>sanchi.gupta</t>
  </si>
  <si>
    <t>Astha</t>
  </si>
  <si>
    <t>Mishra</t>
  </si>
  <si>
    <t>asthamishra</t>
  </si>
  <si>
    <t>astha.mishra</t>
  </si>
  <si>
    <t>Lekhika</t>
  </si>
  <si>
    <t>Dhariyal</t>
  </si>
  <si>
    <t>LekhikaDhariyal</t>
  </si>
  <si>
    <t>lekhika.dhariyal</t>
  </si>
  <si>
    <t>Sidharth</t>
  </si>
  <si>
    <t>Dhiman</t>
  </si>
  <si>
    <t>sidharth</t>
  </si>
  <si>
    <t>sidharth.dhiman</t>
  </si>
  <si>
    <t>Anant P</t>
  </si>
  <si>
    <t>Barla</t>
  </si>
  <si>
    <t>anantbarla</t>
  </si>
  <si>
    <t>anant.barla</t>
  </si>
  <si>
    <t>vishalkapoor</t>
  </si>
  <si>
    <t>vishal.kapoor</t>
  </si>
  <si>
    <t>Shukracharya Sutar</t>
  </si>
  <si>
    <t>amit</t>
  </si>
  <si>
    <t>amit.sutar</t>
  </si>
  <si>
    <t>prashant.yadav</t>
  </si>
  <si>
    <t>Contractual: Innovation</t>
  </si>
  <si>
    <t>rahulyadav</t>
  </si>
  <si>
    <t>rahul.yadav</t>
  </si>
  <si>
    <t>Yakshita</t>
  </si>
  <si>
    <t>Behl</t>
  </si>
  <si>
    <t>yakshita</t>
  </si>
  <si>
    <t>yakshita.behl</t>
  </si>
  <si>
    <t>Ritvik</t>
  </si>
  <si>
    <t>ritviksharma</t>
  </si>
  <si>
    <t>ritvik.sharma</t>
  </si>
  <si>
    <t>Aswal</t>
  </si>
  <si>
    <t>pratik</t>
  </si>
  <si>
    <t>pratik.aswal</t>
  </si>
  <si>
    <t>Maurya</t>
  </si>
  <si>
    <t>piyushmaurya</t>
  </si>
  <si>
    <t>piyush.maurya</t>
  </si>
  <si>
    <t>aaditya.singh</t>
  </si>
  <si>
    <t>Ranjeet</t>
  </si>
  <si>
    <t>ranjeet</t>
  </si>
  <si>
    <t>ranjeet.kumar</t>
  </si>
  <si>
    <t>Pradeep</t>
  </si>
  <si>
    <t>pradeep</t>
  </si>
  <si>
    <t>pradeep.agrawal</t>
  </si>
  <si>
    <t>Sanchit</t>
  </si>
  <si>
    <t>Mittal</t>
  </si>
  <si>
    <t>SanchitMittal</t>
  </si>
  <si>
    <t>sanchit.mittal</t>
  </si>
  <si>
    <t>Gurmeet</t>
  </si>
  <si>
    <t>gurmeetsingh</t>
  </si>
  <si>
    <t>gurmeet.singh</t>
  </si>
  <si>
    <t>Ananya</t>
  </si>
  <si>
    <t>Apurva</t>
  </si>
  <si>
    <t>ananya</t>
  </si>
  <si>
    <t>ananya.apurva</t>
  </si>
  <si>
    <t>Singh Rathore</t>
  </si>
  <si>
    <t>mohitrathore</t>
  </si>
  <si>
    <t>mohit.rathore</t>
  </si>
  <si>
    <t>Zupee</t>
  </si>
  <si>
    <t>Secretarial</t>
  </si>
  <si>
    <t>cs</t>
  </si>
  <si>
    <t>Anushka</t>
  </si>
  <si>
    <t>Murgudkar</t>
  </si>
  <si>
    <t>anushka</t>
  </si>
  <si>
    <t>anushka.murgudkar</t>
  </si>
  <si>
    <t>Thomas</t>
  </si>
  <si>
    <t>Phillippe</t>
  </si>
  <si>
    <t>thomasphillippe</t>
  </si>
  <si>
    <t>thomas.phillippe</t>
  </si>
  <si>
    <t>nikhiljain</t>
  </si>
  <si>
    <t>nikhil.jain</t>
  </si>
  <si>
    <t>Saksham</t>
  </si>
  <si>
    <t>Kochhar - Intern</t>
  </si>
  <si>
    <t>sakshamkochar</t>
  </si>
  <si>
    <t>saksham.kochhar</t>
  </si>
  <si>
    <t>tushar</t>
  </si>
  <si>
    <t>tushar.mehta</t>
  </si>
  <si>
    <t>Nandeshwar</t>
  </si>
  <si>
    <t>nandesh</t>
  </si>
  <si>
    <t>nandeshwar.gupta</t>
  </si>
  <si>
    <t>Sahil</t>
  </si>
  <si>
    <t>sahilsingh</t>
  </si>
  <si>
    <t>sahil.singh</t>
  </si>
  <si>
    <t>Amarjeet</t>
  </si>
  <si>
    <t>amarjeetyadav</t>
  </si>
  <si>
    <t>amarjeet.yadav</t>
  </si>
  <si>
    <t>Rajendra Patil</t>
  </si>
  <si>
    <t>tusharrajendra</t>
  </si>
  <si>
    <t>tushar.patil</t>
  </si>
  <si>
    <t>Abhiroop</t>
  </si>
  <si>
    <t>Hora</t>
  </si>
  <si>
    <t>abhiroophora</t>
  </si>
  <si>
    <t>abhiroop.hora</t>
  </si>
  <si>
    <t>Adarsh</t>
  </si>
  <si>
    <t>adarsh</t>
  </si>
  <si>
    <t>adarsh.kumar</t>
  </si>
  <si>
    <t>shivani.bisht</t>
  </si>
  <si>
    <t>Amogh</t>
  </si>
  <si>
    <t>Babbar</t>
  </si>
  <si>
    <t>amoghbabbar</t>
  </si>
  <si>
    <t>amogh.babbar</t>
  </si>
  <si>
    <t>Karan</t>
  </si>
  <si>
    <t>Aggarwal</t>
  </si>
  <si>
    <t>karan.aggarwal</t>
  </si>
  <si>
    <t>Sangepu</t>
  </si>
  <si>
    <t>naveen.sangepu</t>
  </si>
  <si>
    <t>Arushi</t>
  </si>
  <si>
    <t>arushi.patni</t>
  </si>
  <si>
    <t>Vikas</t>
  </si>
  <si>
    <t>vikas.gupta</t>
  </si>
  <si>
    <t>Joshi</t>
  </si>
  <si>
    <t>vikas.joshi</t>
  </si>
  <si>
    <t>Yogesh</t>
  </si>
  <si>
    <t>yogeshyadav</t>
  </si>
  <si>
    <t>yogesh.yadav</t>
  </si>
  <si>
    <t>Rishabh</t>
  </si>
  <si>
    <t>Bhatia</t>
  </si>
  <si>
    <t>rishabhbhatia</t>
  </si>
  <si>
    <t>rishabh.bhatia</t>
  </si>
  <si>
    <t>Raghav</t>
  </si>
  <si>
    <t>Bansal</t>
  </si>
  <si>
    <t>RaghavBansal</t>
  </si>
  <si>
    <t>raghav.bansal</t>
  </si>
  <si>
    <t>Sourabh</t>
  </si>
  <si>
    <t>sourabhkumar</t>
  </si>
  <si>
    <t>sourabh.kumar</t>
  </si>
  <si>
    <t>Bhatt</t>
  </si>
  <si>
    <t>mukulbhatt</t>
  </si>
  <si>
    <t>mukul.bhatt</t>
  </si>
  <si>
    <t>Goyal</t>
  </si>
  <si>
    <t>abhishekgoyal</t>
  </si>
  <si>
    <t>abhishek.goyal</t>
  </si>
  <si>
    <t>Shridhar</t>
  </si>
  <si>
    <t>shridharsharma</t>
  </si>
  <si>
    <t>shridhar.sharma</t>
  </si>
  <si>
    <t>Barsiwal</t>
  </si>
  <si>
    <t>himanshu.barsiwal</t>
  </si>
  <si>
    <t>Adhip</t>
  </si>
  <si>
    <t>Kushwaha</t>
  </si>
  <si>
    <t>adhip.kushwaha</t>
  </si>
  <si>
    <t>Arun</t>
  </si>
  <si>
    <t>Prabhakaran</t>
  </si>
  <si>
    <t>arunprabhakar</t>
  </si>
  <si>
    <t>arun.prabhakaran</t>
  </si>
  <si>
    <t>shivamsharmare</t>
  </si>
  <si>
    <t>shivam.sharma</t>
  </si>
  <si>
    <t>Kinra</t>
  </si>
  <si>
    <t>jatin.kinra</t>
  </si>
  <si>
    <t>Raman</t>
  </si>
  <si>
    <t>Dixit</t>
  </si>
  <si>
    <t>raman</t>
  </si>
  <si>
    <t>raman.dixit</t>
  </si>
  <si>
    <t>aman.gupta</t>
  </si>
  <si>
    <t>vinaybansal</t>
  </si>
  <si>
    <t>vinay.bansal</t>
  </si>
  <si>
    <t>Aashi</t>
  </si>
  <si>
    <t>Mangal</t>
  </si>
  <si>
    <t>aashimangal</t>
  </si>
  <si>
    <t>aashi.mangal</t>
  </si>
  <si>
    <t>Payal</t>
  </si>
  <si>
    <t>Katoch</t>
  </si>
  <si>
    <t>payalkotoch</t>
  </si>
  <si>
    <t>payal.katoch</t>
  </si>
  <si>
    <t>Malik</t>
  </si>
  <si>
    <t>ramanmalik</t>
  </si>
  <si>
    <t>raman.malik</t>
  </si>
  <si>
    <t>Aneja</t>
  </si>
  <si>
    <t>saksham.aneja</t>
  </si>
  <si>
    <t>Kumar Gupta</t>
  </si>
  <si>
    <t>nikhil.gupta</t>
  </si>
  <si>
    <t>Vipul</t>
  </si>
  <si>
    <t>vipulgupta</t>
  </si>
  <si>
    <t>vipul.gupta</t>
  </si>
  <si>
    <t>saurav</t>
  </si>
  <si>
    <t>saurav.yadav</t>
  </si>
  <si>
    <t>Sumit</t>
  </si>
  <si>
    <t>sumit</t>
  </si>
  <si>
    <t>sumit.singh</t>
  </si>
  <si>
    <t>Sparsh</t>
  </si>
  <si>
    <t>sparshpandey</t>
  </si>
  <si>
    <t>sparsh.pandey</t>
  </si>
  <si>
    <t>Kanwar</t>
  </si>
  <si>
    <t>Aditya Singh</t>
  </si>
  <si>
    <t>kanwaraditya</t>
  </si>
  <si>
    <t>kanwar.singh</t>
  </si>
  <si>
    <t>Lokesh</t>
  </si>
  <si>
    <t>Gawande</t>
  </si>
  <si>
    <t>lokeshgawande</t>
  </si>
  <si>
    <t>lokesh.gawande</t>
  </si>
  <si>
    <t>Pal Sunkariya</t>
  </si>
  <si>
    <t>karansunkariya</t>
  </si>
  <si>
    <t>karan.sunkariya</t>
  </si>
  <si>
    <t>Khandelwal</t>
  </si>
  <si>
    <t>namankhadelwal</t>
  </si>
  <si>
    <t>naman.khandelwal</t>
  </si>
  <si>
    <t>Koundal</t>
  </si>
  <si>
    <t>divya</t>
  </si>
  <si>
    <t>divya.koundal</t>
  </si>
  <si>
    <t>Singhal</t>
  </si>
  <si>
    <t>ayush.singhal</t>
  </si>
  <si>
    <t>Kamal Kishore</t>
  </si>
  <si>
    <t>kamalkishor</t>
  </si>
  <si>
    <t>kamal.sharma</t>
  </si>
  <si>
    <t>Narender</t>
  </si>
  <si>
    <t>narendertyagi</t>
  </si>
  <si>
    <t>narender.tyagi</t>
  </si>
  <si>
    <t>Monika</t>
  </si>
  <si>
    <t>monika.yadav</t>
  </si>
  <si>
    <t>Kakkar</t>
  </si>
  <si>
    <t>mayankkakkar</t>
  </si>
  <si>
    <t>mayank.kakkar</t>
  </si>
  <si>
    <t>Kinshuk</t>
  </si>
  <si>
    <t>Puri</t>
  </si>
  <si>
    <t>admin</t>
  </si>
  <si>
    <t>kinshuk.puri</t>
  </si>
  <si>
    <t>Jyoti</t>
  </si>
  <si>
    <t>jyoti.singh</t>
  </si>
  <si>
    <t>Swati</t>
  </si>
  <si>
    <t>Puhan</t>
  </si>
  <si>
    <t>swati.puhan</t>
  </si>
  <si>
    <t>saurav.garg</t>
  </si>
  <si>
    <t>Annu</t>
  </si>
  <si>
    <t>Nirmal</t>
  </si>
  <si>
    <t>annu.nirmal</t>
  </si>
  <si>
    <t>M</t>
  </si>
  <si>
    <t>Sangeetha</t>
  </si>
  <si>
    <t>sangeetha</t>
  </si>
  <si>
    <t>m.sangeetha</t>
  </si>
  <si>
    <t>Vishnu</t>
  </si>
  <si>
    <t>Khowal</t>
  </si>
  <si>
    <t>anujbaghel</t>
  </si>
  <si>
    <t>vishnu.khowal</t>
  </si>
  <si>
    <t>Arpita</t>
  </si>
  <si>
    <t>Latta</t>
  </si>
  <si>
    <t>arpita.latta</t>
  </si>
  <si>
    <t>Govind</t>
  </si>
  <si>
    <t>govind.mittal</t>
  </si>
  <si>
    <t>It</t>
  </si>
  <si>
    <t>Services</t>
  </si>
  <si>
    <t>itservices</t>
  </si>
  <si>
    <t>amarjeet.singh</t>
  </si>
  <si>
    <t>A Rushyant</t>
  </si>
  <si>
    <t>Reddy</t>
  </si>
  <si>
    <t>rushyantreddy</t>
  </si>
  <si>
    <t>a.reddy</t>
  </si>
  <si>
    <t>Aarti</t>
  </si>
  <si>
    <t>Luthra</t>
  </si>
  <si>
    <t>arti</t>
  </si>
  <si>
    <t>aarti.luthra</t>
  </si>
  <si>
    <t>Ishu</t>
  </si>
  <si>
    <t>ishu.sharma</t>
  </si>
  <si>
    <t>Hitesh</t>
  </si>
  <si>
    <t>Vats</t>
  </si>
  <si>
    <t>hitesh.vats</t>
  </si>
  <si>
    <t>Apoorv</t>
  </si>
  <si>
    <t>Mathur</t>
  </si>
  <si>
    <t>apoorv</t>
  </si>
  <si>
    <t>apoorv.mathur</t>
  </si>
  <si>
    <t>Deepak</t>
  </si>
  <si>
    <t>deepakkhandelwal</t>
  </si>
  <si>
    <t>deepak.khandelwal</t>
  </si>
  <si>
    <t>ravijha</t>
  </si>
  <si>
    <t>ravi.jha</t>
  </si>
  <si>
    <t>Mohammed</t>
  </si>
  <si>
    <t>Nayeem</t>
  </si>
  <si>
    <t>mohammadnayeem</t>
  </si>
  <si>
    <t>mohammed.nayeem</t>
  </si>
  <si>
    <t>Rohit</t>
  </si>
  <si>
    <t>Saini</t>
  </si>
  <si>
    <t>rohit.saini</t>
  </si>
  <si>
    <t>Mohanta</t>
  </si>
  <si>
    <t>AmitMohanta</t>
  </si>
  <si>
    <t>amit.mohanta</t>
  </si>
  <si>
    <t>Sahu</t>
  </si>
  <si>
    <t>ankit.sahu</t>
  </si>
  <si>
    <t>Baljinder</t>
  </si>
  <si>
    <t>Kaur</t>
  </si>
  <si>
    <t>baljinderkaur</t>
  </si>
  <si>
    <t>baljinder.kaur</t>
  </si>
  <si>
    <t>Sawai</t>
  </si>
  <si>
    <t>sawai.singh</t>
  </si>
  <si>
    <t>Kamran Ahmad</t>
  </si>
  <si>
    <t>Hadi</t>
  </si>
  <si>
    <t>kamran</t>
  </si>
  <si>
    <t>kamran.hadi</t>
  </si>
  <si>
    <t>Kumar Bahl</t>
  </si>
  <si>
    <t>amankumarbahl</t>
  </si>
  <si>
    <t>aman.kumar</t>
  </si>
  <si>
    <t>Khaitan</t>
  </si>
  <si>
    <t>sumit.khaitan</t>
  </si>
  <si>
    <t>Ayushi</t>
  </si>
  <si>
    <t>ayushi.sharma</t>
  </si>
  <si>
    <t>Priyansh</t>
  </si>
  <si>
    <t>Barya</t>
  </si>
  <si>
    <t>priyanshbarya1</t>
  </si>
  <si>
    <t>priyansh.barya</t>
  </si>
  <si>
    <t>Riya</t>
  </si>
  <si>
    <t>Jhalani</t>
  </si>
  <si>
    <t>riyajhalani</t>
  </si>
  <si>
    <t>riya.jhalani</t>
  </si>
  <si>
    <t>aman.kumar2</t>
  </si>
  <si>
    <t>Anshul</t>
  </si>
  <si>
    <t>anshul</t>
  </si>
  <si>
    <t>anshul.mittal</t>
  </si>
  <si>
    <t>Ishant</t>
  </si>
  <si>
    <t>ishantwadhwa</t>
  </si>
  <si>
    <t>ishant.wadhwa</t>
  </si>
  <si>
    <t>Eeshma</t>
  </si>
  <si>
    <t>eeshmaanand</t>
  </si>
  <si>
    <t>eeshma.anand</t>
  </si>
  <si>
    <t>Prachi</t>
  </si>
  <si>
    <t>Kabthiyal</t>
  </si>
  <si>
    <t>prachi.kabthiyal</t>
  </si>
  <si>
    <t>Prateek</t>
  </si>
  <si>
    <t>prateek.mittal</t>
  </si>
  <si>
    <t>Dipankar Yadav</t>
  </si>
  <si>
    <t>dipankar.yadav</t>
  </si>
  <si>
    <t>Batra HR Consultant</t>
  </si>
  <si>
    <t>akshit.batra</t>
  </si>
  <si>
    <t>Rohit Nandan</t>
  </si>
  <si>
    <t>Dubey</t>
  </si>
  <si>
    <t>itzupee</t>
  </si>
  <si>
    <t>rohit.dubey</t>
  </si>
  <si>
    <t>Arvind</t>
  </si>
  <si>
    <t>arvind.gupta</t>
  </si>
  <si>
    <t>Rochak</t>
  </si>
  <si>
    <t>Kumar Ritam</t>
  </si>
  <si>
    <t>rochak.ritam</t>
  </si>
  <si>
    <t>Akanksha</t>
  </si>
  <si>
    <t>Dhamija</t>
  </si>
  <si>
    <t>akanksha.dhamija</t>
  </si>
  <si>
    <t>abhishek.gupta</t>
  </si>
  <si>
    <t>Kadyan</t>
  </si>
  <si>
    <t>naveenkadyan</t>
  </si>
  <si>
    <t>naveen.kadyan</t>
  </si>
  <si>
    <t>Sumityadav</t>
  </si>
  <si>
    <t>sumit.yadav</t>
  </si>
  <si>
    <t>Sairam</t>
  </si>
  <si>
    <t>Mushyam</t>
  </si>
  <si>
    <t>sairam.mushyam</t>
  </si>
  <si>
    <t>Katha</t>
  </si>
  <si>
    <t>Pankaj Tara</t>
  </si>
  <si>
    <t>katha.tara</t>
  </si>
  <si>
    <t>NishantJaiswal</t>
  </si>
  <si>
    <t>nishant.jaiswal</t>
  </si>
  <si>
    <t>Kamal</t>
  </si>
  <si>
    <t>kamal.dixit</t>
  </si>
  <si>
    <t>amank</t>
  </si>
  <si>
    <t>aman.k</t>
  </si>
  <si>
    <t>Singh Rawat</t>
  </si>
  <si>
    <t>deepaksinghrawat</t>
  </si>
  <si>
    <t>deepak.rawat</t>
  </si>
  <si>
    <t>Nikunj</t>
  </si>
  <si>
    <t>nikunj</t>
  </si>
  <si>
    <t>nikunj.a</t>
  </si>
  <si>
    <t>sparsh.agarwal</t>
  </si>
  <si>
    <t>shubham.maurya</t>
  </si>
  <si>
    <t>Chhabra</t>
  </si>
  <si>
    <t>aman.chhabra</t>
  </si>
  <si>
    <t>Lal</t>
  </si>
  <si>
    <t>mohini.lal</t>
  </si>
  <si>
    <t>vipin.yadav</t>
  </si>
  <si>
    <t>Basilnath</t>
  </si>
  <si>
    <t>Samson Masabiel</t>
  </si>
  <si>
    <t>BasilnathMasabiel</t>
  </si>
  <si>
    <t>basilnath.masabiel</t>
  </si>
  <si>
    <t>manoj.m</t>
  </si>
  <si>
    <t>kumar</t>
  </si>
  <si>
    <t>mohit.kumar</t>
  </si>
  <si>
    <t>Anuj</t>
  </si>
  <si>
    <t>Baghel</t>
  </si>
  <si>
    <t>anuj.baghel</t>
  </si>
  <si>
    <t>anuj.gupta</t>
  </si>
  <si>
    <t>Akshay</t>
  </si>
  <si>
    <t>Gulati</t>
  </si>
  <si>
    <t>akshaygulati</t>
  </si>
  <si>
    <t>akshay.gulati</t>
  </si>
  <si>
    <t>Sachdeva</t>
  </si>
  <si>
    <t>dikshasachdeva</t>
  </si>
  <si>
    <t>diksha.sachdeva</t>
  </si>
  <si>
    <t>Bal</t>
  </si>
  <si>
    <t>Sikandar</t>
  </si>
  <si>
    <t>bal.sikandar</t>
  </si>
  <si>
    <t>Devagya</t>
  </si>
  <si>
    <t>devagya.kumar</t>
  </si>
  <si>
    <t>Kwatra</t>
  </si>
  <si>
    <t>hiteshkwatra</t>
  </si>
  <si>
    <t>hitesh.kwatra</t>
  </si>
  <si>
    <t>mayank.jain</t>
  </si>
  <si>
    <t>Nitesh</t>
  </si>
  <si>
    <t>nitesh.vijay</t>
  </si>
  <si>
    <t>Nimish</t>
  </si>
  <si>
    <t>nimish</t>
  </si>
  <si>
    <t>nimish.goyal</t>
  </si>
  <si>
    <t>mayank</t>
  </si>
  <si>
    <t>mayank.kumar</t>
  </si>
  <si>
    <t>Khushali</t>
  </si>
  <si>
    <t>Bagga</t>
  </si>
  <si>
    <t>khushali.bagga</t>
  </si>
  <si>
    <t>Pareena</t>
  </si>
  <si>
    <t>pareena</t>
  </si>
  <si>
    <t>pareena.singh</t>
  </si>
  <si>
    <t>Sharma - Tech</t>
  </si>
  <si>
    <t>rahulsharma</t>
  </si>
  <si>
    <t>rahul.sharma</t>
  </si>
  <si>
    <t>Pratyaksh</t>
  </si>
  <si>
    <t>Rawat</t>
  </si>
  <si>
    <t>pr</t>
  </si>
  <si>
    <t>pratyaksh.rawat</t>
  </si>
  <si>
    <t>Ranu</t>
  </si>
  <si>
    <t>ranugupta</t>
  </si>
  <si>
    <t>ranu.gupta</t>
  </si>
  <si>
    <t>Shruti</t>
  </si>
  <si>
    <t>zupee1</t>
  </si>
  <si>
    <t>shruti.sachdeva</t>
  </si>
  <si>
    <t>Pranjal</t>
  </si>
  <si>
    <t>Saxena</t>
  </si>
  <si>
    <t>pranjal</t>
  </si>
  <si>
    <t>pranjal.saxena</t>
  </si>
  <si>
    <t>Dharmman</t>
  </si>
  <si>
    <t>abhishek.dharmman</t>
  </si>
  <si>
    <t>pranav.arora</t>
  </si>
  <si>
    <t xml:space="preserve"> Ankit</t>
  </si>
  <si>
    <t>Vikram</t>
  </si>
  <si>
    <t>ankit.vikram</t>
  </si>
  <si>
    <t>Agrim</t>
  </si>
  <si>
    <t>Panwar</t>
  </si>
  <si>
    <t>agrim.panwar</t>
  </si>
  <si>
    <t>Harshit</t>
  </si>
  <si>
    <t>Makhija</t>
  </si>
  <si>
    <t>harshitmakhija</t>
  </si>
  <si>
    <t>harshit.makhija</t>
  </si>
  <si>
    <t>Auditor</t>
  </si>
  <si>
    <t>auditor</t>
  </si>
  <si>
    <t>R</t>
  </si>
  <si>
    <t>S</t>
  </si>
  <si>
    <t>rs</t>
  </si>
  <si>
    <t>rijul.sharma</t>
  </si>
  <si>
    <t>shubham.agrawal</t>
  </si>
  <si>
    <t>Ashutosh</t>
  </si>
  <si>
    <t>Garg - Intern</t>
  </si>
  <si>
    <t>ashutosh.garg</t>
  </si>
  <si>
    <t>Nanwani</t>
  </si>
  <si>
    <t>harsha.nanwani</t>
  </si>
  <si>
    <t>Gandhi</t>
  </si>
  <si>
    <t>priyanshu.gandhi</t>
  </si>
  <si>
    <t>Harsh</t>
  </si>
  <si>
    <t>harsh.yadav</t>
  </si>
  <si>
    <t>Satish</t>
  </si>
  <si>
    <t>satish.kumar</t>
  </si>
  <si>
    <t>prashant.k</t>
  </si>
  <si>
    <t>Lakshya</t>
  </si>
  <si>
    <t>lakshya.jain</t>
  </si>
  <si>
    <t>Raushan</t>
  </si>
  <si>
    <t>raushan.thakur</t>
  </si>
  <si>
    <t>Rashmi</t>
  </si>
  <si>
    <t>Navale</t>
  </si>
  <si>
    <t>rashmi.navale</t>
  </si>
  <si>
    <t>Rai</t>
  </si>
  <si>
    <t>ritwika.rai</t>
  </si>
  <si>
    <t>Vedank</t>
  </si>
  <si>
    <t>vedank.goyal</t>
  </si>
  <si>
    <t>Nikita</t>
  </si>
  <si>
    <t>Mantri</t>
  </si>
  <si>
    <t>nikita.mantri</t>
  </si>
  <si>
    <t>Sheshant</t>
  </si>
  <si>
    <t>Sinha</t>
  </si>
  <si>
    <t>sheshant.sinha</t>
  </si>
  <si>
    <t>Ranjan</t>
  </si>
  <si>
    <t>rahul.ranjan</t>
  </si>
  <si>
    <t>Saurabh</t>
  </si>
  <si>
    <t>Khurana</t>
  </si>
  <si>
    <t>saurabhkhurana</t>
  </si>
  <si>
    <t>saurabh.khurana</t>
  </si>
  <si>
    <t>tarun.kumar</t>
  </si>
  <si>
    <t>naveenkumar</t>
  </si>
  <si>
    <t>naveen.kumar</t>
  </si>
  <si>
    <t>Kashyap</t>
  </si>
  <si>
    <t>shubham.kashyap</t>
  </si>
  <si>
    <t>Sayanika</t>
  </si>
  <si>
    <t>Nandi</t>
  </si>
  <si>
    <t>sayanika.nandi</t>
  </si>
  <si>
    <t>abhishek.kumar1</t>
  </si>
  <si>
    <t>vivekjain</t>
  </si>
  <si>
    <t>vivek.jain</t>
  </si>
  <si>
    <t>aditya.rai</t>
  </si>
  <si>
    <t>Anant</t>
  </si>
  <si>
    <t>Upadhyaya</t>
  </si>
  <si>
    <t>anant.upadhyaya</t>
  </si>
  <si>
    <t>Vidhya</t>
  </si>
  <si>
    <t>Bharathi</t>
  </si>
  <si>
    <t>vidhya.bharathi</t>
  </si>
  <si>
    <t>shubham.kumar</t>
  </si>
  <si>
    <t>Vishwa</t>
  </si>
  <si>
    <t>vishwapatel</t>
  </si>
  <si>
    <t>vishwa.patel</t>
  </si>
  <si>
    <t>naman.vijay</t>
  </si>
  <si>
    <t>KS</t>
  </si>
  <si>
    <t>Chetan</t>
  </si>
  <si>
    <t>ks.chetan</t>
  </si>
  <si>
    <t>Midda</t>
  </si>
  <si>
    <t>gaurav.midda</t>
  </si>
  <si>
    <t>Shukla</t>
  </si>
  <si>
    <t>piyushshukla</t>
  </si>
  <si>
    <t>piyush.shukla</t>
  </si>
  <si>
    <t>Purodha</t>
  </si>
  <si>
    <t>purodha.singh</t>
  </si>
  <si>
    <t>Abbasi</t>
  </si>
  <si>
    <t>sameer.abbasi</t>
  </si>
  <si>
    <t>Zaid</t>
  </si>
  <si>
    <t>Anwar</t>
  </si>
  <si>
    <t>Zaidanwar</t>
  </si>
  <si>
    <t>zaid.anwar</t>
  </si>
  <si>
    <t>Ritik</t>
  </si>
  <si>
    <t>ritik.kumar</t>
  </si>
  <si>
    <t>Pooja</t>
  </si>
  <si>
    <t>Kumari</t>
  </si>
  <si>
    <t>pooja.kumari</t>
  </si>
  <si>
    <t>Kritika</t>
  </si>
  <si>
    <t>kritika</t>
  </si>
  <si>
    <t>kritika.kapoor</t>
  </si>
  <si>
    <t>Simran</t>
  </si>
  <si>
    <t>simran.v</t>
  </si>
  <si>
    <t>Anuradha</t>
  </si>
  <si>
    <t>anuradha.sharma</t>
  </si>
  <si>
    <t>amit.garg</t>
  </si>
  <si>
    <t>vinay.mishra</t>
  </si>
  <si>
    <t>Kirtesh</t>
  </si>
  <si>
    <t>Paliwal</t>
  </si>
  <si>
    <t>kirtesh.paliwal</t>
  </si>
  <si>
    <t>Satwani</t>
  </si>
  <si>
    <t>yash.satwani</t>
  </si>
  <si>
    <t>diksha.garg</t>
  </si>
  <si>
    <t>Pragya</t>
  </si>
  <si>
    <t>pragya.singh</t>
  </si>
  <si>
    <t>Rajpoot</t>
  </si>
  <si>
    <t>JanviRajpoot</t>
  </si>
  <si>
    <t>janvi.rajpoot</t>
  </si>
  <si>
    <t>Raghuvanshi</t>
  </si>
  <si>
    <t>harsh.raghuvanshi</t>
  </si>
  <si>
    <t>Kansotia</t>
  </si>
  <si>
    <t>nikhil.kansotia</t>
  </si>
  <si>
    <t>Abhay</t>
  </si>
  <si>
    <t>abhay.kumar</t>
  </si>
  <si>
    <t>Gyani</t>
  </si>
  <si>
    <t>Dass</t>
  </si>
  <si>
    <t>gyani.dass</t>
  </si>
  <si>
    <t>Dev</t>
  </si>
  <si>
    <t>Peshawari</t>
  </si>
  <si>
    <t>dev.peshawari</t>
  </si>
  <si>
    <t>Tanwar</t>
  </si>
  <si>
    <t>mohit.tanwar</t>
  </si>
  <si>
    <t>Malhotra</t>
  </si>
  <si>
    <t>GauravMalhotra</t>
  </si>
  <si>
    <t>gaurav.m</t>
  </si>
  <si>
    <t>Bhoomika</t>
  </si>
  <si>
    <t>BhoomikaArora</t>
  </si>
  <si>
    <t>bhoomika.arora</t>
  </si>
  <si>
    <t>Piyali</t>
  </si>
  <si>
    <t>Kar</t>
  </si>
  <si>
    <t>piyali.kar</t>
  </si>
  <si>
    <t>Md Sameer</t>
  </si>
  <si>
    <t>Alam</t>
  </si>
  <si>
    <t>sameer.alam</t>
  </si>
  <si>
    <t>Saumil</t>
  </si>
  <si>
    <t>Shah</t>
  </si>
  <si>
    <t>saumil.shah</t>
  </si>
  <si>
    <t>ShubhamGoyal</t>
  </si>
  <si>
    <t>shubham.goyal</t>
  </si>
  <si>
    <t>Jaat</t>
  </si>
  <si>
    <t>rahul.jaat</t>
  </si>
  <si>
    <t>vijay.yadav</t>
  </si>
  <si>
    <t>DikshaVerma</t>
  </si>
  <si>
    <t>diksha.verma</t>
  </si>
  <si>
    <t>Yuvam</t>
  </si>
  <si>
    <t>Parmar</t>
  </si>
  <si>
    <t>yiuvamparmar</t>
  </si>
  <si>
    <t>yuvam.parmar</t>
  </si>
  <si>
    <t>Iteshree</t>
  </si>
  <si>
    <t>Ipsita</t>
  </si>
  <si>
    <t>ItshreeIpsita</t>
  </si>
  <si>
    <t>iteshree.ipsita</t>
  </si>
  <si>
    <t>Shahid</t>
  </si>
  <si>
    <t>Gauri</t>
  </si>
  <si>
    <t>shahidgauri</t>
  </si>
  <si>
    <t>shahid.gauri</t>
  </si>
  <si>
    <t>Shaji</t>
  </si>
  <si>
    <t>srijith.shaji</t>
  </si>
  <si>
    <t>Bhargavkumar</t>
  </si>
  <si>
    <t>Khalasi</t>
  </si>
  <si>
    <t>bhargavkhalasi</t>
  </si>
  <si>
    <t>bhargavkumar.khalasi</t>
  </si>
  <si>
    <t>Dhanishtha</t>
  </si>
  <si>
    <t>dhanishtha.bansal</t>
  </si>
  <si>
    <t>Varsha</t>
  </si>
  <si>
    <t>varsha.mishra</t>
  </si>
  <si>
    <t>Akhilesh</t>
  </si>
  <si>
    <t>akhilesh.singh</t>
  </si>
  <si>
    <t>Mitali</t>
  </si>
  <si>
    <t>mitali.luthra</t>
  </si>
  <si>
    <t>Swami</t>
  </si>
  <si>
    <t>abhishek.swami</t>
  </si>
  <si>
    <t>anish.agarwal</t>
  </si>
  <si>
    <t>Shobhit</t>
  </si>
  <si>
    <t>Nanda</t>
  </si>
  <si>
    <t>shobhit.nanda</t>
  </si>
  <si>
    <t>Nasir</t>
  </si>
  <si>
    <t>Ali</t>
  </si>
  <si>
    <t>nasir.ali</t>
  </si>
  <si>
    <t>rohit.raj</t>
  </si>
  <si>
    <t>Paul</t>
  </si>
  <si>
    <t>SumitPaul</t>
  </si>
  <si>
    <t>sumit.paul</t>
  </si>
  <si>
    <t>Umair</t>
  </si>
  <si>
    <t>Iliyas</t>
  </si>
  <si>
    <t>umair.iliyas</t>
  </si>
  <si>
    <t>AbhishekKumar</t>
  </si>
  <si>
    <t>abhishek.k</t>
  </si>
  <si>
    <t>Punia</t>
  </si>
  <si>
    <t>rahulpunia</t>
  </si>
  <si>
    <t>rahul.punia</t>
  </si>
  <si>
    <t>Rani</t>
  </si>
  <si>
    <t>BhartiRani</t>
  </si>
  <si>
    <t>bharti.rani</t>
  </si>
  <si>
    <t>deeplata.singh</t>
  </si>
  <si>
    <t>Pawan</t>
  </si>
  <si>
    <t>Kumar Sarswat</t>
  </si>
  <si>
    <t>PawanSarswat</t>
  </si>
  <si>
    <t>pawan.sarswat</t>
  </si>
  <si>
    <t>dev.gupta</t>
  </si>
  <si>
    <t>Akshata</t>
  </si>
  <si>
    <t>Upari</t>
  </si>
  <si>
    <t>akshata.upari</t>
  </si>
  <si>
    <t>Vamsidhar</t>
  </si>
  <si>
    <t>Yeddu</t>
  </si>
  <si>
    <t>vamsidhar.yeddu</t>
  </si>
  <si>
    <t>DivyaDhiman</t>
  </si>
  <si>
    <t>divya.dhiman</t>
  </si>
  <si>
    <t>Menghani</t>
  </si>
  <si>
    <t>gauri.menghani</t>
  </si>
  <si>
    <t>Talukdar</t>
  </si>
  <si>
    <t>ajay.talukdar</t>
  </si>
  <si>
    <t>mayank.goyal</t>
  </si>
  <si>
    <t>Kunal</t>
  </si>
  <si>
    <t>kunal.bansal</t>
  </si>
  <si>
    <t>Khatri</t>
  </si>
  <si>
    <t>keshav.khatri</t>
  </si>
  <si>
    <t>Rajnish</t>
  </si>
  <si>
    <t>rajnish.kumar</t>
  </si>
  <si>
    <t>sameer.negi</t>
  </si>
  <si>
    <t>Uppal</t>
  </si>
  <si>
    <t>pooja.uppal</t>
  </si>
  <si>
    <t>Lalta</t>
  </si>
  <si>
    <t>kailash.lalta</t>
  </si>
  <si>
    <t>Kumar Chaubey</t>
  </si>
  <si>
    <t>Adityachaubey</t>
  </si>
  <si>
    <t>aditya.chaubey</t>
  </si>
  <si>
    <t>Suman</t>
  </si>
  <si>
    <t>sumankumar</t>
  </si>
  <si>
    <t>suman.kumar</t>
  </si>
  <si>
    <t>Divy</t>
  </si>
  <si>
    <t>divy.dwivedi</t>
  </si>
  <si>
    <t>Ahuja</t>
  </si>
  <si>
    <t>anshul.ahuja</t>
  </si>
  <si>
    <t>raghav.maheshwari</t>
  </si>
  <si>
    <t>Tripat</t>
  </si>
  <si>
    <t>tripat.kaur</t>
  </si>
  <si>
    <t>Umang</t>
  </si>
  <si>
    <t>umang.chhabra</t>
  </si>
  <si>
    <t>Rahulshukla</t>
  </si>
  <si>
    <t>rahul.shukla</t>
  </si>
  <si>
    <t>Teenagupta</t>
  </si>
  <si>
    <t>teena.gupta</t>
  </si>
  <si>
    <t>Mohiuddin Khan</t>
  </si>
  <si>
    <t>mohd.khan</t>
  </si>
  <si>
    <t>Jitesh</t>
  </si>
  <si>
    <t>Suneja</t>
  </si>
  <si>
    <t>jitesh.suneja</t>
  </si>
  <si>
    <t>Solanki</t>
  </si>
  <si>
    <t>Rishabsolanki</t>
  </si>
  <si>
    <t>rishabh.solanki</t>
  </si>
  <si>
    <t>abhishek.g</t>
  </si>
  <si>
    <t>Dalmia</t>
  </si>
  <si>
    <t>shivangi.dalmia</t>
  </si>
  <si>
    <t>Reetik</t>
  </si>
  <si>
    <t>reetik.rajan</t>
  </si>
  <si>
    <t>Ajinkya</t>
  </si>
  <si>
    <t>Puranik</t>
  </si>
  <si>
    <t>ajinkya.puranik</t>
  </si>
  <si>
    <t>Kaplas</t>
  </si>
  <si>
    <t>nikhil</t>
  </si>
  <si>
    <t>nikhil.kaplas</t>
  </si>
  <si>
    <t>rahul.s</t>
  </si>
  <si>
    <t>shivam.kumar</t>
  </si>
  <si>
    <t>Kundu</t>
  </si>
  <si>
    <t>rahul.kundu</t>
  </si>
  <si>
    <t>Atharv</t>
  </si>
  <si>
    <t>Dinesh Bende</t>
  </si>
  <si>
    <t>atharv.bende</t>
  </si>
  <si>
    <t>sahil.verma</t>
  </si>
  <si>
    <t>sahil.puri</t>
  </si>
  <si>
    <t>Preeti</t>
  </si>
  <si>
    <t>preeti.singh</t>
  </si>
  <si>
    <t>Sarthak</t>
  </si>
  <si>
    <t>sarthak.jain</t>
  </si>
  <si>
    <t>Rijul</t>
  </si>
  <si>
    <t>rijul.sehgal</t>
  </si>
  <si>
    <t>Divakar</t>
  </si>
  <si>
    <t>divakar.garg</t>
  </si>
  <si>
    <t>Harshita</t>
  </si>
  <si>
    <t>Sethi</t>
  </si>
  <si>
    <t>harshita.sethi</t>
  </si>
  <si>
    <t>saurabh.singh</t>
  </si>
  <si>
    <t>Pandita</t>
  </si>
  <si>
    <t>shivam.pandita</t>
  </si>
  <si>
    <t>Jitendra</t>
  </si>
  <si>
    <t>jitendra.rawat</t>
  </si>
  <si>
    <t>Vania</t>
  </si>
  <si>
    <t>Islam</t>
  </si>
  <si>
    <t>vania.islam</t>
  </si>
  <si>
    <t>Yagya</t>
  </si>
  <si>
    <t>yagya.srivastava</t>
  </si>
  <si>
    <t>himanshu.solanki</t>
  </si>
  <si>
    <t>Ankush</t>
  </si>
  <si>
    <t>ankush.gupta</t>
  </si>
  <si>
    <t>Suvra</t>
  </si>
  <si>
    <t>Das</t>
  </si>
  <si>
    <t>suvra.das</t>
  </si>
  <si>
    <t>abhishek.chaudhary</t>
  </si>
  <si>
    <t>abhishek.choudhary</t>
  </si>
  <si>
    <t>suraj.negi</t>
  </si>
  <si>
    <t>siddharthsaurav</t>
  </si>
  <si>
    <t>siddharth.saurav</t>
  </si>
  <si>
    <t>ayush.kumar</t>
  </si>
  <si>
    <t>ayush.k</t>
  </si>
  <si>
    <t>pankaj.pankaj</t>
  </si>
  <si>
    <t>ShobhitSharma</t>
  </si>
  <si>
    <t>shobhit.sharma</t>
  </si>
  <si>
    <t>Gunn</t>
  </si>
  <si>
    <t>Bhargava</t>
  </si>
  <si>
    <t>gunn.bhargava</t>
  </si>
  <si>
    <t>Reema</t>
  </si>
  <si>
    <t>reema.gupta</t>
  </si>
  <si>
    <t>Shrivastava</t>
  </si>
  <si>
    <t>saurabh.s</t>
  </si>
  <si>
    <t>Jadli</t>
  </si>
  <si>
    <t>Lalitk</t>
  </si>
  <si>
    <t>lalit.jadli</t>
  </si>
  <si>
    <t>Dagar</t>
  </si>
  <si>
    <t>nitesh.dagar</t>
  </si>
  <si>
    <t>Ketan</t>
  </si>
  <si>
    <t>Keshri</t>
  </si>
  <si>
    <t>ketan.keshri</t>
  </si>
  <si>
    <t>Ravneet</t>
  </si>
  <si>
    <t>RavneetKaur</t>
  </si>
  <si>
    <t>ravneet.kaur</t>
  </si>
  <si>
    <t>RahulSaini</t>
  </si>
  <si>
    <t>rahul.saini</t>
  </si>
  <si>
    <t>roma.mehta</t>
  </si>
  <si>
    <t>akanksha.anand</t>
  </si>
  <si>
    <t>himanshu.mittal</t>
  </si>
  <si>
    <t>Anshit</t>
  </si>
  <si>
    <t>anshit.singh</t>
  </si>
  <si>
    <t>Gurchetan</t>
  </si>
  <si>
    <t>gurchetan.singh</t>
  </si>
  <si>
    <t>SagarSaini</t>
  </si>
  <si>
    <t>sagar.saini</t>
  </si>
  <si>
    <t>Divij</t>
  </si>
  <si>
    <t>Bhola</t>
  </si>
  <si>
    <t>divij.bhola</t>
  </si>
  <si>
    <t>NikhilKumar</t>
  </si>
  <si>
    <t>nikhil.kumar</t>
  </si>
  <si>
    <t>Ishpreet</t>
  </si>
  <si>
    <t>IshpreetSingh</t>
  </si>
  <si>
    <t>ishpreet.singh</t>
  </si>
  <si>
    <t>harsh.anand</t>
  </si>
  <si>
    <t>Kumar Singh</t>
  </si>
  <si>
    <t>harshit.singh</t>
  </si>
  <si>
    <t>Nassa</t>
  </si>
  <si>
    <t>sagar.nassa</t>
  </si>
  <si>
    <t>Kashish</t>
  </si>
  <si>
    <t>Rathore</t>
  </si>
  <si>
    <t>kashish.rathore</t>
  </si>
  <si>
    <t>Hritik</t>
  </si>
  <si>
    <t>hritik.garg</t>
  </si>
  <si>
    <t>Kumar Lal</t>
  </si>
  <si>
    <t>vishal.lal</t>
  </si>
  <si>
    <t>priyansh.gupta</t>
  </si>
  <si>
    <t>Mudit</t>
  </si>
  <si>
    <t>mudit.jain</t>
  </si>
  <si>
    <t>Renuka</t>
  </si>
  <si>
    <t>Sarvaiya</t>
  </si>
  <si>
    <t>renuka.sarvaiya</t>
  </si>
  <si>
    <t>Archit</t>
  </si>
  <si>
    <t>Goswami</t>
  </si>
  <si>
    <t>archit.goswami</t>
  </si>
  <si>
    <t>Ujwal</t>
  </si>
  <si>
    <t>Tandon</t>
  </si>
  <si>
    <t>ujwal.tandon</t>
  </si>
  <si>
    <t>Sahal</t>
  </si>
  <si>
    <t>richa.sahal</t>
  </si>
  <si>
    <t>Ritesh</t>
  </si>
  <si>
    <t>ritesh.gupta</t>
  </si>
  <si>
    <t>rahul.sharma1</t>
  </si>
  <si>
    <t>Rohan</t>
  </si>
  <si>
    <t>rohan.negi</t>
  </si>
  <si>
    <t>Raghavv</t>
  </si>
  <si>
    <t>M Garg</t>
  </si>
  <si>
    <t>raghavv.garg</t>
  </si>
  <si>
    <t>Rohi</t>
  </si>
  <si>
    <t>sagar.rohi</t>
  </si>
  <si>
    <t>Madhurika</t>
  </si>
  <si>
    <t>Nayak</t>
  </si>
  <si>
    <t>madhurika.nayak</t>
  </si>
  <si>
    <t>karan.goyal</t>
  </si>
  <si>
    <t>Gargi</t>
  </si>
  <si>
    <t>Singh Bhadu</t>
  </si>
  <si>
    <t>gargi.bhadu</t>
  </si>
  <si>
    <t>Jaya</t>
  </si>
  <si>
    <t>Tiwari</t>
  </si>
  <si>
    <t>jaya.tiwari</t>
  </si>
  <si>
    <t>Phogat</t>
  </si>
  <si>
    <t>aakash.phogat</t>
  </si>
  <si>
    <t>A R</t>
  </si>
  <si>
    <t>arun.r</t>
  </si>
  <si>
    <t>Yogendra</t>
  </si>
  <si>
    <t>yogendra.tiwari</t>
  </si>
  <si>
    <t>piyush.b</t>
  </si>
  <si>
    <t>Shailja</t>
  </si>
  <si>
    <t>shailja.tiwari</t>
  </si>
  <si>
    <t>Brahmania</t>
  </si>
  <si>
    <t>sahil.brahmania</t>
  </si>
  <si>
    <t>rohit.gupta</t>
  </si>
  <si>
    <t>Manas</t>
  </si>
  <si>
    <t>manas.singh</t>
  </si>
  <si>
    <t>Harkirat</t>
  </si>
  <si>
    <t>harkirat.singh</t>
  </si>
  <si>
    <t>nikhil.sharma</t>
  </si>
  <si>
    <t>rishabh.raj</t>
  </si>
  <si>
    <t>Sushant</t>
  </si>
  <si>
    <t>Upadhyay</t>
  </si>
  <si>
    <t>sushant.upadhyay</t>
  </si>
  <si>
    <t>Lunia</t>
  </si>
  <si>
    <t>pooja.lunia</t>
  </si>
  <si>
    <t>mohit.garg</t>
  </si>
  <si>
    <t>Vedaant</t>
  </si>
  <si>
    <t>Magow</t>
  </si>
  <si>
    <t>vedaant.magow</t>
  </si>
  <si>
    <t>prashant.jha</t>
  </si>
  <si>
    <t>Pranjay</t>
  </si>
  <si>
    <t>pranjay.dhamija</t>
  </si>
  <si>
    <t>Kushagra</t>
  </si>
  <si>
    <t>kushagra.agrawal</t>
  </si>
  <si>
    <t>Dhiraj</t>
  </si>
  <si>
    <t>dhiraj.kumar</t>
  </si>
  <si>
    <t>Nitin</t>
  </si>
  <si>
    <t>nitin.kaplas</t>
  </si>
  <si>
    <t>Goldee</t>
  </si>
  <si>
    <t>goldee.arora</t>
  </si>
  <si>
    <t>Srishti</t>
  </si>
  <si>
    <t>Seth</t>
  </si>
  <si>
    <t>srishti.seth</t>
  </si>
  <si>
    <t>utkarsh.sharma</t>
  </si>
  <si>
    <t>Kumar Tekriwal - Jindal</t>
  </si>
  <si>
    <t>sagar.tekriwal</t>
  </si>
  <si>
    <t>Varun</t>
  </si>
  <si>
    <t>varun.sahu</t>
  </si>
  <si>
    <t>Nisha</t>
  </si>
  <si>
    <t>nisha.yadav</t>
  </si>
  <si>
    <t>Harshil</t>
  </si>
  <si>
    <t>Dhawan</t>
  </si>
  <si>
    <t>harshil.dhawan</t>
  </si>
  <si>
    <t>Attar</t>
  </si>
  <si>
    <t>attarkaur</t>
  </si>
  <si>
    <t>attar.kaur</t>
  </si>
  <si>
    <t>neha.jain</t>
  </si>
  <si>
    <t>Kanika</t>
  </si>
  <si>
    <t>kanikawadhwa</t>
  </si>
  <si>
    <t>kanika.wadhwa</t>
  </si>
  <si>
    <t>Kumar Srivastav</t>
  </si>
  <si>
    <t>aman.srivastav</t>
  </si>
  <si>
    <t>Bharat</t>
  </si>
  <si>
    <t>bharat.gupta</t>
  </si>
  <si>
    <t>Mangla</t>
  </si>
  <si>
    <t>aarti.mangla</t>
  </si>
  <si>
    <t>pal</t>
  </si>
  <si>
    <t>anjali.pal</t>
  </si>
  <si>
    <t>SanjeevBhardwaj</t>
  </si>
  <si>
    <t>sanjeev.bhardwaj</t>
  </si>
  <si>
    <t>divya.khare</t>
  </si>
  <si>
    <t>Creat date</t>
  </si>
  <si>
    <t>Role</t>
  </si>
  <si>
    <t>Staus</t>
  </si>
  <si>
    <t>Member</t>
  </si>
  <si>
    <t>Active</t>
  </si>
  <si>
    <t>Owner</t>
  </si>
  <si>
    <t>User Name</t>
  </si>
  <si>
    <t>Mail Id</t>
  </si>
  <si>
    <t>Exit Date</t>
  </si>
  <si>
    <t>Exit Clearance Status to HR</t>
  </si>
  <si>
    <t>Gmail</t>
  </si>
  <si>
    <t>MDM Status</t>
  </si>
  <si>
    <t>Access card</t>
  </si>
  <si>
    <t>Asset Status</t>
  </si>
  <si>
    <t>Microsoft</t>
  </si>
  <si>
    <t xml:space="preserve">Slack </t>
  </si>
  <si>
    <t>Figma</t>
  </si>
  <si>
    <t>Chat GPT</t>
  </si>
  <si>
    <t>Mobbin</t>
  </si>
  <si>
    <t>CRM Dashboard</t>
  </si>
  <si>
    <t>Matrix Dashboard</t>
  </si>
  <si>
    <t>New Relic</t>
  </si>
  <si>
    <t>Claver Tap</t>
  </si>
  <si>
    <t>19-09-2024</t>
  </si>
  <si>
    <t>Yes</t>
  </si>
  <si>
    <t>Lost</t>
  </si>
  <si>
    <t>NA</t>
  </si>
  <si>
    <t>27-09-2024</t>
  </si>
  <si>
    <t>30/09/2024</t>
  </si>
  <si>
    <t>Admin Access</t>
  </si>
  <si>
    <t>17-10-2024</t>
  </si>
  <si>
    <t>21/10/2024</t>
  </si>
  <si>
    <t>25/10/2024</t>
  </si>
  <si>
    <t>26/10/2024</t>
  </si>
  <si>
    <t>28/10/2024</t>
  </si>
  <si>
    <t>29/10/2024</t>
  </si>
  <si>
    <t>Shivangi Shivangi@zupee.in</t>
  </si>
  <si>
    <t>18/11/2024</t>
  </si>
  <si>
    <t xml:space="preserve">Yes </t>
  </si>
  <si>
    <t>22-11-2024</t>
  </si>
  <si>
    <t>28/11/2024</t>
  </si>
  <si>
    <t xml:space="preserve">sonam.rathore@zupee.in
</t>
  </si>
  <si>
    <t>yes</t>
  </si>
  <si>
    <t>13/12/2024</t>
  </si>
  <si>
    <t>16/12/2024</t>
  </si>
  <si>
    <t>20/12/2024</t>
  </si>
  <si>
    <t>30/12/2024</t>
  </si>
  <si>
    <t>31/12/2024</t>
  </si>
  <si>
    <t>17/01/2025</t>
  </si>
  <si>
    <t>31/01/2025</t>
  </si>
  <si>
    <t>Supriya.Chauhan@zupee.in</t>
  </si>
  <si>
    <t xml:space="preserve">hritik.wadhwa@zupee.in
</t>
  </si>
  <si>
    <t xml:space="preserve">Prathamesh Gitesh Kurambhatti </t>
  </si>
  <si>
    <t xml:space="preserve">aditya.marda@zupee.in
</t>
  </si>
  <si>
    <t xml:space="preserve">vinoth.r@zupee.in
</t>
  </si>
  <si>
    <t xml:space="preserve">puneet.dhiman@zupee.in
</t>
  </si>
  <si>
    <t xml:space="preserve">Rachit Agrawal </t>
  </si>
  <si>
    <t xml:space="preserve">adesh.sharma@zupee.in
</t>
  </si>
  <si>
    <t>Pending</t>
  </si>
  <si>
    <t>Display name</t>
  </si>
  <si>
    <t>First name</t>
  </si>
  <si>
    <t>Last name</t>
  </si>
  <si>
    <t>System Hostname</t>
  </si>
  <si>
    <t>Ms office ID</t>
  </si>
  <si>
    <t>Approval Matrix</t>
  </si>
  <si>
    <t>Zupee-806</t>
  </si>
  <si>
    <t>abhishek.prasad@cashgrail.onmicrosoft.com</t>
  </si>
  <si>
    <t>On email</t>
  </si>
  <si>
    <t>2024-08-30 06:22:45Z</t>
  </si>
  <si>
    <t>abhishek goyal</t>
  </si>
  <si>
    <t>abhishek</t>
  </si>
  <si>
    <t>goyal</t>
  </si>
  <si>
    <t>Zupee-725</t>
  </si>
  <si>
    <t>abhishek.goyal@cashgrail.onmicrosoft.com</t>
  </si>
  <si>
    <t>2023-12-12 06:43:51Z</t>
  </si>
  <si>
    <t>Zupee-586</t>
  </si>
  <si>
    <t>abhishek.gupta@cashgrail.onmicrosoft.com</t>
  </si>
  <si>
    <t>2024-06-03 08:49:50Z</t>
  </si>
  <si>
    <t>Aditya.Jha@zupee.in</t>
  </si>
  <si>
    <t>Zupee-720</t>
  </si>
  <si>
    <t>aditya.jha@cashgrail.onmicrosoft.com</t>
  </si>
  <si>
    <t>2023-06-19 05:12:18Z</t>
  </si>
  <si>
    <t>aditya pathak</t>
  </si>
  <si>
    <t>pathak</t>
  </si>
  <si>
    <t>Aditya.pathak@zupee.in</t>
  </si>
  <si>
    <t>Zupee-714</t>
  </si>
  <si>
    <t>aditya.pathak@cashgrail.onmicrosoft.com</t>
  </si>
  <si>
    <t>2024-05-22 05:07:29Z</t>
  </si>
  <si>
    <t>agrim panwar</t>
  </si>
  <si>
    <t>agrim</t>
  </si>
  <si>
    <t>panwar</t>
  </si>
  <si>
    <t>Zupee-503</t>
  </si>
  <si>
    <t>agrim.panwar@cashgrail.onmicrosoft.com</t>
  </si>
  <si>
    <t>2025-03-06 07:17:37Z</t>
  </si>
  <si>
    <t>Zupee-655</t>
  </si>
  <si>
    <t>akanksha.dhamija@cashgrail.onmicrosoft.com</t>
  </si>
  <si>
    <t>2022-03-23 08:29:26Z</t>
  </si>
  <si>
    <t>Akshita Behl</t>
  </si>
  <si>
    <t>Akshita</t>
  </si>
  <si>
    <t>Data Not found</t>
  </si>
  <si>
    <t>akshita.behl@cashgrail.onmicrosoft.com</t>
  </si>
  <si>
    <t>2024-02-19 05:41:49Z</t>
  </si>
  <si>
    <t>Zupee-276</t>
  </si>
  <si>
    <t>aman.chhabra@cashgrail.onmicrosoft.com</t>
  </si>
  <si>
    <t>2024-04-29 10:10:58Z</t>
  </si>
  <si>
    <t>Zupee-613</t>
  </si>
  <si>
    <t>aman.khare@cashgrail.onmicrosoft.com</t>
  </si>
  <si>
    <t>2022-03-11 07:22:27Z</t>
  </si>
  <si>
    <t>Aman kumar</t>
  </si>
  <si>
    <t>Zupee-598</t>
  </si>
  <si>
    <t>aman.kumar@cashgrail.onmicrosoft.com</t>
  </si>
  <si>
    <t>2024-08-09 08:58:10Z</t>
  </si>
  <si>
    <t>Zupee-790</t>
  </si>
  <si>
    <t>aman.patni@cashgrail.onmicrosoft.com</t>
  </si>
  <si>
    <t>2024-09-25 06:41:50Z</t>
  </si>
  <si>
    <t>Zupee-507</t>
  </si>
  <si>
    <t>amit.singh@cashgrail.onmicrosoft.com</t>
  </si>
  <si>
    <t>2024-10-01 06:04:52Z</t>
  </si>
  <si>
    <t>Amogh.Babbar@zupee.in</t>
  </si>
  <si>
    <t>Zupee-599</t>
  </si>
  <si>
    <t>amogh.babbar@cashgrail.onmicrosoft.com</t>
  </si>
  <si>
    <t>2021-11-29 07:27:31Z</t>
  </si>
  <si>
    <t>Zupee-717</t>
  </si>
  <si>
    <t>amrit.anand@cashgrail.onmicrosoft.com</t>
  </si>
  <si>
    <t>2024-08-21 09:15:29Z</t>
  </si>
  <si>
    <t>Zupee-905</t>
  </si>
  <si>
    <t>Anant.Upadhyaya@cashgrail.onmicrosoft.com</t>
  </si>
  <si>
    <t>2025-03-18 05:53:29Z</t>
  </si>
  <si>
    <t>Zupee-414</t>
  </si>
  <si>
    <t>ananya.apurva@cashgrail.onmicrosoft.com</t>
  </si>
  <si>
    <t>2022-12-13 05:11:21Z</t>
  </si>
  <si>
    <t>Zupee-940</t>
  </si>
  <si>
    <t>Anjelina.tirkey@cashgrail.onmicrosoft.com</t>
  </si>
  <si>
    <t>2022-11-29 11:24:19Z</t>
  </si>
  <si>
    <t>Zupee-792</t>
  </si>
  <si>
    <t>ankit.wadhwa@cashgrail.onmicrosoft.com</t>
  </si>
  <si>
    <t>2024-09-16 08:11:50Z</t>
  </si>
  <si>
    <t>Zupee-820</t>
  </si>
  <si>
    <t>ankit.maheshwari@cashgrail.onmicrosoft.com</t>
  </si>
  <si>
    <t>2024-12-11 05:26:20Z</t>
  </si>
  <si>
    <t>ankita jugran</t>
  </si>
  <si>
    <t>ankita</t>
  </si>
  <si>
    <t>jugran</t>
  </si>
  <si>
    <t>Zupee-209</t>
  </si>
  <si>
    <t>ankita.jugran@cashgrail.onmicrosoft.com</t>
  </si>
  <si>
    <t>2024-04-23 08:06:21Z</t>
  </si>
  <si>
    <t>ankur a</t>
  </si>
  <si>
    <t>ankur</t>
  </si>
  <si>
    <t>a</t>
  </si>
  <si>
    <t>Zupee-554</t>
  </si>
  <si>
    <t>ankur.a@cashgrail.onmicrosoft.com</t>
  </si>
  <si>
    <t>2025-03-18 13:53:12Z</t>
  </si>
  <si>
    <t>Ankush gupta</t>
  </si>
  <si>
    <t>gupta</t>
  </si>
  <si>
    <t>Zupee-540</t>
  </si>
  <si>
    <t>ankush.gupta@cashgrail.onmicrosoft.com</t>
  </si>
  <si>
    <t>2024-04-03 06:03:50Z</t>
  </si>
  <si>
    <t>Zupee-614</t>
  </si>
  <si>
    <t>anubhav.pandey@cashgrail.onmicrosoft.com</t>
  </si>
  <si>
    <t>2022-10-13 13:59:04Z</t>
  </si>
  <si>
    <t>anurag dwivedi</t>
  </si>
  <si>
    <t>dwivedi</t>
  </si>
  <si>
    <t>Zupee-733</t>
  </si>
  <si>
    <t>anurag.dwivedi@cashgrail.onmicrosoft.com</t>
  </si>
  <si>
    <t>2024-04-23 12:18:17Z</t>
  </si>
  <si>
    <t>anwesha raj</t>
  </si>
  <si>
    <t>anwesha</t>
  </si>
  <si>
    <t>Zupee-483</t>
  </si>
  <si>
    <t>anwesha.raj@cashgrail.onmicrosoft.com</t>
  </si>
  <si>
    <t>2025-03-06 11:47:41Z</t>
  </si>
  <si>
    <t>arpit rathore</t>
  </si>
  <si>
    <t>arpit</t>
  </si>
  <si>
    <t>rathore</t>
  </si>
  <si>
    <t>Zupee-256</t>
  </si>
  <si>
    <t>arpit.rathore@cashgrail.onmicrosoft.com</t>
  </si>
  <si>
    <t>2025-01-23 05:40:04Z</t>
  </si>
  <si>
    <t>Zupee-459</t>
  </si>
  <si>
    <t>Arpita.latta@cashgrail.onmicrosoft.com</t>
  </si>
  <si>
    <t>2022-12-12 05:29:33Z</t>
  </si>
  <si>
    <t>Arsalan</t>
  </si>
  <si>
    <t>Zupee-782</t>
  </si>
  <si>
    <t>Arsalan.Abbasi@cashgrail.onmicrosoft.com</t>
  </si>
  <si>
    <t>2025-03-03 07:14:01Z</t>
  </si>
  <si>
    <t>arsh jethi</t>
  </si>
  <si>
    <t>arsh</t>
  </si>
  <si>
    <t>jethi</t>
  </si>
  <si>
    <t>Zupee-592</t>
  </si>
  <si>
    <t>Arsh.Jethi@cashgrail.onmicrosoft.com</t>
  </si>
  <si>
    <t>2024-12-16 06:10:54Z</t>
  </si>
  <si>
    <t>arushi patni</t>
  </si>
  <si>
    <t>arushi</t>
  </si>
  <si>
    <t>patni</t>
  </si>
  <si>
    <t>Zupee-832</t>
  </si>
  <si>
    <t>arushi.patni@cashgrail.onmicrosoft.com</t>
  </si>
  <si>
    <t>2025-01-20 05:53:48Z</t>
  </si>
  <si>
    <t>Arvind Gupta</t>
  </si>
  <si>
    <t>Zupee-845</t>
  </si>
  <si>
    <t>arvind.gupta@cashgrail.onmicrosoft.com</t>
  </si>
  <si>
    <t>2022-04-08 13:45:28Z</t>
  </si>
  <si>
    <t>ashutosh garg</t>
  </si>
  <si>
    <t>ashutosh</t>
  </si>
  <si>
    <t>garg</t>
  </si>
  <si>
    <t>Zupee-875</t>
  </si>
  <si>
    <t>ashutosh.garg@cashgrail.onmicrosoft.com</t>
  </si>
  <si>
    <t>2025-03-05 05:01:28Z</t>
  </si>
  <si>
    <t>Zupee-409</t>
  </si>
  <si>
    <t>Atiullaha.Siddiqui@cashgrail.onmicrosoft.com</t>
  </si>
  <si>
    <t>2024-05-14 04:54:00Z</t>
  </si>
  <si>
    <t>Zupee-729</t>
  </si>
  <si>
    <t>attar.kaur@cashgrail.onmicrosoft.com</t>
  </si>
  <si>
    <t>2024-09-19 09:30:17Z</t>
  </si>
  <si>
    <t>auditor auditor</t>
  </si>
  <si>
    <t>Zupee-311</t>
  </si>
  <si>
    <t>auditor.auditor@cashgrail.onmicrosoft.com</t>
  </si>
  <si>
    <t>2025-03-07 06:59:37Z</t>
  </si>
  <si>
    <t>basilnath masabiel</t>
  </si>
  <si>
    <t>basilnath</t>
  </si>
  <si>
    <t>masabiel</t>
  </si>
  <si>
    <t>Zupee-677</t>
  </si>
  <si>
    <t>basilnath.masabiel@cashgrail.onmicrosoft.com</t>
  </si>
  <si>
    <t>2024-12-27 10:03:21Z</t>
  </si>
  <si>
    <t>Zupee-648</t>
  </si>
  <si>
    <t>bharti.rani@cashgrail.onmicrosoft.com</t>
  </si>
  <si>
    <t>2024-07-08 04:57:48Z</t>
  </si>
  <si>
    <t>Bishan bhadra</t>
  </si>
  <si>
    <t>bhadra</t>
  </si>
  <si>
    <t>Zupee-776</t>
  </si>
  <si>
    <t>Bishan.Bhadra@cashgrail.onmicrosoft.com</t>
  </si>
  <si>
    <t>2024-11-26 07:42:52Z</t>
  </si>
  <si>
    <t>Chaitanya.Kapoor@zupee.in</t>
  </si>
  <si>
    <t>Zupee-565</t>
  </si>
  <si>
    <t>Chaitanya.Kapoor@cashgrail.onmicrosoft.com</t>
  </si>
  <si>
    <t>2024-05-09 07:05:35Z</t>
  </si>
  <si>
    <t>Zupee-825</t>
  </si>
  <si>
    <t>daksh.tyagi@cashgrail.onmicrosoft.com</t>
  </si>
  <si>
    <t>2025-01-06 05:42:49Z</t>
  </si>
  <si>
    <t>Zupee-855</t>
  </si>
  <si>
    <t>deep.dwivedi@cashgrail.onmicrosoft.com</t>
  </si>
  <si>
    <t>2025-01-14 05:24:40Z</t>
  </si>
  <si>
    <t>deepak rawat</t>
  </si>
  <si>
    <t>deepak</t>
  </si>
  <si>
    <t>rawat</t>
  </si>
  <si>
    <t>Zupee-866</t>
  </si>
  <si>
    <t>deepak.rawat@cashgrail.onmicrosoft.com</t>
  </si>
  <si>
    <t>2024-09-11 10:50:10Z</t>
  </si>
  <si>
    <t>Zupee-553</t>
  </si>
  <si>
    <t>dhruv.adlakha@cashgrail.onmicrosoft.com</t>
  </si>
  <si>
    <t>2023-06-12 05:38:52Z</t>
  </si>
  <si>
    <t>Dilsher</t>
  </si>
  <si>
    <t>Malhi</t>
  </si>
  <si>
    <t>Zupee-197</t>
  </si>
  <si>
    <t>dilsher.malhi@cashgrail.onmicrosoft.com</t>
  </si>
  <si>
    <t>2022-12-01 04:42:27Z</t>
  </si>
  <si>
    <t>Zupee-709</t>
  </si>
  <si>
    <t>dipankar.jha@cashgrail.onmicrosoft.com</t>
  </si>
  <si>
    <t>2024-09-02 06:24:01Z</t>
  </si>
  <si>
    <t>Divya khare</t>
  </si>
  <si>
    <t>khare</t>
  </si>
  <si>
    <t>Zupee-817</t>
  </si>
  <si>
    <t>Divya.Khare@cashgrail.onmicrosoft.com</t>
  </si>
  <si>
    <t>2025-02-11 06:32:16Z</t>
  </si>
  <si>
    <t>Zupee-224</t>
  </si>
  <si>
    <t>gaurav.khanna@cashgrail.onmicrosoft.com</t>
  </si>
  <si>
    <t>2023-12-11 06:29:07Z</t>
  </si>
  <si>
    <t>Zupee-910</t>
  </si>
  <si>
    <t>gaurav.midda@cashgrail.onmicrosoft.com</t>
  </si>
  <si>
    <t>2025-03-24 06:40:50Z</t>
  </si>
  <si>
    <t>Zupee-727</t>
  </si>
  <si>
    <t>govind.mittal@cashgrail.onmicrosoft.com</t>
  </si>
  <si>
    <t>2021-11-23 11:58:43Z</t>
  </si>
  <si>
    <t>Zupee-766</t>
  </si>
  <si>
    <t>harsha.ratnam@cashgrail.onmicrosoft.com</t>
  </si>
  <si>
    <t>2024-03-21 08:09:22Z</t>
  </si>
  <si>
    <t>Zupee-912</t>
  </si>
  <si>
    <t>harshitaa.prakash@cashgrail.onmicrosoft.com</t>
  </si>
  <si>
    <t>2022-08-10 04:53:28Z</t>
  </si>
  <si>
    <t>Zupee-179</t>
  </si>
  <si>
    <t>hitesh.vats@cashgrail.onmicrosoft.com</t>
  </si>
  <si>
    <t>2022-01-19 11:51:00Z</t>
  </si>
  <si>
    <t>Ishan</t>
  </si>
  <si>
    <t>Margamwar</t>
  </si>
  <si>
    <t>Zupee-616</t>
  </si>
  <si>
    <t>ishan.margamwar@cashgrail.onmicrosoft.com</t>
  </si>
  <si>
    <t>2022-10-06 10:10:19Z</t>
  </si>
  <si>
    <t>Zupee-703</t>
  </si>
  <si>
    <t>ishank.mehta@cashgrail.onmicrosoft.com</t>
  </si>
  <si>
    <t>2023-11-16 10:10:03Z</t>
  </si>
  <si>
    <t>Zupee-928</t>
  </si>
  <si>
    <t>kailash.chand@cashgrail.onmicrosoft.com</t>
  </si>
  <si>
    <t>2021-11-25 10:42:22Z</t>
  </si>
  <si>
    <t>katha tara</t>
  </si>
  <si>
    <t>katha</t>
  </si>
  <si>
    <t>tara</t>
  </si>
  <si>
    <t>Zupee-721</t>
  </si>
  <si>
    <t>katha.tara@cashgrail.onmicrosoft.com</t>
  </si>
  <si>
    <t>2023-06-23 07:02:21Z</t>
  </si>
  <si>
    <t>Zupee-635</t>
  </si>
  <si>
    <t>khushboo.chopra@cashgrail.onmicrosoft.com</t>
  </si>
  <si>
    <t>2024-07-01 12:24:43Z</t>
  </si>
  <si>
    <t>lekhika dhariyal</t>
  </si>
  <si>
    <t>lekhika</t>
  </si>
  <si>
    <t>dhariyal</t>
  </si>
  <si>
    <t>Lekhika.dhariyal@zupee.in</t>
  </si>
  <si>
    <t>Zupee-641</t>
  </si>
  <si>
    <t>lekhika.dhariyal@cashgrail.onmicrosoft.com</t>
  </si>
  <si>
    <t>2023-04-27 06:32:04Z</t>
  </si>
  <si>
    <t>Zupee-486</t>
  </si>
  <si>
    <t>m.sangeetha@cashgrail.onmicrosoft.com</t>
  </si>
  <si>
    <t>2022-04-18 11:07:39Z</t>
  </si>
  <si>
    <t>Zupee-494</t>
  </si>
  <si>
    <t>manmohan.sagar@cashgrail.onmicrosoft.com</t>
  </si>
  <si>
    <t>2023-10-16 05:37:53Z</t>
  </si>
  <si>
    <t>Zupee-642</t>
  </si>
  <si>
    <t>Meenu.bharti@cashgrail.onmicrosoft.com</t>
  </si>
  <si>
    <t>2024-07-22 05:47:00Z</t>
  </si>
  <si>
    <t>Mohd Ghufran</t>
  </si>
  <si>
    <t>Zupee-754</t>
  </si>
  <si>
    <t>mohd.ghufran@cashgrail.onmicrosoft.com</t>
  </si>
  <si>
    <t>2023-01-12 05:29:06Z</t>
  </si>
  <si>
    <t>Zupee-651</t>
  </si>
  <si>
    <t>mohini.bhardwaj@cashgrail.onmicrosoft.com</t>
  </si>
  <si>
    <t>2024-02-22 04:56:29Z</t>
  </si>
  <si>
    <t>Mohit.Choudhary@zupee.in</t>
  </si>
  <si>
    <t>Zupee-622</t>
  </si>
  <si>
    <t>mohit.choudhary@cashgrail.onmicrosoft.com</t>
  </si>
  <si>
    <t>2024-01-22 07:23:24Z</t>
  </si>
  <si>
    <t>Zupee-437</t>
  </si>
  <si>
    <t>mohit.arora@cashgrail.onmicrosoft.com</t>
  </si>
  <si>
    <t>2021-11-29 10:13:37Z</t>
  </si>
  <si>
    <t>Mohit singh</t>
  </si>
  <si>
    <t>singh</t>
  </si>
  <si>
    <t>Zupee-309</t>
  </si>
  <si>
    <t>mohit.singh@cashgrail.onmicrosoft.com</t>
  </si>
  <si>
    <t>2024-01-10 10:15:41Z</t>
  </si>
  <si>
    <t>Zupee-615</t>
  </si>
  <si>
    <t>mritunjay.kumar@cashgrail.onmicrosoft.com</t>
  </si>
  <si>
    <t>2023-02-14 09:52:55Z</t>
  </si>
  <si>
    <t>Mrityunjay kumar</t>
  </si>
  <si>
    <t>Zupee-398</t>
  </si>
  <si>
    <t>Mrityunjay.kumar@cashgrail.onmicrosoft.com</t>
  </si>
  <si>
    <t>2024-06-03 12:25:59Z</t>
  </si>
  <si>
    <t>Zupee-925</t>
  </si>
  <si>
    <t>naman.vijay@cashgrail.onmicrosoft.com</t>
  </si>
  <si>
    <t>2025-03-24 05:35:50Z</t>
  </si>
  <si>
    <t>Zupee-533</t>
  </si>
  <si>
    <t>naveen.kadyan@cashgrail.onmicrosoft.com</t>
  </si>
  <si>
    <t>2024-11-26 10:23:00Z</t>
  </si>
  <si>
    <t>Zupee-001</t>
  </si>
  <si>
    <t>naveen.k@cashgrail.onmicrosoft.com</t>
  </si>
  <si>
    <t>On email (Super Admin)</t>
  </si>
  <si>
    <t>2021-11-16 07:53:07Z</t>
  </si>
  <si>
    <t>Admin Cashgrail</t>
  </si>
  <si>
    <t>admin@cashgrail.onmicrosoft.com</t>
  </si>
  <si>
    <t>On email (Super Admin Only for licence Assign)</t>
  </si>
  <si>
    <t>2021-11-16 04:28:17Z</t>
  </si>
  <si>
    <t>Naveen yadav</t>
  </si>
  <si>
    <t>yadav</t>
  </si>
  <si>
    <t>Zupee-723</t>
  </si>
  <si>
    <t>naveen.yadav@cashgrail.onmicrosoft.com</t>
  </si>
  <si>
    <t>2024-12-23 05:59:32Z</t>
  </si>
  <si>
    <t>Zupee-312</t>
  </si>
  <si>
    <t>Nidhi.khedekar@cashgrail.onmicrosoft.com</t>
  </si>
  <si>
    <t>2023-05-19 05:16:18Z</t>
  </si>
  <si>
    <t>Nikhil jain</t>
  </si>
  <si>
    <t>jain</t>
  </si>
  <si>
    <t>Zupee-582</t>
  </si>
  <si>
    <t>nikhil.jain@cashgrail.onmicrosoft.com</t>
  </si>
  <si>
    <t>2024-05-21 06:42:00Z</t>
  </si>
  <si>
    <t>Zupee-753</t>
  </si>
  <si>
    <t>nikita.mantri@cashgrail.onmicrosoft.com</t>
  </si>
  <si>
    <t>2022-03-28 10:26:41Z</t>
  </si>
  <si>
    <t>Sabherwal</t>
  </si>
  <si>
    <t>Zupee-935</t>
  </si>
  <si>
    <t>nischay.sabherwal@cashgrail.onmicrosoft.com</t>
  </si>
  <si>
    <t>2022-11-02 06:44:21Z</t>
  </si>
  <si>
    <t>Nishant.jaiswal@zupee.in</t>
  </si>
  <si>
    <t>Zupee-612</t>
  </si>
  <si>
    <t>nishant.jaiswal@cashgrail.onmicrosoft.com</t>
  </si>
  <si>
    <t>2022-01-24 11:57:17Z</t>
  </si>
  <si>
    <t>Zupee-600</t>
  </si>
  <si>
    <t>nitesh.vijay@cashgrail.onmicrosoft.com</t>
  </si>
  <si>
    <t>2022-03-04 06:37:39Z</t>
  </si>
  <si>
    <t>Niyati</t>
  </si>
  <si>
    <t>niyati.verma@cashgrail.onmicrosoft.com</t>
  </si>
  <si>
    <t>2023-04-20 06:04:31Z</t>
  </si>
  <si>
    <t>pankaj garg</t>
  </si>
  <si>
    <t>pankaj</t>
  </si>
  <si>
    <t>Zupee-933</t>
  </si>
  <si>
    <t>pankaj.garg@cashgrail.onmicrosoft.com</t>
  </si>
  <si>
    <t>2024-02-02 08:40:54Z</t>
  </si>
  <si>
    <t>Pankaj gautam</t>
  </si>
  <si>
    <t>gautam</t>
  </si>
  <si>
    <t>Zupee-760</t>
  </si>
  <si>
    <t>Pankaj.Gautam@cashgrail.onmicrosoft.com</t>
  </si>
  <si>
    <t>2024-12-26 13:11:22Z</t>
  </si>
  <si>
    <t>Pavit</t>
  </si>
  <si>
    <t>Batra</t>
  </si>
  <si>
    <t>pavit.batra@cashgrail.onmicrosoft.com</t>
  </si>
  <si>
    <t>2022-08-08 06:22:06Z</t>
  </si>
  <si>
    <t>Pawan Kumar</t>
  </si>
  <si>
    <t>Sarswat</t>
  </si>
  <si>
    <t>Zupee-258</t>
  </si>
  <si>
    <t>pawan.sarswat@cashgrail.onmicrosoft.com</t>
  </si>
  <si>
    <t>2025-03-23 14:54:44Z</t>
  </si>
  <si>
    <t>Zupee-499</t>
  </si>
  <si>
    <t>piyali.kar@cashgrail.onmicrosoft.com</t>
  </si>
  <si>
    <t>2023-06-28 04:59:13Z</t>
  </si>
  <si>
    <t>prachi kabthiyal</t>
  </si>
  <si>
    <t>prachi</t>
  </si>
  <si>
    <t>kabthiyal</t>
  </si>
  <si>
    <t>Zupee-837</t>
  </si>
  <si>
    <t>prachi.kabthiyal@cashgrail.onmicrosoft.com</t>
  </si>
  <si>
    <t>2025-02-07 10:59:33Z</t>
  </si>
  <si>
    <t>prashant kumar</t>
  </si>
  <si>
    <t>prashant</t>
  </si>
  <si>
    <t>Zupee-763</t>
  </si>
  <si>
    <t>prashant.kumar@cashgrail.onmicrosoft.com</t>
  </si>
  <si>
    <t>2024-05-23 07:21:14Z</t>
  </si>
  <si>
    <t>Pratik.taltia@zupee.in</t>
  </si>
  <si>
    <t>Zupee-718</t>
  </si>
  <si>
    <t>pratik.taltia@cashgrail.onmicrosoft.com</t>
  </si>
  <si>
    <t>2023-10-25 10:04:29Z</t>
  </si>
  <si>
    <t>Zupee-500</t>
  </si>
  <si>
    <t>prerna.sharma@cashgrail.onmicrosoft.com</t>
  </si>
  <si>
    <t>2021-11-23 04:51:59Z</t>
  </si>
  <si>
    <t>Zupee-906</t>
  </si>
  <si>
    <t>pulkit.sehgal@cashgrail.onmicrosoft.com</t>
  </si>
  <si>
    <t>2022-12-12 04:57:00Z</t>
  </si>
  <si>
    <t>Punit sharma</t>
  </si>
  <si>
    <t>sharma</t>
  </si>
  <si>
    <t>Zupee-645</t>
  </si>
  <si>
    <t>Punit.sharma@cashgrail.onmicrosoft.com</t>
  </si>
  <si>
    <t>2024-07-08 11:16:11Z</t>
  </si>
  <si>
    <t>purodha singh</t>
  </si>
  <si>
    <t>purodha</t>
  </si>
  <si>
    <t>Zupee-923</t>
  </si>
  <si>
    <t>purodha.singh@cashgrail.onmicrosoft.com</t>
  </si>
  <si>
    <t>2025-03-27 05:39:56Z</t>
  </si>
  <si>
    <t>rachit agrawal</t>
  </si>
  <si>
    <t>rachit</t>
  </si>
  <si>
    <t>agrawal</t>
  </si>
  <si>
    <t>Zupee-865</t>
  </si>
  <si>
    <t>rachit.agrawal@cashgrail.onmicrosoft.com</t>
  </si>
  <si>
    <t>2025-03-05 06:33:37Z</t>
  </si>
  <si>
    <t>Raghav bansal</t>
  </si>
  <si>
    <t>bansal</t>
  </si>
  <si>
    <t>Zupee-281</t>
  </si>
  <si>
    <t>raghav.bansal@cashgrail.onmicrosoft.com</t>
  </si>
  <si>
    <t>2024-06-03 10:07:05Z</t>
  </si>
  <si>
    <t>Zupee-813</t>
  </si>
  <si>
    <t>Rahul.Saini@cashgrail.onmicrosoft.com</t>
  </si>
  <si>
    <t>2025-03-19 06:53:56Z</t>
  </si>
  <si>
    <t>rahul satija</t>
  </si>
  <si>
    <t>rahul</t>
  </si>
  <si>
    <t>satija</t>
  </si>
  <si>
    <t>Zupee-506</t>
  </si>
  <si>
    <t>rahul.satija@cashgrail.onmicrosoft.com</t>
  </si>
  <si>
    <t>2024-06-10 05:29:31Z</t>
  </si>
  <si>
    <t>rahul sharma</t>
  </si>
  <si>
    <t>Zupee-719</t>
  </si>
  <si>
    <t>rahul.sharma@cashgrail.onmicrosoft.com</t>
  </si>
  <si>
    <t>2022-12-29 10:56:30Z</t>
  </si>
  <si>
    <t>Zupee-784</t>
  </si>
  <si>
    <t>rajat.saurav@cashgrail.onmicrosoft.com</t>
  </si>
  <si>
    <t>2024-11-20 05:28:12Z</t>
  </si>
  <si>
    <t>Zupee-523</t>
  </si>
  <si>
    <t>rajat.garg@cashgrail.onmicrosoft.com</t>
  </si>
  <si>
    <t>2024-02-26 05:28:20Z</t>
  </si>
  <si>
    <t>Zupee-502</t>
  </si>
  <si>
    <t>rajkumar.singh@cashgrail.onmicrosoft.com</t>
  </si>
  <si>
    <t>2023-12-12 05:49:13Z</t>
  </si>
  <si>
    <t>rajneesh yadav</t>
  </si>
  <si>
    <t>rajneesh</t>
  </si>
  <si>
    <t>Zupee-716</t>
  </si>
  <si>
    <t>rajneesh.yadav@cashgrail.onmicrosoft.com</t>
  </si>
  <si>
    <t>2023-01-24 06:04:35Z</t>
  </si>
  <si>
    <t>Zupee-450</t>
  </si>
  <si>
    <t>rakesh.kumar@cashgrail.onmicrosoft.com</t>
  </si>
  <si>
    <t>2024-02-23 06:00:11Z</t>
  </si>
  <si>
    <t>Raman Malil</t>
  </si>
  <si>
    <t>Malil</t>
  </si>
  <si>
    <t>Zupee-665</t>
  </si>
  <si>
    <t>raman.malik@cashgrail.onmicrosoft.com</t>
  </si>
  <si>
    <t>2024-08-02 08:24:31Z</t>
  </si>
  <si>
    <t>Ravi jha</t>
  </si>
  <si>
    <t>jha</t>
  </si>
  <si>
    <t>Zupee-505</t>
  </si>
  <si>
    <t>ravi.jha@cashgrail.onmicrosoft.com</t>
  </si>
  <si>
    <t>2024-06-06 06:52:10Z</t>
  </si>
  <si>
    <t>richa sharma</t>
  </si>
  <si>
    <t>richa</t>
  </si>
  <si>
    <t>Zupee-552</t>
  </si>
  <si>
    <t>richa.sharma@cashgrail.onmicrosoft.com</t>
  </si>
  <si>
    <t>2024-06-10 11:11:29Z</t>
  </si>
  <si>
    <t>Ritvik sharma</t>
  </si>
  <si>
    <t>Zupee-542</t>
  </si>
  <si>
    <t>ritvik.sharma@cashgrail.onmicrosoft.com</t>
  </si>
  <si>
    <t>2024-04-29 05:57:07Z</t>
  </si>
  <si>
    <t>Zupee-094</t>
  </si>
  <si>
    <t>ritwika.maitra@cashgrail.onmicrosoft.com</t>
  </si>
  <si>
    <t>2023-12-08 12:21:19Z</t>
  </si>
  <si>
    <t>sahil puri</t>
  </si>
  <si>
    <t>sahil</t>
  </si>
  <si>
    <t>puri</t>
  </si>
  <si>
    <t>Zupee-561</t>
  </si>
  <si>
    <t>sahil.puri@cashgrail.onmicrosoft.com</t>
  </si>
  <si>
    <t>2024-06-20 10:09:43Z</t>
  </si>
  <si>
    <t>saksham kochhar</t>
  </si>
  <si>
    <t>saksham</t>
  </si>
  <si>
    <t>kochhar</t>
  </si>
  <si>
    <t>Zupee-525</t>
  </si>
  <si>
    <t>saksham.kochhar@cashgrail.onmicrosoft.com</t>
  </si>
  <si>
    <t>2024-07-23 11:26:16Z</t>
  </si>
  <si>
    <t>Zupee-791</t>
  </si>
  <si>
    <t>sanchit.mittal@cashgrail.onmicrosoft.com</t>
  </si>
  <si>
    <t>2024-10-23 05:58:10Z</t>
  </si>
  <si>
    <t>Zupee-799</t>
  </si>
  <si>
    <t>sanjeev.kumar@cashgrail.onmicrosoft.com</t>
  </si>
  <si>
    <t>2023-07-13 08:41:38Z</t>
  </si>
  <si>
    <t>sanjeev bhardwaj</t>
  </si>
  <si>
    <t>sanjeev</t>
  </si>
  <si>
    <t>bhardwaj</t>
  </si>
  <si>
    <t>Zupee-708</t>
  </si>
  <si>
    <t>sanjeev.bhardwaj@cashgrail.onmicrosoft.com</t>
  </si>
  <si>
    <t>2024-12-03 08:22:22Z</t>
  </si>
  <si>
    <t>Sanket jain</t>
  </si>
  <si>
    <t>Zupee-504</t>
  </si>
  <si>
    <t>Sanket.jain@cashgrail.onmicrosoft.com</t>
  </si>
  <si>
    <t>2023-11-09 05:54:08Z</t>
  </si>
  <si>
    <t>Zupee-509</t>
  </si>
  <si>
    <t>satyam.singh@cashgrail.onmicrosoft.com</t>
  </si>
  <si>
    <t>2024-05-06 06:24:44Z</t>
  </si>
  <si>
    <t>Zupee-689</t>
  </si>
  <si>
    <t>saurabh.khurana@cashgrail.onmicrosoft.com</t>
  </si>
  <si>
    <t>2024-08-16 09:46:38Z</t>
  </si>
  <si>
    <t>Zupee-679</t>
  </si>
  <si>
    <t>shashank.gupta@cashgrail.onmicrosoft.com</t>
  </si>
  <si>
    <t>2024-08-05 05:41:30Z</t>
  </si>
  <si>
    <t>Zupee-793</t>
  </si>
  <si>
    <t>shitiza.arora@cashgrail.onmicrosoft.com</t>
  </si>
  <si>
    <t>2023-02-10 08:48:13Z</t>
  </si>
  <si>
    <t>Zupee-489</t>
  </si>
  <si>
    <t>shiv.k@cashgrail.onmicrosoft.com</t>
  </si>
  <si>
    <t>2025-02-27 06:18:38Z</t>
  </si>
  <si>
    <t>Zupee-452</t>
  </si>
  <si>
    <t>shivam.bali@cashgrail.onmicrosoft.com</t>
  </si>
  <si>
    <t>2022-01-13 05:57:42Z</t>
  </si>
  <si>
    <t>Shivan sharma</t>
  </si>
  <si>
    <t>Shivam.sharma@cashgrail.onmicrosoft.com</t>
  </si>
  <si>
    <t>2024-07-17 05:46:31Z</t>
  </si>
  <si>
    <t>Shivani bisht</t>
  </si>
  <si>
    <t>bisht</t>
  </si>
  <si>
    <t>Zupee-652</t>
  </si>
  <si>
    <t>shivani.bisht@cashgrail.onmicrosoft.com</t>
  </si>
  <si>
    <t>2024-06-10 12:16:07Z</t>
  </si>
  <si>
    <t>shiwani pokhriyal</t>
  </si>
  <si>
    <t>shiwani</t>
  </si>
  <si>
    <t>pokhriyal</t>
  </si>
  <si>
    <t>Shiwani.pokhriyal@zupee.in</t>
  </si>
  <si>
    <t>Zupee-804</t>
  </si>
  <si>
    <t>shiwani.pokhriyal@cashgrail.onmicrosoft.com</t>
  </si>
  <si>
    <t>2024-12-11 11:07:06Z</t>
  </si>
  <si>
    <t>Zupee-601</t>
  </si>
  <si>
    <t>shrasti.tomar@cashgrail.onmicrosoft.com</t>
  </si>
  <si>
    <t>2024-09-11 11:15:26Z</t>
  </si>
  <si>
    <t>Zupee-765</t>
  </si>
  <si>
    <t>Shridhar.Sharma@cashgrail.onmicrosoft.com</t>
  </si>
  <si>
    <t>2024-11-07 11:27:29Z</t>
  </si>
  <si>
    <t>Shubham.gupta@zupee.in</t>
  </si>
  <si>
    <t>Shubham.Gupta@cashgrail.onmicrosoft.com</t>
  </si>
  <si>
    <t>2024-05-20 06:21:23Z</t>
  </si>
  <si>
    <t>Zupee-647</t>
  </si>
  <si>
    <t>Shubham.singh@cashgrail.onmicrosoft.com</t>
  </si>
  <si>
    <t>2023-05-24 05:51:40Z</t>
  </si>
  <si>
    <t>Zupee-501</t>
  </si>
  <si>
    <t>shubham.thakur@cashgrail.onmicrosoft.com</t>
  </si>
  <si>
    <t>2024-01-22 10:45:19Z</t>
  </si>
  <si>
    <t>Shyam verma</t>
  </si>
  <si>
    <t>verma</t>
  </si>
  <si>
    <t>Zupee-640</t>
  </si>
  <si>
    <t>shyam.verma@cashgrail.onmicrosoft.com</t>
  </si>
  <si>
    <t>2024-07-18 05:09:48Z</t>
  </si>
  <si>
    <t>Zupee-491</t>
  </si>
  <si>
    <t>siddharth.monga@cashgrail.onmicrosoft.com</t>
  </si>
  <si>
    <t>2021-12-14 10:22:00Z</t>
  </si>
  <si>
    <t>Simaran verma</t>
  </si>
  <si>
    <t>Simaran</t>
  </si>
  <si>
    <t>Zupee-713</t>
  </si>
  <si>
    <t>simran.verma@cashgrail.onmicrosoft.com</t>
  </si>
  <si>
    <t>2024-10-28 07:25:29Z</t>
  </si>
  <si>
    <t>sparsh agarwal</t>
  </si>
  <si>
    <t>sparsh</t>
  </si>
  <si>
    <t>agarwal</t>
  </si>
  <si>
    <t>Zupee-818</t>
  </si>
  <si>
    <t>sparsh.agarwal@cashgrail.onmicrosoft.com</t>
  </si>
  <si>
    <t>2025-02-19 06:52:59Z</t>
  </si>
  <si>
    <t>Zupee-496</t>
  </si>
  <si>
    <t>sumit.yadav@cashgrail.onmicrosoft.com</t>
  </si>
  <si>
    <t>2024-02-19 04:58:27Z</t>
  </si>
  <si>
    <t>Suryanshu.Shekhar@zupee.in</t>
  </si>
  <si>
    <t>Zupee-696</t>
  </si>
  <si>
    <t>Suryanshu.Shekhar@cashgrail.onmicrosoft.com</t>
  </si>
  <si>
    <t>2024-08-14 05:34:02Z</t>
  </si>
  <si>
    <t>Zupee-757</t>
  </si>
  <si>
    <t>sushil.patel@cashgrail.onmicrosoft.com</t>
  </si>
  <si>
    <t>2024-11-11 05:25:38Z</t>
  </si>
  <si>
    <t>suvra das</t>
  </si>
  <si>
    <t>suvra</t>
  </si>
  <si>
    <t>das</t>
  </si>
  <si>
    <t>Zupee-643</t>
  </si>
  <si>
    <t>suvra.das@cashgrail.onmicrosoft.com</t>
  </si>
  <si>
    <t>2024-12-10 11:43:29Z</t>
  </si>
  <si>
    <t>tarun sharma</t>
  </si>
  <si>
    <t>tarun</t>
  </si>
  <si>
    <t>Zupee-801</t>
  </si>
  <si>
    <t>tarun.sharma@cashgrail.onmicrosoft.com</t>
  </si>
  <si>
    <t>2024-12-19 06:27:06Z</t>
  </si>
  <si>
    <t>Zupee-751</t>
  </si>
  <si>
    <t>thomas.phillippe@cashgrail.onmicrosoft.com</t>
  </si>
  <si>
    <t>2024-10-15 05:11:06Z</t>
  </si>
  <si>
    <t>Tulika</t>
  </si>
  <si>
    <t>Bhatnagar</t>
  </si>
  <si>
    <t>Zupee-308</t>
  </si>
  <si>
    <t>tulika.bhatnagar@cashgrail.onmicrosoft.com</t>
  </si>
  <si>
    <t>2024-02-05 09:20:37Z</t>
  </si>
  <si>
    <t>Zupee-497</t>
  </si>
  <si>
    <t>tushar.sharma@cashgrail.onmicrosoft.com</t>
  </si>
  <si>
    <t>2023-09-20 06:00:36Z</t>
  </si>
  <si>
    <t>Zupee-728</t>
  </si>
  <si>
    <t>twinkle.bhati@cashgrail.onmicrosoft.com</t>
  </si>
  <si>
    <t>2024-10-15 06:43:47Z</t>
  </si>
  <si>
    <t>Zupee-563</t>
  </si>
  <si>
    <t>Utkarsh.Vishal@cashgrail.onmicrosoft.com</t>
  </si>
  <si>
    <t>2024-05-13 06:04:52Z</t>
  </si>
  <si>
    <t>vedant sharma</t>
  </si>
  <si>
    <t>vedant</t>
  </si>
  <si>
    <t>Vedant.sharma@zupee.in</t>
  </si>
  <si>
    <t>Zupee-699</t>
  </si>
  <si>
    <t>vedant.sharma@cashgrail.onmicrosoft.com</t>
  </si>
  <si>
    <t>2024-06-11 07:39:04Z</t>
  </si>
  <si>
    <t>Zupee-839</t>
  </si>
  <si>
    <t>vijay.singh@cashgrail.onmicrosoft.com</t>
  </si>
  <si>
    <t>2022-03-17 05:37:29Z</t>
  </si>
  <si>
    <t>Vikas gupta</t>
  </si>
  <si>
    <t>Zupee-834</t>
  </si>
  <si>
    <t>vikas.gupta@cashgrail.onmicrosoft.com</t>
  </si>
  <si>
    <t>2025-02-03 05:53:35Z</t>
  </si>
  <si>
    <t>Zupee-900</t>
  </si>
  <si>
    <t>vimal.prajapati@cashgrail.onmicrosoft.com</t>
  </si>
  <si>
    <t>2024-03-11 08:33:24Z</t>
  </si>
  <si>
    <t>Zupee-683</t>
  </si>
  <si>
    <t>vivek.jain@cashgrail.onmicrosoft.com</t>
  </si>
  <si>
    <t>2023-08-11 04:53:08Z</t>
  </si>
  <si>
    <t>Zupee-794</t>
  </si>
  <si>
    <t>yash.oberoi@cashgrail.onmicrosoft.com</t>
  </si>
  <si>
    <t>2024-08-22 05:18:51Z</t>
  </si>
  <si>
    <t>Zupee-881</t>
  </si>
  <si>
    <t>yash.satwani@cashgrail.onmicrosoft.com</t>
  </si>
  <si>
    <t>New Joiner</t>
  </si>
  <si>
    <t>Vnay</t>
  </si>
  <si>
    <t>Zupee-490</t>
  </si>
  <si>
    <t>vinay.mishra@cashgrail.onmicrosoft.com</t>
  </si>
  <si>
    <t>On email - Raj</t>
  </si>
  <si>
    <t>Zupee-911</t>
  </si>
  <si>
    <t>diksha.garg@cashgrail.onmicrosoft.com</t>
  </si>
  <si>
    <t>On email - Nishant Jaiswal</t>
  </si>
  <si>
    <t>Zupee-493</t>
  </si>
  <si>
    <t>mitali.luthra@cashgrail.onmicrosoft.com</t>
  </si>
  <si>
    <t>anish agarwal</t>
  </si>
  <si>
    <t>Zupee-922</t>
  </si>
  <si>
    <t>anish.agarwal@cashgrail.onmicrosoft.com</t>
  </si>
  <si>
    <t>Zupee-628</t>
  </si>
  <si>
    <t>piyush.patel@cashgrail.onmicrosoft.com</t>
  </si>
  <si>
    <t>On email - As on department</t>
  </si>
  <si>
    <t>Bahl</t>
  </si>
  <si>
    <t>Zupee-919</t>
  </si>
  <si>
    <t>aryan.bahl@cashgrail.onmicrosoft.com</t>
  </si>
  <si>
    <t>Zupee-930</t>
  </si>
  <si>
    <t>ajay.talukdar@cashgrail.onmicrosoft.com</t>
  </si>
  <si>
    <t>Zupee-950</t>
  </si>
  <si>
    <t>umang.chhabra@cashgrail.onmicrosoft.com</t>
  </si>
  <si>
    <t>keshav</t>
  </si>
  <si>
    <t>khatri</t>
  </si>
  <si>
    <t>Zupee-924</t>
  </si>
  <si>
    <t>keshav.khatri@cashgrail.onmicrosoft.com</t>
  </si>
  <si>
    <t>Shreyansh</t>
  </si>
  <si>
    <t>Zupee-926</t>
  </si>
  <si>
    <t>shreyansh.jain@cashgrail.onmicrosoft.com</t>
  </si>
  <si>
    <t>Zupee-921</t>
  </si>
  <si>
    <t>mayank.goyal@cashgrail.onmicrosoft.com</t>
  </si>
  <si>
    <t>Zupee-920</t>
  </si>
  <si>
    <t>jitesh.suneja@cashgrail.onmicrosoft.com</t>
  </si>
  <si>
    <t>Zupee-939</t>
  </si>
  <si>
    <t>abhishek.swami@cashgrail.onmicrosoft.com</t>
  </si>
  <si>
    <t>Zupee-884</t>
  </si>
  <si>
    <t>shubham.kashyap@cashgrail.onmicrosoft.com</t>
  </si>
  <si>
    <t>Zupee-931</t>
  </si>
  <si>
    <t>shobhit.nanda@cashgrail.onmicrosoft.com</t>
  </si>
  <si>
    <t xml:space="preserve">Thomas Phillippe
</t>
  </si>
  <si>
    <t>shivangi Dalmia</t>
  </si>
  <si>
    <t>shivangi</t>
  </si>
  <si>
    <t>Zupee-927</t>
  </si>
  <si>
    <t>shivangi.dalmia@cashgrail.onmicrosoft.com</t>
  </si>
  <si>
    <t>Zupee-495</t>
  </si>
  <si>
    <t>rahul.s@cashgrail.onmicrosoft.com</t>
  </si>
  <si>
    <t>Zupee-978</t>
  </si>
  <si>
    <t>sarthak.jain@cashgrail.onmicrosoft.com</t>
  </si>
  <si>
    <t>Zupee-895</t>
  </si>
  <si>
    <t>preeti.singh@cashgrail.onmicrosoft.com</t>
  </si>
  <si>
    <t>Zupee-786</t>
  </si>
  <si>
    <t>shivam.pandita@cashgrail.onmicrosoft.com</t>
  </si>
  <si>
    <r>
      <rPr>
        <rFont val="Arial"/>
        <color rgb="FF1155CC"/>
        <u/>
      </rPr>
      <t>Zupee-653</t>
    </r>
  </si>
  <si>
    <t>naina.sharma@cashgrail.onmicrosoft.com</t>
  </si>
  <si>
    <r>
      <rPr>
        <rFont val="Arial"/>
        <color rgb="FF1155CC"/>
        <u/>
      </rPr>
      <t>Zupee-891</t>
    </r>
  </si>
  <si>
    <t>shobhit.sharma@cashgrail.onmicrosoft.com</t>
  </si>
  <si>
    <r>
      <rPr>
        <rFont val="Arial"/>
        <color rgb="FF1155CC"/>
        <u/>
      </rPr>
      <t>Zupee-684</t>
    </r>
  </si>
  <si>
    <t>reema.gupta@cashgrail.onmicrosoft.com</t>
  </si>
  <si>
    <r>
      <rPr>
        <rFont val="Arial"/>
        <color rgb="FF1155CC"/>
        <u/>
      </rPr>
      <t>Zupee-864</t>
    </r>
  </si>
  <si>
    <t>roma.mehta@cashgrail.onmicrosoft.com</t>
  </si>
  <si>
    <r>
      <rPr>
        <rFont val="Arial"/>
        <color rgb="FF1155CC"/>
        <u/>
      </rPr>
      <t>Zupee-862</t>
    </r>
  </si>
  <si>
    <t>akanksha.anand@cashgrail.onmicrosoft.com</t>
  </si>
  <si>
    <t xml:space="preserve">Harsh </t>
  </si>
  <si>
    <t>Zupee-980</t>
  </si>
  <si>
    <t>harsh.anand@cashgrail.onmicrosoft.com</t>
  </si>
  <si>
    <t xml:space="preserve">Sagar </t>
  </si>
  <si>
    <t>Zupee-997</t>
  </si>
  <si>
    <r>
      <rPr>
        <rFont val="Arial"/>
        <color rgb="FF1155CC"/>
        <u/>
      </rPr>
      <t>sagar.nassa@cashgrail.onmicrosoft.com</t>
    </r>
  </si>
  <si>
    <t xml:space="preserve">Gunn </t>
  </si>
  <si>
    <t>Zupee-977</t>
  </si>
  <si>
    <r>
      <rPr>
        <rFont val="Arial"/>
        <color rgb="FF1155CC"/>
        <u/>
      </rPr>
      <t>gunn.bhargava@cashgrail.onmicrosoft.com</t>
    </r>
  </si>
  <si>
    <t>As on department</t>
  </si>
  <si>
    <t xml:space="preserve">Shivam </t>
  </si>
  <si>
    <t>Zupee-649</t>
  </si>
  <si>
    <r>
      <rPr>
        <rFont val="Arial"/>
        <color rgb="FF1155CC"/>
        <u/>
      </rPr>
      <t>shivam.s@cashgrail.onmicrosoft.com</t>
    </r>
  </si>
  <si>
    <t xml:space="preserve">Dhruv </t>
  </si>
  <si>
    <t>Zupee-739</t>
  </si>
  <si>
    <t>dhruv.gupta@cashgrail.onmicrosoft.com</t>
  </si>
  <si>
    <t>Zupee-663</t>
  </si>
  <si>
    <r>
      <rPr>
        <rFont val="Arial"/>
        <color rgb="FF1155CC"/>
        <u/>
      </rPr>
      <t>abhishek.choudhary@cashgrail.onmicrosoft.com</t>
    </r>
  </si>
  <si>
    <t>Zupee-822</t>
  </si>
  <si>
    <t>ketan.keshri@cashgrail.onmicrosoft.com</t>
  </si>
  <si>
    <t>Zupee-807</t>
  </si>
  <si>
    <t>yagya.srivastava@cashgrail.onmicrosoft.com</t>
  </si>
  <si>
    <t>Zupee-991</t>
  </si>
  <si>
    <t>himanshu.mittal@cashgrail.onmicrosoft.com</t>
  </si>
  <si>
    <t>Zupee-868</t>
  </si>
  <si>
    <t>jaya.tiwari@cashgrail.onmicrosoft.com</t>
  </si>
  <si>
    <t>Zupee-532</t>
  </si>
  <si>
    <t>nitesh.dagar@cashgrail.onmicrosoft.com</t>
  </si>
  <si>
    <t>Zupee-1052</t>
  </si>
  <si>
    <t>sahil.brahmania@cashgrail.onmicrosoft.com</t>
  </si>
  <si>
    <r>
      <rPr>
        <rFont val="Arial"/>
        <color rgb="FF1155CC"/>
        <u/>
      </rPr>
      <t>Zupee-715</t>
    </r>
  </si>
  <si>
    <t>shailja.tiwari@cashgrail.onmicrosoft.com</t>
  </si>
  <si>
    <t>Zupee-706</t>
  </si>
  <si>
    <t>akshay.gulati@cashgrail.onmicrosoft.com</t>
  </si>
  <si>
    <t>Zupee-934</t>
  </si>
  <si>
    <t>saurav.yadav@cashgrail.onmicrosoft.com</t>
  </si>
  <si>
    <t>Zupee-531</t>
  </si>
  <si>
    <t>yakshita.behl@cashgrail.onmicrosoft.com</t>
  </si>
  <si>
    <t xml:space="preserve">Kashish </t>
  </si>
  <si>
    <t>Zupee-990</t>
  </si>
  <si>
    <t>kashish.rathore@cashgrail.onmicrosoft.com</t>
  </si>
  <si>
    <t>Zupee-781</t>
  </si>
  <si>
    <t>manjot.juyal@cashgrail.onmicrosoft.com</t>
  </si>
  <si>
    <t>Zupee-989</t>
  </si>
  <si>
    <t>renuka.sarvaiya@cashgrail.onmicrosoft.com</t>
  </si>
  <si>
    <t>Zupee-1032</t>
  </si>
  <si>
    <t>pranjay.dhamija@cashgrail.onmicrosoft.com</t>
  </si>
  <si>
    <t>Zupee-1101</t>
  </si>
  <si>
    <t>neha.jain@cashgrail.onmicrosoft.com</t>
  </si>
  <si>
    <t xml:space="preserve">Aarti </t>
  </si>
  <si>
    <t>Zupee-1062</t>
  </si>
  <si>
    <t>aarti.mangla@cashgrail.onmicrosoft.com</t>
  </si>
  <si>
    <t>Cheshtha</t>
  </si>
  <si>
    <t>Zupee-1064</t>
  </si>
  <si>
    <t>cheshtha.sharma@cashgrail.onmicrosoft.com</t>
  </si>
  <si>
    <t>Zupee-712</t>
  </si>
  <si>
    <t>nikhil.kumar@cashgrail.onmicrosoft.com</t>
  </si>
  <si>
    <t>Zupee-1063</t>
  </si>
  <si>
    <t>harsha.nanwani@cashgrail.onmicrosoft.com</t>
  </si>
  <si>
    <t>Zupee-666</t>
  </si>
  <si>
    <t>divakar.garg@cashgrail.onmicrosoft.com</t>
  </si>
  <si>
    <t xml:space="preserve">Gurchetan </t>
  </si>
  <si>
    <t>Zupee-985</t>
  </si>
  <si>
    <t>gurchetan.singh@cashgrail.onmicrosoft.com</t>
  </si>
  <si>
    <t>Sharma1</t>
  </si>
  <si>
    <t>Zupee-984</t>
  </si>
  <si>
    <t>rahul.sharma1@cashgrail.onmicrosoft.com</t>
  </si>
  <si>
    <t>Zupee-992</t>
  </si>
  <si>
    <t>hritik.garg@cashgrail.onmicrosoft.com</t>
  </si>
  <si>
    <t>Pooja lunia</t>
  </si>
  <si>
    <t>Zupee-885</t>
  </si>
  <si>
    <t>pooja.lunia@cashgrail.onmicrosoft.com</t>
  </si>
  <si>
    <t>Naveen kumar</t>
  </si>
  <si>
    <t>naveen.kumar@cashgrail.onmicrosoft.com</t>
  </si>
  <si>
    <t>Zupee-1116</t>
  </si>
  <si>
    <t>sairam.mushyam@cashgrail.onmicrosoft.com</t>
  </si>
  <si>
    <t>Ambika</t>
  </si>
  <si>
    <t>G</t>
  </si>
  <si>
    <t>Zupee-1105</t>
  </si>
  <si>
    <t>Ambika.g@cashgrail.onmicrosoft.com</t>
  </si>
  <si>
    <t>As on department new joiner</t>
  </si>
  <si>
    <t>Bajiya</t>
  </si>
  <si>
    <t>Zupee-1118</t>
  </si>
  <si>
    <t>abhishek.bajiya@cashgrail.onmicrosoft.com</t>
  </si>
  <si>
    <t>Zupee-805</t>
  </si>
  <si>
    <t>shreya.pandey@cashgrail.onmicrosoft.com</t>
  </si>
  <si>
    <t xml:space="preserve">Shyam </t>
  </si>
  <si>
    <t>Warrier</t>
  </si>
  <si>
    <t>Zupee-1108</t>
  </si>
  <si>
    <t>shyam.warrier@cashgrail.onmicrosoft.com</t>
  </si>
  <si>
    <t>Zupee-734</t>
  </si>
  <si>
    <t>ashu.salmani@cashgrail.onmicrosoft.com</t>
  </si>
  <si>
    <t>Zupee-1150</t>
  </si>
  <si>
    <t>anuj.mittal@cashgrail.onmicrosoft.com</t>
  </si>
  <si>
    <t>Zupee-1145</t>
  </si>
  <si>
    <t>rishabh.sharma@cashgrail.onmicrosoft.com</t>
  </si>
  <si>
    <t>Akhil</t>
  </si>
  <si>
    <t>Nr</t>
  </si>
  <si>
    <t>Zupee-730</t>
  </si>
  <si>
    <t>akhil.nr@cashgrail.onmicrosoft.com</t>
  </si>
  <si>
    <t>jatin.jatin@cashgrail.onmicrosoft.com</t>
  </si>
  <si>
    <t>Bhavya</t>
  </si>
  <si>
    <t>Zupee-498</t>
  </si>
  <si>
    <t>bhavya.arora@cashgrail.onmicrosoft.com</t>
  </si>
  <si>
    <t>Zupee-1044</t>
  </si>
  <si>
    <t>Ritwika.rai@cashgrail.onmicrosoft.com</t>
  </si>
  <si>
    <t>Akrant</t>
  </si>
  <si>
    <t>Zupee-1154</t>
  </si>
  <si>
    <t>akrant.sharma@cashgrail.onmicrosoft.com</t>
  </si>
  <si>
    <t>Varen</t>
  </si>
  <si>
    <t>Zupee-1137</t>
  </si>
  <si>
    <t>varen.gupta@cashgrail.onmicrosoft.com</t>
  </si>
  <si>
    <t>ishan.margamwar1@cashgrail.onmicrosoft.com</t>
  </si>
  <si>
    <t>Shuvamoy</t>
  </si>
  <si>
    <t>Zupee-1140</t>
  </si>
  <si>
    <t>shuvamoy.roy@cashgrail.onmicrosoft.com</t>
  </si>
  <si>
    <t>Iqura</t>
  </si>
  <si>
    <t>Zupee-685</t>
  </si>
  <si>
    <t>iqra.islam@cashgrail.onmicrosoft.com</t>
  </si>
  <si>
    <t xml:space="preserve">Ajinkya </t>
  </si>
  <si>
    <t>Zupee-952</t>
  </si>
  <si>
    <t>ajinkya.puranik@cashgrail.onmicrosoft.com</t>
  </si>
  <si>
    <t>Deepankar</t>
  </si>
  <si>
    <t>Zupee-1170</t>
  </si>
  <si>
    <t>deepankar.rao@cashgrail.onmicrosoft.com</t>
  </si>
  <si>
    <t>Bhupendra kumar</t>
  </si>
  <si>
    <t>Bhupendra</t>
  </si>
  <si>
    <t>Zupee-814</t>
  </si>
  <si>
    <t>bhupendra.kumar@cashgrail.onmicrosoft.com</t>
  </si>
  <si>
    <t>Gagandeep</t>
  </si>
  <si>
    <t>gagandeep.singh@cashgrail.onmicrosoft.com</t>
  </si>
  <si>
    <t>Zupee-1178</t>
  </si>
  <si>
    <t>vinay.singh@cashgrail.onmicrosoft.com</t>
  </si>
  <si>
    <t>Zupee-918</t>
  </si>
  <si>
    <t>aditya.rai@cashgrail.onmicrosoft.com</t>
  </si>
  <si>
    <t>Kamya</t>
  </si>
  <si>
    <t>Zupee-1217</t>
  </si>
  <si>
    <t>kamya.aggarwal@cashgrail.onmicrosoft.com</t>
  </si>
  <si>
    <t>Saluja</t>
  </si>
  <si>
    <t>srthak.saluja@zupee.in</t>
  </si>
  <si>
    <t>Zupee-1188</t>
  </si>
  <si>
    <t>srthak.saluja@cashgrail.onmicrosoft.com</t>
  </si>
  <si>
    <t>mohit.kumar1@cashgrail.onmicrosoft.com</t>
  </si>
  <si>
    <t>rahul.modi@cashgrail.onmicrosoft.com</t>
  </si>
  <si>
    <t>IT Asset Inventory Live Dashboard</t>
  </si>
  <si>
    <t>COUNTA of Asset condition</t>
  </si>
  <si>
    <t>Type</t>
  </si>
  <si>
    <t xml:space="preserve">Android </t>
  </si>
  <si>
    <t xml:space="preserve">Creative Pen Display </t>
  </si>
  <si>
    <t>Google OS</t>
  </si>
  <si>
    <t>IOS</t>
  </si>
  <si>
    <t>JIO</t>
  </si>
  <si>
    <t>PenTab</t>
  </si>
  <si>
    <t>In Stock</t>
  </si>
  <si>
    <t>In Use</t>
  </si>
  <si>
    <t>Lost By Employee</t>
  </si>
  <si>
    <t>Sold to Cashify</t>
  </si>
  <si>
    <t>Sold to Employee</t>
  </si>
  <si>
    <t>Asset condition</t>
  </si>
  <si>
    <t>Not Working/Need to scrap/sold</t>
  </si>
  <si>
    <t>Make &amp; Model</t>
  </si>
  <si>
    <t>Serial / IMEI No.</t>
  </si>
  <si>
    <t xml:space="preserve">Phone Configuration </t>
  </si>
  <si>
    <t>Asset ID</t>
  </si>
  <si>
    <t>Function</t>
  </si>
  <si>
    <t>Email id</t>
  </si>
  <si>
    <t>Previous Allocation user</t>
  </si>
  <si>
    <t>Notes / Remarks</t>
  </si>
  <si>
    <t>PO</t>
  </si>
  <si>
    <t>Invoice Number</t>
  </si>
  <si>
    <t>Receiving date</t>
  </si>
  <si>
    <t>MotoE7 Power</t>
  </si>
  <si>
    <t>4/64GB</t>
  </si>
  <si>
    <t>Z/FAM/OE1000113</t>
  </si>
  <si>
    <t>Oppo A15s (CPH2179)</t>
  </si>
  <si>
    <t>4GB/64GB</t>
  </si>
  <si>
    <t>Z/FAM/OE1000047</t>
  </si>
  <si>
    <t xml:space="preserve">Tushar Mehta </t>
  </si>
  <si>
    <t xml:space="preserve">USB to type b cable </t>
  </si>
  <si>
    <t>Redmi 9 Activ</t>
  </si>
  <si>
    <t>Z/FAM/CE1000151</t>
  </si>
  <si>
    <t>Ankit kumar Sahu</t>
  </si>
  <si>
    <t>22-23/392</t>
  </si>
  <si>
    <t>Moto E7 Power</t>
  </si>
  <si>
    <t>4GB/64</t>
  </si>
  <si>
    <t>Z/FAM/CE1000657</t>
  </si>
  <si>
    <t>iPhone X</t>
  </si>
  <si>
    <t>3GB/64</t>
  </si>
  <si>
    <t>Z/FAM/CE1000442</t>
  </si>
  <si>
    <t>Samsung M11</t>
  </si>
  <si>
    <t>3GB/32</t>
  </si>
  <si>
    <t>Z/FAM/CE1000398</t>
  </si>
  <si>
    <r>
      <rPr>
        <rFont val="Arial"/>
        <color rgb="FF1D1C1D"/>
        <sz val="11.0"/>
      </rPr>
      <t>Shreya pandey</t>
    </r>
  </si>
  <si>
    <t>shreya.panday@zupee.in</t>
  </si>
  <si>
    <t>With charger</t>
  </si>
  <si>
    <t>iPhone 11 Pro Max</t>
  </si>
  <si>
    <t>Z/FAM/CE1000397</t>
  </si>
  <si>
    <t>Mayank Pathak</t>
  </si>
  <si>
    <t>Oppo CPH2015</t>
  </si>
  <si>
    <t>6GB/128</t>
  </si>
  <si>
    <t>Z/FAM/OE1000145</t>
  </si>
  <si>
    <t>Working</t>
  </si>
  <si>
    <t>Moto E7 Plus</t>
  </si>
  <si>
    <t>2GB/32</t>
  </si>
  <si>
    <t>Z/FAM/OE1000039</t>
  </si>
  <si>
    <t>Redmi 9 Power</t>
  </si>
  <si>
    <t>Z/FAM/OE1000110</t>
  </si>
  <si>
    <t xml:space="preserve">Akshay Gulati </t>
  </si>
  <si>
    <t>Realme C11 2021</t>
  </si>
  <si>
    <t>Z/FAM/OE1000102</t>
  </si>
  <si>
    <t>Moto e7 Power</t>
  </si>
  <si>
    <t>Z/FAM/OE1000237</t>
  </si>
  <si>
    <t xml:space="preserve"> Shashank Gupta</t>
  </si>
  <si>
    <t>21-22/3282</t>
  </si>
  <si>
    <t>Moto E7</t>
  </si>
  <si>
    <t>Z/FAM/OE1000137</t>
  </si>
  <si>
    <t>Z/FAM/CE1000144</t>
  </si>
  <si>
    <t xml:space="preserve"> Realme C11 2021</t>
  </si>
  <si>
    <t>Z/FAM/OE1000085</t>
  </si>
  <si>
    <t>NPO</t>
  </si>
  <si>
    <t>355766343705692/07</t>
  </si>
  <si>
    <t>Z/FAM/OE1000121</t>
  </si>
  <si>
    <t>Oppo A15s</t>
  </si>
  <si>
    <t>Z/FAM/OE1000161</t>
  </si>
  <si>
    <t>Aman Kumar 2</t>
  </si>
  <si>
    <t>Samsung</t>
  </si>
  <si>
    <t>Z/FAM/CE1000050</t>
  </si>
  <si>
    <t>Realme C21Y</t>
  </si>
  <si>
    <t>Z/FAM/OE1000122</t>
  </si>
  <si>
    <t>Z/FAM/OE1000183</t>
  </si>
  <si>
    <t>Z/FAM/CE1000088</t>
  </si>
  <si>
    <t xml:space="preserve">Amit Kumar </t>
  </si>
  <si>
    <t>Redmi 8</t>
  </si>
  <si>
    <t>2GB/16</t>
  </si>
  <si>
    <t>Samsung Galaxy M11</t>
  </si>
  <si>
    <t>Z/FAM/CE1000086</t>
  </si>
  <si>
    <t>Z/FAM/CE1000183</t>
  </si>
  <si>
    <t>Redmi 9 Prime</t>
  </si>
  <si>
    <t>Z/FAM/OE1000134</t>
  </si>
  <si>
    <t>MotoE7 Plus</t>
  </si>
  <si>
    <t>Z/FAM/OE1000396</t>
  </si>
  <si>
    <t>MotoE7 Plus and</t>
  </si>
  <si>
    <t>Z/FAM/OE1000172</t>
  </si>
  <si>
    <t>iPhone 12</t>
  </si>
  <si>
    <t>4GB/128</t>
  </si>
  <si>
    <t>Z/FAM/OE1000132</t>
  </si>
  <si>
    <t>Z/FAM/OE1000169</t>
  </si>
  <si>
    <t>Redmi Go</t>
  </si>
  <si>
    <t>1GB/16GB</t>
  </si>
  <si>
    <t>Z/FAM/OE1000075</t>
  </si>
  <si>
    <t>Yogesh yadav</t>
  </si>
  <si>
    <t>Itel A23 L5006C</t>
  </si>
  <si>
    <t>1GB/8GB</t>
  </si>
  <si>
    <t>Z/FAM/OE1000400</t>
  </si>
  <si>
    <t>Motoe7Plus</t>
  </si>
  <si>
    <t>Z/FAM/OE1000071</t>
  </si>
  <si>
    <t>Screen Damamged but in working condition</t>
  </si>
  <si>
    <t>Samsung Galaxy J2</t>
  </si>
  <si>
    <t>1/16GB</t>
  </si>
  <si>
    <t>Z/FAM/OE1000089</t>
  </si>
  <si>
    <t>Z/FAM/CE1000180</t>
  </si>
  <si>
    <t xml:space="preserve">Founder Office </t>
  </si>
  <si>
    <t>Z/FAM/OE1000086</t>
  </si>
  <si>
    <t>Aakashdeep Madan</t>
  </si>
  <si>
    <t>Z/FAM/CE1000071</t>
  </si>
  <si>
    <t xml:space="preserve">Jeevan Kumar Singla </t>
  </si>
  <si>
    <t>Iphone 8</t>
  </si>
  <si>
    <t>2GB/64</t>
  </si>
  <si>
    <t>Z/FAM/CE1000153</t>
  </si>
  <si>
    <t>Z/FAM/CE1000159</t>
  </si>
  <si>
    <t>Redmi 9 Active</t>
  </si>
  <si>
    <t>Z/FAM/CE1000139</t>
  </si>
  <si>
    <t>Z/FAM/CE1000006</t>
  </si>
  <si>
    <t>iPhone12</t>
  </si>
  <si>
    <t>Z/FAM/OE1000182</t>
  </si>
  <si>
    <t xml:space="preserve"> Adarsh Kumar</t>
  </si>
  <si>
    <t>21-22/4127</t>
  </si>
  <si>
    <t>Z/FAM/CE1000101</t>
  </si>
  <si>
    <t>Z/FAM/CE1000146</t>
  </si>
  <si>
    <t>Moto e7 plus</t>
  </si>
  <si>
    <t>Z/FAM/OE1000181</t>
  </si>
  <si>
    <t>Technology( Contractual)</t>
  </si>
  <si>
    <t>3GB/64GB</t>
  </si>
  <si>
    <t>Z/FAM/OE1000077</t>
  </si>
  <si>
    <t>tejveer singh</t>
  </si>
  <si>
    <t xml:space="preserve"> Realme C21Y</t>
  </si>
  <si>
    <t>Z/FAM/OE1000147</t>
  </si>
  <si>
    <t xml:space="preserve">iPhone 11        </t>
  </si>
  <si>
    <t>Z/FAM/CE1000174</t>
  </si>
  <si>
    <t>Z/FAM/CE1000616</t>
  </si>
  <si>
    <t>itel A23 Pro_Open</t>
  </si>
  <si>
    <t>Z/FAM/CE1000617</t>
  </si>
  <si>
    <t>Aditya Pawar(jindal)</t>
  </si>
  <si>
    <t>Moto e7 power</t>
  </si>
  <si>
    <t>Z/FAM/OE1000123</t>
  </si>
  <si>
    <t>MotoE7</t>
  </si>
  <si>
    <t>Z/FAM/OE1000098</t>
  </si>
  <si>
    <t>Moto e7 Plus</t>
  </si>
  <si>
    <t>Z/FAM/CE1000073</t>
  </si>
  <si>
    <t>Z/FAM/OE1000138</t>
  </si>
  <si>
    <t>Z/FAM/OE1000184</t>
  </si>
  <si>
    <t>Z/FAM/CE1000069</t>
  </si>
  <si>
    <t>CEO</t>
  </si>
  <si>
    <t>OPPO A15s</t>
  </si>
  <si>
    <t>Z/FAM/OE1000130</t>
  </si>
  <si>
    <t>Z/FAM/CE1000325</t>
  </si>
  <si>
    <t>Z/FAM/OE1000150</t>
  </si>
  <si>
    <t>Divya.wangoo@zupee.in</t>
  </si>
  <si>
    <t>Z/FAM/CE1000188</t>
  </si>
  <si>
    <t xml:space="preserve">USB to D cable </t>
  </si>
  <si>
    <t>iPhone 12 Pro Max</t>
  </si>
  <si>
    <t>Z/FAM/OE1000111</t>
  </si>
  <si>
    <t>Z/FAM/CE1000034</t>
  </si>
  <si>
    <t>21-22/4213</t>
  </si>
  <si>
    <t>Vivo V2027</t>
  </si>
  <si>
    <t>Z/FAM/CE1000035</t>
  </si>
  <si>
    <t>iPhone XR</t>
  </si>
  <si>
    <t>Z/FAM/OE1000399</t>
  </si>
  <si>
    <t>Issue - NPO</t>
  </si>
  <si>
    <t>Z/FAM/CE1000454</t>
  </si>
  <si>
    <t>Lucky singh</t>
  </si>
  <si>
    <t>REDMI 8 M2001C3K3I</t>
  </si>
  <si>
    <t>Z/FAM/CE1000047</t>
  </si>
  <si>
    <t xml:space="preserve">Pranjal Saxena </t>
  </si>
  <si>
    <t xml:space="preserve">Technology </t>
  </si>
  <si>
    <t>Redmi Note 9 Pro (M2003J6A1I)</t>
  </si>
  <si>
    <t xml:space="preserve">Gaurav Mehta </t>
  </si>
  <si>
    <t xml:space="preserve">Keep the mobile </t>
  </si>
  <si>
    <t>Z/FAM/CE1000111</t>
  </si>
  <si>
    <t>vinay bansal</t>
  </si>
  <si>
    <t>Moto E7 plus</t>
  </si>
  <si>
    <t>Z/FAM/OE1000173</t>
  </si>
  <si>
    <t>Gyanendra Kumar Maurya</t>
  </si>
  <si>
    <t>With adapter and d cable</t>
  </si>
  <si>
    <t>Z/FAM/CE1000075</t>
  </si>
  <si>
    <t>Z/FAM/CE1000396</t>
  </si>
  <si>
    <t>Siddharth rehani</t>
  </si>
  <si>
    <t>Z/FAM/CE1000114</t>
  </si>
  <si>
    <t>Z/FAM/OE1000140</t>
  </si>
  <si>
    <t>21-22/3206</t>
  </si>
  <si>
    <t>Z/FAM/OE1000141</t>
  </si>
  <si>
    <t>Z/FAM/CE1000647</t>
  </si>
  <si>
    <t>Nayan Vinodkumar Intwala</t>
  </si>
  <si>
    <t>Z/FAM/OE1000151</t>
  </si>
  <si>
    <t>21-22/3058</t>
  </si>
  <si>
    <t>Z/FAM/CE1000172</t>
  </si>
  <si>
    <t>21-22/3056</t>
  </si>
  <si>
    <t>Z/FAM/OE1000040</t>
  </si>
  <si>
    <t>D to USB</t>
  </si>
  <si>
    <t>Redmi Note 8</t>
  </si>
  <si>
    <t>Redme 6A</t>
  </si>
  <si>
    <t>Z/FAM/OE1000393</t>
  </si>
  <si>
    <t>Shameek datta</t>
  </si>
  <si>
    <t>Oppo A15</t>
  </si>
  <si>
    <t>Z/FAM/CE1000645</t>
  </si>
  <si>
    <t>4GB/128GB</t>
  </si>
  <si>
    <t>Z/FAM/OE1000055</t>
  </si>
  <si>
    <t>iPhone 6s</t>
  </si>
  <si>
    <t>2/64GB</t>
  </si>
  <si>
    <t>Z/FAM/CE1000393</t>
  </si>
  <si>
    <t>Apple ID locked</t>
  </si>
  <si>
    <t>moto e7 plus</t>
  </si>
  <si>
    <t>Z/FAM/OE1000185</t>
  </si>
  <si>
    <t>Samsung Galaxy J2 Core</t>
  </si>
  <si>
    <t>Z/FAM/OE1000146</t>
  </si>
  <si>
    <t>Z/FAM/OE1000142</t>
  </si>
  <si>
    <t>kapil kant</t>
  </si>
  <si>
    <t>Z/FAM/OE1000131</t>
  </si>
  <si>
    <t>Z/FAM/OE1000139</t>
  </si>
  <si>
    <t xml:space="preserve">Redmi 9 Activ </t>
  </si>
  <si>
    <t>Z/FAM/CE1000037</t>
  </si>
  <si>
    <t>Z/FAM/CE1000038</t>
  </si>
  <si>
    <t>Technology (TestYantra)</t>
  </si>
  <si>
    <t>Z/FAM/OE1000067</t>
  </si>
  <si>
    <t>iPhone 6</t>
  </si>
  <si>
    <t>1GB/64GB</t>
  </si>
  <si>
    <t>Z/FAM/CE1000168</t>
  </si>
  <si>
    <t>Z/FAM/OE1000397</t>
  </si>
  <si>
    <t xml:space="preserve">Checked </t>
  </si>
  <si>
    <t>Redmi Note9</t>
  </si>
  <si>
    <t>Z/FAM/OE1000143</t>
  </si>
  <si>
    <t>Z/FAM/CE1000078</t>
  </si>
  <si>
    <t>Z/FAM/CE1000639</t>
  </si>
  <si>
    <t>Harshita Prakash</t>
  </si>
  <si>
    <t>Mohd Faheem</t>
  </si>
  <si>
    <t>Redmi Note 9</t>
  </si>
  <si>
    <t>Z/FAM/CE1000045</t>
  </si>
  <si>
    <t>Z/FAM/OE1000180</t>
  </si>
  <si>
    <t>motorola E7 Power</t>
  </si>
  <si>
    <t>Z/FAM/CE1000642</t>
  </si>
  <si>
    <t>Screen Damage</t>
  </si>
  <si>
    <t>Received Physical Screen Damage</t>
  </si>
  <si>
    <t>Z/FAM/CE1000097</t>
  </si>
  <si>
    <t>Z/FAM/OE1000116</t>
  </si>
  <si>
    <t xml:space="preserve">Charging issue </t>
  </si>
  <si>
    <t>Samsumg M11</t>
  </si>
  <si>
    <t>6GB/64GB</t>
  </si>
  <si>
    <t>Z/FAM/OE1000038</t>
  </si>
  <si>
    <r>
      <rPr>
        <rFont val="Arial"/>
        <color rgb="FF000000"/>
        <sz val="11.0"/>
      </rPr>
      <t>C</t>
    </r>
    <r>
      <rPr>
        <rFont val="Arial"/>
        <color rgb="FF3C4043"/>
        <sz val="11.0"/>
        <u/>
      </rPr>
      <t>haitanya Kapoor</t>
    </r>
  </si>
  <si>
    <t>vijay singh</t>
  </si>
  <si>
    <t>With adapter and cable</t>
  </si>
  <si>
    <t>Oppo A15S</t>
  </si>
  <si>
    <t>Z/FAM/OE1000120</t>
  </si>
  <si>
    <t>Z/FAM/CE1000638</t>
  </si>
  <si>
    <t>Redmi Note 10</t>
  </si>
  <si>
    <t>User said she has not mobile</t>
  </si>
  <si>
    <t>moto e(7) plus</t>
  </si>
  <si>
    <t>Z/FAM/CE1000431</t>
  </si>
  <si>
    <t xml:space="preserve">Moto E7 </t>
  </si>
  <si>
    <t>Z/FAM/OE1000054</t>
  </si>
  <si>
    <r>
      <rPr>
        <rFont val="&quot;Google Sans&quot;"/>
        <color rgb="FF1F1F1F"/>
        <sz val="11.0"/>
      </rPr>
      <t>Suraj Arora</t>
    </r>
  </si>
  <si>
    <t>Z/FAM/CE1000157</t>
  </si>
  <si>
    <t xml:space="preserve">Shreyansh </t>
  </si>
  <si>
    <t>iPhone 7</t>
  </si>
  <si>
    <t>2/128GB</t>
  </si>
  <si>
    <t>Z/FAM/OE1000398</t>
  </si>
  <si>
    <t>working but having touch issue on screen</t>
  </si>
  <si>
    <t>Z/FAM/OE1000170</t>
  </si>
  <si>
    <t>21-22/4221</t>
  </si>
  <si>
    <t>Oppo A31</t>
  </si>
  <si>
    <t>WWFIJ70ZEEDQNFIV/864717040766317</t>
  </si>
  <si>
    <t>1/4GB</t>
  </si>
  <si>
    <t>Z/FAM/CE1000394</t>
  </si>
  <si>
    <t>Z/FAM/CE1000607</t>
  </si>
  <si>
    <t xml:space="preserve">Pranav Jaradi </t>
  </si>
  <si>
    <t>Techno Spark Go 2021</t>
  </si>
  <si>
    <t>Z/FAM/OE1000046</t>
  </si>
  <si>
    <t>iPhone 11</t>
  </si>
  <si>
    <t>Z/FAM/OE1000133</t>
  </si>
  <si>
    <t>Z/FAM/CE1000081</t>
  </si>
  <si>
    <t>Motorola E7</t>
  </si>
  <si>
    <t>Z/FAM/OE1000166</t>
  </si>
  <si>
    <r>
      <rPr>
        <rFont val="Arial"/>
        <color rgb="FF1D1C1D"/>
        <sz val="11.0"/>
      </rPr>
      <t>Tanisha gupta</t>
    </r>
  </si>
  <si>
    <t>CRM ( Jindal )</t>
  </si>
  <si>
    <t>Z/FAM/CE1000467</t>
  </si>
  <si>
    <t>21-22/3283</t>
  </si>
  <si>
    <t>moto</t>
  </si>
  <si>
    <t>ZF6525RXXW</t>
  </si>
  <si>
    <t>Z/FAM/CE1000658</t>
  </si>
  <si>
    <t xml:space="preserve">Rahul Kumar </t>
  </si>
  <si>
    <t>Z/FAM/OE1000165</t>
  </si>
  <si>
    <t>Z/FAM/OE1000168</t>
  </si>
  <si>
    <t>Rahul sharma</t>
  </si>
  <si>
    <t>Redmi 9Activ</t>
  </si>
  <si>
    <t>Z/FAM/CE1000106</t>
  </si>
  <si>
    <t>Redmi</t>
  </si>
  <si>
    <t>Z/FAM/OE1000148</t>
  </si>
  <si>
    <t>Z/FAM/CE1000327</t>
  </si>
  <si>
    <t>iPhone 12 Mini</t>
  </si>
  <si>
    <t>Z/FAM/CE1000223</t>
  </si>
  <si>
    <t>Z/FAM/OE1000103</t>
  </si>
  <si>
    <t>Sumit Chugh</t>
  </si>
  <si>
    <t xml:space="preserve">As per your discussion with Rajkumar, phone charger is not required. Hence We have handed over the phone to Sumit without a charger. </t>
  </si>
  <si>
    <t>Z/FAM/OE1000073</t>
  </si>
  <si>
    <t>Mote e7 plus</t>
  </si>
  <si>
    <t>Z/FAM/OE1000126</t>
  </si>
  <si>
    <t>Z/FAM/OE1000127</t>
  </si>
  <si>
    <t>Z/FAM/OE1000159</t>
  </si>
  <si>
    <t>Z/FAM/CE1000019</t>
  </si>
  <si>
    <t>Z/FAM/CE1000644</t>
  </si>
  <si>
    <t>Z/FAM/CE1000017</t>
  </si>
  <si>
    <t xml:space="preserve">USB to c cable </t>
  </si>
  <si>
    <t>Samsung A21S</t>
  </si>
  <si>
    <t>Z/FAM/CE1000444</t>
  </si>
  <si>
    <t>Z/FAM/CE1000611</t>
  </si>
  <si>
    <t>iPhone 8</t>
  </si>
  <si>
    <t>2GB/64GB</t>
  </si>
  <si>
    <t>Z/FAM/CE1000614</t>
  </si>
  <si>
    <t>Z/FAM/CE1000612</t>
  </si>
  <si>
    <t>Redmi Note 9 Pro</t>
  </si>
  <si>
    <t>Z/FAM/CE1000020</t>
  </si>
  <si>
    <t>Techno Spark7T</t>
  </si>
  <si>
    <t>Z/FAM/OE1000061</t>
  </si>
  <si>
    <t>Z/FAM/OE1000179</t>
  </si>
  <si>
    <t>21-22/3054</t>
  </si>
  <si>
    <t>User said he has not mobile</t>
  </si>
  <si>
    <t>21-22/3061</t>
  </si>
  <si>
    <t>Z/FAM/CE1000338</t>
  </si>
  <si>
    <t>Samsung Galaxy A21S</t>
  </si>
  <si>
    <t>Z/FAM/OE1000124</t>
  </si>
  <si>
    <t xml:space="preserve"> Redmi Note 4</t>
  </si>
  <si>
    <t>Z/FAM/CE1000451</t>
  </si>
  <si>
    <t>Z/FAM/OE1000125</t>
  </si>
  <si>
    <t>Z/FAM/CE1000115</t>
  </si>
  <si>
    <t>Shahid Arshad Gauri</t>
  </si>
  <si>
    <t>Shailendra Bhadouriya</t>
  </si>
  <si>
    <t>Exit user</t>
  </si>
  <si>
    <t>Moto  e7</t>
  </si>
  <si>
    <t>Z/FAM/OE1000171</t>
  </si>
  <si>
    <t>Oppo A12</t>
  </si>
  <si>
    <t>Z/FAM/OE1000037</t>
  </si>
  <si>
    <t>Z/FAM/CE1000015</t>
  </si>
  <si>
    <t>21-22/3062</t>
  </si>
  <si>
    <t>Samsung J2</t>
  </si>
  <si>
    <t>2GB/16GB</t>
  </si>
  <si>
    <t>Z/FAM/OE1000057</t>
  </si>
  <si>
    <t>kanika Wadhwa</t>
  </si>
  <si>
    <t>Vivo Y20</t>
  </si>
  <si>
    <t>Z/FAM/OE1000118</t>
  </si>
  <si>
    <t xml:space="preserve">Oppo A15s </t>
  </si>
  <si>
    <t>Z/FAM/OE1000128</t>
  </si>
  <si>
    <t>gulshan.varshney@zupee.com</t>
  </si>
  <si>
    <t>With USB to D cable</t>
  </si>
  <si>
    <t>Vivo V51</t>
  </si>
  <si>
    <t>Z/FAM/OE1000129</t>
  </si>
  <si>
    <r>
      <rPr>
        <rFont val="Arial"/>
        <color rgb="FF500050"/>
        <sz val="11.0"/>
      </rPr>
      <t>Aman Han</t>
    </r>
    <r>
      <rPr>
        <rFont val="Arial"/>
        <sz val="11.0"/>
      </rPr>
      <t>s</t>
    </r>
  </si>
  <si>
    <t>Oppo A5 2020</t>
  </si>
  <si>
    <t>Z/FAM/CE1000100</t>
  </si>
  <si>
    <t xml:space="preserve">Note -  This phone was assigned to Dilsher sir by Naveen for tesing LUDU apps </t>
  </si>
  <si>
    <t>Z/FAM/CE1000340</t>
  </si>
  <si>
    <t>Z/FAM/CE1000262</t>
  </si>
  <si>
    <t>355766344203457/11</t>
  </si>
  <si>
    <t>Z/FAM/CE1000363</t>
  </si>
  <si>
    <t>Z/FAM/OE1000084</t>
  </si>
  <si>
    <t>iPhone 12 Pro</t>
  </si>
  <si>
    <t>Z/FAM/CE1000065</t>
  </si>
  <si>
    <t>Motorola E7 Plus</t>
  </si>
  <si>
    <t>Z/FAM/CE1000055</t>
  </si>
  <si>
    <t>Motorola E7 Power</t>
  </si>
  <si>
    <t>Z/FAM/OE1000167</t>
  </si>
  <si>
    <t>Z/FAM/OE1000162</t>
  </si>
  <si>
    <t>Z/FAM/OE1000163</t>
  </si>
  <si>
    <t>Shivam bali</t>
  </si>
  <si>
    <t>Z/FAM/CE1000067</t>
  </si>
  <si>
    <t>Z/FAM/CE1000031</t>
  </si>
  <si>
    <t>Z/FAM/OE1000186</t>
  </si>
  <si>
    <t>Umesh Chandra Patnaik</t>
  </si>
  <si>
    <t>Nextech charger</t>
  </si>
  <si>
    <t>Z/FAM/CE1000134</t>
  </si>
  <si>
    <t>Gagan Sharma (Admin)</t>
  </si>
  <si>
    <t>VivoY12</t>
  </si>
  <si>
    <t>Z/FAM/OE1000074</t>
  </si>
  <si>
    <t>SR33616</t>
  </si>
  <si>
    <t>Z/FAM/CE1000093</t>
  </si>
  <si>
    <t>Z/FAM/OE1000117</t>
  </si>
  <si>
    <t>21-22/3060</t>
  </si>
  <si>
    <t>2/32GB</t>
  </si>
  <si>
    <t>Z/FAM/CE1000028</t>
  </si>
  <si>
    <t>3/32GB</t>
  </si>
  <si>
    <t>Z/FAM/CE1000029</t>
  </si>
  <si>
    <t>Redmi Note 9 Pro Max</t>
  </si>
  <si>
    <t>6/64GB</t>
  </si>
  <si>
    <t>Z/FAM/OE1000389</t>
  </si>
  <si>
    <t>Katha tara</t>
  </si>
  <si>
    <t>4/64Gb</t>
  </si>
  <si>
    <t>Z/FAM/OE1000112</t>
  </si>
  <si>
    <t>Dual</t>
  </si>
  <si>
    <t>21-22/3053</t>
  </si>
  <si>
    <t>Z/FAM/CE1000094</t>
  </si>
  <si>
    <t xml:space="preserve">Vinni Kalra </t>
  </si>
  <si>
    <t>Z/FAM/OE1000158</t>
  </si>
  <si>
    <t>21-22/4344</t>
  </si>
  <si>
    <t>Realme C11</t>
  </si>
  <si>
    <t>Z/FAM/OE1000157</t>
  </si>
  <si>
    <t>Redmi 8A</t>
  </si>
  <si>
    <t>Z/FAM/OE1000045</t>
  </si>
  <si>
    <t>Vivo V2029</t>
  </si>
  <si>
    <t>4/128GB</t>
  </si>
  <si>
    <t>Z/FAM/CE1000447</t>
  </si>
  <si>
    <t>Vivo Y91i</t>
  </si>
  <si>
    <t>2/16GB</t>
  </si>
  <si>
    <t>Z/FAM/CE1000446</t>
  </si>
  <si>
    <t>Not Working</t>
  </si>
  <si>
    <t>F2LVP297JCLH</t>
  </si>
  <si>
    <t>Z/FAM/CE1000448</t>
  </si>
  <si>
    <r>
      <rPr>
        <rFont val="Arial"/>
        <color rgb="FF500050"/>
        <sz val="11.0"/>
      </rPr>
      <t>Aditya Samantara</t>
    </r>
    <r>
      <rPr>
        <rFont val="Arial"/>
        <sz val="11.0"/>
      </rPr>
      <t>y</t>
    </r>
  </si>
  <si>
    <t>Z/FAM/OE1000083</t>
  </si>
  <si>
    <t>Ravi kumar</t>
  </si>
  <si>
    <t>21-22/4207</t>
  </si>
  <si>
    <t>Z/FAM/OE1000195</t>
  </si>
  <si>
    <t>Z/FAM/OE/1000053</t>
  </si>
  <si>
    <t>Zoya Rushi</t>
  </si>
  <si>
    <t>Z/FAM/CE1000312</t>
  </si>
  <si>
    <t>Z/FAM/CE1000315</t>
  </si>
  <si>
    <t>Z/FAM/CE1000316</t>
  </si>
  <si>
    <t>Z/FAM/CE1000362</t>
  </si>
  <si>
    <t>SDET</t>
  </si>
  <si>
    <t>with adaptor</t>
  </si>
  <si>
    <t>Samsung A31</t>
  </si>
  <si>
    <t>Z/FAM/CE1000127</t>
  </si>
  <si>
    <t>Samsung Galaxy M51</t>
  </si>
  <si>
    <t>6/128GB</t>
  </si>
  <si>
    <t>Z/FAM/CE1000317</t>
  </si>
  <si>
    <t>Narender tyagi</t>
  </si>
  <si>
    <t>Rajkumar singh</t>
  </si>
  <si>
    <t>Z/FAM/CE1000318</t>
  </si>
  <si>
    <t>Guard ( For Reception )</t>
  </si>
  <si>
    <t>21-22/3059</t>
  </si>
  <si>
    <t>Z/FAM/CE1000319</t>
  </si>
  <si>
    <t>Anjali  Pal</t>
  </si>
  <si>
    <t>Nokia 4.2</t>
  </si>
  <si>
    <t>Z/FAM/CE1000320</t>
  </si>
  <si>
    <t>Gulshan Varshney(testyantra)</t>
  </si>
  <si>
    <t>Aashi mangal</t>
  </si>
  <si>
    <t>OPPO A31</t>
  </si>
  <si>
    <t>Z/FAM/CE1000150</t>
  </si>
  <si>
    <t>Nikhil Kumar Jha (New )</t>
  </si>
  <si>
    <t>Z/FAM/CE1000321</t>
  </si>
  <si>
    <t>Aman Bahl</t>
  </si>
  <si>
    <t>iPhone 5s</t>
  </si>
  <si>
    <t>1/32GB</t>
  </si>
  <si>
    <t>Z/FAM/CE1000322</t>
  </si>
  <si>
    <t>Z/FAM/CE1000323</t>
  </si>
  <si>
    <t>Samsung Galaxy A 31</t>
  </si>
  <si>
    <t>Z/FAM/CE1000324</t>
  </si>
  <si>
    <t>Z/FAM/CE1000326</t>
  </si>
  <si>
    <t>ayush gupta</t>
  </si>
  <si>
    <t>Charging cable</t>
  </si>
  <si>
    <t>iPhone 5s Gold</t>
  </si>
  <si>
    <t>16GB</t>
  </si>
  <si>
    <t>Z/FAM/CE1000328</t>
  </si>
  <si>
    <t>Working but low configuration</t>
  </si>
  <si>
    <t>Z/FAM/CE1000329</t>
  </si>
  <si>
    <t>Z/FAM/CE1000331</t>
  </si>
  <si>
    <t>Z/FAM/CE1000330</t>
  </si>
  <si>
    <t>Z/FAM/CE1000342</t>
  </si>
  <si>
    <t>Jio F320B</t>
  </si>
  <si>
    <t>2GB/4GB</t>
  </si>
  <si>
    <t>Z/FAM/CE1000353</t>
  </si>
  <si>
    <t>Z/FAM/CE1000354</t>
  </si>
  <si>
    <t>Z/FAM/CE1000355</t>
  </si>
  <si>
    <t xml:space="preserve">In Stock </t>
  </si>
  <si>
    <t>Z/FAM/CE1000356</t>
  </si>
  <si>
    <t>Z/FAM/CE1000357</t>
  </si>
  <si>
    <t>Z/FAM/CE1000358</t>
  </si>
  <si>
    <t>Redmi 9</t>
  </si>
  <si>
    <t>Z/FAM/CE1000359</t>
  </si>
  <si>
    <t>Redmi Note8 Pro</t>
  </si>
  <si>
    <t>6GB/64</t>
  </si>
  <si>
    <t>Z/FAM/CE1000314</t>
  </si>
  <si>
    <t>Shreya.Dwivedi@zupee.in</t>
  </si>
  <si>
    <t>Redmi 5A</t>
  </si>
  <si>
    <t>Z/FAM/CE1000361</t>
  </si>
  <si>
    <t xml:space="preserve">Samsung M11 </t>
  </si>
  <si>
    <t>Z/FAM/CE1000360</t>
  </si>
  <si>
    <t>Dalveer Kaur Sandhu</t>
  </si>
  <si>
    <t>Z/FAM/OE1000313</t>
  </si>
  <si>
    <t xml:space="preserve">vikas joshi	</t>
  </si>
  <si>
    <t>Vivo Y21</t>
  </si>
  <si>
    <t>Z/FAM/CE1000392</t>
  </si>
  <si>
    <t>With adapter</t>
  </si>
  <si>
    <t>Z/FAM/OE1000036</t>
  </si>
  <si>
    <t xml:space="preserve">Diksha Sachdeva </t>
  </si>
  <si>
    <t>Abhinav Srivastva</t>
  </si>
  <si>
    <t>3/64GB</t>
  </si>
  <si>
    <t>Z/FAM/OE1000041</t>
  </si>
  <si>
    <t>Vivek Claudious</t>
  </si>
  <si>
    <t>iphone XS</t>
  </si>
  <si>
    <t>Z/FAM/CE1000395</t>
  </si>
  <si>
    <t>Anish choudhary</t>
  </si>
  <si>
    <t>Sahil puri</t>
  </si>
  <si>
    <t>Z/FAM/OE1000221</t>
  </si>
  <si>
    <t>One Plus Node</t>
  </si>
  <si>
    <t xml:space="preserve">New Phone </t>
  </si>
  <si>
    <t>ipad</t>
  </si>
  <si>
    <t>J2PYPQV449</t>
  </si>
  <si>
    <t>64GB</t>
  </si>
  <si>
    <t>Z/FAM/OE1000034</t>
  </si>
  <si>
    <r>
      <rPr>
        <rFont val="Arial"/>
        <color rgb="FF000000"/>
        <sz val="11.0"/>
      </rPr>
      <t>rajkumar.singh@zupee.in</t>
    </r>
  </si>
  <si>
    <t>New</t>
  </si>
  <si>
    <t>DK672TJ4QG</t>
  </si>
  <si>
    <t>Z/FAM/OE1000033</t>
  </si>
  <si>
    <t>Redmi  Note 8</t>
  </si>
  <si>
    <t>Z/FAM/CE1000458</t>
  </si>
  <si>
    <t xml:space="preserve">Shubham Verma </t>
  </si>
  <si>
    <t>Z/FAM/CE1000615</t>
  </si>
  <si>
    <t>working</t>
  </si>
  <si>
    <t>Astha mishra</t>
  </si>
  <si>
    <t>Baljinder Singh</t>
  </si>
  <si>
    <t xml:space="preserve">iPhone 7 plus </t>
  </si>
  <si>
    <t>Z/FAM/OE1000114</t>
  </si>
  <si>
    <t xml:space="preserve">New </t>
  </si>
  <si>
    <t xml:space="preserve">iphone x </t>
  </si>
  <si>
    <t>Z/FAM/OE1000065</t>
  </si>
  <si>
    <t xml:space="preserve">Kritika Kapoor </t>
  </si>
  <si>
    <t>Z/FAM/OE1000066</t>
  </si>
  <si>
    <t>IPhone 8</t>
  </si>
  <si>
    <t>Z/FAM/OE1000082</t>
  </si>
  <si>
    <t xml:space="preserve">iphone 11 </t>
  </si>
  <si>
    <t>Z/FAM/OE1000070</t>
  </si>
  <si>
    <t xml:space="preserve">Nothing Phone 1 </t>
  </si>
  <si>
    <t>8/128GB</t>
  </si>
  <si>
    <t>Z/FAM/CE1000640</t>
  </si>
  <si>
    <t>iPhone 8 Plus</t>
  </si>
  <si>
    <t>Z/FAM/OE1000069</t>
  </si>
  <si>
    <t>Pranav jareda</t>
  </si>
  <si>
    <t>Z/FAM/OE1000081</t>
  </si>
  <si>
    <t>Motorola MotoE7</t>
  </si>
  <si>
    <t>Z/FAM/OE1000004</t>
  </si>
  <si>
    <t xml:space="preserve">Sonu Modi </t>
  </si>
  <si>
    <t xml:space="preserve">Jio Phone Next </t>
  </si>
  <si>
    <t>Z/FAM/OE1000058</t>
  </si>
  <si>
    <t>Vivo Y16</t>
  </si>
  <si>
    <t>Z/FAM/OE1000060</t>
  </si>
  <si>
    <t>Z/FAM/OE1000088</t>
  </si>
  <si>
    <t>Google Pixel 6A</t>
  </si>
  <si>
    <t>Z/FAM/CE1000609</t>
  </si>
  <si>
    <t xml:space="preserve">iphone 12 </t>
  </si>
  <si>
    <t>Z/FAM/OE1000056</t>
  </si>
  <si>
    <t>Baljinder kaur</t>
  </si>
  <si>
    <t>Oppo A5s</t>
  </si>
  <si>
    <t>Z/FAM/CE1000608</t>
  </si>
  <si>
    <t>Samsung Galaxy S21 FE 5G</t>
  </si>
  <si>
    <t>Z/FAM/OE1000101</t>
  </si>
  <si>
    <t>Pareena.singh@zupee.in</t>
  </si>
  <si>
    <t>iPhone 14 Plus</t>
  </si>
  <si>
    <t>Z/FAM/CE1000637</t>
  </si>
  <si>
    <t>INVSPC230001426</t>
  </si>
  <si>
    <t>Z/FAM/OE1000160</t>
  </si>
  <si>
    <t>Samsung M14 5G</t>
  </si>
  <si>
    <t>6/128</t>
  </si>
  <si>
    <t>Z/FAM/OE1000087</t>
  </si>
  <si>
    <t>Sunny(rider)</t>
  </si>
  <si>
    <t xml:space="preserve">Apurav Garg </t>
  </si>
  <si>
    <t>DEL5-458836</t>
  </si>
  <si>
    <t>Z/FAM/OE1000144</t>
  </si>
  <si>
    <t>XP-PEN</t>
  </si>
  <si>
    <t>XPLP1515C123403798</t>
  </si>
  <si>
    <t>Z/FAM/OE1000149</t>
  </si>
  <si>
    <t>In use</t>
  </si>
  <si>
    <t>in use</t>
  </si>
  <si>
    <t>Huion</t>
  </si>
  <si>
    <t>D7DB9SH0061</t>
  </si>
  <si>
    <t>Z/FAM/OE1000164</t>
  </si>
  <si>
    <t>LKO1-6194</t>
  </si>
  <si>
    <t>Iphone 13 pro max</t>
  </si>
  <si>
    <t>Z/FAM/OE1000175</t>
  </si>
  <si>
    <t>Iphone 13</t>
  </si>
  <si>
    <t>Z/FAM/OE1000174</t>
  </si>
  <si>
    <t>Iphone 14</t>
  </si>
  <si>
    <t>Z/FAM/OE1000176</t>
  </si>
  <si>
    <t>MAA4-475341</t>
  </si>
  <si>
    <t>Q4F0J34121/359462819414631</t>
  </si>
  <si>
    <t>Z/FAM/OE1000178</t>
  </si>
  <si>
    <t>SLEC9180732</t>
  </si>
  <si>
    <t>Iphone 15</t>
  </si>
  <si>
    <t>SF4Q2F7QQQN/351072500497593</t>
  </si>
  <si>
    <t>Z/FAM/OE1000187</t>
  </si>
  <si>
    <t>DL/24-25/S0210</t>
  </si>
  <si>
    <t xml:space="preserve">Samsung galaxy M34 </t>
  </si>
  <si>
    <t>Z/FAM/OE1000188</t>
  </si>
  <si>
    <t>LKO1-56165</t>
  </si>
  <si>
    <t>Redmi 12 5G</t>
  </si>
  <si>
    <t>16/256</t>
  </si>
  <si>
    <t>Z/FAM/OE1000189</t>
  </si>
  <si>
    <t>LK01-282596</t>
  </si>
  <si>
    <t>Vivo Y22</t>
  </si>
  <si>
    <t>10BD521052005S/862807065099892</t>
  </si>
  <si>
    <t>4/128</t>
  </si>
  <si>
    <t>Z/FAM/OE1000190</t>
  </si>
  <si>
    <t>TXWZ-646</t>
  </si>
  <si>
    <t>Vivo T2X 5G</t>
  </si>
  <si>
    <t>10BDCX15AB0013C/865639065487778</t>
  </si>
  <si>
    <t>Z/FAM/OE1000191</t>
  </si>
  <si>
    <t>PNQ3-2213</t>
  </si>
  <si>
    <t>One Plus 12R</t>
  </si>
  <si>
    <t>38C23B57/860957062511878</t>
  </si>
  <si>
    <t>8/128</t>
  </si>
  <si>
    <t>Z/FAM/OE1000192</t>
  </si>
  <si>
    <t xml:space="preserve"> Hitesh Vats</t>
  </si>
  <si>
    <t>DL/24-25/S0291</t>
  </si>
  <si>
    <t>RZCX61E9PGL/353994851398716</t>
  </si>
  <si>
    <t>Z/FAM/OE1000193</t>
  </si>
  <si>
    <t>With C To C cable</t>
  </si>
  <si>
    <t>DEL5-78539</t>
  </si>
  <si>
    <t>RZCX61KP29B/353994851449725</t>
  </si>
  <si>
    <t>Z/FAM/OE1000194</t>
  </si>
  <si>
    <t>PA</t>
  </si>
  <si>
    <t>PNQ3-12401</t>
  </si>
  <si>
    <t>Samsung galaxy M14</t>
  </si>
  <si>
    <t>R9ZX802V4PR/353927347840099</t>
  </si>
  <si>
    <t>4/64</t>
  </si>
  <si>
    <t>Z/FAM/OE1000196</t>
  </si>
  <si>
    <t>SIDA-2898</t>
  </si>
  <si>
    <t>R9ZX707GGRB/353927347495118</t>
  </si>
  <si>
    <t>Z/FAM/OE1000197</t>
  </si>
  <si>
    <r>
      <rPr>
        <rFont val="&quot;Google Sans&quot;"/>
        <color rgb="FF1F1F1F"/>
        <sz val="11.0"/>
      </rPr>
      <t>Rupam Das</t>
    </r>
  </si>
  <si>
    <t>DEX3-1522</t>
  </si>
  <si>
    <t>R9ZX803JGHJ/353927348007961</t>
  </si>
  <si>
    <t>Z/FAM/OE1000198</t>
  </si>
  <si>
    <t>SIDA-3343</t>
  </si>
  <si>
    <t xml:space="preserve">Redmi 9i </t>
  </si>
  <si>
    <t>7LXCL7N7NVWKYXEA/861405052616405</t>
  </si>
  <si>
    <t>Z/FAM/OE1000199</t>
  </si>
  <si>
    <t>Nishant.Tripathi@zupee.in</t>
  </si>
  <si>
    <t>HK/24-25/286</t>
  </si>
  <si>
    <t>JVUCJB650NMJWSYX/869580057362122</t>
  </si>
  <si>
    <t>Z/FAM/OE1000200</t>
  </si>
  <si>
    <r>
      <rPr>
        <rFont val="Arial"/>
        <color rgb="FF202124"/>
        <sz val="11.0"/>
      </rPr>
      <t>Technology</t>
    </r>
  </si>
  <si>
    <r>
      <rPr>
        <rFont val="Arial"/>
        <color rgb="FF1155CC"/>
        <sz val="11.0"/>
      </rPr>
      <t>vivek</t>
    </r>
    <r>
      <rPr>
        <rFont val="Arial"/>
        <color rgb="FF1155CC"/>
        <sz val="11.0"/>
      </rPr>
      <t>.</t>
    </r>
    <r>
      <rPr>
        <rFont val="Arial"/>
        <color rgb="FF000000"/>
        <sz val="10.0"/>
      </rPr>
      <t>choudhary@zupee.in</t>
    </r>
  </si>
  <si>
    <t>GL5THLBLRK6HBENV/861405052716585</t>
  </si>
  <si>
    <t>Z/FAM/OE1000201</t>
  </si>
  <si>
    <t>SGV0DQY98PPFVWV8/869580057477920</t>
  </si>
  <si>
    <t>Z/FAM/OE1000202</t>
  </si>
  <si>
    <t>mayank kakkar</t>
  </si>
  <si>
    <t>Z/FAM/OE1000203</t>
  </si>
  <si>
    <t>Avanish Dubey</t>
  </si>
  <si>
    <t>Avanish.Dubey@zupee.in</t>
  </si>
  <si>
    <t>Vivo Y18i</t>
  </si>
  <si>
    <t>10BE8A0KTK0015H/866575076675598</t>
  </si>
  <si>
    <t>Z/FAM/OE1000204</t>
  </si>
  <si>
    <t xml:space="preserve">Ajay Yadav </t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</si>
  <si>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</si>
  <si>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10BE7Z0835000PF/866575077874596</t>
  </si>
  <si>
    <t>Z/FAM/OE1000205</t>
  </si>
  <si>
    <r>
      <rPr>
        <rFont val="&quot;Google Sans&quot;"/>
        <color rgb="FF1F1F1F"/>
        <sz val="11.0"/>
      </rPr>
      <t>Yuvam Parmar</t>
    </r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</si>
  <si>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</si>
  <si>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10BE8B1FH600173/866575076500119</t>
  </si>
  <si>
    <t>Z/FAM/OE1000206</t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</si>
  <si>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</si>
  <si>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10BE8338Q8000SP/866575077367559</t>
  </si>
  <si>
    <t>Z/FAM/OE1000207</t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</si>
  <si>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</si>
  <si>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Realme C61</t>
  </si>
  <si>
    <t>0D64814125200DBE/860899071394872</t>
  </si>
  <si>
    <t>Z/FAM/OE1000208</t>
  </si>
  <si>
    <r>
      <rPr>
        <rFont val="Arial"/>
        <color rgb="FF1D1C1D"/>
        <sz val="11.0"/>
      </rPr>
      <t>Shivani patil</t>
    </r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</si>
  <si>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</si>
  <si>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0D5461412820103F/862145073292690</t>
  </si>
  <si>
    <t>Z/FAM/OE1000209</t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</si>
  <si>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</si>
  <si>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0D6419125200817/860899071482370</t>
  </si>
  <si>
    <t>Z/FAM/OE1000210</t>
  </si>
  <si>
    <r>
      <rPr>
        <rFont val="&quot;Google Sans&quot;"/>
        <color rgb="FF1F1F1F"/>
        <sz val="11.0"/>
      </rPr>
      <t>Amrit Anand</t>
    </r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</si>
  <si>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</si>
  <si>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0D64814125200E25/860899071644375</t>
  </si>
  <si>
    <t>Z/FAM/OE1000215</t>
  </si>
  <si>
    <t>Vivek.soni@zupee.in</t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</si>
  <si>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</si>
  <si>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OPPO A1</t>
  </si>
  <si>
    <t>4HCM858DKRDAIZEQ/864487067426779</t>
  </si>
  <si>
    <t>Z/FAM/OE1000211</t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</si>
  <si>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</si>
  <si>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MV7PV4GQMNJN0N6L/864487061035295</t>
  </si>
  <si>
    <t>Z/FAM/OE1000212</t>
  </si>
  <si>
    <r>
      <rPr>
        <rFont val="Arial"/>
        <color rgb="FF222222"/>
        <sz val="11.0"/>
      </rPr>
      <t>Ayush Dabas</t>
    </r>
  </si>
  <si>
    <r>
      <rPr>
        <rFont val="Arial"/>
        <color rgb="FF222222"/>
        <sz val="11.0"/>
      </rPr>
      <t>ayush.dabas@zupee.in</t>
    </r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</si>
  <si>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</si>
  <si>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QGGY7DAEYLL74LRK/864487064109816</t>
  </si>
  <si>
    <t>Z/FAM/OE1000213</t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</si>
  <si>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</si>
  <si>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4XNBK7KZ5DYPDYPN/864487060919697</t>
  </si>
  <si>
    <t>Z/FAM/OE1000214</t>
  </si>
  <si>
    <r>
      <rPr>
        <rFont val="&quot;Google Sans&quot;"/>
        <color rgb="FF1F1F1F"/>
        <sz val="10.0"/>
      </rPr>
      <t>Mayank Kumar</t>
    </r>
  </si>
  <si>
    <r>
      <rPr>
        <rFont val="Arial, sans-serif"/>
        <color rgb="FF272700"/>
        <sz val="11.0"/>
      </rPr>
      <t>CCG</t>
    </r>
    <r>
      <rPr>
        <rFont val="Arial, sans-serif"/>
        <color rgb="FFD9D900"/>
        <sz val="11.0"/>
      </rPr>
      <t>-</t>
    </r>
    <r>
      <rPr>
        <rFont val="Arial, sans-serif"/>
        <color rgb="FF272700"/>
        <sz val="11.0"/>
      </rPr>
      <t>443/24-25</t>
    </r>
  </si>
  <si>
    <t>Samsung Galaxy A05</t>
  </si>
  <si>
    <t>R9ZX7026HQH/350835038285867</t>
  </si>
  <si>
    <t>Z/FAM/OE1000216</t>
  </si>
  <si>
    <t xml:space="preserve">Om Hari Mishra	</t>
  </si>
  <si>
    <t>CRM ( jindal )</t>
  </si>
  <si>
    <t xml:space="preserve">C to C cable </t>
  </si>
  <si>
    <t>HK/24-25/287</t>
  </si>
  <si>
    <t>R9ZX7026P9J/350835038287699</t>
  </si>
  <si>
    <t>Z/FAM/OE1000217</t>
  </si>
  <si>
    <t>R9ZX7026TAX/350835038289026</t>
  </si>
  <si>
    <t>Z/FAM/OE1000218</t>
  </si>
  <si>
    <t>R9ZX7026JCE/350835038286071</t>
  </si>
  <si>
    <t>Z/FAM/OE1000219</t>
  </si>
  <si>
    <t xml:space="preserve">Iqra Islam	</t>
  </si>
  <si>
    <t>R9ZX7026SVW/350835038288879</t>
  </si>
  <si>
    <t>Z/FAM/OE1000220</t>
  </si>
  <si>
    <t xml:space="preserve">kanika wadhwa	</t>
  </si>
  <si>
    <t>R9ZX701LW8E/350835038269754</t>
  </si>
  <si>
    <t>Z/FAM/OE1000222</t>
  </si>
  <si>
    <t>Prakhar Gupta</t>
  </si>
  <si>
    <t>R9ZX7026ZPT/350835038290800</t>
  </si>
  <si>
    <t>Z/FAM/OE1000223</t>
  </si>
  <si>
    <r>
      <rPr>
        <rFont val="&quot;Google Sans Text&quot;"/>
        <color rgb="FF1155CC"/>
        <sz val="11.0"/>
      </rPr>
      <t>geeta.joshi@zupee.in</t>
    </r>
  </si>
  <si>
    <t>R9ZX7026NYT/350835038287582</t>
  </si>
  <si>
    <t>Z/FAM/OE1000224</t>
  </si>
  <si>
    <r>
      <rPr>
        <rFont val="&quot;Google Sans Text&quot;"/>
        <color rgb="FF1155CC"/>
        <sz val="11.0"/>
      </rPr>
      <t>khushboo.singh@zupee.in</t>
    </r>
  </si>
  <si>
    <t>R9ZX7026VHA/350835038289422</t>
  </si>
  <si>
    <t>Z/FAM/OE1000225</t>
  </si>
  <si>
    <r>
      <rPr>
        <rFont val="&quot;Google Sans Text&quot;"/>
        <b/>
        <color rgb="FF1155CC"/>
        <sz val="11.0"/>
      </rPr>
      <t>rohit.sahni@zupee.in</t>
    </r>
  </si>
  <si>
    <t>R9ZX7026NRJ/350835038287525</t>
  </si>
  <si>
    <t>Z/FAM/OE1000226</t>
  </si>
  <si>
    <t xml:space="preserve">nikhil kumar	</t>
  </si>
  <si>
    <t>R9ZX7026SPM/350835038288820</t>
  </si>
  <si>
    <t>Z/FAM/OE1000227</t>
  </si>
  <si>
    <t>R9ZX7026PBZ/350835038287715</t>
  </si>
  <si>
    <t>Z/FAM/OE1000228</t>
  </si>
  <si>
    <t xml:space="preserve">Uma Batra	</t>
  </si>
  <si>
    <t>R9ZX7026VER/350835038289398</t>
  </si>
  <si>
    <t>Z/FAM/OE1000229</t>
  </si>
  <si>
    <t xml:space="preserve">Muskan Khan	</t>
  </si>
  <si>
    <t>Muskan.Khan@zupee.in</t>
  </si>
  <si>
    <t>R9ZX7026PCD/350835038287723</t>
  </si>
  <si>
    <t>Z/FAM/OE1000230</t>
  </si>
  <si>
    <t>Harsh.Thaplyal@zupee.in</t>
  </si>
  <si>
    <t>R9ZX7026NJA/350835038287459</t>
  </si>
  <si>
    <t>Z/FAM/OE1000231</t>
  </si>
  <si>
    <t xml:space="preserve">Himanshu nagpal	</t>
  </si>
  <si>
    <t>Himanshu.nagpal@zupee.in</t>
  </si>
  <si>
    <t>Redmi A3</t>
  </si>
  <si>
    <t>PNU4JV7D8XTKIRV8/868565079036938</t>
  </si>
  <si>
    <t>Z/FAM/OE1000232</t>
  </si>
  <si>
    <t>6HWK599P9HZTCAHU/868565078164996</t>
  </si>
  <si>
    <t>Z/FAM/OE1000233</t>
  </si>
  <si>
    <t>Poco M6 5G</t>
  </si>
  <si>
    <t>ZXZTFAE6PJLFBU7T/866173067296986</t>
  </si>
  <si>
    <t>Z/FAM/OE1000234</t>
  </si>
  <si>
    <t>NB8TIFKB7L7LEMRO/868398068924900</t>
  </si>
  <si>
    <t>Z/FAM/OE1000235</t>
  </si>
  <si>
    <t>LQ9749CQCV/357737718585884</t>
  </si>
  <si>
    <t>Z/FAM/OE1000236</t>
  </si>
  <si>
    <r>
      <rPr>
        <rFont val="&quot;Google Sans&quot;"/>
        <color rgb="FF1F1F1F"/>
        <sz val="11.0"/>
      </rPr>
      <t>Rajiv Yadav</t>
    </r>
  </si>
  <si>
    <t>With C TO lightning</t>
  </si>
  <si>
    <t>DEL4-743686</t>
  </si>
  <si>
    <t>OPPO A3X</t>
  </si>
  <si>
    <t>5FEC68DC/869238075876215</t>
  </si>
  <si>
    <t>Z/FAM/OE1000264</t>
  </si>
  <si>
    <t>with charger</t>
  </si>
  <si>
    <t>336AEF65/869238075293619</t>
  </si>
  <si>
    <t>Z/FAM/OE1000265</t>
  </si>
  <si>
    <t>28E7FF48/869238075295317</t>
  </si>
  <si>
    <t>Z/FAM/OE1000266</t>
  </si>
  <si>
    <t>Khushboo Kushwah</t>
  </si>
  <si>
    <r>
      <rPr>
        <rFont val="&quot;Google Sans Text&quot;"/>
        <color rgb="FF1155CC"/>
        <sz val="11.0"/>
        <u/>
      </rPr>
      <t>khushboo.kushwah@zupee.i</t>
    </r>
    <r>
      <rPr>
        <rFont val="&quot;Google Sans Text&quot;"/>
        <sz val="11.0"/>
      </rPr>
      <t>n</t>
    </r>
  </si>
  <si>
    <t>34F0CF6C/869238075876033</t>
  </si>
  <si>
    <t>Z/FAM/OE1000267</t>
  </si>
  <si>
    <t>EEBF81EF/869238074803699</t>
  </si>
  <si>
    <t>Z/FAM/OE1000268</t>
  </si>
  <si>
    <t>Rukhsar Bano</t>
  </si>
  <si>
    <t>POCO C61</t>
  </si>
  <si>
    <t>CQEIIZ0RHITKEQXW/860035071107622</t>
  </si>
  <si>
    <t>Z/FAM/OE1000269</t>
  </si>
  <si>
    <t>ZTBAAQR0KVC67D55/860035071097922</t>
  </si>
  <si>
    <t>Z/FAM/OE1000270</t>
  </si>
  <si>
    <t>S06PZ5PVV0V87LUG/860035070840983</t>
  </si>
  <si>
    <t>Z/FAM/OE1000271</t>
  </si>
  <si>
    <t>5PIZQ4MNAE49S8GQ/860035070857284</t>
  </si>
  <si>
    <t>Z/FAM/OE1000272</t>
  </si>
  <si>
    <t>AIGQHYY995RSDE95/869742075736386</t>
  </si>
  <si>
    <t>Z/FAM/OE1000273</t>
  </si>
  <si>
    <t>VIVO Y18i</t>
  </si>
  <si>
    <t>10BEAB0Y71003X6/863051071006638</t>
  </si>
  <si>
    <t>Z/FAM/OE1000274</t>
  </si>
  <si>
    <t>Srijan.Bhageria@zupee.in</t>
  </si>
  <si>
    <t>10BEAB0Y1N003X6/863051071006596</t>
  </si>
  <si>
    <t>Z/FAM/OE1000275</t>
  </si>
  <si>
    <t>10BEAB0RDM003X6/863051071021538</t>
  </si>
  <si>
    <t>Z/FAM/OE1000276</t>
  </si>
  <si>
    <t>Lokesh.Gawande@zupee.in</t>
  </si>
  <si>
    <t>10BEAB0RD1003X6/863051071021835</t>
  </si>
  <si>
    <t>Z/FAM/OE1000277</t>
  </si>
  <si>
    <t>Armaan.Nayyar@zupee.in</t>
  </si>
  <si>
    <t>10BEAB0YCD003X6/863051071005499</t>
  </si>
  <si>
    <t>Z/FAM/OE1000278</t>
  </si>
  <si>
    <t>POCO M6 PLUS 5G</t>
  </si>
  <si>
    <t>6GB/128GB</t>
  </si>
  <si>
    <t>Z/FAM/OE1000282</t>
  </si>
  <si>
    <t>Z/FAM/OE1000283</t>
  </si>
  <si>
    <t>Z/FAM/OE1000284</t>
  </si>
  <si>
    <t>Z/FAM/OE1000285</t>
  </si>
  <si>
    <t>Z/FAM/OE1000286</t>
  </si>
  <si>
    <t>Z/FAM/OE1000287</t>
  </si>
  <si>
    <t>Z/FAM/OE1000288</t>
  </si>
  <si>
    <t>Z/FAM/OE1000289</t>
  </si>
  <si>
    <t>Z/FAM/OE1000290</t>
  </si>
  <si>
    <t>Z/FAM/OE1000291</t>
  </si>
  <si>
    <t>garima.parkash@zupee.in</t>
  </si>
  <si>
    <t>REDMI 13C 5G</t>
  </si>
  <si>
    <t>Z/FAM/OE1000292</t>
  </si>
  <si>
    <t>Z/FAM/OE1000293</t>
  </si>
  <si>
    <t>Z/FAM/OE1000281</t>
  </si>
  <si>
    <t>Z/FAM/OE1000294</t>
  </si>
  <si>
    <t>Z/FAM/OE1000295</t>
  </si>
  <si>
    <t>Z/FAM/OE1000296</t>
  </si>
  <si>
    <t>Z/FAM/OE1000297</t>
  </si>
  <si>
    <t>Z/FAM/OE1000298</t>
  </si>
  <si>
    <t>Z/FAM/OE1000299</t>
  </si>
  <si>
    <t>Z/FAM/OE1000300</t>
  </si>
  <si>
    <t>Z/FAM/OE1000301</t>
  </si>
  <si>
    <t>Z/FAM/OE1000302</t>
  </si>
  <si>
    <t>Z/FAM/OE1000303</t>
  </si>
  <si>
    <t>Z/FAM/OE1000304</t>
  </si>
  <si>
    <t>Z/FAM/OE1000305</t>
  </si>
  <si>
    <t>IQOO Z9X 5G</t>
  </si>
  <si>
    <t>10BE8Z333C0026K/866041072793554</t>
  </si>
  <si>
    <t>Z/FAM/OE1000308</t>
  </si>
  <si>
    <t>Make</t>
  </si>
  <si>
    <t>Model</t>
  </si>
  <si>
    <t>Size</t>
  </si>
  <si>
    <t>Office Equipment ID</t>
  </si>
  <si>
    <t>Serial No.</t>
  </si>
  <si>
    <t>Location</t>
  </si>
  <si>
    <t xml:space="preserve">MAC Address </t>
  </si>
  <si>
    <t>Meeting Room Name</t>
  </si>
  <si>
    <t>PAX</t>
  </si>
  <si>
    <t>Room No.</t>
  </si>
  <si>
    <t>LH85BEAH</t>
  </si>
  <si>
    <t>85"</t>
  </si>
  <si>
    <t>Z/FAM/CE1000384</t>
  </si>
  <si>
    <t>OHYLHNIT200050</t>
  </si>
  <si>
    <t>Experience Centre</t>
  </si>
  <si>
    <t>80:8a:bd:3a:4d:c4</t>
  </si>
  <si>
    <t>LH70BEAH</t>
  </si>
  <si>
    <t>70"</t>
  </si>
  <si>
    <t>Z/FAM/CE1000366</t>
  </si>
  <si>
    <t>0AK0HPBT200194B</t>
  </si>
  <si>
    <t>Baord Room</t>
  </si>
  <si>
    <t>c0:23:8d:5c:5c:be</t>
  </si>
  <si>
    <t>El Dorado</t>
  </si>
  <si>
    <t>Z/FAM/CE1000367</t>
  </si>
  <si>
    <t>0AK0HPBT200197X</t>
  </si>
  <si>
    <t>c0:23:8d:5c:5c:fe</t>
  </si>
  <si>
    <t>Asgard</t>
  </si>
  <si>
    <t>Z/FAM/CE1000369</t>
  </si>
  <si>
    <t>0AK0HPBT200196R</t>
  </si>
  <si>
    <t>Game Zone</t>
  </si>
  <si>
    <t>c0:23:8d:5c:5d:06</t>
  </si>
  <si>
    <t>Mezznine Entry</t>
  </si>
  <si>
    <t>LH65WMR</t>
  </si>
  <si>
    <t>65"</t>
  </si>
  <si>
    <t>Z/FAM/CE1000381</t>
  </si>
  <si>
    <t>08XFHNJT600090P</t>
  </si>
  <si>
    <t>CEO Room</t>
  </si>
  <si>
    <t>CEO Room 1</t>
  </si>
  <si>
    <t>Z/FAM/CE1000382</t>
  </si>
  <si>
    <t>08XFHNJT600094M</t>
  </si>
  <si>
    <t>CEO Room 2</t>
  </si>
  <si>
    <t>LH50BEAH</t>
  </si>
  <si>
    <t>50"</t>
  </si>
  <si>
    <t>Z/FAM/CE1000375</t>
  </si>
  <si>
    <t>0AJVHPAT400068B</t>
  </si>
  <si>
    <t>Cafereria</t>
  </si>
  <si>
    <t>80:8a:bd:3e:23:06</t>
  </si>
  <si>
    <t>Cafeteria1</t>
  </si>
  <si>
    <t>Z/FAM/CE1000376</t>
  </si>
  <si>
    <t>0AJVHPAT400067N</t>
  </si>
  <si>
    <t>80:8a:bd:3e:3e:9e</t>
  </si>
  <si>
    <t>Cafeteria2</t>
  </si>
  <si>
    <t>Z/FAM/CE1000377</t>
  </si>
  <si>
    <t>0AJVHPAT400060X</t>
  </si>
  <si>
    <t>80:8a:bd:3e:3e:1c</t>
  </si>
  <si>
    <t>Cafeteria3</t>
  </si>
  <si>
    <t>LH43BEAH</t>
  </si>
  <si>
    <t>43"</t>
  </si>
  <si>
    <t>Z/FAM/CE1000383</t>
  </si>
  <si>
    <t>0AJYHPAT601241N</t>
  </si>
  <si>
    <t>Meeting Room</t>
  </si>
  <si>
    <t>a0:d0:5b:29:5b:f8</t>
  </si>
  <si>
    <t>Fantasia</t>
  </si>
  <si>
    <t>Z/FAM/CE1000364</t>
  </si>
  <si>
    <t>0AJYHPAT600133E</t>
  </si>
  <si>
    <t>a0:d0:5b:27:5a:cc</t>
  </si>
  <si>
    <t>Braavos</t>
  </si>
  <si>
    <t>Z/FAM/CE1000371</t>
  </si>
  <si>
    <t>0AJYHPAT600128N</t>
  </si>
  <si>
    <t>Hobbit Hole</t>
  </si>
  <si>
    <t>Z/FAM/CE1000374</t>
  </si>
  <si>
    <t>0AJYHPAT601182E</t>
  </si>
  <si>
    <t>a0:d0:5b:29:60:2c</t>
  </si>
  <si>
    <t>Middle Earth</t>
  </si>
  <si>
    <t>Z/FAM/CE1000379</t>
  </si>
  <si>
    <t>0AJYHPAT601213E</t>
  </si>
  <si>
    <t>a0:d0:5b:28:a4:d6</t>
  </si>
  <si>
    <t>OZ</t>
  </si>
  <si>
    <t>Z/FAM/CE1000370</t>
  </si>
  <si>
    <t>0AJYHPAT601272E</t>
  </si>
  <si>
    <t>a0:d0:5b:28:d3:30</t>
  </si>
  <si>
    <t>Gotham City</t>
  </si>
  <si>
    <t>Z/FAM/CE1000373</t>
  </si>
  <si>
    <t>0AJYHPAT600193V</t>
  </si>
  <si>
    <t>a0:d0:5b:28:76:18</t>
  </si>
  <si>
    <t>Narnia</t>
  </si>
  <si>
    <t>Z/FAM/CE1000372</t>
  </si>
  <si>
    <t>0AJYHPAT601210X</t>
  </si>
  <si>
    <t>a0:d0:5b:28:a4:d8</t>
  </si>
  <si>
    <t>Xanadu</t>
  </si>
  <si>
    <t>Z/FAM/CE1000365</t>
  </si>
  <si>
    <t>0AJYHPAT600121V</t>
  </si>
  <si>
    <t>a0:d0:5b:28:4e:32</t>
  </si>
  <si>
    <t>Logopolis</t>
  </si>
  <si>
    <t>Z/FAM/CE1000368</t>
  </si>
  <si>
    <t>0AJYHPAT500094N</t>
  </si>
  <si>
    <t>80:8a:bd:36:d9:04</t>
  </si>
  <si>
    <t>Camelot</t>
  </si>
  <si>
    <t>Z/FAM/CE1000380</t>
  </si>
  <si>
    <t>0AJYHPAT600188W</t>
  </si>
  <si>
    <t>a0:d0:5b:28:22:aa</t>
  </si>
  <si>
    <t>Shangri-La</t>
  </si>
  <si>
    <t>UA43AU80</t>
  </si>
  <si>
    <t>40"</t>
  </si>
  <si>
    <t>Z/FAM/CE1000378</t>
  </si>
  <si>
    <t>0AKU3PAT302627H</t>
  </si>
  <si>
    <t>6th Floor</t>
  </si>
  <si>
    <t>6th floor for CRM Team</t>
  </si>
  <si>
    <t>MI</t>
  </si>
  <si>
    <t>MiTV-MOOQ3</t>
  </si>
  <si>
    <t>Z/FAM/CE1000385</t>
  </si>
  <si>
    <t>31372C06100016448</t>
  </si>
  <si>
    <t>40:24:b2:cc:3c:a2</t>
  </si>
  <si>
    <t>Neverland</t>
  </si>
  <si>
    <t>Aver</t>
  </si>
  <si>
    <t>VC520</t>
  </si>
  <si>
    <t>12x Zoom</t>
  </si>
  <si>
    <t>Z/FAM/CE1000425</t>
  </si>
  <si>
    <t>Speakarphone</t>
  </si>
  <si>
    <t>Aver Speaker</t>
  </si>
  <si>
    <t>Z/FAM/CE1000424</t>
  </si>
  <si>
    <t>Clearone</t>
  </si>
  <si>
    <t>Camera</t>
  </si>
  <si>
    <t>Z/FAM/CE1000427</t>
  </si>
  <si>
    <t>active</t>
  </si>
  <si>
    <t>Meeting Room front of Director Room</t>
  </si>
  <si>
    <t>Z/FAM/CE1000428</t>
  </si>
  <si>
    <t>Fantasia Meeting Room</t>
  </si>
  <si>
    <t>Media Player ( Brightsign)</t>
  </si>
  <si>
    <t>LS424</t>
  </si>
  <si>
    <t>Z/FAM/CE1000422</t>
  </si>
  <si>
    <t>TFF25N005484</t>
  </si>
  <si>
    <t xml:space="preserve">Reception Waiting Area </t>
  </si>
  <si>
    <t>Sony Camera with Lence</t>
  </si>
  <si>
    <t>ZV-E10</t>
  </si>
  <si>
    <t>Z/FAM/OE1000136</t>
  </si>
  <si>
    <t>Sony Lence</t>
  </si>
  <si>
    <t xml:space="preserve">Sony Lence </t>
  </si>
  <si>
    <t>Serial Number</t>
  </si>
  <si>
    <t>Name</t>
  </si>
  <si>
    <t>Asset Tag</t>
  </si>
  <si>
    <t>IP</t>
  </si>
  <si>
    <t xml:space="preserve">Firewall </t>
  </si>
  <si>
    <t>Sophos</t>
  </si>
  <si>
    <t>XGS2100</t>
  </si>
  <si>
    <t>X2101027VFC6V19</t>
  </si>
  <si>
    <t>Server Room</t>
  </si>
  <si>
    <t>Z/FAM/CE1000648</t>
  </si>
  <si>
    <t>PoE Switch</t>
  </si>
  <si>
    <t>CS110-48FP</t>
  </si>
  <si>
    <t>W3600347TB6GWC7</t>
  </si>
  <si>
    <t>Z/FAM/CE1000649</t>
  </si>
  <si>
    <t>Network Switch</t>
  </si>
  <si>
    <t>CS110-48</t>
  </si>
  <si>
    <t>W14002TVKH2GX54</t>
  </si>
  <si>
    <t>Z/FAM/CE1000650</t>
  </si>
  <si>
    <t>W14002VMR24CCA4</t>
  </si>
  <si>
    <t>Z/FAM/CE1000651</t>
  </si>
  <si>
    <t>Access Points</t>
  </si>
  <si>
    <t>APX 530</t>
  </si>
  <si>
    <t>P120082DYTDPW44</t>
  </si>
  <si>
    <t>Board Room</t>
  </si>
  <si>
    <t>Z/FAM/CE1000490</t>
  </si>
  <si>
    <t>P120088387H8981</t>
  </si>
  <si>
    <t>Cafeteria</t>
  </si>
  <si>
    <t>Z/FAM/CE1000485</t>
  </si>
  <si>
    <t>P120082VCX6RBFF</t>
  </si>
  <si>
    <t>AP_DevOps</t>
  </si>
  <si>
    <t>Z/FAM/CE1000489</t>
  </si>
  <si>
    <t>P120088BD7R7V40</t>
  </si>
  <si>
    <t>AP_Hall_1</t>
  </si>
  <si>
    <t>Z/FAM/CE1000928</t>
  </si>
  <si>
    <t>P120087M2P8TG90</t>
  </si>
  <si>
    <t>AP_Hall_2</t>
  </si>
  <si>
    <t>Z/FAM/CE1000929</t>
  </si>
  <si>
    <t>P120087QGFMCX03</t>
  </si>
  <si>
    <t>AP_Hall_3</t>
  </si>
  <si>
    <t>Z/FAM/CE1000927</t>
  </si>
  <si>
    <t>P120082KRBCPV40</t>
  </si>
  <si>
    <t>AP_Hall_4</t>
  </si>
  <si>
    <t>Z/FAM/CE1000488</t>
  </si>
  <si>
    <t>P120087Q8K7QT10</t>
  </si>
  <si>
    <t>AP_Mezzanine</t>
  </si>
  <si>
    <t>Z/FAM/CE1000486</t>
  </si>
  <si>
    <t>P120082QGFPC952</t>
  </si>
  <si>
    <t>AP_Mezzanine_2</t>
  </si>
  <si>
    <t>Z/FAM/CE1000487</t>
  </si>
  <si>
    <t>P120082YRGF8M03</t>
  </si>
  <si>
    <t>AP_Server_Room</t>
  </si>
  <si>
    <t>Z/FAM/CE1000484</t>
  </si>
  <si>
    <t>P120087PCC9WJ29</t>
  </si>
  <si>
    <t>AP_CEO_Cabin</t>
  </si>
  <si>
    <t>Z/FAM/CE1000930</t>
  </si>
  <si>
    <t>P120087QBKQ2CBD</t>
  </si>
  <si>
    <t>AP_Reception</t>
  </si>
  <si>
    <t>Z/FAM/CE1000931</t>
  </si>
  <si>
    <t>UPS</t>
  </si>
  <si>
    <t>APC</t>
  </si>
  <si>
    <t>RT 20000</t>
  </si>
  <si>
    <t>B22201002534</t>
  </si>
  <si>
    <t>UPS Room</t>
  </si>
  <si>
    <t>Z/FAM/CE1000391</t>
  </si>
  <si>
    <t>DVR</t>
  </si>
  <si>
    <t>Dahua</t>
  </si>
  <si>
    <t>Z/FAM/CE1000390</t>
  </si>
  <si>
    <t>DVR HDD</t>
  </si>
  <si>
    <t>Z/FAM/CE1000389</t>
  </si>
  <si>
    <t>Network Rack</t>
  </si>
  <si>
    <t>N/A</t>
  </si>
  <si>
    <t>Z/FAM/CE1000388</t>
  </si>
  <si>
    <t>SSD 512GB</t>
  </si>
  <si>
    <t>WD</t>
  </si>
  <si>
    <t>IT Stock</t>
  </si>
  <si>
    <t>Z/FAM/CE1000386</t>
  </si>
  <si>
    <t>SSD 2TB</t>
  </si>
  <si>
    <t>WXM2A232EHAZ</t>
  </si>
  <si>
    <t>Mohd Nayeem</t>
  </si>
  <si>
    <t>Z/FAM/CE1000654</t>
  </si>
  <si>
    <t>Camera Stand</t>
  </si>
  <si>
    <t>Fotopro</t>
  </si>
  <si>
    <t>B078R6DMGL</t>
  </si>
  <si>
    <t>Z/FAM/CE1000152</t>
  </si>
  <si>
    <t>Camera Hand stand</t>
  </si>
  <si>
    <t>DJI RS 3 Pro</t>
  </si>
  <si>
    <t>B0BSC71P39</t>
  </si>
  <si>
    <t>Rode wireless Microphone</t>
  </si>
  <si>
    <t>Rode</t>
  </si>
  <si>
    <t>B0B7X7J3FX</t>
  </si>
  <si>
    <t>Z/FAM/CE1000154</t>
  </si>
  <si>
    <t>B08XFQ6KP9</t>
  </si>
  <si>
    <t>Z/FAM/CE1000155</t>
  </si>
  <si>
    <t>Z/FAM/CE1000156</t>
  </si>
  <si>
    <t>WX52A937RZ16</t>
  </si>
  <si>
    <t>Z/FAM/OE1000177</t>
  </si>
  <si>
    <t>TP-LINK Switch</t>
  </si>
  <si>
    <t>TP-link</t>
  </si>
  <si>
    <t>TL-SG3210</t>
  </si>
  <si>
    <t>222C9W2000430</t>
  </si>
  <si>
    <t>Z/FAM/CE1000956</t>
  </si>
  <si>
    <t>Access Point</t>
  </si>
  <si>
    <t>Cisco</t>
  </si>
  <si>
    <t>C9115AXI-D</t>
  </si>
  <si>
    <t>FJC27481MB9</t>
  </si>
  <si>
    <t>Z/FAM/OE1000090</t>
  </si>
  <si>
    <t>FJC27481MB0</t>
  </si>
  <si>
    <t>CEO Cabin</t>
  </si>
  <si>
    <t>Z/FAM/OE1000091</t>
  </si>
  <si>
    <t>FJC27481MBZ</t>
  </si>
  <si>
    <t>Hall 1</t>
  </si>
  <si>
    <t>Z/FAM/OE1000092</t>
  </si>
  <si>
    <t>FJC27481MCA</t>
  </si>
  <si>
    <t>Gautham City</t>
  </si>
  <si>
    <t>Z/FAM/OE1000093</t>
  </si>
  <si>
    <t>FJC27481MCL</t>
  </si>
  <si>
    <t>Hall 2</t>
  </si>
  <si>
    <t>Z/FAM/OE1000094</t>
  </si>
  <si>
    <t>FJC27481MC6</t>
  </si>
  <si>
    <t>Hall 3</t>
  </si>
  <si>
    <t>Z/FAM/OE1000095</t>
  </si>
  <si>
    <t>FJC27481MC8</t>
  </si>
  <si>
    <t>Z/FAM/OE1000096</t>
  </si>
  <si>
    <t>FJC27481MBC</t>
  </si>
  <si>
    <t>HR</t>
  </si>
  <si>
    <t>Z/FAM/OE1000099</t>
  </si>
  <si>
    <t>FJC27481MC1</t>
  </si>
  <si>
    <t>Hall 4</t>
  </si>
  <si>
    <t>Z/FAM/OE1000100</t>
  </si>
  <si>
    <t>FJC27481MCB</t>
  </si>
  <si>
    <t>Reception</t>
  </si>
  <si>
    <t>Z/FAM/OE1000104</t>
  </si>
  <si>
    <t>FJC27481MBQ</t>
  </si>
  <si>
    <t>Mezzanine 1</t>
  </si>
  <si>
    <t>Z/FAM/OE1000105</t>
  </si>
  <si>
    <t>FJC27481MCE</t>
  </si>
  <si>
    <t>Mezzanine 2</t>
  </si>
  <si>
    <t>Z/FAM/OE1000106</t>
  </si>
  <si>
    <t>FJC27481MD5</t>
  </si>
  <si>
    <t>Dev Ops</t>
  </si>
  <si>
    <t>Z/FAM/OE1000107</t>
  </si>
  <si>
    <t>FJC27481MCU</t>
  </si>
  <si>
    <t>Mezzanine 3</t>
  </si>
  <si>
    <t>Z/FAM/OE1000097</t>
  </si>
  <si>
    <t>FJC27481MAF</t>
  </si>
  <si>
    <t>Z/FAM/OE1000108</t>
  </si>
  <si>
    <t>C9200-NM-BLANK</t>
  </si>
  <si>
    <t>JAE26530475</t>
  </si>
  <si>
    <t>Z/FAM/OE1000109</t>
  </si>
  <si>
    <t>Firewall</t>
  </si>
  <si>
    <t>FortiGate</t>
  </si>
  <si>
    <r>
      <rPr>
        <rFont val="Arial"/>
        <color rgb="FF000000"/>
        <sz val="10.0"/>
      </rPr>
      <t>FG201</t>
    </r>
  </si>
  <si>
    <t>FG201FT923914053</t>
  </si>
  <si>
    <t>Z/FAM/OE1000135</t>
  </si>
  <si>
    <t>Z/FAM/CE1000479</t>
  </si>
  <si>
    <t>10.20.0.12</t>
  </si>
  <si>
    <t>32V05804</t>
  </si>
  <si>
    <t>Canon 3226</t>
  </si>
  <si>
    <t>HR  / Analytics</t>
  </si>
  <si>
    <t>Z/FAM/CE1000387</t>
  </si>
  <si>
    <t>10.20.0.9</t>
  </si>
  <si>
    <t>32V05369</t>
  </si>
  <si>
    <t>Near Legal Team</t>
  </si>
  <si>
    <t>Z/FAM/CE1000652</t>
  </si>
  <si>
    <t>CNBRPCT4ZR</t>
  </si>
  <si>
    <t>Hp M126</t>
  </si>
  <si>
    <t>Z/FAM/CE1000653</t>
  </si>
  <si>
    <t>CNBKMC5859</t>
  </si>
  <si>
    <t>Asset type</t>
  </si>
  <si>
    <t>Serial number</t>
  </si>
  <si>
    <t>Total</t>
  </si>
  <si>
    <t>Allocated</t>
  </si>
  <si>
    <t>Stock</t>
  </si>
  <si>
    <t>Received date</t>
  </si>
  <si>
    <t>Adaptor C Type to C</t>
  </si>
  <si>
    <t>Apple</t>
  </si>
  <si>
    <t>Adaptor USB</t>
  </si>
  <si>
    <t>USB B type Data Cable</t>
  </si>
  <si>
    <t>Portronics</t>
  </si>
  <si>
    <t>USB C type Data Cable</t>
  </si>
  <si>
    <t xml:space="preserve">Dell adaptor </t>
  </si>
  <si>
    <t xml:space="preserve">Dell </t>
  </si>
  <si>
    <t>LOGITECH WIRLESS MOUSE M171</t>
  </si>
  <si>
    <t>Logitech</t>
  </si>
  <si>
    <t>KEYBOARD &amp; MOUSE LOGITECH CORDLESS MK220</t>
  </si>
  <si>
    <t>PROTONICS TYPE C TO HDMI ADAPTER MULIPORT</t>
  </si>
  <si>
    <t>PROTONICS</t>
  </si>
  <si>
    <t>LAPTOP CLEANING KIT</t>
  </si>
  <si>
    <t>NEXTECH FAST CHARGER DUAL PORT PDQC GAN</t>
  </si>
  <si>
    <t>NEXTECH</t>
  </si>
  <si>
    <t>APPLE USB - C TO LIGHTNING CABLE</t>
  </si>
  <si>
    <t>MMOA3ZM/A MOUSE PAD</t>
  </si>
  <si>
    <t>10 Laptops bagspack</t>
  </si>
  <si>
    <t>Lenovo</t>
  </si>
  <si>
    <t>22/8/2024</t>
  </si>
  <si>
    <t>2330AP05U109</t>
  </si>
  <si>
    <t xml:space="preserve"> </t>
  </si>
  <si>
    <t>UserName</t>
  </si>
  <si>
    <t xml:space="preserve">Type </t>
  </si>
  <si>
    <t>Replacment Model</t>
  </si>
  <si>
    <t>Replacement</t>
  </si>
  <si>
    <t>M3 16 Inch</t>
  </si>
  <si>
    <t>HNYJKYT7WH</t>
  </si>
  <si>
    <t>Pranav jaradi</t>
  </si>
  <si>
    <t>M24XXR5WYR</t>
  </si>
  <si>
    <t>MHQ2V232VQ</t>
  </si>
  <si>
    <t>FF77G72VJ3</t>
  </si>
  <si>
    <t>Aman K Bahal</t>
  </si>
  <si>
    <t>HCPWPP2TWP</t>
  </si>
  <si>
    <t>Mukesh Maurya</t>
  </si>
  <si>
    <t>New joiner</t>
  </si>
  <si>
    <t>C2FN6P9RDW</t>
  </si>
  <si>
    <t>L3D9LYGQGK</t>
  </si>
  <si>
    <t>KXQTP7DT95</t>
  </si>
  <si>
    <t>KHM22RC40Q</t>
  </si>
  <si>
    <t>Saksham Kochhar</t>
  </si>
  <si>
    <t>CH6279P6LL</t>
  </si>
  <si>
    <t>H79LGL2DWM</t>
  </si>
  <si>
    <t>Ashutosh Bharthwal</t>
  </si>
  <si>
    <t>CK6NL7DQLG</t>
  </si>
  <si>
    <t>To be Procure</t>
  </si>
  <si>
    <t>Need to be Replace</t>
  </si>
  <si>
    <t>Sai</t>
  </si>
  <si>
    <t>M3 14 Inch</t>
  </si>
  <si>
    <t>Vishal Aggarwal</t>
  </si>
  <si>
    <t>H3J0940K7J</t>
  </si>
  <si>
    <t>Bhargav Khalasi</t>
  </si>
  <si>
    <t>Annem Rushyant</t>
  </si>
  <si>
    <t>Naveen Kumar ( Tech)</t>
  </si>
  <si>
    <t>HK79Q397DC</t>
  </si>
  <si>
    <t>HF69MHWKQD</t>
  </si>
  <si>
    <t>JY1JH07JC3</t>
  </si>
  <si>
    <t>J756VQ65GX</t>
  </si>
  <si>
    <t>Rohit Dubey</t>
  </si>
  <si>
    <t>Bal Sikander</t>
  </si>
  <si>
    <t>J09YX4YKYC</t>
  </si>
  <si>
    <t>Shristi</t>
  </si>
  <si>
    <t>replacement</t>
  </si>
  <si>
    <t>Jeewan Kumar Singla</t>
  </si>
  <si>
    <t>Karan Bhayan</t>
  </si>
  <si>
    <t>Shristi Tomar</t>
  </si>
  <si>
    <t>Saurav Khurana</t>
  </si>
  <si>
    <t>Hemant kumar</t>
  </si>
  <si>
    <t>Licence type</t>
  </si>
  <si>
    <t>Anish Abraham</t>
  </si>
  <si>
    <t>Team licence</t>
  </si>
  <si>
    <t>Invite send</t>
  </si>
  <si>
    <t>Anant Barla</t>
  </si>
  <si>
    <t>Activation Done</t>
  </si>
  <si>
    <t>Email</t>
  </si>
  <si>
    <t>First Name</t>
  </si>
  <si>
    <t>Last Name</t>
  </si>
  <si>
    <t>Team Products</t>
  </si>
  <si>
    <t>Date</t>
  </si>
  <si>
    <t>IT remarks</t>
  </si>
  <si>
    <t>Admin Roles</t>
  </si>
  <si>
    <t>Creative Cloud All Apps  &amp; Adobe Stock – 750 assets a month</t>
  </si>
  <si>
    <t>Approved</t>
  </si>
  <si>
    <t>Creative Cloud All Apps</t>
  </si>
  <si>
    <t>AMIT</t>
  </si>
  <si>
    <t>SUTAR</t>
  </si>
  <si>
    <t>Creative Cloud All Apps &amp; Substance 3D Collection</t>
  </si>
  <si>
    <t>ANKITA</t>
  </si>
  <si>
    <t>Harsha.ratnam@zupee.in</t>
  </si>
  <si>
    <t>Nadeem</t>
  </si>
  <si>
    <t>Mohammad</t>
  </si>
  <si>
    <t>Siddhant</t>
  </si>
  <si>
    <t xml:space="preserve">Amit </t>
  </si>
  <si>
    <t>dandotiya</t>
  </si>
  <si>
    <t xml:space="preserve">Hitesh </t>
  </si>
  <si>
    <t>Acrobat Pro</t>
  </si>
  <si>
    <t xml:space="preserve">Suraj </t>
  </si>
  <si>
    <t>Prakash - Intern</t>
  </si>
  <si>
    <t>arpita</t>
  </si>
  <si>
    <t>latta</t>
  </si>
  <si>
    <t>govind</t>
  </si>
  <si>
    <t>mittal</t>
  </si>
  <si>
    <t>Prerna.sharma@zupee.in</t>
  </si>
  <si>
    <t>shaarma</t>
  </si>
  <si>
    <t>Human Resource</t>
  </si>
  <si>
    <t>Suspended</t>
  </si>
  <si>
    <t>Agarwa</t>
  </si>
  <si>
    <t>sethi</t>
  </si>
  <si>
    <r>
      <rPr>
        <rFont val="Arial"/>
        <color rgb="FF1155CC"/>
        <u/>
      </rPr>
      <t>rahul.s@zupee.in</t>
    </r>
  </si>
  <si>
    <t>Vansh</t>
  </si>
  <si>
    <t>Swamy</t>
  </si>
  <si>
    <t>Samir</t>
  </si>
  <si>
    <t>H</t>
  </si>
  <si>
    <t>Shobit</t>
  </si>
  <si>
    <t>full_name</t>
  </si>
  <si>
    <t>type</t>
  </si>
  <si>
    <t>added_to_team_at</t>
  </si>
  <si>
    <t>last_active_at</t>
  </si>
  <si>
    <t>sessions_count_30_days</t>
  </si>
  <si>
    <t>member</t>
  </si>
  <si>
    <t>May 14, 2025, 06:36:45 AM GMT</t>
  </si>
  <si>
    <t>Sep 01, 2025, 06:39:36 AM GMT</t>
  </si>
  <si>
    <t>May 13, 2025, 11:37:27 AM GMT</t>
  </si>
  <si>
    <t>Sep 01, 2025, 06:28:56 AM GMT</t>
  </si>
  <si>
    <t>lovleen</t>
  </si>
  <si>
    <t>Jul 14, 2025, 10:27:46 AM GMT</t>
  </si>
  <si>
    <t>Sep 01, 2025, 06:26:26 AM GMT</t>
  </si>
  <si>
    <t>May 13, 2025, 11:26:55 AM GMT</t>
  </si>
  <si>
    <t>Sep 01, 2025, 04:44:04 AM GMT</t>
  </si>
  <si>
    <t>May 22, 2025, 12:15:53 PM GMT</t>
  </si>
  <si>
    <t>Aug 31, 2025, 09:44:07 AM GMT</t>
  </si>
  <si>
    <t>May 14, 2025, 06:20:42 PM GMT</t>
  </si>
  <si>
    <t>Aug 30, 2025, 06:55:32 AM GMT</t>
  </si>
  <si>
    <t>May 13, 2025, 10:49:51 AM GMT</t>
  </si>
  <si>
    <t>Aug 27, 2025, 09:56:23 AM GMT</t>
  </si>
  <si>
    <t>May 13, 2025, 03:02:41 PM GMT</t>
  </si>
  <si>
    <t>Aug 26, 2025, 02:48:24 AM GMT</t>
  </si>
  <si>
    <t>Aug 01, 2025, 11:27:23 AM GMT</t>
  </si>
  <si>
    <t>Aug 14, 2025, 12:24:16 PM GMT</t>
  </si>
  <si>
    <t>Cashgrail</t>
  </si>
  <si>
    <t>May 13, 2025, 07:39:24 AM GMT</t>
  </si>
  <si>
    <t>Aug 07, 2025, 06:29:07 AM GMT</t>
  </si>
  <si>
    <t>May 14, 2025, 07:12:07 AM GMT</t>
  </si>
  <si>
    <t>Jul 30, 2025, 07:55:51 AM GMT</t>
  </si>
  <si>
    <t>May 13, 2025, 01:28:14 PM GMT</t>
  </si>
  <si>
    <t>Jul 17, 2025, 07:04:53 AM GMT</t>
  </si>
  <si>
    <t>May 14, 2025, 06:35:41 AM GMT</t>
  </si>
  <si>
    <t>Jul 16, 2025, 10:11:12 AM GMT</t>
  </si>
  <si>
    <t>May 13, 2025, 11:57:29 AM GMT</t>
  </si>
  <si>
    <t>Jul 07, 2025, 06:03:22 AM GMT</t>
  </si>
  <si>
    <t>PAREENA SINGH</t>
  </si>
  <si>
    <t>May 13, 2025, 12:05:17 PM GMT</t>
  </si>
  <si>
    <t>May 22, 2025, 12:28:16 PM GMT</t>
  </si>
  <si>
    <t>May 13, 2025, 11:38:51 AM GMT</t>
  </si>
  <si>
    <t>May 15, 2025, 06:14:55 AM GMT</t>
  </si>
  <si>
    <t>May 14, 2025, 02:06:22 PM GMT</t>
  </si>
  <si>
    <t>May 14, 2025, 02:10:46 PM GMT</t>
  </si>
  <si>
    <t>May 13, 2025, 12:21:44 PM GMT</t>
  </si>
  <si>
    <t>May 13, 2025, 12:23:44 PM GMT</t>
  </si>
  <si>
    <t>May 13, 2025, 11:18:50 AM GMT</t>
  </si>
  <si>
    <t>May 13, 2025, 11:40:24 AM GMT</t>
  </si>
  <si>
    <t>Public name</t>
  </si>
  <si>
    <t>Zupee-backend</t>
  </si>
  <si>
    <t>Email address</t>
  </si>
  <si>
    <t>Last login (UTC)</t>
  </si>
  <si>
    <t>Has 2SV</t>
  </si>
  <si>
    <t>On Plan</t>
  </si>
  <si>
    <t>no</t>
  </si>
  <si>
    <t>Done</t>
  </si>
  <si>
    <t>DOne</t>
  </si>
  <si>
    <t>aditya.goswami</t>
  </si>
  <si>
    <t>Aditya Nath Jha</t>
  </si>
  <si>
    <t>akhil mudgal</t>
  </si>
  <si>
    <t>Aman Kumar Srivastav</t>
  </si>
  <si>
    <t>Aman Kumar[UX]</t>
  </si>
  <si>
    <t>anuj.srivastava</t>
  </si>
  <si>
    <t>arpan.garg</t>
  </si>
  <si>
    <t>Ashutosh Garg</t>
  </si>
  <si>
    <t>chirag.goyal</t>
  </si>
  <si>
    <t>divas.gupta</t>
  </si>
  <si>
    <t>Gyan Prakash Mishra</t>
  </si>
  <si>
    <t>Harshit kumar singh</t>
  </si>
  <si>
    <t>Hritik garg</t>
  </si>
  <si>
    <t>Jeevan Singla</t>
  </si>
  <si>
    <t>kanwar.singh@zupee.com</t>
  </si>
  <si>
    <t>machine</t>
  </si>
  <si>
    <t>bb@zupee.in</t>
  </si>
  <si>
    <t>mohim.singla</t>
  </si>
  <si>
    <t>Mohit tanwar</t>
  </si>
  <si>
    <t>prashant.pundir@zupee.com</t>
  </si>
  <si>
    <t>prateek.sharma1</t>
  </si>
  <si>
    <t>Rahul SUman</t>
  </si>
  <si>
    <t>Riya jhalani</t>
  </si>
  <si>
    <t>satya vart</t>
  </si>
  <si>
    <t>Saurav Ramrao Atram</t>
  </si>
  <si>
    <t>sidharth dhiman</t>
  </si>
  <si>
    <t>Tushar Patil</t>
  </si>
  <si>
    <t>Vansh kumar Dua</t>
  </si>
  <si>
    <t>Vidit</t>
  </si>
  <si>
    <t>Vinay bansal</t>
  </si>
  <si>
    <t>vivek.pal</t>
  </si>
  <si>
    <t>Yash Agarwl</t>
  </si>
  <si>
    <t>Yogesha K</t>
  </si>
  <si>
    <t>ZAI</t>
  </si>
  <si>
    <t>zupee.repomaster</t>
  </si>
  <si>
    <t>abhishek.bithu</t>
  </si>
  <si>
    <t>Amit S sutar</t>
  </si>
  <si>
    <t>Anupam Dilip Singh kushwah</t>
  </si>
  <si>
    <t>Bal sikandar yadav</t>
  </si>
  <si>
    <t>garvit.bhatia</t>
  </si>
  <si>
    <t>gaurav sharma</t>
  </si>
  <si>
    <t>Hritik Raj</t>
  </si>
  <si>
    <t>Kamran Hadi</t>
  </si>
  <si>
    <t>kunal.shivhare</t>
  </si>
  <si>
    <t>Naveen Kumar (IT Infra)</t>
  </si>
  <si>
    <t>Nidhi Kumari</t>
  </si>
  <si>
    <t>piyush.bansal</t>
  </si>
  <si>
    <t>Prabhat kumar</t>
  </si>
  <si>
    <t>Rajnish kumar</t>
  </si>
  <si>
    <t>swati bhardwaj</t>
  </si>
  <si>
    <t>rajnish.kumar1</t>
  </si>
  <si>
    <t>arun.rajaram</t>
  </si>
  <si>
    <t>A Thalluri</t>
  </si>
  <si>
    <t>dheeraj.kumar</t>
  </si>
  <si>
    <t>hardik.kumar</t>
  </si>
  <si>
    <t>kalpriksh bist</t>
  </si>
  <si>
    <t>karan.bhyana</t>
  </si>
  <si>
    <t>rishabh.garg</t>
  </si>
  <si>
    <t>shubham.vishwakarma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</si>
</sst>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9">
    <numFmt numFmtId="164" formatCode="dd-mmm-yyyy"/>
    <numFmt numFmtId="165" formatCode="mmm d, yyyy"/>
    <numFmt numFmtId="166" formatCode="d&quot;-&quot;mmm&quot;-&quot;yyyy"/>
    <numFmt numFmtId="167" formatCode="dd-mmm-yy"/>
    <numFmt numFmtId="168" formatCode="d-mmm-yyyy"/>
    <numFmt numFmtId="169" formatCode="m/d/yyyy"/>
    <numFmt numFmtId="170" formatCode="mm-dd-yyyy"/>
    <numFmt numFmtId="171" formatCode="d-mmm-yy"/>
    <numFmt numFmtId="172" formatCode="d-mmmm-yy"/>
    <numFmt numFmtId="173" formatCode="mm/dd/yy"/>
    <numFmt numFmtId="174" formatCode="m/d/yy"/>
    <numFmt numFmtId="175" formatCode="d-mmmm-yyyy"/>
    <numFmt numFmtId="176" formatCode="d- mmm-yyyy"/>
    <numFmt numFmtId="177" formatCode="d- mmm-yy"/>
    <numFmt numFmtId="178" formatCode="dd-mmmm-yyyy"/>
    <numFmt numFmtId="179" formatCode="d- mmmm- yyyy"/>
    <numFmt numFmtId="180" formatCode="dd&quot;-&quot;mmm&quot;-&quot;yyyy"/>
    <numFmt numFmtId="181" formatCode="m/d/yyyy, h:mm:ss am/pm"/>
    <numFmt numFmtId="182" formatCode="yyyy-mm-dd h:mm:ss"/>
  </numFmts>
  <fonts count="109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i/>
      <color theme="1"/>
      <name val="Roboto"/>
    </font>
    <font>
      <b/>
      <sz val="10.0"/>
      <color theme="1"/>
      <name val="Roboto"/>
    </font>
    <font>
      <b/>
      <i/>
      <sz val="11.0"/>
      <color theme="1"/>
      <name val="Roboto"/>
    </font>
    <font>
      <b/>
      <sz val="11.0"/>
      <color theme="1"/>
      <name val="Roboto Mono"/>
    </font>
    <font>
      <color theme="1"/>
      <name val="Arial"/>
    </font>
    <font>
      <sz val="10.0"/>
      <color theme="1"/>
      <name val="Roboto"/>
    </font>
    <font>
      <b/>
      <i/>
      <sz val="10.0"/>
      <color rgb="FFFFFFFF"/>
      <name val="Roboto"/>
    </font>
    <font>
      <sz val="9.0"/>
      <color theme="1"/>
      <name val="Roboto"/>
    </font>
    <font>
      <b/>
      <sz val="9.0"/>
      <color theme="1"/>
      <name val="Roboto"/>
    </font>
    <font>
      <b/>
      <i/>
      <sz val="11.0"/>
      <color rgb="FF3C78D8"/>
      <name val="Roboto"/>
    </font>
    <font>
      <b/>
      <i/>
      <sz val="11.0"/>
      <color theme="0"/>
      <name val="Roboto"/>
    </font>
    <font>
      <b/>
      <i/>
      <sz val="11.0"/>
      <color rgb="FFFFFFFF"/>
      <name val="Roboto"/>
    </font>
    <font>
      <b/>
      <sz val="9.0"/>
      <color rgb="FF721C24"/>
      <name val="Roboto"/>
    </font>
    <font>
      <b/>
      <sz val="9.0"/>
      <color rgb="FF856404"/>
      <name val="Roboto"/>
    </font>
    <font>
      <color theme="1"/>
      <name val="Arial"/>
      <scheme val="minor"/>
    </font>
    <font>
      <b/>
      <sz val="9.0"/>
      <color rgb="FF155724"/>
      <name val="Roboto"/>
    </font>
    <font>
      <b/>
      <color theme="1"/>
      <name val="Arial"/>
    </font>
    <font>
      <u/>
      <sz val="9.0"/>
      <color rgb="FF0000FF"/>
      <name val="Roboto"/>
    </font>
    <font>
      <u/>
      <sz val="9.0"/>
      <color rgb="FF0000FF"/>
      <name val="Roboto"/>
    </font>
    <font>
      <b/>
      <i/>
      <sz val="10.0"/>
      <color theme="0"/>
      <name val="Roboto"/>
    </font>
    <font>
      <u/>
      <sz val="10.0"/>
      <color theme="1"/>
      <name val="Roboto"/>
    </font>
    <font>
      <b/>
      <color theme="1"/>
      <name val="Arial"/>
      <scheme val="minor"/>
    </font>
    <font>
      <color rgb="FFFF0000"/>
      <name val="Arial"/>
      <scheme val="minor"/>
    </font>
    <font>
      <color theme="1"/>
      <name val="Roboto Serif"/>
    </font>
    <font>
      <color rgb="FF1F1F1F"/>
      <name val="Google Sans"/>
    </font>
    <font>
      <sz val="11.0"/>
      <color rgb="FF1F1F1F"/>
      <name val="Google Sans"/>
    </font>
    <font>
      <sz val="11.0"/>
      <color rgb="FF000000"/>
      <name val="Roboto"/>
    </font>
    <font>
      <sz val="9.0"/>
      <color theme="1"/>
      <name val="Calibri"/>
    </font>
    <font>
      <b/>
      <color theme="1"/>
      <name val="Roboto Serif"/>
    </font>
    <font>
      <sz val="11.0"/>
      <color rgb="FF1264A3"/>
      <name val="Slack-Lato"/>
    </font>
    <font>
      <color rgb="FF434343"/>
      <name val="Roboto"/>
    </font>
    <font>
      <u/>
      <color rgb="FF1155CC"/>
      <name val="Arial"/>
    </font>
    <font>
      <sz val="11.0"/>
      <color rgb="FF323130"/>
      <name val="Arial"/>
    </font>
    <font>
      <u/>
      <color rgb="FF1155CC"/>
      <name val="Arial"/>
    </font>
    <font>
      <u/>
      <sz val="11.0"/>
      <color rgb="FF323130"/>
      <name val="Arial"/>
    </font>
    <font>
      <u/>
      <sz val="11.0"/>
      <color rgb="FF323130"/>
      <name val="Arial"/>
    </font>
    <font>
      <sz val="9.0"/>
      <color theme="1"/>
      <name val="Arial"/>
    </font>
    <font>
      <sz val="11.0"/>
      <color rgb="FF484644"/>
      <name val="Arial"/>
    </font>
    <font>
      <sz val="11.0"/>
      <color rgb="FF444746"/>
      <name val="Arial"/>
    </font>
    <font>
      <b/>
      <sz val="11.0"/>
      <color theme="1"/>
      <name val="Roboto"/>
    </font>
    <font>
      <i/>
      <color theme="1"/>
      <name val="Roboto"/>
    </font>
    <font>
      <b/>
      <i/>
      <color theme="1"/>
      <name val="Roboto Serif"/>
    </font>
    <font>
      <b/>
      <sz val="36.0"/>
      <color theme="1"/>
      <name val="Arial"/>
    </font>
    <font/>
    <font>
      <sz val="10.0"/>
      <color rgb="FF000000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sz val="11.0"/>
      <color rgb="FF202124"/>
      <name val="Arial"/>
    </font>
    <font>
      <sz val="13.0"/>
      <color rgb="FF202124"/>
      <name val="Arial"/>
    </font>
    <font>
      <sz val="11.0"/>
      <color rgb="FF1F1F1F"/>
      <name val="Arial"/>
    </font>
    <font>
      <sz val="11.0"/>
      <color rgb="FFFF0000"/>
      <name val="Arial"/>
    </font>
    <font>
      <sz val="10.0"/>
      <color theme="1"/>
      <name val="Calibri"/>
    </font>
    <font>
      <sz val="11.0"/>
      <color rgb="FFFF0000"/>
      <name val="Calibri"/>
    </font>
    <font>
      <sz val="11.0"/>
      <color rgb="FF000000"/>
      <name val="Arial"/>
    </font>
    <font>
      <b/>
      <sz val="11.0"/>
      <color rgb="FF1F1F1F"/>
      <name val="Arial"/>
    </font>
    <font>
      <sz val="11.0"/>
      <color rgb="FF222222"/>
      <name val="Arial"/>
    </font>
    <font>
      <sz val="13.0"/>
      <color rgb="FF1F1F1F"/>
      <name val="Arial"/>
    </font>
    <font>
      <sz val="12.0"/>
      <color rgb="FF202124"/>
      <name val="Arial"/>
    </font>
    <font>
      <sz val="10.0"/>
      <color rgb="FF1F1F1F"/>
      <name val="Arial"/>
    </font>
    <font>
      <u/>
      <sz val="11.0"/>
      <color rgb="FF3C4043"/>
      <name val="Roboto"/>
    </font>
    <font>
      <sz val="10.0"/>
      <color rgb="FF3C4043"/>
      <name val="Roboto"/>
    </font>
    <font>
      <sz val="11.0"/>
      <color rgb="FF1D1C1D"/>
      <name val="Lato"/>
    </font>
    <font>
      <b/>
      <sz val="10.0"/>
      <color rgb="FF1F1F1F"/>
      <name val="Arial"/>
    </font>
    <font>
      <b/>
      <sz val="11.0"/>
      <color rgb="FFFF0000"/>
      <name val="Calibri"/>
    </font>
    <font>
      <sz val="11.0"/>
      <color rgb="FF500050"/>
      <name val="Roboto"/>
    </font>
    <font>
      <u/>
      <sz val="11.0"/>
      <color rgb="FF1155CC"/>
      <name val="Roboto"/>
    </font>
    <font>
      <u/>
      <sz val="11.0"/>
      <color rgb="FF0000FF"/>
      <name val="Arial"/>
    </font>
    <font>
      <sz val="11.0"/>
      <color rgb="FF222222"/>
      <name val="Proxima Nova"/>
    </font>
    <font>
      <sz val="11.0"/>
      <color rgb="FF3C4043"/>
      <name val="Roboto"/>
    </font>
    <font>
      <sz val="11.0"/>
      <color rgb="FF500050"/>
      <name val="Arial"/>
    </font>
    <font>
      <sz val="11.0"/>
      <color rgb="FF000000"/>
      <name val="&quot;Aptos Narrow&quot;"/>
    </font>
    <font>
      <sz val="10.0"/>
      <color rgb="FF000000"/>
      <name val="Roboto"/>
    </font>
    <font>
      <b/>
      <sz val="10.0"/>
      <color rgb="FF000000"/>
      <name val="Arial"/>
    </font>
    <font>
      <sz val="12.0"/>
      <color rgb="FF000000"/>
      <name val="Arial"/>
    </font>
    <font>
      <sz val="12.0"/>
      <color rgb="FF222222"/>
      <name val="Calibri"/>
    </font>
    <font>
      <u/>
      <sz val="10.0"/>
      <color rgb="FF0000FF"/>
      <name val="Arial"/>
    </font>
    <font>
      <sz val="11.0"/>
      <color rgb="FF272700"/>
      <name val="Arial"/>
    </font>
    <font>
      <sz val="11.0"/>
      <color rgb="FF0B57D0"/>
      <name val="Arial"/>
    </font>
    <font>
      <sz val="11.0"/>
      <color rgb="FF1D1C1D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b/>
      <sz val="10.0"/>
      <color theme="1"/>
      <name val="Arial"/>
    </font>
    <font>
      <sz val="10.0"/>
      <color theme="1"/>
      <name val="Sans-serif"/>
    </font>
    <font>
      <b/>
      <sz val="13.0"/>
      <color theme="1"/>
      <name val="Roboto Serif"/>
    </font>
    <font>
      <b/>
      <sz val="10.0"/>
      <color theme="1"/>
      <name val="Roboto Serif"/>
    </font>
    <font>
      <b/>
      <sz val="10.0"/>
      <color rgb="FF000000"/>
      <name val="Roboto Serif"/>
    </font>
    <font>
      <b/>
      <sz val="10.0"/>
      <color rgb="FFCC0000"/>
      <name val="Georgia"/>
    </font>
    <font>
      <b/>
      <sz val="10.0"/>
      <color rgb="FFCC0000"/>
      <name val="Arial"/>
    </font>
    <font>
      <sz val="12.0"/>
      <color theme="1"/>
      <name val="Georgia"/>
    </font>
    <font>
      <sz val="10.0"/>
      <color theme="1"/>
      <name val="Georgia"/>
    </font>
    <font>
      <b/>
      <sz val="10.0"/>
      <color theme="1"/>
      <name val="Georgia"/>
    </font>
    <font>
      <sz val="10.0"/>
      <color rgb="FF000000"/>
      <name val="Georgia"/>
    </font>
    <font>
      <sz val="12.0"/>
      <color rgb="FF000000"/>
      <name val="Times New Roman"/>
    </font>
    <font>
      <sz val="11.0"/>
      <color theme="1"/>
      <name val="Georgia"/>
    </font>
    <font>
      <sz val="9.0"/>
      <color theme="1"/>
      <name val="Georgia"/>
    </font>
    <font>
      <b/>
      <sz val="14.0"/>
      <color rgb="FF000000"/>
      <name val="Roboto Serif"/>
    </font>
    <font>
      <sz val="10.0"/>
      <color theme="1"/>
      <name val="Roboto Serif"/>
    </font>
    <font>
      <sz val="11.0"/>
      <color theme="1"/>
      <name val="Roboto Serif"/>
    </font>
    <font>
      <sz val="12.0"/>
      <color rgb="FF222222"/>
      <name val="Arial"/>
    </font>
    <font>
      <sz val="10.0"/>
      <color rgb="FF222222"/>
      <name val="Arial"/>
    </font>
    <font>
      <b/>
      <sz val="11.0"/>
      <color rgb="FF777777"/>
      <name val="Arial"/>
    </font>
    <font>
      <sz val="10.0"/>
      <color rgb="FF202124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8D7DA"/>
        <bgColor rgb="FFF8D7DA"/>
      </patternFill>
    </fill>
    <fill>
      <patternFill patternType="solid">
        <fgColor rgb="FFF4CCCC"/>
        <bgColor rgb="FFF4CCCC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F8F9FA"/>
        <bgColor rgb="FFF8F9FA"/>
      </patternFill>
    </fill>
    <fill>
      <patternFill patternType="solid">
        <fgColor rgb="FFF0F4F9"/>
        <bgColor rgb="FFF0F4F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F8F8F8"/>
        <bgColor rgb="FFF8F8F8"/>
      </patternFill>
    </fill>
    <fill>
      <patternFill patternType="solid">
        <fgColor rgb="FFF8FAFD"/>
        <bgColor rgb="FFF8FAFD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ABABAB"/>
      </left>
      <top style="thin">
        <color rgb="FFABABAB"/>
      </top>
    </border>
    <border>
      <left style="thin">
        <color rgb="FFFFFFFF"/>
      </left>
      <top style="thin">
        <color rgb="FFABABAB"/>
      </top>
    </border>
    <border>
      <left style="thin">
        <color rgb="FFFFFFFF"/>
      </left>
      <right style="thin">
        <color rgb="FFABABAB"/>
      </right>
      <top style="thin">
        <color rgb="FFABABAB"/>
      </top>
    </border>
    <border>
      <top style="thin">
        <color rgb="FFABABAB"/>
      </top>
    </border>
    <border>
      <left style="thin">
        <color rgb="FFABABAB"/>
      </left>
      <right style="thin">
        <color rgb="FFABABAB"/>
      </right>
      <top style="thin">
        <color rgb="FFABABAB"/>
      </top>
    </border>
    <border>
      <left style="thin">
        <color rgb="FFABABAB"/>
      </left>
    </border>
    <border>
      <left style="thin">
        <color rgb="FFABABAB"/>
      </left>
      <right style="thin">
        <color rgb="FFABABAB"/>
      </right>
    </border>
    <border>
      <left style="thin">
        <color rgb="FFABABAB"/>
      </left>
      <top style="thin">
        <color rgb="FFABABAB"/>
      </top>
      <bottom style="thin">
        <color rgb="FFABABAB"/>
      </bottom>
    </border>
    <border>
      <top style="thin">
        <color rgb="FFABABAB"/>
      </top>
      <bottom style="thin">
        <color rgb="FFABABAB"/>
      </bottom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readingOrder="0" vertical="bottom"/>
    </xf>
    <xf borderId="0" fillId="0" fontId="5" numFmtId="0" xfId="0" applyFont="1"/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2" fontId="8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2" fontId="8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9" numFmtId="0" xfId="0" applyFont="1"/>
    <xf borderId="0" fillId="0" fontId="10" numFmtId="164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2" fontId="10" numFmtId="0" xfId="0" applyAlignment="1" applyFont="1">
      <alignment vertical="bottom"/>
    </xf>
    <xf borderId="0" fillId="2" fontId="10" numFmtId="0" xfId="0" applyAlignment="1" applyFont="1">
      <alignment readingOrder="0" vertical="bottom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Font="1"/>
    <xf borderId="0" fillId="0" fontId="10" numFmtId="0" xfId="0" applyAlignment="1" applyFont="1">
      <alignment horizontal="left"/>
    </xf>
    <xf borderId="0" fillId="0" fontId="10" numFmtId="0" xfId="0" applyFont="1"/>
    <xf borderId="0" fillId="0" fontId="10" numFmtId="0" xfId="0" applyFont="1"/>
    <xf borderId="0" fillId="0" fontId="10" numFmtId="165" xfId="0" applyAlignment="1" applyFont="1" applyNumberFormat="1">
      <alignment readingOrder="0"/>
    </xf>
    <xf borderId="0" fillId="0" fontId="10" numFmtId="166" xfId="0" applyAlignment="1" applyFont="1" applyNumberFormat="1">
      <alignment readingOrder="0"/>
    </xf>
    <xf borderId="0" fillId="0" fontId="10" numFmtId="0" xfId="0" applyFont="1"/>
    <xf quotePrefix="1" borderId="0" fillId="0" fontId="10" numFmtId="0" xfId="0" applyAlignment="1" applyFont="1">
      <alignment horizontal="left" readingOrder="0"/>
    </xf>
    <xf borderId="0" fillId="0" fontId="11" numFmtId="0" xfId="0" applyAlignment="1" applyFont="1">
      <alignment horizontal="left"/>
    </xf>
    <xf borderId="0" fillId="0" fontId="10" numFmtId="166" xfId="0" applyFont="1" applyNumberFormat="1"/>
    <xf borderId="0" fillId="0" fontId="10" numFmtId="0" xfId="0" applyAlignment="1" applyFont="1">
      <alignment horizontal="left"/>
    </xf>
    <xf borderId="0" fillId="3" fontId="10" numFmtId="0" xfId="0" applyFill="1" applyFont="1"/>
    <xf quotePrefix="1" borderId="0" fillId="0" fontId="10" numFmtId="0" xfId="0" applyAlignment="1" applyFont="1">
      <alignment readingOrder="0"/>
    </xf>
    <xf quotePrefix="1" borderId="0" fillId="0" fontId="10" numFmtId="0" xfId="0" applyAlignment="1" applyFont="1">
      <alignment vertical="bottom"/>
    </xf>
    <xf borderId="0" fillId="0" fontId="10" numFmtId="0" xfId="0" applyAlignment="1" applyFont="1">
      <alignment horizontal="left" vertical="center"/>
    </xf>
    <xf borderId="0" fillId="0" fontId="10" numFmtId="167" xfId="0" applyFont="1" applyNumberFormat="1"/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Font="1"/>
    <xf borderId="0" fillId="0" fontId="12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0" fontId="12" numFmtId="0" xfId="0" applyFont="1"/>
    <xf borderId="0" fillId="0" fontId="13" numFmtId="0" xfId="0" applyFont="1"/>
    <xf borderId="0" fillId="0" fontId="14" numFmtId="0" xfId="0" applyAlignment="1" applyFont="1">
      <alignment readingOrder="0"/>
    </xf>
    <xf borderId="0" fillId="0" fontId="10" numFmtId="168" xfId="0" applyAlignment="1" applyFont="1" applyNumberFormat="1">
      <alignment readingOrder="0"/>
    </xf>
    <xf borderId="0" fillId="4" fontId="15" numFmtId="0" xfId="0" applyAlignment="1" applyFill="1" applyFont="1">
      <alignment readingOrder="0"/>
    </xf>
    <xf borderId="0" fillId="5" fontId="10" numFmtId="166" xfId="0" applyAlignment="1" applyFill="1" applyFont="1" applyNumberFormat="1">
      <alignment readingOrder="0"/>
    </xf>
    <xf borderId="0" fillId="6" fontId="16" numFmtId="0" xfId="0" applyAlignment="1" applyFill="1" applyFont="1">
      <alignment readingOrder="0"/>
    </xf>
    <xf borderId="0" fillId="0" fontId="10" numFmtId="169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7" fontId="18" numFmtId="0" xfId="0" applyAlignment="1" applyFill="1" applyFont="1">
      <alignment readingOrder="0"/>
    </xf>
    <xf borderId="0" fillId="0" fontId="10" numFmtId="170" xfId="0" applyAlignment="1" applyFont="1" applyNumberFormat="1">
      <alignment readingOrder="0"/>
    </xf>
    <xf borderId="0" fillId="0" fontId="11" numFmtId="0" xfId="0" applyFont="1"/>
    <xf borderId="0" fillId="0" fontId="17" numFmtId="0" xfId="0" applyFont="1"/>
    <xf borderId="0" fillId="0" fontId="8" numFmtId="0" xfId="0" applyFon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171" xfId="0" applyFont="1" applyNumberFormat="1"/>
    <xf borderId="0" fillId="0" fontId="10" numFmtId="172" xfId="0" applyFont="1" applyNumberFormat="1"/>
    <xf borderId="0" fillId="0" fontId="19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73" xfId="0" applyAlignment="1" applyFont="1" applyNumberFormat="1">
      <alignment vertical="bottom"/>
    </xf>
    <xf borderId="0" fillId="0" fontId="7" numFmtId="174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9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right"/>
    </xf>
    <xf borderId="0" fillId="0" fontId="10" numFmtId="0" xfId="0" applyAlignment="1" applyFont="1">
      <alignment horizontal="left"/>
    </xf>
    <xf borderId="0" fillId="0" fontId="20" numFmtId="0" xfId="0" applyFont="1"/>
    <xf borderId="0" fillId="0" fontId="10" numFmtId="171" xfId="0" applyAlignment="1" applyFont="1" applyNumberFormat="1">
      <alignment horizontal="left"/>
    </xf>
    <xf borderId="0" fillId="0" fontId="10" numFmtId="168" xfId="0" applyAlignment="1" applyFont="1" applyNumberFormat="1">
      <alignment horizontal="left"/>
    </xf>
    <xf borderId="0" fillId="0" fontId="10" numFmtId="168" xfId="0" applyAlignment="1" applyFont="1" applyNumberFormat="1">
      <alignment horizontal="right"/>
    </xf>
    <xf borderId="0" fillId="0" fontId="10" numFmtId="175" xfId="0" applyAlignment="1" applyFont="1" applyNumberFormat="1">
      <alignment horizontal="left"/>
    </xf>
    <xf borderId="0" fillId="0" fontId="10" numFmtId="176" xfId="0" applyAlignment="1" applyFont="1" applyNumberFormat="1">
      <alignment horizontal="left"/>
    </xf>
    <xf borderId="0" fillId="0" fontId="10" numFmtId="3" xfId="0" applyFont="1" applyNumberFormat="1"/>
    <xf borderId="0" fillId="0" fontId="10" numFmtId="3" xfId="0" applyAlignment="1" applyFont="1" applyNumberFormat="1">
      <alignment horizontal="right"/>
    </xf>
    <xf borderId="0" fillId="0" fontId="10" numFmtId="172" xfId="0" applyAlignment="1" applyFont="1" applyNumberFormat="1">
      <alignment horizontal="left"/>
    </xf>
    <xf borderId="0" fillId="0" fontId="10" numFmtId="177" xfId="0" applyAlignment="1" applyFont="1" applyNumberFormat="1">
      <alignment horizontal="left"/>
    </xf>
    <xf borderId="0" fillId="0" fontId="10" numFmtId="178" xfId="0" applyAlignment="1" applyFont="1" applyNumberFormat="1">
      <alignment horizontal="left"/>
    </xf>
    <xf borderId="0" fillId="0" fontId="10" numFmtId="179" xfId="0" applyFont="1" applyNumberFormat="1"/>
    <xf borderId="0" fillId="0" fontId="10" numFmtId="179" xfId="0" applyAlignment="1" applyFont="1" applyNumberFormat="1">
      <alignment horizontal="left"/>
    </xf>
    <xf borderId="0" fillId="0" fontId="10" numFmtId="167" xfId="0" applyAlignment="1" applyFont="1" applyNumberFormat="1">
      <alignment horizontal="left"/>
    </xf>
    <xf borderId="0" fillId="0" fontId="21" numFmtId="167" xfId="0" applyFont="1" applyNumberFormat="1"/>
    <xf borderId="0" fillId="0" fontId="10" numFmtId="165" xfId="0" applyAlignment="1" applyFont="1" applyNumberFormat="1">
      <alignment horizontal="left"/>
    </xf>
    <xf borderId="0" fillId="0" fontId="22" numFmtId="0" xfId="0" applyFont="1"/>
    <xf borderId="0" fillId="0" fontId="10" numFmtId="180" xfId="0" applyFont="1" applyNumberFormat="1"/>
    <xf borderId="0" fillId="0" fontId="10" numFmtId="181" xfId="0" applyFont="1" applyNumberFormat="1"/>
    <xf borderId="0" fillId="0" fontId="8" numFmtId="180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quotePrefix="1" borderId="0" fillId="0" fontId="8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8" numFmtId="0" xfId="0" applyFont="1"/>
    <xf borderId="0" fillId="0" fontId="17" numFmtId="180" xfId="0" applyFont="1" applyNumberFormat="1"/>
    <xf borderId="0" fillId="0" fontId="17" numFmtId="0" xfId="0" applyFont="1"/>
    <xf borderId="1" fillId="0" fontId="17" numFmtId="0" xfId="0" applyAlignment="1" applyBorder="1" applyFont="1">
      <alignment horizontal="left"/>
    </xf>
    <xf borderId="1" fillId="0" fontId="17" numFmtId="0" xfId="0" applyAlignment="1" applyBorder="1" applyFont="1">
      <alignment horizontal="left" readingOrder="0"/>
    </xf>
    <xf borderId="1" fillId="0" fontId="17" numFmtId="0" xfId="0" applyBorder="1" applyFont="1"/>
    <xf borderId="1" fillId="0" fontId="17" numFmtId="0" xfId="0" applyAlignment="1" applyBorder="1" applyFont="1">
      <alignment readingOrder="0"/>
    </xf>
    <xf borderId="0" fillId="8" fontId="24" numFmtId="0" xfId="0" applyFill="1" applyFont="1"/>
    <xf borderId="1" fillId="0" fontId="25" numFmtId="0" xfId="0" applyAlignment="1" applyBorder="1" applyFont="1">
      <alignment horizontal="left"/>
    </xf>
    <xf borderId="1" fillId="0" fontId="24" numFmtId="0" xfId="0" applyAlignment="1" applyBorder="1" applyFont="1">
      <alignment horizontal="left" readingOrder="0"/>
    </xf>
    <xf borderId="1" fillId="0" fontId="24" numFmtId="166" xfId="0" applyAlignment="1" applyBorder="1" applyFont="1" applyNumberFormat="1">
      <alignment horizontal="left" readingOrder="0"/>
    </xf>
    <xf borderId="1" fillId="0" fontId="17" numFmtId="165" xfId="0" applyAlignment="1" applyBorder="1" applyFont="1" applyNumberFormat="1">
      <alignment horizontal="left"/>
    </xf>
    <xf borderId="1" fillId="0" fontId="17" numFmtId="166" xfId="0" applyAlignment="1" applyBorder="1" applyFont="1" applyNumberFormat="1">
      <alignment horizontal="left"/>
    </xf>
    <xf borderId="1" fillId="0" fontId="17" numFmtId="166" xfId="0" applyAlignment="1" applyBorder="1" applyFont="1" applyNumberFormat="1">
      <alignment horizontal="left" readingOrder="0"/>
    </xf>
    <xf borderId="1" fillId="9" fontId="19" numFmtId="0" xfId="0" applyAlignment="1" applyBorder="1" applyFill="1" applyFont="1">
      <alignment horizontal="left" vertical="bottom"/>
    </xf>
    <xf borderId="1" fillId="9" fontId="19" numFmtId="166" xfId="0" applyAlignment="1" applyBorder="1" applyFont="1" applyNumberFormat="1">
      <alignment horizontal="left" vertical="bottom"/>
    </xf>
    <xf borderId="1" fillId="10" fontId="19" numFmtId="0" xfId="0" applyAlignment="1" applyBorder="1" applyFill="1" applyFont="1">
      <alignment horizontal="left" vertical="bottom"/>
    </xf>
    <xf borderId="1" fillId="9" fontId="19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horizontal="left" vertical="bottom"/>
    </xf>
    <xf borderId="1" fillId="0" fontId="7" numFmtId="166" xfId="0" applyAlignment="1" applyBorder="1" applyFont="1" applyNumberFormat="1">
      <alignment horizontal="left" vertical="bottom"/>
    </xf>
    <xf borderId="1" fillId="0" fontId="26" numFmtId="0" xfId="0" applyAlignment="1" applyBorder="1" applyFont="1">
      <alignment horizontal="left" readingOrder="0" vertical="bottom"/>
    </xf>
    <xf borderId="1" fillId="0" fontId="26" numFmtId="0" xfId="0" applyAlignment="1" applyBorder="1" applyFont="1">
      <alignment horizontal="left" vertical="bottom"/>
    </xf>
    <xf borderId="1" fillId="0" fontId="26" numFmtId="0" xfId="0" applyAlignment="1" applyBorder="1" applyFont="1">
      <alignment horizontal="left" shrinkToFit="0" wrapText="1"/>
    </xf>
    <xf borderId="1" fillId="2" fontId="27" numFmtId="0" xfId="0" applyAlignment="1" applyBorder="1" applyFont="1">
      <alignment horizontal="left" vertical="bottom"/>
    </xf>
    <xf borderId="1" fillId="2" fontId="28" numFmtId="0" xfId="0" applyAlignment="1" applyBorder="1" applyFont="1">
      <alignment horizontal="left" vertical="bottom"/>
    </xf>
    <xf borderId="1" fillId="2" fontId="29" numFmtId="0" xfId="0" applyAlignment="1" applyBorder="1" applyFont="1">
      <alignment horizontal="left" vertical="bottom"/>
    </xf>
    <xf borderId="1" fillId="0" fontId="30" numFmtId="0" xfId="0" applyAlignment="1" applyBorder="1" applyFont="1">
      <alignment horizontal="left"/>
    </xf>
    <xf borderId="1" fillId="0" fontId="7" numFmtId="0" xfId="0" applyAlignment="1" applyBorder="1" applyFont="1">
      <alignment horizontal="left" vertical="bottom"/>
    </xf>
    <xf borderId="1" fillId="0" fontId="26" numFmtId="0" xfId="0" applyAlignment="1" applyBorder="1" applyFont="1">
      <alignment horizontal="left" vertical="bottom"/>
    </xf>
    <xf borderId="1" fillId="0" fontId="7" numFmtId="168" xfId="0" applyAlignment="1" applyBorder="1" applyFont="1" applyNumberFormat="1">
      <alignment horizontal="left" vertical="bottom"/>
    </xf>
    <xf borderId="1" fillId="0" fontId="26" numFmtId="166" xfId="0" applyAlignment="1" applyBorder="1" applyFont="1" applyNumberFormat="1">
      <alignment horizontal="left" vertical="bottom"/>
    </xf>
    <xf borderId="1" fillId="0" fontId="26" numFmtId="166" xfId="0" applyAlignment="1" applyBorder="1" applyFont="1" applyNumberFormat="1">
      <alignment horizontal="left" shrinkToFit="0" wrapText="1"/>
    </xf>
    <xf borderId="1" fillId="0" fontId="26" numFmtId="0" xfId="0" applyAlignment="1" applyBorder="1" applyFont="1">
      <alignment horizontal="left"/>
    </xf>
    <xf borderId="1" fillId="0" fontId="26" numFmtId="0" xfId="0" applyAlignment="1" applyBorder="1" applyFont="1">
      <alignment horizontal="left" textRotation="0"/>
    </xf>
    <xf borderId="1" fillId="0" fontId="26" numFmtId="166" xfId="0" applyAlignment="1" applyBorder="1" applyFont="1" applyNumberFormat="1">
      <alignment horizontal="left" textRotation="0"/>
    </xf>
    <xf borderId="1" fillId="0" fontId="26" numFmtId="0" xfId="0" applyAlignment="1" applyBorder="1" applyFont="1">
      <alignment horizontal="left" shrinkToFit="0" wrapText="1"/>
    </xf>
    <xf borderId="1" fillId="0" fontId="26" numFmtId="168" xfId="0" applyAlignment="1" applyBorder="1" applyFont="1" applyNumberFormat="1">
      <alignment horizontal="left" vertical="bottom"/>
    </xf>
    <xf borderId="1" fillId="0" fontId="31" numFmtId="0" xfId="0" applyAlignment="1" applyBorder="1" applyFont="1">
      <alignment horizontal="left" vertical="bottom"/>
    </xf>
    <xf borderId="1" fillId="2" fontId="32" numFmtId="0" xfId="0" applyAlignment="1" applyBorder="1" applyFont="1">
      <alignment horizontal="left" vertical="bottom"/>
    </xf>
    <xf borderId="1" fillId="2" fontId="29" numFmtId="175" xfId="0" applyAlignment="1" applyBorder="1" applyFont="1" applyNumberFormat="1">
      <alignment horizontal="left" vertical="bottom"/>
    </xf>
    <xf borderId="1" fillId="2" fontId="33" numFmtId="0" xfId="0" applyAlignment="1" applyBorder="1" applyFont="1">
      <alignment horizontal="left" shrinkToFit="0" vertical="bottom" wrapText="0"/>
    </xf>
    <xf borderId="1" fillId="2" fontId="7" numFmtId="166" xfId="0" applyAlignment="1" applyBorder="1" applyFont="1" applyNumberFormat="1">
      <alignment horizontal="left" vertical="bottom"/>
    </xf>
    <xf borderId="1" fillId="2" fontId="26" numFmtId="0" xfId="0" applyAlignment="1" applyBorder="1" applyFont="1">
      <alignment horizontal="left" vertical="bottom"/>
    </xf>
    <xf borderId="1" fillId="2" fontId="7" numFmtId="0" xfId="0" applyAlignment="1" applyBorder="1" applyFont="1">
      <alignment horizontal="left" vertical="bottom"/>
    </xf>
    <xf borderId="1" fillId="2" fontId="26" numFmtId="0" xfId="0" applyAlignment="1" applyBorder="1" applyFont="1">
      <alignment horizontal="left" readingOrder="0" vertical="bottom"/>
    </xf>
    <xf borderId="1" fillId="11" fontId="33" numFmtId="0" xfId="0" applyAlignment="1" applyBorder="1" applyFill="1" applyFont="1">
      <alignment horizontal="left" shrinkToFit="0" vertical="bottom" wrapText="0"/>
    </xf>
    <xf borderId="1" fillId="11" fontId="7" numFmtId="166" xfId="0" applyAlignment="1" applyBorder="1" applyFont="1" applyNumberFormat="1">
      <alignment horizontal="left" vertical="bottom"/>
    </xf>
    <xf borderId="1" fillId="11" fontId="26" numFmtId="0" xfId="0" applyAlignment="1" applyBorder="1" applyFont="1">
      <alignment horizontal="left" vertical="bottom"/>
    </xf>
    <xf borderId="1" fillId="11" fontId="7" numFmtId="0" xfId="0" applyAlignment="1" applyBorder="1" applyFont="1">
      <alignment horizontal="left" vertical="bottom"/>
    </xf>
    <xf borderId="1" fillId="11" fontId="26" numFmtId="0" xfId="0" applyAlignment="1" applyBorder="1" applyFont="1">
      <alignment horizontal="left" readingOrder="0" vertical="bottom"/>
    </xf>
    <xf borderId="1" fillId="2" fontId="7" numFmtId="0" xfId="0" applyAlignment="1" applyBorder="1" applyFont="1">
      <alignment horizontal="left" readingOrder="0" vertical="bottom"/>
    </xf>
    <xf borderId="1" fillId="2" fontId="7" numFmtId="166" xfId="0" applyAlignment="1" applyBorder="1" applyFont="1" applyNumberFormat="1">
      <alignment horizontal="left" readingOrder="0" vertical="bottom"/>
    </xf>
    <xf borderId="1" fillId="11" fontId="7" numFmtId="0" xfId="0" applyAlignment="1" applyBorder="1" applyFont="1">
      <alignment horizontal="left" readingOrder="0" vertical="bottom"/>
    </xf>
    <xf borderId="1" fillId="11" fontId="7" numFmtId="166" xfId="0" applyAlignment="1" applyBorder="1" applyFont="1" applyNumberFormat="1">
      <alignment horizontal="left" readingOrder="0" vertical="bottom"/>
    </xf>
    <xf borderId="1" fillId="2" fontId="33" numFmtId="0" xfId="0" applyAlignment="1" applyBorder="1" applyFont="1">
      <alignment horizontal="left" readingOrder="0" shrinkToFit="0" vertical="bottom" wrapText="0"/>
    </xf>
    <xf borderId="1" fillId="2" fontId="7" numFmtId="0" xfId="0" applyAlignment="1" applyBorder="1" applyFont="1">
      <alignment horizontal="left" readingOrder="0" vertical="bottom"/>
    </xf>
    <xf borderId="1" fillId="11" fontId="33" numFmtId="0" xfId="0" applyAlignment="1" applyBorder="1" applyFont="1">
      <alignment horizontal="left" readingOrder="0" shrinkToFit="0" vertical="bottom" wrapText="0"/>
    </xf>
    <xf borderId="1" fillId="11" fontId="7" numFmtId="0" xfId="0" applyAlignment="1" applyBorder="1" applyFont="1">
      <alignment horizontal="left" readingOrder="0" vertical="bottom"/>
    </xf>
    <xf borderId="1" fillId="0" fontId="19" numFmtId="0" xfId="0" applyAlignment="1" applyBorder="1" applyFont="1">
      <alignment horizontal="left" vertical="bottom"/>
    </xf>
    <xf borderId="1" fillId="0" fontId="19" numFmtId="0" xfId="0" applyAlignment="1" applyBorder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1" fillId="0" fontId="7" numFmtId="0" xfId="0" applyAlignment="1" applyBorder="1" applyFont="1">
      <alignment horizontal="left" readingOrder="0" vertical="bottom"/>
    </xf>
    <xf borderId="1" fillId="0" fontId="34" numFmtId="168" xfId="0" applyAlignment="1" applyBorder="1" applyFont="1" applyNumberFormat="1">
      <alignment horizontal="left" vertical="bottom"/>
    </xf>
    <xf borderId="1" fillId="2" fontId="35" numFmtId="0" xfId="0" applyAlignment="1" applyBorder="1" applyFont="1">
      <alignment horizontal="left" vertical="bottom"/>
    </xf>
    <xf borderId="1" fillId="0" fontId="36" numFmtId="0" xfId="0" applyAlignment="1" applyBorder="1" applyFont="1">
      <alignment horizontal="left" vertical="bottom"/>
    </xf>
    <xf borderId="1" fillId="2" fontId="37" numFmtId="0" xfId="0" applyAlignment="1" applyBorder="1" applyFont="1">
      <alignment horizontal="left" vertical="bottom"/>
    </xf>
    <xf borderId="1" fillId="2" fontId="38" numFmtId="0" xfId="0" applyAlignment="1" applyBorder="1" applyFont="1">
      <alignment horizontal="left" readingOrder="0" vertical="bottom"/>
    </xf>
    <xf borderId="1" fillId="0" fontId="39" numFmtId="0" xfId="0" applyAlignment="1" applyBorder="1" applyFont="1">
      <alignment horizontal="left" vertical="bottom"/>
    </xf>
    <xf borderId="1" fillId="0" fontId="30" numFmtId="0" xfId="0" applyAlignment="1" applyBorder="1" applyFont="1">
      <alignment horizontal="left" vertical="bottom"/>
    </xf>
    <xf borderId="1" fillId="2" fontId="40" numFmtId="0" xfId="0" applyAlignment="1" applyBorder="1" applyFont="1">
      <alignment horizontal="left" vertical="bottom"/>
    </xf>
    <xf borderId="1" fillId="2" fontId="35" numFmtId="0" xfId="0" applyAlignment="1" applyBorder="1" applyFont="1">
      <alignment horizontal="left" readingOrder="0" vertical="bottom"/>
    </xf>
    <xf borderId="1" fillId="0" fontId="30" numFmtId="0" xfId="0" applyAlignment="1" applyBorder="1" applyFont="1">
      <alignment horizontal="left" readingOrder="0" vertical="bottom"/>
    </xf>
    <xf borderId="1" fillId="0" fontId="7" numFmtId="168" xfId="0" applyAlignment="1" applyBorder="1" applyFont="1" applyNumberFormat="1">
      <alignment horizontal="left" readingOrder="0" vertical="bottom"/>
    </xf>
    <xf borderId="1" fillId="12" fontId="41" numFmtId="0" xfId="0" applyAlignment="1" applyBorder="1" applyFill="1" applyFont="1">
      <alignment readingOrder="0"/>
    </xf>
    <xf borderId="0" fillId="0" fontId="30" numFmtId="0" xfId="0" applyAlignment="1" applyFont="1">
      <alignment horizontal="left" readingOrder="0" vertical="bottom"/>
    </xf>
    <xf borderId="0" fillId="2" fontId="35" numFmtId="0" xfId="0" applyAlignment="1" applyFont="1">
      <alignment horizontal="left" readingOrder="0" vertical="bottom"/>
    </xf>
    <xf borderId="0" fillId="0" fontId="7" numFmtId="0" xfId="0" applyAlignment="1" applyFont="1">
      <alignment horizontal="left" vertical="bottom"/>
    </xf>
    <xf borderId="0" fillId="0" fontId="7" numFmtId="168" xfId="0" applyAlignment="1" applyFont="1" applyNumberFormat="1">
      <alignment horizontal="left" readingOrder="0" vertical="bottom"/>
    </xf>
    <xf borderId="0" fillId="0" fontId="42" numFmtId="0" xfId="0" applyAlignment="1" applyFont="1">
      <alignment vertical="center"/>
    </xf>
    <xf borderId="0" fillId="0" fontId="14" numFmtId="0" xfId="0" applyFont="1"/>
    <xf borderId="0" fillId="0" fontId="14" numFmtId="0" xfId="0" applyFont="1"/>
    <xf borderId="0" fillId="0" fontId="2" numFmtId="0" xfId="0" applyFont="1"/>
    <xf borderId="0" fillId="0" fontId="43" numFmtId="0" xfId="0" applyFont="1"/>
    <xf borderId="0" fillId="0" fontId="44" numFmtId="0" xfId="0" applyAlignment="1" applyFont="1">
      <alignment readingOrder="0"/>
    </xf>
    <xf borderId="2" fillId="13" fontId="45" numFmtId="0" xfId="0" applyAlignment="1" applyBorder="1" applyFill="1" applyFont="1">
      <alignment horizontal="center" vertical="center"/>
    </xf>
    <xf borderId="3" fillId="0" fontId="46" numFmtId="0" xfId="0" applyBorder="1" applyFont="1"/>
    <xf borderId="4" fillId="0" fontId="46" numFmtId="0" xfId="0" applyBorder="1" applyFont="1"/>
    <xf borderId="5" fillId="0" fontId="46" numFmtId="0" xfId="0" applyBorder="1" applyFont="1"/>
    <xf borderId="6" fillId="0" fontId="46" numFmtId="0" xfId="0" applyBorder="1" applyFont="1"/>
    <xf borderId="7" fillId="0" fontId="46" numFmtId="0" xfId="0" applyBorder="1" applyFont="1"/>
    <xf borderId="8" fillId="0" fontId="46" numFmtId="0" xfId="0" applyBorder="1" applyFont="1"/>
    <xf borderId="9" fillId="0" fontId="46" numFmtId="0" xfId="0" applyBorder="1" applyFont="1"/>
    <xf borderId="10" fillId="0" fontId="47" numFmtId="0" xfId="0" applyBorder="1" applyFont="1"/>
    <xf borderId="11" fillId="0" fontId="47" numFmtId="0" xfId="0" applyBorder="1" applyFont="1"/>
    <xf borderId="12" fillId="0" fontId="47" numFmtId="0" xfId="0" applyBorder="1" applyFont="1"/>
    <xf borderId="10" fillId="0" fontId="47" numFmtId="49" xfId="0" applyBorder="1" applyFont="1" applyNumberFormat="1"/>
    <xf borderId="13" fillId="0" fontId="47" numFmtId="49" xfId="0" applyBorder="1" applyFont="1" applyNumberFormat="1"/>
    <xf borderId="14" fillId="0" fontId="47" numFmtId="49" xfId="0" applyBorder="1" applyFont="1" applyNumberFormat="1"/>
    <xf borderId="13" fillId="0" fontId="47" numFmtId="0" xfId="0" applyBorder="1" applyFont="1"/>
    <xf borderId="14" fillId="0" fontId="47" numFmtId="0" xfId="0" applyBorder="1" applyFont="1"/>
    <xf borderId="15" fillId="0" fontId="47" numFmtId="0" xfId="0" applyBorder="1" applyFont="1"/>
    <xf borderId="0" fillId="0" fontId="47" numFmtId="0" xfId="0" applyFont="1"/>
    <xf borderId="16" fillId="0" fontId="47" numFmtId="0" xfId="0" applyBorder="1" applyFont="1"/>
    <xf borderId="17" fillId="0" fontId="47" numFmtId="0" xfId="0" applyBorder="1" applyFont="1"/>
    <xf borderId="18" fillId="0" fontId="47" numFmtId="0" xfId="0" applyBorder="1" applyFont="1"/>
    <xf borderId="19" fillId="0" fontId="47" numFmtId="0" xfId="0" applyBorder="1" applyFont="1"/>
    <xf borderId="1" fillId="0" fontId="48" numFmtId="0" xfId="0" applyBorder="1" applyFont="1"/>
    <xf borderId="1" fillId="14" fontId="49" numFmtId="0" xfId="0" applyAlignment="1" applyBorder="1" applyFill="1" applyFont="1">
      <alignment horizontal="center" vertical="center"/>
    </xf>
    <xf borderId="1" fillId="14" fontId="50" numFmtId="0" xfId="0" applyAlignment="1" applyBorder="1" applyFont="1">
      <alignment horizontal="center" vertical="center"/>
    </xf>
    <xf borderId="1" fillId="14" fontId="51" numFmtId="0" xfId="0" applyAlignment="1" applyBorder="1" applyFont="1">
      <alignment horizontal="center" vertical="center"/>
    </xf>
    <xf borderId="1" fillId="15" fontId="52" numFmtId="0" xfId="0" applyAlignment="1" applyBorder="1" applyFill="1" applyFont="1">
      <alignment horizontal="center"/>
    </xf>
    <xf borderId="0" fillId="0" fontId="51" numFmtId="0" xfId="0" applyAlignment="1" applyFont="1">
      <alignment horizontal="left"/>
    </xf>
    <xf borderId="0" fillId="0" fontId="51" numFmtId="0" xfId="0" applyFont="1"/>
    <xf borderId="1" fillId="2" fontId="52" numFmtId="1" xfId="0" applyAlignment="1" applyBorder="1" applyFont="1" applyNumberFormat="1">
      <alignment horizontal="center" vertical="center"/>
    </xf>
    <xf borderId="1" fillId="0" fontId="51" numFmtId="0" xfId="0" applyAlignment="1" applyBorder="1" applyFont="1">
      <alignment horizontal="center" vertical="center"/>
    </xf>
    <xf borderId="1" fillId="2" fontId="52" numFmtId="1" xfId="0" applyAlignment="1" applyBorder="1" applyFont="1" applyNumberFormat="1">
      <alignment horizontal="center"/>
    </xf>
    <xf borderId="1" fillId="2" fontId="52" numFmtId="0" xfId="0" applyAlignment="1" applyBorder="1" applyFont="1">
      <alignment horizontal="center" vertical="center"/>
    </xf>
    <xf borderId="1" fillId="0" fontId="53" numFmtId="0" xfId="0" applyAlignment="1" applyBorder="1" applyFont="1">
      <alignment horizontal="center" vertical="center"/>
    </xf>
    <xf borderId="1" fillId="0" fontId="51" numFmtId="0" xfId="0" applyAlignment="1" applyBorder="1" applyFont="1">
      <alignment horizontal="center"/>
    </xf>
    <xf borderId="1" fillId="0" fontId="51" numFmtId="0" xfId="0" applyAlignment="1" applyBorder="1" applyFont="1">
      <alignment horizontal="left"/>
    </xf>
    <xf borderId="1" fillId="2" fontId="52" numFmtId="12" xfId="0" applyAlignment="1" applyBorder="1" applyFont="1" applyNumberFormat="1">
      <alignment horizontal="center"/>
    </xf>
    <xf borderId="1" fillId="2" fontId="52" numFmtId="12" xfId="0" applyAlignment="1" applyBorder="1" applyFont="1" applyNumberFormat="1">
      <alignment horizontal="center" vertical="center"/>
    </xf>
    <xf borderId="1" fillId="2" fontId="51" numFmtId="0" xfId="0" applyAlignment="1" applyBorder="1" applyFont="1">
      <alignment horizontal="center" vertical="center"/>
    </xf>
    <xf borderId="1" fillId="2" fontId="53" numFmtId="1" xfId="0" applyAlignment="1" applyBorder="1" applyFont="1" applyNumberFormat="1">
      <alignment horizontal="center" vertical="center"/>
    </xf>
    <xf borderId="1" fillId="2" fontId="52" numFmtId="0" xfId="0" applyAlignment="1" applyBorder="1" applyFont="1">
      <alignment horizontal="center" shrinkToFit="0" vertical="center" wrapText="1"/>
    </xf>
    <xf borderId="1" fillId="2" fontId="53" numFmtId="0" xfId="0" applyAlignment="1" applyBorder="1" applyFont="1">
      <alignment horizontal="center" vertical="center"/>
    </xf>
    <xf borderId="1" fillId="0" fontId="51" numFmtId="1" xfId="0" applyAlignment="1" applyBorder="1" applyFont="1" applyNumberFormat="1">
      <alignment horizontal="center" vertical="center"/>
    </xf>
    <xf borderId="1" fillId="16" fontId="52" numFmtId="0" xfId="0" applyAlignment="1" applyBorder="1" applyFill="1" applyFont="1">
      <alignment horizontal="center" vertical="center"/>
    </xf>
    <xf borderId="1" fillId="2" fontId="51" numFmtId="1" xfId="0" applyAlignment="1" applyBorder="1" applyFont="1" applyNumberFormat="1">
      <alignment horizontal="center" vertical="center"/>
    </xf>
    <xf borderId="1" fillId="2" fontId="51" numFmtId="0" xfId="0" applyAlignment="1" applyBorder="1" applyFont="1">
      <alignment horizontal="center"/>
    </xf>
    <xf borderId="0" fillId="0" fontId="48" numFmtId="0" xfId="0" applyAlignment="1" applyFont="1">
      <alignment horizontal="center"/>
    </xf>
    <xf borderId="1" fillId="0" fontId="51" numFmtId="1" xfId="0" applyAlignment="1" applyBorder="1" applyFont="1" applyNumberFormat="1">
      <alignment horizontal="center"/>
    </xf>
    <xf borderId="1" fillId="2" fontId="52" numFmtId="0" xfId="0" applyAlignment="1" applyBorder="1" applyFont="1">
      <alignment horizontal="center"/>
    </xf>
    <xf borderId="1" fillId="2" fontId="54" numFmtId="0" xfId="0" applyAlignment="1" applyBorder="1" applyFont="1">
      <alignment horizontal="center"/>
    </xf>
    <xf borderId="1" fillId="2" fontId="55" numFmtId="0" xfId="0" applyAlignment="1" applyBorder="1" applyFont="1">
      <alignment horizontal="center"/>
    </xf>
    <xf borderId="20" fillId="17" fontId="56" numFmtId="0" xfId="0" applyAlignment="1" applyBorder="1" applyFill="1" applyFont="1">
      <alignment horizontal="center"/>
    </xf>
    <xf borderId="1" fillId="18" fontId="51" numFmtId="0" xfId="0" applyAlignment="1" applyBorder="1" applyFill="1" applyFont="1">
      <alignment horizontal="center" vertical="center"/>
    </xf>
    <xf borderId="1" fillId="0" fontId="48" numFmtId="0" xfId="0" applyAlignment="1" applyBorder="1" applyFont="1">
      <alignment horizontal="center"/>
    </xf>
    <xf borderId="1" fillId="2" fontId="48" numFmtId="12" xfId="0" applyBorder="1" applyFont="1" applyNumberFormat="1"/>
    <xf borderId="1" fillId="0" fontId="52" numFmtId="0" xfId="0" applyAlignment="1" applyBorder="1" applyFont="1">
      <alignment horizontal="center" vertical="center"/>
    </xf>
    <xf borderId="1" fillId="2" fontId="48" numFmtId="0" xfId="0" applyAlignment="1" applyBorder="1" applyFont="1">
      <alignment horizontal="center" vertical="center"/>
    </xf>
    <xf borderId="1" fillId="2" fontId="52" numFmtId="1" xfId="0" applyAlignment="1" applyBorder="1" applyFont="1" applyNumberFormat="1">
      <alignment horizontal="center" shrinkToFit="0" vertical="center" wrapText="1"/>
    </xf>
    <xf borderId="20" fillId="2" fontId="51" numFmtId="0" xfId="0" applyAlignment="1" applyBorder="1" applyFont="1">
      <alignment horizontal="center"/>
    </xf>
    <xf borderId="20" fillId="2" fontId="54" numFmtId="0" xfId="0" applyAlignment="1" applyBorder="1" applyFont="1">
      <alignment horizontal="center"/>
    </xf>
    <xf borderId="1" fillId="18" fontId="52" numFmtId="0" xfId="0" applyAlignment="1" applyBorder="1" applyFont="1">
      <alignment horizontal="center" vertical="center"/>
    </xf>
    <xf borderId="1" fillId="0" fontId="57" numFmtId="0" xfId="0" applyAlignment="1" applyBorder="1" applyFont="1">
      <alignment horizontal="center" vertical="center"/>
    </xf>
    <xf borderId="1" fillId="2" fontId="58" numFmtId="12" xfId="0" applyAlignment="1" applyBorder="1" applyFont="1" applyNumberFormat="1">
      <alignment horizontal="center" vertical="center"/>
    </xf>
    <xf borderId="1" fillId="2" fontId="59" numFmtId="0" xfId="0" applyAlignment="1" applyBorder="1" applyFont="1">
      <alignment horizontal="center" vertical="center"/>
    </xf>
    <xf borderId="1" fillId="0" fontId="57" numFmtId="1" xfId="0" applyAlignment="1" applyBorder="1" applyFont="1" applyNumberFormat="1">
      <alignment horizontal="center" vertical="center"/>
    </xf>
    <xf borderId="1" fillId="2" fontId="57" numFmtId="0" xfId="0" applyAlignment="1" applyBorder="1" applyFont="1">
      <alignment horizontal="center" vertical="center"/>
    </xf>
    <xf borderId="1" fillId="0" fontId="59" numFmtId="0" xfId="0" applyAlignment="1" applyBorder="1" applyFont="1">
      <alignment horizontal="center" vertical="center"/>
    </xf>
    <xf borderId="1" fillId="18" fontId="59" numFmtId="0" xfId="0" applyAlignment="1" applyBorder="1" applyFont="1">
      <alignment horizontal="center" vertical="center"/>
    </xf>
    <xf borderId="1" fillId="2" fontId="53" numFmtId="12" xfId="0" applyAlignment="1" applyBorder="1" applyFont="1" applyNumberFormat="1">
      <alignment horizontal="center" vertical="center"/>
    </xf>
    <xf borderId="1" fillId="0" fontId="60" numFmtId="0" xfId="0" applyAlignment="1" applyBorder="1" applyFont="1">
      <alignment horizontal="center" vertical="center"/>
    </xf>
    <xf borderId="20" fillId="2" fontId="61" numFmtId="0" xfId="0" applyAlignment="1" applyBorder="1" applyFont="1">
      <alignment horizontal="center" vertical="top"/>
    </xf>
    <xf borderId="1" fillId="2" fontId="62" numFmtId="0" xfId="0" applyAlignment="1" applyBorder="1" applyFont="1">
      <alignment horizontal="center"/>
    </xf>
    <xf borderId="1" fillId="0" fontId="48" numFmtId="1" xfId="0" applyAlignment="1" applyBorder="1" applyFont="1" applyNumberFormat="1">
      <alignment horizontal="center" vertical="center"/>
    </xf>
    <xf borderId="1" fillId="2" fontId="29" numFmtId="0" xfId="0" applyAlignment="1" applyBorder="1" applyFont="1">
      <alignment horizontal="center"/>
    </xf>
    <xf borderId="20" fillId="2" fontId="63" numFmtId="0" xfId="0" applyAlignment="1" applyBorder="1" applyFont="1">
      <alignment horizontal="center"/>
    </xf>
    <xf borderId="20" fillId="12" fontId="56" numFmtId="0" xfId="0" applyAlignment="1" applyBorder="1" applyFont="1">
      <alignment horizontal="center"/>
    </xf>
    <xf borderId="1" fillId="2" fontId="53" numFmtId="0" xfId="0" applyAlignment="1" applyBorder="1" applyFont="1">
      <alignment horizontal="center"/>
    </xf>
    <xf borderId="1" fillId="2" fontId="64" numFmtId="0" xfId="0" applyAlignment="1" applyBorder="1" applyFont="1">
      <alignment horizontal="center"/>
    </xf>
    <xf borderId="20" fillId="2" fontId="65" numFmtId="0" xfId="0" applyAlignment="1" applyBorder="1" applyFont="1">
      <alignment horizontal="center"/>
    </xf>
    <xf borderId="20" fillId="2" fontId="56" numFmtId="0" xfId="0" applyAlignment="1" applyBorder="1" applyFont="1">
      <alignment horizontal="center"/>
    </xf>
    <xf borderId="20" fillId="12" fontId="56" numFmtId="0" xfId="0" applyBorder="1" applyFont="1"/>
    <xf borderId="1" fillId="0" fontId="51" numFmtId="12" xfId="0" applyAlignment="1" applyBorder="1" applyFont="1" applyNumberFormat="1">
      <alignment horizontal="center"/>
    </xf>
    <xf borderId="1" fillId="2" fontId="66" numFmtId="0" xfId="0" applyAlignment="1" applyBorder="1" applyFont="1">
      <alignment horizontal="center"/>
    </xf>
    <xf borderId="1" fillId="2" fontId="67" numFmtId="0" xfId="0" applyAlignment="1" applyBorder="1" applyFont="1">
      <alignment horizontal="center"/>
    </xf>
    <xf borderId="1" fillId="0" fontId="53" numFmtId="12" xfId="0" applyAlignment="1" applyBorder="1" applyFont="1" applyNumberFormat="1">
      <alignment horizontal="center" vertical="center"/>
    </xf>
    <xf borderId="0" fillId="0" fontId="68" numFmtId="1" xfId="0" applyAlignment="1" applyFont="1" applyNumberFormat="1">
      <alignment shrinkToFit="0" wrapText="1"/>
    </xf>
    <xf borderId="0" fillId="0" fontId="41" numFmtId="0" xfId="0" applyAlignment="1" applyFont="1">
      <alignment horizontal="center"/>
    </xf>
    <xf borderId="1" fillId="2" fontId="69" numFmtId="0" xfId="0" applyAlignment="1" applyBorder="1" applyFont="1">
      <alignment horizontal="center" vertical="top"/>
    </xf>
    <xf borderId="1" fillId="2" fontId="70" numFmtId="0" xfId="0" applyAlignment="1" applyBorder="1" applyFont="1">
      <alignment horizontal="center" vertical="center"/>
    </xf>
    <xf borderId="1" fillId="0" fontId="56" numFmtId="0" xfId="0" applyAlignment="1" applyBorder="1" applyFont="1">
      <alignment horizontal="center"/>
    </xf>
    <xf borderId="1" fillId="2" fontId="71" numFmtId="0" xfId="0" applyAlignment="1" applyBorder="1" applyFont="1">
      <alignment horizontal="center"/>
    </xf>
    <xf borderId="1" fillId="2" fontId="72" numFmtId="0" xfId="0" applyAlignment="1" applyBorder="1" applyFont="1">
      <alignment horizontal="center"/>
    </xf>
    <xf borderId="1" fillId="2" fontId="59" numFmtId="12" xfId="0" applyAlignment="1" applyBorder="1" applyFont="1" applyNumberFormat="1">
      <alignment horizontal="center" vertical="center"/>
    </xf>
    <xf borderId="1" fillId="2" fontId="61" numFmtId="0" xfId="0" applyAlignment="1" applyBorder="1" applyFont="1">
      <alignment horizontal="center" vertical="top"/>
    </xf>
    <xf borderId="1" fillId="2" fontId="68" numFmtId="1" xfId="0" applyAlignment="1" applyBorder="1" applyFont="1" applyNumberFormat="1">
      <alignment horizontal="center" vertical="center"/>
    </xf>
    <xf borderId="21" fillId="0" fontId="48" numFmtId="0" xfId="0" applyAlignment="1" applyBorder="1" applyFont="1">
      <alignment horizontal="center"/>
    </xf>
    <xf borderId="20" fillId="17" fontId="65" numFmtId="0" xfId="0" applyAlignment="1" applyBorder="1" applyFont="1">
      <alignment horizontal="center"/>
    </xf>
    <xf borderId="1" fillId="2" fontId="73" numFmtId="0" xfId="0" applyAlignment="1" applyBorder="1" applyFont="1">
      <alignment horizontal="center"/>
    </xf>
    <xf borderId="1" fillId="2" fontId="63" numFmtId="0" xfId="0" applyAlignment="1" applyBorder="1" applyFont="1">
      <alignment horizontal="center"/>
    </xf>
    <xf borderId="1" fillId="2" fontId="48" numFmtId="1" xfId="0" applyAlignment="1" applyBorder="1" applyFont="1" applyNumberFormat="1">
      <alignment horizontal="center"/>
    </xf>
    <xf borderId="1" fillId="2" fontId="48" numFmtId="12" xfId="0" applyAlignment="1" applyBorder="1" applyFont="1" applyNumberFormat="1">
      <alignment horizontal="center"/>
    </xf>
    <xf borderId="1" fillId="2" fontId="48" numFmtId="0" xfId="0" applyAlignment="1" applyBorder="1" applyFont="1">
      <alignment horizontal="center"/>
    </xf>
    <xf borderId="1" fillId="0" fontId="52" numFmtId="1" xfId="0" applyAlignment="1" applyBorder="1" applyFont="1" applyNumberFormat="1">
      <alignment horizontal="center" vertical="center"/>
    </xf>
    <xf borderId="1" fillId="0" fontId="48" numFmtId="12" xfId="0" applyAlignment="1" applyBorder="1" applyFont="1" applyNumberFormat="1">
      <alignment horizontal="center"/>
    </xf>
    <xf borderId="1" fillId="0" fontId="52" numFmtId="12" xfId="0" applyAlignment="1" applyBorder="1" applyFont="1" applyNumberFormat="1">
      <alignment horizontal="center" vertical="center"/>
    </xf>
    <xf borderId="20" fillId="2" fontId="74" numFmtId="0" xfId="0" applyAlignment="1" applyBorder="1" applyFont="1">
      <alignment horizontal="center"/>
    </xf>
    <xf borderId="1" fillId="0" fontId="60" numFmtId="0" xfId="0" applyAlignment="1" applyBorder="1" applyFont="1">
      <alignment horizontal="center"/>
    </xf>
    <xf borderId="0" fillId="0" fontId="51" numFmtId="0" xfId="0" applyAlignment="1" applyFont="1">
      <alignment horizontal="center"/>
    </xf>
    <xf borderId="1" fillId="19" fontId="52" numFmtId="0" xfId="0" applyAlignment="1" applyBorder="1" applyFill="1" applyFont="1">
      <alignment horizontal="center" vertical="center"/>
    </xf>
    <xf borderId="1" fillId="2" fontId="53" numFmtId="0" xfId="0" applyAlignment="1" applyBorder="1" applyFont="1">
      <alignment horizontal="center" shrinkToFit="0" vertical="center" wrapText="1"/>
    </xf>
    <xf borderId="1" fillId="2" fontId="53" numFmtId="1" xfId="0" applyAlignment="1" applyBorder="1" applyFont="1" applyNumberFormat="1">
      <alignment horizontal="center" shrinkToFit="0" vertical="center" wrapText="1"/>
    </xf>
    <xf borderId="1" fillId="18" fontId="53" numFmtId="0" xfId="0" applyAlignment="1" applyBorder="1" applyFont="1">
      <alignment horizontal="center" vertical="center"/>
    </xf>
    <xf borderId="0" fillId="0" fontId="48" numFmtId="0" xfId="0" applyFont="1"/>
    <xf borderId="1" fillId="2" fontId="75" numFmtId="0" xfId="0" applyAlignment="1" applyBorder="1" applyFont="1">
      <alignment horizontal="center"/>
    </xf>
    <xf borderId="1" fillId="2" fontId="48" numFmtId="1" xfId="0" applyAlignment="1" applyBorder="1" applyFont="1" applyNumberFormat="1">
      <alignment horizontal="center" vertical="center"/>
    </xf>
    <xf borderId="1" fillId="2" fontId="76" numFmtId="1" xfId="0" applyAlignment="1" applyBorder="1" applyFont="1" applyNumberFormat="1">
      <alignment horizontal="center" vertical="center"/>
    </xf>
    <xf borderId="1" fillId="2" fontId="62" numFmtId="1" xfId="0" applyAlignment="1" applyBorder="1" applyFont="1" applyNumberFormat="1">
      <alignment horizontal="center" vertical="center"/>
    </xf>
    <xf borderId="1" fillId="0" fontId="77" numFmtId="0" xfId="0" applyAlignment="1" applyBorder="1" applyFont="1">
      <alignment horizontal="center"/>
    </xf>
    <xf borderId="1" fillId="2" fontId="60" numFmtId="0" xfId="0" applyAlignment="1" applyBorder="1" applyFont="1">
      <alignment horizontal="center" vertical="center"/>
    </xf>
    <xf borderId="1" fillId="2" fontId="60" numFmtId="0" xfId="0" applyAlignment="1" applyBorder="1" applyFont="1">
      <alignment horizontal="center" vertical="top"/>
    </xf>
    <xf borderId="1" fillId="2" fontId="78" numFmtId="0" xfId="0" applyAlignment="1" applyBorder="1" applyFont="1">
      <alignment horizontal="center"/>
    </xf>
    <xf borderId="1" fillId="2" fontId="79" numFmtId="0" xfId="0" applyAlignment="1" applyBorder="1" applyFont="1">
      <alignment horizontal="center" vertical="top"/>
    </xf>
    <xf borderId="1" fillId="2" fontId="56" numFmtId="0" xfId="0" applyAlignment="1" applyBorder="1" applyFont="1">
      <alignment horizontal="center"/>
    </xf>
    <xf borderId="1" fillId="12" fontId="56" numFmtId="0" xfId="0" applyAlignment="1" applyBorder="1" applyFont="1">
      <alignment horizontal="center"/>
    </xf>
    <xf borderId="1" fillId="2" fontId="80" numFmtId="0" xfId="0" applyAlignment="1" applyBorder="1" applyFont="1">
      <alignment horizontal="center"/>
    </xf>
    <xf borderId="1" fillId="2" fontId="60" numFmtId="0" xfId="0" applyAlignment="1" applyBorder="1" applyFont="1">
      <alignment horizontal="center"/>
    </xf>
    <xf borderId="1" fillId="2" fontId="81" numFmtId="0" xfId="0" applyAlignment="1" applyBorder="1" applyFont="1">
      <alignment horizontal="center"/>
    </xf>
    <xf borderId="1" fillId="0" fontId="51" numFmtId="169" xfId="0" applyAlignment="1" applyBorder="1" applyFont="1" applyNumberFormat="1">
      <alignment horizontal="left"/>
    </xf>
    <xf borderId="1" fillId="0" fontId="82" numFmtId="0" xfId="0" applyAlignment="1" applyBorder="1" applyFont="1">
      <alignment horizontal="center"/>
    </xf>
    <xf borderId="0" fillId="0" fontId="83" numFmtId="0" xfId="0" applyAlignment="1" applyFont="1">
      <alignment horizontal="center"/>
    </xf>
    <xf borderId="20" fillId="12" fontId="84" numFmtId="0" xfId="0" applyBorder="1" applyFont="1"/>
    <xf borderId="1" fillId="2" fontId="85" numFmtId="0" xfId="0" applyAlignment="1" applyBorder="1" applyFont="1">
      <alignment horizontal="center"/>
    </xf>
    <xf borderId="1" fillId="0" fontId="83" numFmtId="0" xfId="0" applyAlignment="1" applyBorder="1" applyFont="1">
      <alignment horizontal="center"/>
    </xf>
    <xf borderId="1" fillId="0" fontId="47" numFmtId="0" xfId="0" applyAlignment="1" applyBorder="1" applyFont="1">
      <alignment horizontal="center"/>
    </xf>
    <xf borderId="1" fillId="2" fontId="86" numFmtId="0" xfId="0" applyAlignment="1" applyBorder="1" applyFont="1">
      <alignment horizontal="center"/>
    </xf>
    <xf borderId="1" fillId="2" fontId="70" numFmtId="0" xfId="0" applyAlignment="1" applyBorder="1" applyFont="1">
      <alignment horizontal="center"/>
    </xf>
    <xf borderId="1" fillId="2" fontId="65" numFmtId="0" xfId="0" applyAlignment="1" applyBorder="1" applyFont="1">
      <alignment horizontal="center"/>
    </xf>
    <xf borderId="1" fillId="0" fontId="87" numFmtId="0" xfId="0" applyAlignment="1" applyBorder="1" applyFont="1">
      <alignment horizontal="center"/>
    </xf>
    <xf borderId="20" fillId="12" fontId="41" numFmtId="0" xfId="0" applyAlignment="1" applyBorder="1" applyFont="1">
      <alignment horizontal="center"/>
    </xf>
    <xf borderId="1" fillId="17" fontId="56" numFmtId="0" xfId="0" applyAlignment="1" applyBorder="1" applyFont="1">
      <alignment horizontal="center"/>
    </xf>
    <xf borderId="1" fillId="0" fontId="48" numFmtId="0" xfId="0" applyAlignment="1" applyBorder="1" applyFont="1">
      <alignment horizontal="center" vertical="center"/>
    </xf>
    <xf borderId="1" fillId="16" fontId="68" numFmtId="0" xfId="0" applyAlignment="1" applyBorder="1" applyFont="1">
      <alignment horizontal="center"/>
    </xf>
    <xf borderId="1" fillId="20" fontId="51" numFmtId="0" xfId="0" applyAlignment="1" applyBorder="1" applyFill="1" applyFont="1">
      <alignment horizontal="center"/>
    </xf>
    <xf borderId="1" fillId="0" fontId="48" numFmtId="0" xfId="0" applyAlignment="1" applyBorder="1" applyFont="1">
      <alignment horizontal="left" vertical="center"/>
    </xf>
    <xf borderId="1" fillId="0" fontId="48" numFmtId="0" xfId="0" applyAlignment="1" applyBorder="1" applyFont="1">
      <alignment horizontal="right" vertical="center"/>
    </xf>
    <xf borderId="1" fillId="13" fontId="48" numFmtId="0" xfId="0" applyAlignment="1" applyBorder="1" applyFont="1">
      <alignment horizontal="left" vertical="center"/>
    </xf>
    <xf borderId="1" fillId="13" fontId="48" numFmtId="0" xfId="0" applyAlignment="1" applyBorder="1" applyFont="1">
      <alignment horizontal="center" vertical="center"/>
    </xf>
    <xf borderId="1" fillId="13" fontId="47" numFmtId="0" xfId="0" applyAlignment="1" applyBorder="1" applyFont="1">
      <alignment horizontal="center"/>
    </xf>
    <xf borderId="1" fillId="13" fontId="48" numFmtId="0" xfId="0" applyAlignment="1" applyBorder="1" applyFont="1">
      <alignment horizontal="right" vertical="center"/>
    </xf>
    <xf borderId="1" fillId="2" fontId="48" numFmtId="0" xfId="0" applyAlignment="1" applyBorder="1" applyFont="1">
      <alignment horizontal="left" vertical="center"/>
    </xf>
    <xf borderId="1" fillId="0" fontId="48" numFmtId="0" xfId="0" applyAlignment="1" applyBorder="1" applyFont="1">
      <alignment horizontal="left"/>
    </xf>
    <xf borderId="1" fillId="13" fontId="48" numFmtId="0" xfId="0" applyBorder="1" applyFont="1"/>
    <xf borderId="1" fillId="0" fontId="52" numFmtId="0" xfId="0" applyBorder="1" applyFont="1"/>
    <xf borderId="20" fillId="13" fontId="48" numFmtId="0" xfId="0" applyAlignment="1" applyBorder="1" applyFont="1">
      <alignment horizontal="center" vertical="center"/>
    </xf>
    <xf borderId="20" fillId="13" fontId="48" numFmtId="0" xfId="0" applyAlignment="1" applyBorder="1" applyFont="1">
      <alignment horizontal="center"/>
    </xf>
    <xf borderId="20" fillId="13" fontId="48" numFmtId="0" xfId="0" applyBorder="1" applyFont="1"/>
    <xf borderId="1" fillId="0" fontId="88" numFmtId="0" xfId="0" applyAlignment="1" applyBorder="1" applyFont="1">
      <alignment horizontal="left"/>
    </xf>
    <xf borderId="1" fillId="0" fontId="53" numFmtId="12" xfId="0" applyAlignment="1" applyBorder="1" applyFont="1" applyNumberFormat="1">
      <alignment horizontal="left" vertical="center"/>
    </xf>
    <xf borderId="1" fillId="0" fontId="89" numFmtId="0" xfId="0" applyAlignment="1" applyBorder="1" applyFont="1">
      <alignment horizontal="left"/>
    </xf>
    <xf borderId="0" fillId="0" fontId="52" numFmtId="49" xfId="0" applyFont="1" applyNumberFormat="1"/>
    <xf borderId="0" fillId="0" fontId="48" numFmtId="0" xfId="0" applyAlignment="1" applyFont="1">
      <alignment horizontal="left"/>
    </xf>
    <xf borderId="1" fillId="0" fontId="90" numFmtId="0" xfId="0" applyAlignment="1" applyBorder="1" applyFont="1">
      <alignment horizontal="center"/>
    </xf>
    <xf borderId="1" fillId="0" fontId="91" numFmtId="0" xfId="0" applyAlignment="1" applyBorder="1" applyFont="1">
      <alignment horizontal="center"/>
    </xf>
    <xf borderId="1" fillId="2" fontId="92" numFmtId="0" xfId="0" applyAlignment="1" applyBorder="1" applyFont="1">
      <alignment horizontal="center"/>
    </xf>
    <xf borderId="20" fillId="21" fontId="93" numFmtId="0" xfId="0" applyAlignment="1" applyBorder="1" applyFill="1" applyFont="1">
      <alignment horizontal="center"/>
    </xf>
    <xf borderId="20" fillId="21" fontId="94" numFmtId="0" xfId="0" applyAlignment="1" applyBorder="1" applyFont="1">
      <alignment horizontal="center"/>
    </xf>
    <xf borderId="1" fillId="0" fontId="95" numFmtId="0" xfId="0" applyAlignment="1" applyBorder="1" applyFont="1">
      <alignment horizontal="left"/>
    </xf>
    <xf borderId="1" fillId="0" fontId="96" numFmtId="0" xfId="0" applyAlignment="1" applyBorder="1" applyFont="1">
      <alignment horizontal="center"/>
    </xf>
    <xf borderId="1" fillId="0" fontId="97" numFmtId="0" xfId="0" applyAlignment="1" applyBorder="1" applyFont="1">
      <alignment horizontal="center"/>
    </xf>
    <xf borderId="1" fillId="0" fontId="98" numFmtId="0" xfId="0" applyAlignment="1" applyBorder="1" applyFont="1">
      <alignment horizontal="center"/>
    </xf>
    <xf borderId="1" fillId="0" fontId="99" numFmtId="0" xfId="0" applyAlignment="1" applyBorder="1" applyFont="1">
      <alignment horizontal="left" shrinkToFit="0" wrapText="1"/>
    </xf>
    <xf borderId="1" fillId="2" fontId="99" numFmtId="0" xfId="0" applyAlignment="1" applyBorder="1" applyFont="1">
      <alignment horizontal="left"/>
    </xf>
    <xf borderId="1" fillId="0" fontId="99" numFmtId="0" xfId="0" applyAlignment="1" applyBorder="1" applyFont="1">
      <alignment horizontal="left"/>
    </xf>
    <xf borderId="1" fillId="0" fontId="99" numFmtId="0" xfId="0" applyBorder="1" applyFont="1"/>
    <xf borderId="1" fillId="0" fontId="96" numFmtId="0" xfId="0" applyAlignment="1" applyBorder="1" applyFont="1">
      <alignment horizontal="left"/>
    </xf>
    <xf borderId="1" fillId="2" fontId="100" numFmtId="0" xfId="0" applyAlignment="1" applyBorder="1" applyFont="1">
      <alignment horizontal="center"/>
    </xf>
    <xf borderId="1" fillId="0" fontId="101" numFmtId="0" xfId="0" applyAlignment="1" applyBorder="1" applyFont="1">
      <alignment horizontal="center"/>
    </xf>
    <xf borderId="0" fillId="0" fontId="96" numFmtId="0" xfId="0" applyAlignment="1" applyFont="1">
      <alignment horizontal="center"/>
    </xf>
    <xf borderId="20" fillId="2" fontId="100" numFmtId="0" xfId="0" applyAlignment="1" applyBorder="1" applyFont="1">
      <alignment horizontal="center"/>
    </xf>
    <xf borderId="20" fillId="2" fontId="48" numFmtId="0" xfId="0" applyAlignment="1" applyBorder="1" applyFont="1">
      <alignment horizontal="center"/>
    </xf>
    <xf borderId="20" fillId="2" fontId="52" numFmtId="0" xfId="0" applyAlignment="1" applyBorder="1" applyFont="1">
      <alignment horizontal="center"/>
    </xf>
    <xf borderId="20" fillId="2" fontId="52" numFmtId="0" xfId="0" applyAlignment="1" applyBorder="1" applyFont="1">
      <alignment horizontal="left"/>
    </xf>
    <xf borderId="20" fillId="2" fontId="48" numFmtId="0" xfId="0" applyBorder="1" applyFont="1"/>
    <xf borderId="20" fillId="19" fontId="52" numFmtId="0" xfId="0" applyAlignment="1" applyBorder="1" applyFont="1">
      <alignment horizontal="left"/>
    </xf>
    <xf borderId="1" fillId="0" fontId="95" numFmtId="0" xfId="0" applyAlignment="1" applyBorder="1" applyFont="1">
      <alignment horizontal="center"/>
    </xf>
    <xf borderId="22" fillId="22" fontId="102" numFmtId="0" xfId="0" applyAlignment="1" applyBorder="1" applyFill="1" applyFont="1">
      <alignment horizontal="center" vertical="center"/>
    </xf>
    <xf borderId="23" fillId="0" fontId="46" numFmtId="0" xfId="0" applyBorder="1" applyFont="1"/>
    <xf borderId="24" fillId="0" fontId="46" numFmtId="0" xfId="0" applyBorder="1" applyFont="1"/>
    <xf borderId="1" fillId="23" fontId="90" numFmtId="0" xfId="0" applyAlignment="1" applyBorder="1" applyFill="1" applyFont="1">
      <alignment horizontal="left" vertical="center"/>
    </xf>
    <xf borderId="1" fillId="0" fontId="103" numFmtId="0" xfId="0" applyAlignment="1" applyBorder="1" applyFont="1">
      <alignment horizontal="left" vertical="center"/>
    </xf>
    <xf borderId="1" fillId="0" fontId="104" numFmtId="0" xfId="0" applyAlignment="1" applyBorder="1" applyFont="1">
      <alignment horizontal="left" vertical="center"/>
    </xf>
    <xf borderId="1" fillId="0" fontId="103" numFmtId="0" xfId="0" applyAlignment="1" applyBorder="1" applyFont="1">
      <alignment horizontal="left"/>
    </xf>
    <xf borderId="1" fillId="0" fontId="105" numFmtId="0" xfId="0" applyAlignment="1" applyBorder="1" applyFont="1">
      <alignment horizontal="left" shrinkToFit="0" wrapText="1"/>
    </xf>
    <xf borderId="1" fillId="0" fontId="103" numFmtId="0" xfId="0" applyBorder="1" applyFont="1"/>
    <xf borderId="1" fillId="8" fontId="103" numFmtId="0" xfId="0" applyAlignment="1" applyBorder="1" applyFont="1">
      <alignment horizontal="left"/>
    </xf>
    <xf borderId="1" fillId="8" fontId="48" numFmtId="0" xfId="0" applyAlignment="1" applyBorder="1" applyFont="1">
      <alignment horizontal="left"/>
    </xf>
    <xf borderId="1" fillId="0" fontId="60" numFmtId="0" xfId="0" applyAlignment="1" applyBorder="1" applyFont="1">
      <alignment horizontal="left" vertical="center"/>
    </xf>
    <xf borderId="1" fillId="0" fontId="51" numFmtId="0" xfId="0" applyAlignment="1" applyBorder="1" applyFont="1">
      <alignment horizontal="left" vertical="center"/>
    </xf>
    <xf borderId="1" fillId="2" fontId="62" numFmtId="0" xfId="0" applyAlignment="1" applyBorder="1" applyFont="1">
      <alignment horizontal="left"/>
    </xf>
    <xf borderId="1" fillId="2" fontId="106" numFmtId="0" xfId="0" applyBorder="1" applyFont="1"/>
    <xf borderId="1" fillId="2" fontId="69" numFmtId="0" xfId="0" applyAlignment="1" applyBorder="1" applyFont="1">
      <alignment horizontal="left" vertical="top"/>
    </xf>
    <xf borderId="20" fillId="2" fontId="107" numFmtId="0" xfId="0" applyBorder="1" applyFont="1"/>
    <xf borderId="20" fillId="2" fontId="108" numFmtId="0" xfId="0" applyBorder="1" applyFont="1"/>
    <xf borderId="1" fillId="2" fontId="7" numFmtId="0" xfId="0" applyAlignment="1" applyBorder="1" applyFont="1">
      <alignment horizontal="left" vertical="bottom"/>
    </xf>
    <xf borderId="1" fillId="11" fontId="7" numFmtId="0" xfId="0" applyAlignment="1" applyBorder="1" applyFont="1">
      <alignment horizontal="left" vertical="bottom"/>
    </xf>
    <xf borderId="1" fillId="24" fontId="19" numFmtId="0" xfId="0" applyAlignment="1" applyBorder="1" applyFill="1" applyFont="1">
      <alignment horizontal="left" readingOrder="0" vertical="bottom"/>
    </xf>
    <xf borderId="1" fillId="24" fontId="19" numFmtId="0" xfId="0" applyAlignment="1" applyBorder="1" applyFont="1">
      <alignment horizontal="left" vertical="bottom"/>
    </xf>
    <xf borderId="1" fillId="24" fontId="7" numFmtId="0" xfId="0" applyAlignment="1" applyBorder="1" applyFont="1">
      <alignment horizontal="left" vertical="bottom"/>
    </xf>
    <xf borderId="1" fillId="24" fontId="7" numFmtId="166" xfId="0" applyAlignment="1" applyBorder="1" applyFont="1" applyNumberFormat="1">
      <alignment horizontal="left" readingOrder="0" vertical="bottom"/>
    </xf>
    <xf borderId="1" fillId="24" fontId="7" numFmtId="0" xfId="0" applyAlignment="1" applyBorder="1" applyFont="1">
      <alignment horizontal="left" readingOrder="0" vertical="bottom"/>
    </xf>
    <xf borderId="1" fillId="0" fontId="7" numFmtId="0" xfId="0" applyAlignment="1" applyBorder="1" applyFont="1">
      <alignment readingOrder="0" vertical="bottom"/>
    </xf>
    <xf borderId="0" fillId="0" fontId="17" numFmtId="182" xfId="0" applyAlignment="1" applyFont="1" applyNumberFormat="1">
      <alignment readingOrder="0"/>
    </xf>
    <xf borderId="0" fillId="0" fontId="17" numFmtId="166" xfId="0" applyFont="1" applyNumberFormat="1"/>
    <xf borderId="0" fillId="0" fontId="17" numFmtId="170" xfId="0" applyFont="1" applyNumberFormat="1"/>
    <xf borderId="1" fillId="0" fontId="17" numFmtId="166" xfId="0" applyAlignment="1" applyBorder="1" applyFont="1" applyNumberFormat="1">
      <alignment readingOrder="0"/>
    </xf>
    <xf borderId="1" fillId="0" fontId="17" numFmtId="182" xfId="0" applyAlignment="1" applyBorder="1" applyFont="1" applyNumberFormat="1">
      <alignment readingOrder="0"/>
    </xf>
    <xf borderId="1" fillId="0" fontId="17" numFmtId="170" xfId="0" applyAlignment="1" applyBorder="1" applyFont="1" applyNumberFormat="1">
      <alignment readingOrder="0"/>
    </xf>
    <xf borderId="0" fillId="0" fontId="17" numFmtId="166" xfId="0" applyAlignment="1" applyFont="1" applyNumberFormat="1">
      <alignment readingOrder="0"/>
    </xf>
    <xf borderId="0" fillId="0" fontId="17" numFmtId="170" xfId="0" applyAlignment="1" applyFont="1" applyNumberFormat="1">
      <alignment readingOrder="0"/>
    </xf>
  </cellXfs>
  <cellStyles count="1">
    <cellStyle xfId="0" name="Normal" builtinId="0"/>
  </cellStyles>
  <dxfs count="19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  <i/>
        <u/>
      </font>
      <fill>
        <patternFill patternType="none"/>
      </fill>
      <border/>
    </dxf>
    <dxf>
      <font>
        <strike/>
      </font>
      <fill>
        <patternFill patternType="solid">
          <fgColor rgb="FFF4CCCC"/>
          <bgColor rgb="FFF4CCCC"/>
        </patternFill>
      </fill>
      <border/>
    </dxf>
    <dxf>
      <font>
        <b/>
        <i/>
      </font>
      <fill>
        <patternFill patternType="solid">
          <fgColor rgb="FFD9EAD3"/>
          <bgColor rgb="FFD9EAD3"/>
        </patternFill>
      </fill>
      <border/>
    </dxf>
    <dxf>
      <font>
        <b/>
        <i/>
      </font>
      <fill>
        <patternFill patternType="solid">
          <fgColor rgb="FFB6D7A8"/>
          <bgColor rgb="FFB6D7A8"/>
        </patternFill>
      </fill>
      <border/>
    </dxf>
    <dxf>
      <font>
        <i/>
      </font>
      <fill>
        <patternFill patternType="solid">
          <fgColor rgb="FFF4CCCC"/>
          <bgColor rgb="FFF4CCCC"/>
        </patternFill>
      </fill>
      <border/>
    </dxf>
    <dxf>
      <font>
        <i/>
      </font>
      <fill>
        <patternFill patternType="solid">
          <fgColor rgb="FFFFF2CC"/>
          <bgColor rgb="FFFFF2CC"/>
        </patternFill>
      </fill>
      <border/>
    </dxf>
    <dxf>
      <font>
        <i/>
      </font>
      <fill>
        <patternFill patternType="solid">
          <fgColor rgb="FFD9EAD3"/>
          <bgColor rgb="FFD9EAD3"/>
        </patternFill>
      </fill>
      <border/>
    </dxf>
    <dxf>
      <font>
        <i/>
        <strike/>
      </font>
      <fill>
        <patternFill patternType="solid">
          <fgColor rgb="FFF4CCCC"/>
          <bgColor rgb="FFF4CCCC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3" pivot="0" name="On-Boarding-style">
      <tableStyleElement dxfId="1" type="headerRow"/>
      <tableStyleElement dxfId="2" type="firstRowStripe"/>
      <tableStyleElement dxfId="3" type="secondRowStripe"/>
    </tableStyle>
    <tableStyle count="3" pivot="0" name="Off-Boarding-style">
      <tableStyleElement dxfId="1" type="headerRow"/>
      <tableStyleElement dxfId="2" type="firstRowStripe"/>
      <tableStyleElement dxfId="3" type="secondRowStripe"/>
    </tableStyle>
    <tableStyle count="3" pivot="0" name="Join &amp; Induc By HR-style">
      <tableStyleElement dxfId="1" type="headerRow"/>
      <tableStyleElement dxfId="2" type="firstRowStripe"/>
      <tableStyleElement dxfId="3" type="secondRowStripe"/>
    </tableStyle>
    <tableStyle count="3" pivot="0" name="NJ_Laptop Data-style">
      <tableStyleElement dxfId="1" type="headerRow"/>
      <tableStyleElement dxfId="2" type="firstRowStripe"/>
      <tableStyleElement dxfId="3" type="secondRowStripe"/>
    </tableStyle>
    <tableStyle count="3" pivot="0" name="AT_Data-style">
      <tableStyleElement dxfId="1" type="headerRow"/>
      <tableStyleElement dxfId="2" type="firstRowStripe"/>
      <tableStyleElement dxfId="3" type="secondRowStripe"/>
    </tableStyle>
    <tableStyle count="3" pivot="0" name="Public Domain-style">
      <tableStyleElement dxfId="1" type="headerRow"/>
      <tableStyleElement dxfId="2" type="firstRowStripe"/>
      <tableStyleElement dxfId="3" type="secondRowStripe"/>
    </tableStyle>
    <tableStyle count="3" pivot="0" name="List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pivotCacheDefinition" Target="pivotCache/pivotCacheDefinition1.xml"/><Relationship Id="rId32" Type="http://schemas.openxmlformats.org/officeDocument/2006/relationships/worksheet" Target="worksheets/sheet28.xml"/><Relationship Id="rId35" Type="http://schemas.openxmlformats.org/officeDocument/2006/relationships/pivotCacheDefinition" Target="pivotCache/pivotCacheDefinition3.xml"/><Relationship Id="rId34" Type="http://schemas.openxmlformats.org/officeDocument/2006/relationships/pivotCacheDefinition" Target="pivotCache/pivotCacheDefinition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Laptop Stock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1'!$B$29:$B$30</c:f>
            </c:strRef>
          </c:tx>
          <c:cat>
            <c:strRef>
              <c:f>'Pivot Table 1'!$A$31:$A$40</c:f>
            </c:strRef>
          </c:cat>
          <c:val>
            <c:numRef>
              <c:f>'Pivot Table 1'!$B$31:$B$40</c:f>
              <c:numCache/>
            </c:numRef>
          </c:val>
        </c:ser>
        <c:ser>
          <c:idx val="1"/>
          <c:order val="1"/>
          <c:tx>
            <c:strRef>
              <c:f>'Pivot Table 1'!$C$29:$C$30</c:f>
            </c:strRef>
          </c:tx>
          <c:cat>
            <c:strRef>
              <c:f>'Pivot Table 1'!$A$31:$A$40</c:f>
            </c:strRef>
          </c:cat>
          <c:val>
            <c:numRef>
              <c:f>'Pivot Table 1'!$C$31:$C$40</c:f>
              <c:numCache/>
            </c:numRef>
          </c:val>
        </c:ser>
        <c:ser>
          <c:idx val="2"/>
          <c:order val="2"/>
          <c:tx>
            <c:strRef>
              <c:f>'Pivot Table 1'!$D$29:$D$30</c:f>
            </c:strRef>
          </c:tx>
          <c:cat>
            <c:strRef>
              <c:f>'Pivot Table 1'!$A$31:$A$40</c:f>
            </c:strRef>
          </c:cat>
          <c:val>
            <c:numRef>
              <c:f>'Pivot Table 1'!$D$31:$D$40</c:f>
              <c:numCache/>
            </c:numRef>
          </c:val>
        </c:ser>
        <c:ser>
          <c:idx val="3"/>
          <c:order val="3"/>
          <c:tx>
            <c:strRef>
              <c:f>'Pivot Table 1'!$E$29:$E$30</c:f>
            </c:strRef>
          </c:tx>
          <c:cat>
            <c:strRef>
              <c:f>'Pivot Table 1'!$A$31:$A$40</c:f>
            </c:strRef>
          </c:cat>
          <c:val>
            <c:numRef>
              <c:f>'Pivot Table 1'!$E$31:$E$40</c:f>
              <c:numCache/>
            </c:numRef>
          </c:val>
        </c:ser>
        <c:ser>
          <c:idx val="4"/>
          <c:order val="4"/>
          <c:tx>
            <c:strRef>
              <c:f>'Pivot Table 1'!$F$29:$F$30</c:f>
            </c:strRef>
          </c:tx>
          <c:cat>
            <c:strRef>
              <c:f>'Pivot Table 1'!$A$31:$A$40</c:f>
            </c:strRef>
          </c:cat>
          <c:val>
            <c:numRef>
              <c:f>'Pivot Table 1'!$F$31:$F$40</c:f>
              <c:numCache/>
            </c:numRef>
          </c:val>
        </c:ser>
        <c:axId val="253651589"/>
        <c:axId val="647744999"/>
      </c:barChart>
      <c:catAx>
        <c:axId val="253651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Asset 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647744999"/>
      </c:catAx>
      <c:valAx>
        <c:axId val="64774499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5365158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Laptop Inventory Status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1'!$B$7:$B$8</c:f>
            </c:strRef>
          </c:tx>
          <c:cat>
            <c:strRef>
              <c:f>'Pivot Table 1'!$A$9:$A$14</c:f>
            </c:strRef>
          </c:cat>
          <c:val>
            <c:numRef>
              <c:f>'Pivot Table 1'!$B$9:$B$14</c:f>
              <c:numCache/>
            </c:numRef>
          </c:val>
        </c:ser>
        <c:ser>
          <c:idx val="1"/>
          <c:order val="1"/>
          <c:tx>
            <c:strRef>
              <c:f>'Pivot Table 1'!$C$7:$C$8</c:f>
            </c:strRef>
          </c:tx>
          <c:cat>
            <c:strRef>
              <c:f>'Pivot Table 1'!$A$9:$A$14</c:f>
            </c:strRef>
          </c:cat>
          <c:val>
            <c:numRef>
              <c:f>'Pivot Table 1'!$C$9:$C$14</c:f>
              <c:numCache/>
            </c:numRef>
          </c:val>
        </c:ser>
        <c:ser>
          <c:idx val="2"/>
          <c:order val="2"/>
          <c:tx>
            <c:strRef>
              <c:f>'Pivot Table 1'!$D$7:$D$8</c:f>
            </c:strRef>
          </c:tx>
          <c:cat>
            <c:strRef>
              <c:f>'Pivot Table 1'!$A$9:$A$14</c:f>
            </c:strRef>
          </c:cat>
          <c:val>
            <c:numRef>
              <c:f>'Pivot Table 1'!$D$9:$D$14</c:f>
              <c:numCache/>
            </c:numRef>
          </c:val>
        </c:ser>
        <c:ser>
          <c:idx val="3"/>
          <c:order val="3"/>
          <c:tx>
            <c:strRef>
              <c:f>'Pivot Table 1'!$E$7:$E$8</c:f>
            </c:strRef>
          </c:tx>
          <c:cat>
            <c:strRef>
              <c:f>'Pivot Table 1'!$A$9:$A$14</c:f>
            </c:strRef>
          </c:cat>
          <c:val>
            <c:numRef>
              <c:f>'Pivot Table 1'!$E$9:$E$14</c:f>
              <c:numCache/>
            </c:numRef>
          </c:val>
        </c:ser>
        <c:ser>
          <c:idx val="4"/>
          <c:order val="4"/>
          <c:tx>
            <c:strRef>
              <c:f>'Pivot Table 1'!$F$7:$F$8</c:f>
            </c:strRef>
          </c:tx>
          <c:cat>
            <c:strRef>
              <c:f>'Pivot Table 1'!$A$9:$A$14</c:f>
            </c:strRef>
          </c:cat>
          <c:val>
            <c:numRef>
              <c:f>'Pivot Table 1'!$F$9:$F$14</c:f>
              <c:numCache/>
            </c:numRef>
          </c:val>
        </c:ser>
        <c:ser>
          <c:idx val="5"/>
          <c:order val="5"/>
          <c:tx>
            <c:strRef>
              <c:f>'Pivot Table 1'!$G$7:$G$8</c:f>
            </c:strRef>
          </c:tx>
          <c:cat>
            <c:strRef>
              <c:f>'Pivot Table 1'!$A$9:$A$14</c:f>
            </c:strRef>
          </c:cat>
          <c:val>
            <c:numRef>
              <c:f>'Pivot Table 1'!$G$9:$G$14</c:f>
              <c:numCache/>
            </c:numRef>
          </c:val>
        </c:ser>
        <c:ser>
          <c:idx val="6"/>
          <c:order val="6"/>
          <c:tx>
            <c:strRef>
              <c:f>'Pivot Table 1'!$H$7:$H$8</c:f>
            </c:strRef>
          </c:tx>
          <c:cat>
            <c:strRef>
              <c:f>'Pivot Table 1'!$A$9:$A$14</c:f>
            </c:strRef>
          </c:cat>
          <c:val>
            <c:numRef>
              <c:f>'Pivot Table 1'!$H$9:$H$14</c:f>
              <c:numCache/>
            </c:numRef>
          </c:val>
        </c:ser>
        <c:axId val="797185751"/>
        <c:axId val="1668730523"/>
      </c:barChart>
      <c:catAx>
        <c:axId val="797185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Asset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1668730523"/>
      </c:catAx>
      <c:valAx>
        <c:axId val="166873052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797185751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Mobile Phones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Type Android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1'!$A$54:$A$56</c:f>
            </c:strRef>
          </c:cat>
          <c:val>
            <c:numRef>
              <c:f>'Pivot Table 1'!$B$54:$B$56</c:f>
              <c:numCache/>
            </c:numRef>
          </c:val>
        </c:ser>
        <c:ser>
          <c:idx val="1"/>
          <c:order val="1"/>
          <c:tx>
            <c:v>Type Creative Pen Display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1'!$A$54:$A$56</c:f>
            </c:strRef>
          </c:cat>
          <c:val>
            <c:numRef>
              <c:f>'Pivot Table 1'!$C$54:$C$56</c:f>
              <c:numCache/>
            </c:numRef>
          </c:val>
        </c:ser>
        <c:ser>
          <c:idx val="2"/>
          <c:order val="2"/>
          <c:tx>
            <c:v>Type Google OS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1'!$A$54:$A$56</c:f>
            </c:strRef>
          </c:cat>
          <c:val>
            <c:numRef>
              <c:f>'Pivot Table 1'!$D$54:$D$56</c:f>
              <c:numCache/>
            </c:numRef>
          </c:val>
        </c:ser>
        <c:ser>
          <c:idx val="3"/>
          <c:order val="3"/>
          <c:tx>
            <c:v>Type IOS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1'!$A$54:$A$56</c:f>
            </c:strRef>
          </c:cat>
          <c:val>
            <c:numRef>
              <c:f>'Pivot Table 1'!$E$54:$E$56</c:f>
              <c:numCache/>
            </c:numRef>
          </c:val>
        </c:ser>
        <c:axId val="556077629"/>
        <c:axId val="1799363483"/>
      </c:barChart>
      <c:catAx>
        <c:axId val="556077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1799363483"/>
      </c:catAx>
      <c:valAx>
        <c:axId val="1799363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556077629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Mobile Stock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Type Android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1'!$A$75:$A$77</c:f>
            </c:strRef>
          </c:cat>
          <c:val>
            <c:numRef>
              <c:f>'Pivot Table 1'!$B$75:$B$77</c:f>
              <c:numCache/>
            </c:numRef>
          </c:val>
        </c:ser>
        <c:ser>
          <c:idx val="1"/>
          <c:order val="1"/>
          <c:tx>
            <c:v>Type IOS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1'!$A$75:$A$77</c:f>
            </c:strRef>
          </c:cat>
          <c:val>
            <c:numRef>
              <c:f>'Pivot Table 1'!$C$75:$C$77</c:f>
              <c:numCache/>
            </c:numRef>
          </c:val>
        </c:ser>
        <c:ser>
          <c:idx val="2"/>
          <c:order val="2"/>
          <c:tx>
            <c:v>Type JIO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1'!$A$75:$A$77</c:f>
            </c:strRef>
          </c:cat>
          <c:val>
            <c:numRef>
              <c:f>'Pivot Table 1'!$D$75:$D$77</c:f>
              <c:numCache/>
            </c:numRef>
          </c:val>
        </c:ser>
        <c:axId val="1506442067"/>
        <c:axId val="1243213784"/>
      </c:barChart>
      <c:catAx>
        <c:axId val="1506442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Asset 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</a:p>
        </c:txPr>
        <c:crossAx val="1243213784"/>
      </c:catAx>
      <c:valAx>
        <c:axId val="1243213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506442067"/>
      </c:valAx>
    </c:plotArea>
    <c:legend>
      <c:legendPos val="r"/>
      <c:overlay val="0"/>
      <c:txPr>
        <a:bodyPr/>
        <a:lstStyle/>
        <a:p>
          <a:pPr lvl="0">
            <a:defRPr b="1" i="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>
  <Task id="{7819d7fc-c26a-47b7-bed9-72de8dd29dc1}">
    <Anchor>
      <Comment id="{a6ddf738-a7f9-4da5-a646-12886415d57f}"/>
    </Anchor>
    <History>
      <Event time="2025-06-25T09:40:55.00" id="{2955e7ba-eca5-4224-ae7c-8b1eab4382ff}">
        <Attribution userId="placeholder@email.com" userName="Deleted user" userProvider="google-sheets"/>
        <Anchor>
          <Comment id="{a6ddf738-a7f9-4da5-a646-12886415d57f}"/>
        </Anchor>
        <Create/>
      </Event>
      <Event time="2025-06-25T09:40:55.00" id="{116cb074-1c1b-4eb5-aab0-2430c2022e20}">
        <Attribution userId="placeholder@email.com" userName="Deleted user" userProvider="google-sheets"/>
        <Anchor>
          <Comment id="{a6ddf738-a7f9-4da5-a646-12886415d57f}"/>
        </Anchor>
        <Assign userProvider="google-sheets"/>
      </Event>
    </History>
  </Task>
</Task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26</xdr:row>
      <xdr:rowOff>190500</xdr:rowOff>
    </xdr:from>
    <xdr:ext cx="890587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152400</xdr:colOff>
      <xdr:row>5</xdr:row>
      <xdr:rowOff>38100</xdr:rowOff>
    </xdr:from>
    <xdr:ext cx="89058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342900</xdr:colOff>
      <xdr:row>47</xdr:row>
      <xdr:rowOff>171450</xdr:rowOff>
    </xdr:from>
    <xdr:ext cx="76295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19050</xdr:colOff>
      <xdr:row>67</xdr:row>
      <xdr:rowOff>104775</xdr:rowOff>
    </xdr:from>
    <xdr:ext cx="89058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leted user" id="{f4d6241f-6b83-437d-b900-c5ed85c16563}" providerId="google-sheets"/>
  <x18tc:person displayName="Shiv Kumar IT" id="{a21be8db-02a5-4294-83d7-a7cdf25a1fa9}" providerId="google-sheets"/>
  <x18tc:person displayName="naveen.k@zupee.in" id="{d5f9055c-be02-4629-89c5-642370123d09}" userId="naveen.k@zupee.in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999" sheet="On-Boarding"/>
  </cacheSource>
  <cacheFields>
    <cacheField name="Creation Date">
      <sharedItems containsSemiMixedTypes="0" containsDate="1" containsString="0" containsMixedTypes="1">
        <n v="-288175.0"/>
        <d v="2017-12-31T00:00:00Z"/>
        <d v="2018-03-10T00:00:00Z"/>
        <d v="2018-09-11T00:00:00Z"/>
        <d v="2019-02-04T00:00:00Z"/>
        <d v="2019-04-15T00:00:00Z"/>
        <d v="2019-09-09T00:00:00Z"/>
        <d v="2019-09-17T00:00:00Z"/>
        <d v="2019-11-11T00:00:00Z"/>
        <d v="2020-02-15T00:00:00Z"/>
        <d v="2020-03-15T00:00:00Z"/>
        <d v="2020-04-14T00:00:00Z"/>
        <d v="2020-04-28T00:00:00Z"/>
        <d v="2020-05-07T00:00:00Z"/>
        <d v="2020-05-16T00:00:00Z"/>
        <d v="2020-06-01T00:00:00Z"/>
        <d v="2020-06-04T00:00:00Z"/>
        <d v="2020-07-01T00:00:00Z"/>
        <d v="2020-07-28T00:00:00Z"/>
        <d v="2020-08-21T00:00:00Z"/>
        <d v="2020-09-20T00:00:00Z"/>
        <d v="2020-10-19T00:00:00Z"/>
        <d v="2020-11-24T00:00:00Z"/>
        <d v="2020-12-05T00:00:00Z"/>
        <d v="2021-01-20T00:00:00Z"/>
        <d v="2021-01-31T00:00:00Z"/>
        <d v="2021-02-11T00:00:00Z"/>
        <d v="2021-02-16T00:00:00Z"/>
        <d v="2021-02-18T00:00:00Z"/>
        <d v="2021-03-01T00:00:00Z"/>
        <d v="2021-03-04T00:00:00Z"/>
        <d v="2021-03-08T00:00:00Z"/>
        <d v="2021-03-10T00:00:00Z"/>
        <d v="2021-03-12T00:00:00Z"/>
        <d v="2021-03-16T00:00:00Z"/>
        <d v="2021-03-17T00:00:00Z"/>
        <d v="2021-03-19T00:00:00Z"/>
        <d v="2021-03-22T00:00:00Z"/>
        <d v="2021-03-23T00:00:00Z"/>
        <d v="2021-03-30T00:00:00Z"/>
        <d v="2021-04-05T00:00:00Z"/>
        <d v="2021-04-06T00:00:00Z"/>
        <d v="2021-04-08T00:00:00Z"/>
        <d v="2021-04-09T00:00:00Z"/>
        <d v="2021-04-19T00:00:00Z"/>
        <d v="2021-04-22T00:00:00Z"/>
        <d v="2021-05-07T00:00:00Z"/>
        <d v="2021-05-28T00:00:00Z"/>
        <d v="2021-06-01T00:00:00Z"/>
        <d v="2021-06-09T00:00:00Z"/>
        <d v="2021-06-11T00:00:00Z"/>
        <d v="2021-06-14T00:00:00Z"/>
        <d v="2021-06-17T00:00:00Z"/>
        <d v="2021-06-18T00:00:00Z"/>
        <d v="2021-06-23T00:00:00Z"/>
        <d v="2021-06-28T00:00:00Z"/>
        <d v="2021-07-01T00:00:00Z"/>
        <d v="2021-07-14T00:00:00Z"/>
        <d v="2021-07-15T00:00:00Z"/>
        <d v="2021-07-19T00:00:00Z"/>
        <d v="2021-07-29T00:00:00Z"/>
        <d v="2021-08-05T00:00:00Z"/>
        <d v="2021-08-12T00:00:00Z"/>
        <d v="2021-08-16T00:00:00Z"/>
        <d v="2021-08-24T00:00:00Z"/>
        <d v="2021-09-07T00:00:00Z"/>
        <d v="2021-09-20T00:00:00Z"/>
        <d v="2021-10-01T00:00:00Z"/>
        <d v="2021-10-04T00:00:00Z"/>
        <d v="2021-10-05T00:00:00Z"/>
        <d v="2021-10-07T00:00:00Z"/>
        <d v="2021-10-12T00:00:00Z"/>
        <d v="2021-10-16T00:00:00Z"/>
        <d v="2021-10-18T00:00:00Z"/>
        <d v="2021-10-21T00:00:00Z"/>
        <d v="2021-10-27T00:00:00Z"/>
        <d v="2021-10-29T00:00:00Z"/>
        <d v="2021-11-08T00:00:00Z"/>
        <d v="2021-11-15T00:00:00Z"/>
        <d v="2021-11-25T00:00:00Z"/>
        <d v="2021-12-01T00:00:00Z"/>
        <d v="2021-12-07T00:00:00Z"/>
        <d v="2022-01-10T00:00:00Z"/>
        <d v="2022-01-12T00:00:00Z"/>
        <d v="2022-01-17T00:00:00Z"/>
        <d v="2022-01-19T00:00:00Z"/>
        <d v="2022-01-24T00:00:00Z"/>
        <d v="2022-01-27T00:00:00Z"/>
        <d v="2022-02-01T00:00:00Z"/>
        <d v="2022-02-14T00:00:00Z"/>
        <d v="2022-02-21T00:00:00Z"/>
        <d v="2022-03-14T00:00:00Z"/>
        <d v="2022-03-17T00:00:00Z"/>
        <d v="2022-04-01T00:00:00Z"/>
        <d v="2022-04-05T00:00:00Z"/>
        <d v="2022-04-07T00:00:00Z"/>
        <d v="2022-04-11T00:00:00Z"/>
        <d v="2022-04-18T00:00:00Z"/>
        <d v="2022-04-19T00:00:00Z"/>
        <d v="2022-04-20T00:00:00Z"/>
        <d v="2022-05-25T00:00:00Z"/>
        <d v="2022-06-08T00:00:00Z"/>
        <d v="2022-06-14T00:00:00Z"/>
        <d v="2022-07-05T00:00:00Z"/>
        <d v="2022-07-06T00:00:00Z"/>
        <d v="2022-07-13T00:00:00Z"/>
        <d v="2022-08-01T00:00:00Z"/>
        <d v="2022-08-10T00:00:00Z"/>
        <d v="2022-08-19T00:00:00Z"/>
        <d v="2022-08-25T00:00:00Z"/>
        <d v="2022-08-26T00:00:00Z"/>
        <d v="2022-08-30T00:00:00Z"/>
        <d v="2022-09-19T00:00:00Z"/>
        <d v="2022-09-21T00:00:00Z"/>
        <d v="2022-09-27T00:00:00Z"/>
        <d v="2022-10-03T00:00:00Z"/>
        <d v="2022-10-10T00:00:00Z"/>
        <d v="2022-10-17T00:00:00Z"/>
        <d v="2022-11-15T00:00:00Z"/>
        <d v="2022-12-12T00:00:00Z"/>
        <d v="2022-12-29T00:00:00Z"/>
        <d v="2023-02-02T00:00:00Z"/>
        <d v="2023-03-03T00:00:00Z"/>
        <d v="2023-03-21T00:00:00Z"/>
        <d v="2023-03-22T00:00:00Z"/>
        <d v="2023-05-08T00:00:00Z"/>
        <d v="2023-05-19T00:00:00Z"/>
        <d v="2023-05-22T00:00:00Z"/>
        <d v="2023-05-24T00:00:00Z"/>
        <d v="2023-06-08T00:00:00Z"/>
        <d v="2023-06-12T00:00:00Z"/>
        <d v="2023-06-19T00:00:00Z"/>
        <d v="2023-07-01T00:00:00Z"/>
        <d v="2023-07-18T00:00:00Z"/>
        <d v="2023-08-01T00:00:00Z"/>
        <d v="2023-08-16T00:00:00Z"/>
        <d v="2023-09-05T00:00:00Z"/>
        <d v="2023-09-20T00:00:00Z"/>
        <d v="2023-10-16T00:00:00Z"/>
        <d v="2023-10-18T00:00:00Z"/>
        <d v="2023-11-07T00:00:00Z"/>
        <d v="2023-11-16T00:00:00Z"/>
        <d v="2023-11-28T00:00:00Z"/>
        <d v="2023-11-29T00:00:00Z"/>
        <d v="2023-12-01T00:00:00Z"/>
        <d v="2023-12-04T00:00:00Z"/>
        <d v="2023-12-08T00:00:00Z"/>
        <d v="2023-12-11T00:00:00Z"/>
        <d v="2023-12-12T00:00:00Z"/>
        <d v="2023-12-13T00:00:00Z"/>
        <d v="2023-12-26T00:00:00Z"/>
        <d v="2024-01-03T00:00:00Z"/>
        <d v="2024-01-05T00:00:00Z"/>
        <d v="2024-01-10T00:00:00Z"/>
        <d v="2024-01-19T00:00:00Z"/>
        <d v="2024-01-24T00:00:00Z"/>
        <d v="2024-02-01T00:00:00Z"/>
        <d v="2024-02-12T00:00:00Z"/>
        <d v="2024-02-19T00:00:00Z"/>
        <d v="2024-02-22T00:00:00Z"/>
        <d v="2024-02-26T00:00:00Z"/>
        <d v="2024-03-06T00:00:00Z"/>
        <d v="2024-03-14T00:00:00Z"/>
        <d v="2024-04-15T00:00:00Z"/>
        <d v="2024-04-17T00:00:00Z"/>
        <d v="2024-04-18T00:00:00Z"/>
        <d v="2024-04-22T00:00:00Z"/>
        <d v="2024-04-24T00:00:00Z"/>
        <d v="2024-04-29T00:00:00Z"/>
        <d v="2024-05-01T00:00:00Z"/>
        <d v="2024-05-09T00:00:00Z"/>
        <d v="2024-05-15T00:00:00Z"/>
        <d v="2024-05-17T00:00:00Z"/>
        <d v="2024-05-21T00:00:00Z"/>
        <d v="2024-05-29T00:00:00Z"/>
        <d v="2024-06-03T00:00:00Z"/>
        <d v="2024-06-06T00:00:00Z"/>
        <d v="2024-06-10T00:00:00Z"/>
        <d v="2024-06-12T00:00:00Z"/>
        <d v="2024-06-17T00:00:00Z"/>
        <d v="2024-07-01T00:00:00Z"/>
        <d v="2024-07-08T00:00:00Z"/>
        <d v="2024-07-09T00:00:00Z"/>
        <d v="2024-07-11T00:00:00Z"/>
        <d v="2024-07-16T00:00:00Z"/>
        <d v="2024-07-17T00:00:00Z"/>
        <d v="2024-07-18T00:00:00Z"/>
        <d v="2024-07-19T00:00:00Z"/>
        <d v="2024-07-22T00:00:00Z"/>
        <d v="2024-07-24T00:00:00Z"/>
        <d v="2024-07-25T00:00:00Z"/>
        <d v="2024-07-26T00:00:00Z"/>
        <d v="2024-07-29T00:00:00Z"/>
        <d v="2024-08-05T00:00:00Z"/>
        <d v="2024-08-12T00:00:00Z"/>
        <d v="2024-08-14T00:00:00Z"/>
        <d v="2024-08-21T00:00:00Z"/>
      </sharedItems>
    </cacheField>
    <cacheField name="Full Name" numFmtId="0">
      <sharedItems>
        <s v="Rohan Ray"/>
        <s v="Aakash Pal"/>
        <s v="Aatmiy Tomar"/>
        <s v="Aayushi Siddhi Bhatta"/>
        <s v="Aayushi Sharma"/>
        <s v="Abhinav Magow"/>
        <s v="Abhinav Srivastava"/>
        <s v="Abhinav Venkat"/>
        <s v="Abhishek Aga"/>
        <s v="Abhishek Anand"/>
        <s v="Abhishek Chaudhary"/>
        <s v="Abhishek Kumar"/>
        <s v="Abhishek Maheshwari"/>
        <s v="Abhishek Mishra"/>
        <s v="Abhishek Mudgal"/>
        <s v="Abhishek Raj"/>
        <s v="Abhishek Singh"/>
        <s v="Achla Vatsa"/>
        <s v="Adesh Sharma"/>
        <s v="Aditya Ganguly"/>
        <s v="Aditya Garg"/>
        <s v="Aditya Marda"/>
        <s v="Advait Mulay - Intern"/>
        <s v="Afshan Akram"/>
        <s v="Ajayraj Singh - Intern"/>
        <s v="Ajinkya Sirohi"/>
        <s v="Ajitesh Mohanta"/>
        <s v="Akanksha Bhatia"/>
        <s v="Akash Bisht"/>
        <s v="Akash Chauhan"/>
        <s v="Akhilesh Boppana"/>
        <s v="Akshay Kumar"/>
        <s v="Akshit Kumar"/>
        <s v="Aksshay Malaviya"/>
        <s v="Alankrita Sharma"/>
        <s v="Alok"/>
        <s v="Alok Singh"/>
        <s v="Alpika Singh"/>
        <s v="Aman Choudhury"/>
        <s v="Aman Ludhwani"/>
        <s v="Amit Arora"/>
        <s v="Amit K"/>
        <s v="Amit Kumar"/>
        <s v="Amit Shukla"/>
        <s v="Amiya Panda"/>
        <s v="Amul"/>
        <s v="Anais Kumar"/>
        <s v="Aneesh Garg"/>
        <s v="Anil Meher"/>
        <s v="Aniruddh Sharma"/>
        <s v="Anish Choudhary"/>
        <s v="Anita Rane"/>
        <s v="Anjali"/>
        <s v="Ankita Pradhan"/>
        <s v="Ankur Agarwal"/>
        <s v="Ankur Sharma"/>
        <s v="Anshu Satheesh"/>
        <s v="Anubhav Mishra"/>
        <s v="Anuj Singh"/>
        <s v="anupam.‚Äãkushwah"/>
        <s v="Anurag Dhandhi"/>
        <s v="Anurag Shukla"/>
        <s v="Anurag Pratap Singh"/>
        <s v="Apoorv Bhargava"/>
        <s v="Apoorv Kalia"/>
        <s v="Apurav Garg"/>
        <s v="Ara Avasthi"/>
        <s v="Aral Avasthi"/>
        <s v="Archit Kumar"/>
        <s v="Arjun Sankhala"/>
        <s v="Arpan Khosla"/>
        <s v="Arpit Gulati"/>
        <s v="Arpit Jain"/>
        <s v="Arshad Iqbal"/>
        <s v="Arun Kumar"/>
        <s v="Arun Rajaram"/>
        <s v="Arun Singh"/>
        <s v="arvinder singla"/>
        <s v="Arya Soni"/>
        <s v="aryan.bahl"/>
        <s v="Aryan Gupta"/>
        <s v="Aryan Mehta"/>
        <s v="Ashish Chandra"/>
        <s v="Ashmita Dwivedi"/>
        <s v="Ashmita Jain"/>
        <s v="Ashutosh Barthwal"/>
        <s v="Ashutosh Bharatwal"/>
        <s v="Ashvani Kumar Yadav"/>
        <s v="Ashwani Goyal"/>
        <s v="Ashwani Raja"/>
        <s v="Ashwani Rana"/>
        <s v="Ashwini Rana"/>
        <s v="Astha Yadav"/>
        <s v="Atique Firoz"/>
        <s v="Avijit Sharma"/>
        <s v="Avinash Srivastava"/>
        <s v="Aviral"/>
        <s v="Avisha Singh"/>
        <s v="Ayasha Swain"/>
        <s v="Ayush Gupta"/>
        <s v="Ayush Kumar"/>
        <s v="Ayushi Goyal"/>
        <s v="Ayushi Priya"/>
        <s v="Baldev Singh"/>
        <s v="Bunny"/>
        <s v="Bharat Rustagi"/>
        <s v="Binod Gupta"/>
        <s v="Biplab Dholey"/>
        <s v="Biswajit Haldar"/>
        <s v="Chaitanya Salunke"/>
        <s v="Chanchal Verma"/>
        <s v="Chandan Dwivedi"/>
        <s v="chestha.sharma"/>
        <s v="Chinmay Malhotra"/>
        <s v="Chirag Sethi"/>
        <s v="Dakshita Sharma"/>
        <s v="Dalveer Sandhu"/>
        <s v="Deekshant kharkwal"/>
        <s v="Deepak Bajaj"/>
        <s v="Deepak Dahiya"/>
        <s v="Deepak Manglani"/>
        <s v="Deepak Mehndiratta"/>
        <s v="Deepak R"/>
        <s v="Deepanker Gupta"/>
        <s v="Deepanshi Tongria"/>
        <s v="Dheeraj Kumar"/>
        <s v="Dimple Jaswal"/>
        <s v="Divya 1"/>
        <s v="Divya Kanwar"/>
        <s v="Divya Kiran Wangoo"/>
        <s v="Divyanshu Goel"/>
        <s v="Dolly Atariya"/>
        <s v="Dravit Gupta"/>
        <s v="Gagan Agrawal"/>
        <s v="Garima Bothra"/>
        <s v="Garima Prakash"/>
        <s v="Gaurav Dahiya"/>
        <s v="Gaurav Lal"/>
        <s v="Gaurav Malhotra"/>
        <s v="Gaurav Sharma"/>
        <s v="Gaurav Saxena"/>
        <s v="Gaurav Mehta"/>
        <s v="Gautam Malhotra"/>
        <s v="Girish Singh"/>
        <s v="Gitika pal"/>
        <s v="Gourav Sharma"/>
        <s v="Gouri Shankar"/>
        <s v="growth-tech"/>
        <s v="Gursharan Chawla"/>
        <s v="Gyan Mishra"/>
        <s v="Gyanendra Maurya"/>
        <s v="Hardik Chhatrala"/>
        <s v="Harjeet Kaur"/>
        <s v="harsh.‚Äãmehta"/>
        <s v="Harsh Rathways"/>
        <s v="Harshil Tyagi"/>
        <s v="Harshit Raj"/>
        <s v="Hemail Askary"/>
        <s v="Hemant Kumar"/>
        <s v="Himani Rautela"/>
        <s v="Himanshi Manral"/>
        <s v="Himanshu Chopra"/>
        <s v="Himanshu Grover"/>
        <s v="Hina Jain"/>
        <s v="Hitesh Das"/>
        <s v="hritik.‚Äãraj"/>
        <s v="Hritik Wadhwa"/>
        <s v="Ishan Margamwar"/>
        <s v="Jagjit Singh"/>
        <s v="Jasmeet Bhandari"/>
        <s v="Jay"/>
        <s v="Jayata Dureja"/>
        <s v="Jessica Dawda"/>
        <s v="Jhanvi Pandha"/>
        <s v="Jitendra Kaintura"/>
        <s v="Jitendra Nayyar"/>
        <s v="Jithin Mathew"/>
        <s v="Kabeer Manocha"/>
        <s v="Kailash Lakshmikanth"/>
        <s v="Kalpana Singh"/>
        <s v="Kalpriksh Bist"/>
        <s v="Subharanjan Sahoo"/>
        <s v="Kapil Kant"/>
        <s v="Karan Bali"/>
        <s v="Karan Bhyana"/>
        <s v="Karan Ghosh"/>
        <s v="Karan Jhinga"/>
        <s v="Kavita Morwani"/>
        <s v="Keerat Kaur"/>
        <s v="Keshav Jindal"/>
        <s v="Kirandeep Kaur"/>
        <s v="Kirtesh Kpaliwal"/>
        <s v="Kunal Garg"/>
        <s v="Kush Gupta"/>
        <s v="Lakshay Jain"/>
        <s v="Lakshay Kapoor"/>
        <s v="Lalit"/>
        <s v="Lalit Tokas"/>
        <s v="Life"/>
        <s v="Madhumati Kivande"/>
        <s v="Madhur Aggarwal"/>
        <s v="Madhuri Dutta"/>
        <s v="Manan Bhatia"/>
        <s v="Manav Jain"/>
        <s v="Mandhir Singh"/>
        <s v="Maneesh Goel"/>
        <s v="maninder saluja"/>
        <s v="Manish Karnatak"/>
        <s v="Manish Kawatra"/>
        <s v="Manish Kumar"/>
        <s v="Mansi Bedi"/>
        <s v="Manvi Agarwal"/>
        <s v="Mathias Lakra"/>
        <s v="Pathak"/>
        <s v="Sanjeed - Intern"/>
        <s v="Meera Pawar"/>
        <s v="Mehul Shah"/>
        <s v="Mitali Tyagi"/>
        <s v="mitali"/>
        <s v="Mohammed Faheem"/>
        <s v="Mohd Nadeem Ansari"/>
        <s v="mohd.‚Äãdanish"/>
        <s v="Mohit Bakshi"/>
        <s v="Mohit Kaushik"/>
        <s v="Mohit Mangal"/>
        <s v="Molik Chauhan"/>
        <s v="Mounica Duvva"/>
        <s v="Mudit Khandelwal"/>
        <s v="Mukesh Vaidya"/>
        <s v="Muskan Arora"/>
        <s v="Nabil Syed"/>
        <s v="Neha"/>
        <s v="Nidhi Agarwal"/>
        <s v="nidhi.kumari"/>
        <s v="Nihal Sidhu"/>
        <s v="Nikhil Jha"/>
        <s v="Nikhil Singhal"/>
        <s v="Nikunj Aggarwal"/>
        <s v="Nilesh Kumar"/>
        <s v="Nilesh Saxena"/>
        <s v="Nirmal Kumar"/>
        <s v="Nischay"/>
        <s v="Nishchay Singh"/>
        <s v="Nishtha Pandey"/>
        <s v="Nithin Kumar Munaga"/>
        <s v="Nitin Chauhan"/>
        <s v="Niyati Verma"/>
        <s v="Om Deoli"/>
        <s v="Pallavi Singh"/>
        <s v="Pankaj Sharma"/>
        <s v="Pankhuri Mittal"/>
        <s v="Paramvir Singh"/>
        <s v="Paras Sharma"/>
        <s v="Parth Kumar"/>
        <s v="Parv"/>
        <s v="Pavit Batra"/>
        <s v="Piyush Bansal"/>
        <s v="Piyush Charles"/>
        <s v="Piyush Mathpal"/>
        <s v="Piyush Singh Mewar"/>
        <s v="Piyush Raghuvanshi"/>
        <s v="Prabhat Kumar"/>
        <s v="Prachi Kanthiyal"/>
        <s v="Prakash Acharya"/>
        <s v="Prakash Upadhyay"/>
        <s v="prakhar.gupta"/>
        <s v="Pranjali Kumar"/>
        <s v="Prarabdh Sharma"/>
        <s v="Prarth Desai"/>
        <s v="Prashant Pundir"/>
        <s v="Prateek Asthana"/>
        <s v="prateek.chawala"/>
        <s v="Prateek Chawla"/>
        <s v="Prateek Jain"/>
        <s v="Prathamesh K"/>
        <s v="Preeti Malik"/>
        <s v="Prince Batra"/>
        <s v="Prityankur Biswas"/>
        <s v="Priya Vadan"/>
        <s v="Priyanka Gangwani"/>
        <s v="Priyanka Srivastava"/>
        <s v="Priyanshu Jain"/>
        <s v="Puja Rai"/>
        <s v="Pulkit Chhabra"/>
        <s v="Pulkit Gupta"/>
        <s v="Puneet Dhiman"/>
        <s v="Pushkar Mourya"/>
        <s v="Rabindra Gundura"/>
        <s v="Rachit Agrawal"/>
        <s v="Rahul Bisht"/>
        <s v="Rahul Goyal"/>
        <s v="Rahul Kashyap"/>
        <s v="Rahul Kumar"/>
        <s v="Rahul Sharma2"/>
        <s v="Rahul Verma"/>
        <s v="Rajashekhar Nari"/>
        <s v="Rajat Sharma"/>
        <s v="Rakshanda Thakur"/>
        <s v="Ram Prasad V S"/>
        <s v="Ram Vyas Sehgal"/>
        <s v="Raman Bedi"/>
        <s v="Ramkunwar Meghwal"/>
        <s v="Ranjeesh Yadav"/>
        <s v="Ratnish RM"/>
        <s v="Reyansh Mishra"/>
        <s v="Rishab Sachdev"/>
        <s v="Rishab Sachdeva"/>
        <s v="Rishabh Garg"/>
        <s v="Rishabh Nigam"/>
        <s v="Rishi Gour"/>
        <s v="Ritika Gola"/>
        <s v="Ritika Pathania"/>
        <s v="Ritika Tatiya"/>
        <s v="Ritu Singh"/>
        <s v="Riya Maurya"/>
        <s v="Robin Achankunju"/>
        <s v="Rohan Aggarwal"/>
        <s v="Rohan Bhagat"/>
        <s v="Rohan Kochhar"/>
        <s v="Rohan Singh"/>
        <s v="ronnie.henrikson"/>
        <s v="Roopesh Kaushik"/>
        <s v="Rubaab Sood"/>
        <s v="Ruhi Kapoor"/>
        <s v="Rupam Das"/>
        <s v="Sachin Purohit"/>
        <s v="Sachin Tanwar"/>
        <s v="Sachin Yadav"/>
        <s v="Sahil Aggarwal"/>
        <s v="Sahil Aggrawal"/>
        <s v="Sahil Narang"/>
        <s v="Sahil Shah"/>
        <s v="Saifulla Khan"/>
        <s v="Sakshi Gupta"/>
        <s v="Sakshi Pathak"/>
        <s v="Sakshi Singh"/>
        <s v="Saloni Madan"/>
        <s v="Samarth U"/>
        <s v="Samarth Udasin"/>
        <s v="Saneesh Maheshwari"/>
        <s v="Sanjit Chauhan"/>
        <s v="Sankalp Sharma"/>
        <s v="Saravana Gupta"/>
        <s v="Satish Chandra"/>
        <s v="Saurabh Dandriyal"/>
        <s v="Saurabh Shrivastava"/>
        <s v="Saurabh Srivastava"/>
        <s v="Saurabh Yadav"/>
        <s v="Saurav Temp"/>
        <s v="Sayantima Paul"/>
        <s v="Mohd Shaad Khan"/>
        <s v="Shahid Rabbani"/>
        <s v="Shailendra Singh Bhadouriya"/>
        <s v="Shameek Datta"/>
        <s v="Shankhaneel Saikia"/>
        <s v="Sharath Kowligi"/>
        <s v="Shashwati Ghosh"/>
        <s v="Shaurya Upadhyay"/>
        <s v="Shikha Devrani"/>
        <s v="Shikha Maheshwari"/>
        <s v="Shikha Meheshwari"/>
        <s v="Shikha Tripathi"/>
        <s v="Shikha Verma"/>
        <s v="Shikhar Varshney"/>
        <s v="Shilpasree Chatterjee"/>
        <s v="Shirish Shubhanker"/>
        <s v="Shiv Kumar ( IT )"/>
        <s v="Shiv Sharma"/>
        <s v="Shivangi"/>
        <s v="shivani mehta"/>
        <s v="Shoorvir Gupta"/>
        <s v="Shreya Manchanda"/>
        <s v="Shreyansh Bengani"/>
        <s v="Shreyansh Goel"/>
        <s v="shreyansh.jain"/>
        <s v="Shristi Agrawal"/>
        <s v="Shruti sachdeva"/>
        <s v="Shubham Agarwal"/>
        <s v="Shubham Chander"/>
        <s v="Shubham Gupta"/>
        <s v="Shubham Vishwakarma"/>
        <s v="Shwetank Anand"/>
        <s v="Shyam Singh"/>
        <s v="Siddharth Jain"/>
        <s v="Siddharth Rehani"/>
        <s v="Simran Bansal (BDO)"/>
        <s v="Simran Mukhia"/>
        <s v="Simran Taneja"/>
        <s v="Sneha Thapa"/>
        <s v="Snigdha Tripathi"/>
        <s v="Somanshu"/>
        <s v="Somya Singla"/>
        <s v="Sonali Pandey"/>
        <s v="Sonam Gupta"/>
        <s v="Sonam Rathore"/>
        <s v="Soni Saurav"/>
        <s v="Soumyadip Deb"/>
        <s v="Sourabh Mukherjee"/>
        <s v="Sourabh Singh"/>
        <s v="Sruja Gangolu"/>
        <s v="Subhrajit Makur"/>
        <s v="Dr Subi Chaturvedi"/>
        <s v="Sucheta Sharma"/>
        <s v="Sudhanshu Singh"/>
        <s v="Suhani Arya"/>
        <s v="Sujoy Ghosh"/>
        <s v="sumit.‚Äãchugh"/>
        <s v="Sumit Kumar"/>
        <s v="Sandeep Sharma"/>
        <s v="Sunil Gupta"/>
        <s v="Supreet Kaur"/>
        <s v="Supreet Srivastava"/>
        <s v="Supriya Chauhan"/>
        <s v="Surabhi Sanchita"/>
        <s v="Suresh Gupta"/>
        <s v="Swati Bhardwaj"/>
        <s v="Syed Suheb Hussain"/>
        <s v="Tanisha Gupta"/>
        <s v="Tanmeet Ahuja"/>
        <s v="Taranpreet Kaur"/>
        <s v="Tarun Misra"/>
        <s v="Tarun Talan"/>
        <s v="taufique.khan"/>
        <s v="Tavisi Malpani"/>
        <s v="Tejveer Singh"/>
        <s v="test.it10"/>
        <s v="test.it7"/>
        <s v="Tripti Jain"/>
        <s v="Udit Mahendra"/>
        <s v="Umesh Patnaik"/>
        <s v="Umme Asma"/>
        <s v="Vaibhav Sharma"/>
        <s v="Vamci Vishal"/>
        <s v="Vanshika Rathi"/>
        <s v="Varsha Sk"/>
        <s v="Vartin Jain"/>
        <s v="Varun Yadav"/>
        <s v="Vasudev Yadav"/>
        <s v="Vicky Mehra"/>
        <s v="Vidhi Arora"/>
        <s v="Vidhi Dutta"/>
        <s v="Vidushi Gupta"/>
        <s v="Vidya Bhushan"/>
        <s v="Vihsal Agarwal"/>
        <s v="Vijay Mr"/>
        <s v="Vikas Kumar"/>
        <s v="Vikram Bhadoriya"/>
        <s v="Vinay Pratap"/>
        <s v="Vinay Singh Rawat"/>
        <s v="Vinni Kalra Francis"/>
        <s v="Vinoth R"/>
        <s v="Vipul Jalal"/>
        <s v="virender.gupta"/>
        <s v="Vishal Kumar Saw"/>
        <s v="Vishu Chopra"/>
        <s v="Vishu Singh"/>
        <s v="Vivek Goyal"/>
        <s v="Vivek Sharma"/>
        <s v="Vivek Walecha"/>
        <s v="Vivek Yadav"/>
        <s v="Wajid Ali Ansari"/>
        <s v="Yash Anand"/>
        <s v="Yash Dixit"/>
        <s v="Yash Gola"/>
        <s v="Yash Lamba"/>
        <s v="Yuvika Duggal"/>
        <s v="Zeba Sheikh"/>
        <s v="Zoya Ruhi"/>
        <s v="Aaditya Singh"/>
        <s v="Aakash Phogat"/>
        <s v="Aakashdeep Madaan"/>
        <s v="Aashi Mangal"/>
        <s v="Abhay Kumar"/>
        <s v="Abhishek Gupta"/>
        <s v="Abhishek Swami"/>
        <s v="Abhishek Dharmman"/>
        <s v="Abhishek Bisht"/>
        <s v="Adarsh Kumar"/>
        <s v="Aditya Pathak"/>
        <s v="Aditya Kumar Chaubey"/>
        <s v="Aditya Rai"/>
        <s v="Aditya Jha"/>
        <s v="Agrim Panwar"/>
        <s v="Ajay Talukdar"/>
        <s v="Akanksha Anand"/>
        <s v="Akhilesh Singh"/>
        <s v="Akshata Upari"/>
        <s v="Akshit Batra HR Consultant"/>
        <s v="Aman Khare"/>
        <s v="Amarjeet Yadav"/>
        <s v="Amit Mohanta"/>
        <s v="Amroj Sandhu"/>
        <s v="Anant Upadhyaya"/>
        <s v="Anant P Barla"/>
        <s v="Anish Agarwal"/>
        <s v="Anjelina Tirkey"/>
        <s v="Ankush Gupta"/>
        <s v="Anubhav Pandey"/>
        <s v="Anuj Gupta"/>
        <s v="Anuradha Sharma"/>
        <s v="Anurag Dwivedi"/>
        <s v="Anushka Murgudkar"/>
        <s v="Apoorv Mathur"/>
        <s v="Aradhana choudhary"/>
        <s v="Arpit Rathore"/>
        <s v="Arsalan Abbasi"/>
        <s v="Arushi Patni"/>
        <s v="Arvind Kumar Gupta"/>
        <s v="Atharv Dinesh Bende"/>
        <s v="Atiullaha Siddiqui"/>
        <s v="Atul Kumar Sangwan"/>
        <s v="Ayan Pathan"/>
        <s v="Ayush Singhal"/>
        <s v="Ayushi Sharma"/>
        <s v="Bal Sikandar"/>
        <s v="Baljinder Kaur"/>
        <s v="Banta Singh"/>
        <s v="Bhanu Pratap"/>
        <s v="Bharti Rani"/>
        <s v="Bhoomika Arora"/>
        <s v="Bikash Kumar Jha"/>
        <s v="Bishan Bhadra"/>
        <s v="Biswajit Dey"/>
        <s v="Chaitanya Kapoor"/>
        <s v="Daksh Tyagi"/>
        <s v="Deep Dwivedi"/>
        <s v="Deepak Singh Rawat"/>
        <s v="Deeplata Singh"/>
        <s v="Dev Peshawari"/>
        <s v="Dev Gupta"/>
        <s v="Dhanishtha Bansal"/>
        <s v="Diksha Verma"/>
        <s v="Divang Singh"/>
        <s v="Divij Bhola"/>
        <s v="Divya Dhiman"/>
        <s v="Divyansh Singh"/>
        <s v="Gargi Singh Bhadu"/>
        <s v="Gaurav Midda"/>
        <s v="Gauri Menghani"/>
        <s v="Goldee Arora"/>
        <s v="Gulshan Varshney"/>
        <s v="Gunn Bhargava"/>
        <s v="Gurchetan Singh"/>
        <s v="Harkirat Singh"/>
        <s v="Harsh Raghuvanshi"/>
        <s v="Harsh Anand"/>
        <s v="Harsh Yadav"/>
        <s v="Harsh Mehta"/>
        <s v="Harsh ratwaya"/>
        <s v="Harsh Thaplyal"/>
        <s v="Harsha Nanwani"/>
        <s v="Hemant Dandotiya"/>
        <s v="Himanshu Solanki"/>
        <s v="Himanshu Sharma"/>
        <s v="Hitesh Kwatra"/>
        <s v="Hritik Garg"/>
        <s v="Iqra Islam"/>
        <s v="Ishpreet Singh"/>
        <s v="Iteshree Ipsita"/>
        <s v="Janvi Rajpoot"/>
        <s v="Jasleen Kaur"/>
        <s v="Jeevan Kumar Singla"/>
        <s v="Jitendra Rawat"/>
        <s v="Jitesh Suneja"/>
        <s v="Jyoti Singh"/>
        <s v="Kailash Lalta"/>
        <s v="Kailash Chand"/>
        <s v="Karan Goyal"/>
        <s v="Karan Aggarwal"/>
        <s v="Kashish Nagpal"/>
        <s v="Kashish Rathore"/>
        <s v="Keshav Khatri"/>
        <s v="Khushboo Chopra"/>
        <s v="Khushboo Yadav"/>
        <s v="Kirtesh Paliwal"/>
        <s v="Kishan Singh"/>
        <s v="KS Chetan"/>
        <s v="Lakshya Jain"/>
        <s v="Lalit Jadli"/>
        <s v="Lokesh Gawande"/>
        <s v="Lucky Singh - Jindal"/>
        <s v="Madhurika Nayak"/>
        <s v="Mamta Pandey"/>
        <s v="Manas Singh"/>
        <s v="Manjot Juyal"/>
        <s v="Manoj M"/>
        <s v="Mayank Goyal"/>
        <s v="Mayank Kumar"/>
        <s v="Mayank Kakkar"/>
        <s v="Md Neyaz"/>
        <s v="Md Sameer Alam"/>
        <s v="Meenu Gupta"/>
        <s v="Mohammed Nayeem"/>
        <s v="Mohd Mohiuddin Khan"/>
        <s v="Mohd Ghufran Ansari"/>
        <s v="Mohini Lal"/>
        <s v="Mohini Bhardwaj"/>
        <s v="Mohit Tanwar"/>
        <s v="Mohit Choudhary"/>
        <s v="Mohit kumar"/>
        <s v="Mritunjay Kumar"/>
        <s v="Mudit Jain"/>
        <s v="Mukul Chaudhary"/>
        <s v="Munnu Kumar"/>
        <s v="Muskan Khan - Jindal"/>
        <s v="Naman Vijay"/>
        <s v="Naman Khandelwal"/>
        <s v="Nasir Ali"/>
        <s v="Naveen Yadav"/>
        <s v="Naveen Sangepu"/>
        <s v="Naveen Kumar"/>
        <s v="Neha Sharma"/>
        <s v="Nidhi Khedekar"/>
        <s v="Nikhil Sharma"/>
        <s v="Nikhil Kansotia"/>
        <s v="Nikhil Kumar"/>
        <s v="Nikita Mantri"/>
        <s v="Nishant Tripathi"/>
        <s v="Nitin Kaplas"/>
        <s v="Pankaj Pankaj"/>
        <s v="Pankaj Rana"/>
        <s v="Pankaj Garg"/>
        <s v="Pawan Kumar Sarswat"/>
        <s v="Piyush Kumar"/>
        <s v="Pooja Lunia"/>
        <s v="Pooja Kumari"/>
        <s v="Prachi Kabthiyal"/>
        <s v="Pragya Singh"/>
        <s v="Pranjal Saxena"/>
        <s v="Pranjay Dhamija"/>
        <s v="Prashant Jha"/>
        <s v="Preeti Singh"/>
        <s v="Prerna Sharma"/>
        <s v="Pritesh Kumar"/>
        <s v="Priyanka Tiwari - Jindal"/>
        <s v="Priyansh Gupta"/>
        <s v="Pulkit Sehgal"/>
        <s v="Purodha Singh"/>
        <s v="Raghav Maheshwari"/>
        <s v="Raghavv M Garg"/>
        <s v="Rahil Choudhary"/>
        <s v="Rahul Kundu"/>
        <s v="Rahul Yadav"/>
        <s v="Rahul Prasad Suman"/>
        <s v="Rahul Sharma"/>
        <s v="Rahul Shukla"/>
        <s v="Rahul Jaat"/>
        <s v="Rahul Saini"/>
        <s v="Rahul Thakur"/>
        <s v="Rajiv Yadav"/>
        <s v="Raman Dixit"/>
        <s v="Ramendra Singh"/>
        <s v="Rashmi Navale"/>
        <s v="Raushan Thakur"/>
        <s v="Ravi Kumar"/>
        <s v="Ravneet Kaur"/>
        <s v="Rhythm Jain"/>
        <s v="Richa Sharma"/>
        <s v="Rijul Sehgal"/>
        <s v="Rishabh Solanki"/>
        <s v="Ritesh Gupta"/>
        <s v="Ritik Kumar"/>
        <s v="Ritwika Maitra"/>
        <s v="Ritwika Rai"/>
        <s v="Rohit Sahni"/>
        <s v="Rohit Chhabra"/>
        <s v="Rohit Raj"/>
        <s v="Roma Mehta"/>
        <s v="Saaksshi Makkar"/>
        <s v="Sagar Kumar Tekriwal - Jindal"/>
        <s v="Sagar Saini"/>
        <s v="Sahil Singh"/>
        <s v="Sameer Negi"/>
        <s v="Sameer Abbasi"/>
        <s v="Samir Halder ( External )"/>
        <s v="Sanjana Bhardwaj"/>
        <s v="Sanjeev Kumar"/>
        <s v="Sanket Jain"/>
        <s v="Saravana Kumar"/>
        <s v="Sarthak Jain"/>
        <s v="Satish Kumar"/>
        <s v="Satya Vart"/>
        <s v="Saumya Ranjan Behera"/>
        <s v="Saurav Garg"/>
        <s v="Sayanika Nandi"/>
        <s v="Shambhavi Khare"/>
        <s v="Sheshant Sinha"/>
        <s v="Shitiza Arora"/>
        <s v="Shivam Kumar"/>
        <s v="Shivam Yadav"/>
        <s v="Shivam Bali"/>
        <s v="Shivangi Dalmia"/>
        <s v="Shivani Patil"/>
        <s v="Shobhit Sharma"/>
        <s v="Shreya Pandey"/>
        <s v="Shubham Khosla"/>
        <s v="Shubham Kumar Thakur"/>
        <s v="Shubham Kumar"/>
        <s v="Shubham Maurya"/>
        <s v="Shubham Goyal"/>
        <s v="Shubham Verma"/>
        <s v="Siddharth Saurav"/>
        <s v="Siddharth Monga"/>
        <s v="Sidharth Dhiman"/>
        <s v="Simran Verma"/>
        <s v="Simran Rana"/>
        <s v="Sonu Modi"/>
        <s v="Soumya Manna"/>
        <s v="Sourabh Kumar"/>
        <s v="Srijith Shaji"/>
        <s v="Suman Kumar"/>
        <s v="Sumit Paul"/>
        <s v="Suraj Negi"/>
        <s v="Sushant Upadhyay"/>
        <s v="Suvam Debata"/>
        <s v="Suvra Das"/>
        <s v="Swati Puhan"/>
        <s v="Tarun Kumar"/>
        <s v="Tarun Sharma"/>
        <s v="Teena Gupta"/>
        <s v="Tripat Kaur"/>
        <s v="Tulika Bhatnagar"/>
        <s v="Tushar Sharma"/>
        <s v="Twinkle Bhati"/>
        <s v="Uma Batra"/>
        <s v="Umair Iliyas"/>
        <s v="Umar Khan"/>
        <s v="Utkarsh Vishal"/>
        <s v="Utkarsh Sharma"/>
        <s v="Vansh Kumar Dua"/>
        <s v="Varsha Mishra"/>
        <s v="Vedaant Magow"/>
        <s v="Vedant Sharma"/>
        <s v="Vidhya Bharathi"/>
        <s v="Vikas Gupta"/>
        <s v="Vikas Joshi"/>
        <s v="Vimal Prajapati"/>
        <s v="Vinay Mishra"/>
        <s v="Vipin Yadav"/>
        <s v="Vishal Kumar Lal"/>
        <s v="Vivek Jain"/>
        <s v="Vivek Soni"/>
        <s v="Vivek Claudius"/>
        <s v="Yakshita Behl"/>
        <s v="Yash Oberoi"/>
        <s v="Yogesha k"/>
        <s v="Yuvam Parmar"/>
        <s v="Zaid Anwar"/>
        <s v="Aditya Pawar"/>
        <s v="Siddhant Saurabh"/>
        <s v="Dilsher Malhi"/>
        <s v="Zupee Support"/>
        <s v="Aarti Luthra"/>
        <s v="Sawai Singh"/>
        <s v="Zupee Design"/>
        <s v="Pranav Jaradi"/>
        <s v="Arun Prabhakaran"/>
        <s v="Jyoti Gupta"/>
        <s v="Pratyaksh Rawat"/>
        <s v="Zupee Grievance"/>
        <s v="Aman Kumar Bahl"/>
        <s v="Gurmeet Singh"/>
        <s v="Sumit Singh"/>
        <s v="Akshit Sharma"/>
        <s v="Ranjeet Kumar"/>
        <s v="Govind Mittal"/>
        <s v="Zupee Careers"/>
        <s v="Akanksha Dhamija"/>
        <s v="M Sangeetha"/>
        <s v="Piyush Shukla"/>
        <s v="Piyali Kar"/>
        <s v="Team HR"/>
        <s v="Vishal Agarwal"/>
        <s v="Disha Garg"/>
        <s v="Rajneesh Yadav"/>
        <s v="Zupee Social"/>
        <s v="Rahul Sharma - Tech"/>
        <s v="Nishant Jaiswal"/>
        <s v="Narender Tyagi"/>
        <s v="Rahul Ranjan"/>
        <s v="Vishnu Khowal"/>
        <s v="Aman Kumar"/>
        <s v="Naveen Kadyan"/>
        <s v="Zupee Digital"/>
        <s v="Amogh Babbar"/>
        <s v="Babita Sharma"/>
        <s v="Nayan Intwala"/>
        <s v="Saurabh Khurana"/>
        <s v="Gagan Sharma"/>
        <s v="Shahid Gauri"/>
        <s v="Chirag Jain"/>
        <s v="Arif Jamal"/>
        <s v="Anuj Baghel"/>
        <s v="Legal Support"/>
        <s v="Amit Garg"/>
        <s v="Ishant Wadhwa"/>
        <s v="Nikhil Kaplas"/>
        <s v="Sumit Khaitan"/>
        <s v="Payroll Team"/>
        <s v="Ankit Kumar Sahu"/>
        <s v="Eeshma Anand"/>
        <s v="Kamal Kishore Sharma"/>
        <s v="Sairam Mushyam"/>
        <s v="Akshay Gulati"/>
        <s v="iOS Support"/>
        <s v="Aman Gupta"/>
        <s v="Mohit Arora"/>
        <s v="Rohit Saini"/>
        <s v="Ishank Mehta"/>
        <s v="Ludo Turbo Support"/>
        <s v="Zupee Recharges"/>
        <s v="Kinshuk Puri"/>
        <s v="Marketing Dashboard"/>
        <s v="Raghav Bansal"/>
        <s v="Naina Sharma"/>
        <s v="Aman Chhabra"/>
        <s v="Rohit Nandan Dubey"/>
        <s v="Kamran Ahmad Hadi"/>
        <s v="Ankita Jugran"/>
        <s v="Rahul Punia"/>
        <s v="Shivam Sharma"/>
        <s v="Vedank Goyal"/>
        <s v="Vinay Bansal"/>
        <s v="Katha Pankaj Tara"/>
        <s v="Vishwa Patel"/>
        <s v="Abhinav Shandilya"/>
        <s v="Raman Malik"/>
        <s v="Dashboard Entities"/>
        <s v="Nodal Head"/>
        <s v="Bhargavkumar Khalasi"/>
        <s v="Riya Jhalani"/>
        <s v="Mayank Jain"/>
        <s v="Diksha Sachdeva"/>
        <s v="Saurav Yadav"/>
        <s v="Sahil Puri"/>
        <s v="Divya Koundal"/>
        <s v="Deepak Khandelwal"/>
        <s v="Amit Shukracharya Sutar"/>
        <s v="Vishal Kapoor"/>
        <s v="User Research"/>
        <s v="Lekhika Dhariyal"/>
        <s v="Sachin Sharma"/>
        <s v="Divya Khare"/>
        <s v="Hitesh Vats"/>
        <s v="Annu Nirmal"/>
        <s v="Kritika Kapoor"/>
        <s v="Nikhil Kumar Gupta"/>
        <s v="Prashant Kumar"/>
        <s v="Harsha Ratnam"/>
        <s v="Nitesh Vijay"/>
        <s v="Saksham Aneja"/>
        <s v="Vijay Singh"/>
        <s v="Fresh Desk"/>
        <s v="Shreya Dwivedi"/>
        <s v="Himanshu Barsiwal"/>
        <s v="Nodal Helpdesk"/>
        <s v="A Rushyant Reddy"/>
        <s v="Ishu Sharma"/>
        <s v="Vamsidhar Yeddu"/>
        <s v="Zupee Secretarial"/>
        <s v="It Services"/>
        <s v="Ramit Arora"/>
        <s v="Payal Katoch"/>
        <s v="Posh Team"/>
        <s v="Ananya Apurva"/>
        <s v="Harshitaa Prakash"/>
        <s v="Manoj Rane"/>
        <s v="Prashant Yadav"/>
        <s v="Satyam Govila"/>
        <s v="IT Support"/>
        <s v="Z People"/>
        <s v="Anish Joseph Abraham"/>
        <s v="Khushali Bagga"/>
        <s v="Nandeshwar Gupta"/>
        <s v="Anshul Mittal"/>
        <s v="Pratik Aswal"/>
        <s v="Devagya Kumar"/>
        <s v="Nikhil Kumar Jha"/>
        <s v="Gyani Dass"/>
        <s v="Arpita Latta"/>
        <s v="CRM QA"/>
        <s v="Marcom Zupee"/>
        <s v="Monika Yadav"/>
        <s v="Amarjeet Singh"/>
        <s v="Speakup @Zupee"/>
        <s v="Astha Mishra"/>
        <s v="Yogesh Yadav"/>
        <s v="Maneesha Negi"/>
        <s v="Shubham Singh"/>
        <s v="Harish Bahl"/>
        <s v="Dhruv Adlakha"/>
        <s v="Nimish Goyal"/>
        <s v="Repo Master"/>
        <s v="Saksham Kochhar - Intern"/>
        <s v="Support Zupeefree"/>
        <s v="We Care"/>
        <s v="Pareena Singh"/>
        <s v="Rakesh Kumar"/>
        <s v="Amit Singh"/>
        <s v="Manmohan Sagar"/>
        <s v="Pratik Taltia"/>
        <s v="Pradeep Agrawal"/>
        <s v="Shrasti Tomar"/>
        <s v="Satyam Jaiswal"/>
        <s v="payroll Support"/>
        <s v="Tushar Rajendra Patil"/>
        <s v="Mukul Bhatt"/>
        <s v="Mohit Singh Rathore"/>
        <s v="Abhishek Goyal"/>
        <s v="Gaurav Khanna"/>
        <s v="Rajkumar Singh"/>
        <s v="Adhip Kushwaha"/>
        <s v="DevOps Integration"/>
        <s v="Jatin Kinra"/>
        <s v="ESOP Communication"/>
        <s v="Mohit Singh"/>
        <s v="Zai Bot"/>
        <s v="Anwesha Raj"/>
        <s v="Tushar Mehta"/>
        <s v="Rijul Sharma"/>
        <s v="Mukesh Kumar Maurya"/>
        <s v="Zupee Talent"/>
        <s v="Kanika Wadhwa"/>
        <s v="Sumit Yadav"/>
        <s v="Anand Keshav"/>
        <s v="Rajat Garg"/>
        <s v="Aman Hans"/>
        <s v="Shiv Kumar IT"/>
        <s v="Basilnath Samson Masabiel"/>
        <s v="shashwat Agarwal"/>
        <s v="Tarun Mangal"/>
        <s v="Security Zupee"/>
        <s v="Piyush Maurya"/>
        <s v="Gokul Verma"/>
        <s v="Ritvik Sharma"/>
        <s v="Satyam Singh"/>
        <s v="Kanwar Aditya Singh"/>
        <s v="Sanchi Gupta"/>
        <s v="Rahul Satija"/>
        <s v="Nikhil Jain"/>
        <s v="Anjali pal"/>
        <s v="Nidhi Kashyap"/>
        <s v="Rukhsar Bano - Jindal"/>
        <s v="Mrityunjay Kumar"/>
        <s v="Shivani Bisht"/>
        <s v="Ravi Jha"/>
        <s v="Avanish Kumar Dubey"/>
        <s v="Aditi Khanna"/>
        <s v="Abhishek Prasad"/>
        <s v="Piyush Patel"/>
        <s v="Harshit Makhija"/>
        <s v="Om Hari Mishra"/>
        <s v="Parth Jindal"/>
        <s v="Punit Sharma"/>
        <s v="Shankar Sangwan - Jindal"/>
        <s v="Ravi Kaushik - Jindal"/>
        <s v="Vip Team"/>
        <s v="Data Auth"/>
        <s v="Jaidev Chauhan"/>
        <s v="Shyam Sunder Verma"/>
        <s v="Aditya Samantaray"/>
        <s v="HR Informant"/>
        <s v="Meenu Bharti"/>
        <s v="Ayush Dabas"/>
        <s v="Vivek Choudhary"/>
        <s v="Founders Office"/>
        <s v="Chetan More"/>
        <s v="Shashank Gupta"/>
        <s v="Sunny Singh"/>
        <s v="Rishabh Bhatia"/>
        <s v="Rajan Jayaswal"/>
        <s v="Amrit Anand"/>
      </sharedItems>
    </cacheField>
    <cacheField name="Office Email Address" numFmtId="0">
      <sharedItems>
        <s v="rohan.ray@zupee.in"/>
        <s v="aakash.pal@zupee.in"/>
        <s v="aatmiy.tomar@zupee.in"/>
        <s v="aayushi.bhatta@zupee.in"/>
        <s v="aayushi.sharma@zupee.in"/>
        <s v="abhinav.magow@zupee.in"/>
        <s v="abhinav.srivastava@zupee.in"/>
        <s v="abhinav.venkat@zupee.in"/>
        <s v="abhishek.aga@zupee.in"/>
        <s v="abhishek.anand@zupee.in"/>
        <s v="abhishek.chaudhary@zupee.in"/>
        <s v="abhishek.kumar@zupee.in"/>
        <s v="abhishek.maheshwari@zupee.in"/>
        <s v="abhishek.mishra@zupee.in"/>
        <s v="abhishek.mudgal@zupee.in"/>
        <s v="abhishek.raj@zupee.in"/>
        <s v="abhishek.singh@zupee.in"/>
        <s v="achla.vatsa@zupee.in"/>
        <s v="adesh.sharma@zupee.in"/>
        <s v="aditya.ganguly@zupee.in"/>
        <s v="aditya.garg@zupee.in"/>
        <s v="aditya.marda@zupee.in"/>
        <s v="advait.mulay@zupee.in"/>
        <s v="afshan.akram@zupee.in"/>
        <s v="ajayraj.singh@zupee.in"/>
        <s v="ajinkya.sirohi@zupee.in"/>
        <s v="ajitesh.mohanta@zupee.in"/>
        <s v="akanksha.bhatia@zupee.in"/>
        <s v="akash.bisht@zupee.in"/>
        <s v="akash.chauhan@zupee.in"/>
        <s v="akhilesh.boppana@zupee.in"/>
        <s v="akshay.kumar@zupee.in"/>
        <s v="akshit.kumar@zupee.in"/>
        <s v="aksshay.malaviya@zupee.in"/>
        <s v="alankrita.sharma@zupee.in"/>
        <s v="alok.mahor@zupee.in"/>
        <s v="alok.singh@zupee.in"/>
        <s v="alpika.singh@zupee.in"/>
        <s v="aman.choudhury@zupee.in"/>
        <s v="aman.ludhwani@zupee.in"/>
        <s v="amit.arora@zupee.in"/>
        <s v="amit.k@zupee.in"/>
        <s v="amit.kumar@zupee.in"/>
        <s v="amit.shukla@zupee.in"/>
        <s v="amiya.panda@zupee.in"/>
        <s v="amul.singh@zupee.in"/>
        <s v="anais.kumar@zupee.in"/>
        <s v="aneesh.garg@zupee.in"/>
        <s v="anil.meher@zupee.in"/>
        <s v="aniruddha.sharma@zupee.in"/>
        <s v="anish.choudhary@zupee.in"/>
        <s v="anita.rane@zupee.in"/>
        <s v="anjali.rai@zupee.in"/>
        <s v="ankita.pradhan@zupee.in"/>
        <s v="ankur.agarwal@zupee.in"/>
        <s v="ankur.sharma@zupee.in"/>
        <s v="anshu.satheesh@zupee.in"/>
        <s v="anubhav.mishra@zupee.in"/>
        <s v="anuj.singh@zupee.in"/>
        <s v="anupam.kushwah@zupee.in"/>
        <s v="anurag.dhandhi@zupee.in"/>
        <s v="anurag.shukla@zupee.in"/>
        <s v="anurag.singh@zupee.in"/>
        <s v="apoorv.bhargava@zupee.in"/>
        <s v="apoorv.kalia@zupee.in"/>
        <s v="apurav.garg@zupee.in"/>
        <s v="ara.avasthi@zupee.in"/>
        <s v="aral.avasthi@zupee.in"/>
        <s v="archit.kumar@zupee.in"/>
        <s v="arjun.sankhala@zupee.in"/>
        <s v="arpan.khosla@zupee.in"/>
        <s v="arpit.gulati@zupee.in"/>
        <s v="arpit.jain@zupee.in"/>
        <s v="arshad.iqbal@zupee.in"/>
        <s v="arun.kumar2@zupee.in"/>
        <s v="arun.rajaram@zupee.in"/>
        <s v="arun.singh@zupee.in"/>
        <s v="arvinder.singla@zupee.in"/>
        <s v="arya.soni@zupee.in"/>
        <s v="aryan.bahl@zupee.in"/>
        <s v="aryan.gupta@zupee.in"/>
        <s v="aryan.mehta@zupee.in"/>
        <s v="ashish.chandra@zupee.in"/>
        <s v="ashmita.dwivedi@zupee.in"/>
        <s v="ashmita.jain@zupee.in"/>
        <s v="ashutosh.barthwal@zupee.in"/>
        <s v="ashutosh.bharatwal@zupee.in"/>
        <s v="ashvani.kumar@zupee.in"/>
        <s v="ashwani.goyal@zupee.in"/>
        <s v="ashwani.raja@zupee.in"/>
        <s v="ashwani.rana@zupee.in"/>
        <s v="Ashwini.Rana@Zupee.in"/>
        <s v="astha.yadav@zupee.in"/>
        <s v="atique.firoz@zupee.in"/>
        <s v="avijit.sharma@zupee.in"/>
        <s v="avinash.srivastava@zupee.in"/>
        <s v="aviral.rastogi@zupee.in"/>
        <s v="avisha.singh@zupee.in"/>
        <s v="ayasha.swain@zupee.in"/>
        <s v="ayush.gupta@zupee.in"/>
        <s v="ayush.kumar@zupee.in"/>
        <s v="ayushi.goyal@zupee.in"/>
        <s v="ayushi.priya@zupee.in"/>
        <s v="baldev.singh@zupee.in"/>
        <s v="baljinder.singh@zupee.in"/>
        <s v="bharat.rustagi@zupee.in"/>
        <s v="binod.gupta@zupee.in"/>
        <s v="biplab.dholey@zupee.in"/>
        <s v="biswajit.haldar@zupee.in"/>
        <s v="chaitanya.salunke@zupee.in"/>
        <s v="chanchal.verma@zupee.in"/>
        <s v="chandan.dwivedi@zupee.in"/>
        <s v="chestha.sharma@zupee.in"/>
        <s v="chinmay.malhotra@zupee.in"/>
        <s v="chirag.sethi@zupee.in"/>
        <s v="dakshita.sharma@zupee.in"/>
        <s v="dalveer.sandhu@zupee.in"/>
        <s v="deekshant.kharkwal@zupee.in"/>
        <s v="deepak.bajaj@zupee.in"/>
        <s v="deepak.dahiya@zupee.in"/>
        <s v="deepak.manglani@zupee.in"/>
        <s v="deepak.mehndiratta@zupee.in"/>
        <s v="deepak.r@zupee.in"/>
        <s v="deepanker.gupta@zupee.in"/>
        <s v="deepanshi.tongria@zupee.in"/>
        <s v="dheeraj.kumar@zupee.in"/>
        <s v="dimple.jaswal@zupee.in"/>
        <s v="divya.1@zupee.in"/>
        <s v="divya.kanwar@zupee.in"/>
        <s v="divya.wangoo@zupee.in"/>
        <s v="divyanshu.goel@zupee.in"/>
        <s v="dolly.atariya@zupee.in"/>
        <s v="dravit.gupta@zupee.in"/>
        <s v="gagan.agrawal@zupee.in"/>
        <s v="garima.bothra@zupee.in"/>
        <s v="garima.prakash@zupee.in"/>
        <s v="gaurav.dahiya@zupee.in"/>
        <s v="gaurav.lal@zupee.in"/>
        <s v="gaurav.malhotra@zupee.in"/>
        <s v="gaurav.s@zupee.in"/>
        <s v="gaurav.saxena@zupee.in"/>
        <s v="gaurav@zupee.in"/>
        <s v="gautam.malhotra@zupee.in"/>
        <s v="girish.singh@zupee.in"/>
        <s v="gitika.gitika@zupee.in"/>
        <s v="gourav.sharma@zupee.in"/>
        <s v="gouri.shankar@zupee.in"/>
        <s v="growth-tech@zupee.in"/>
        <s v="gursharan.chawla@zupee.in"/>
        <s v="gyan.mishra@zupee.in"/>
        <s v="gyanendra.maurya@zupee.in"/>
        <s v="hardik.chhatrala@zupee.in"/>
        <s v="harjeet.kaur@zupee.in"/>
        <s v="harsh.mehta@zupee.in"/>
        <s v="harsh.rathways@zupee.in"/>
        <s v="harshil.tyagi@zupee.in"/>
        <s v="harshit.raj@zupee.in"/>
        <s v="hemail.askary@zupee.in"/>
        <s v="hemant.kumar@zupee.in"/>
        <s v="himani.rautela@zupee.in"/>
        <s v="himanshi.manral@zupee.in"/>
        <s v="himanshu.chopra@zupee.in"/>
        <s v="himanshu.grover@zupee.in"/>
        <s v="hina.jain@zupee.in"/>
        <s v="hitesh.das@zupee.in"/>
        <s v="hritik.raj@zupee.in"/>
        <s v="hritik.wadhwa@zupee.in"/>
        <s v="ishan.margamwar@zupee.in"/>
        <s v="jagjit.singh@zupee.in"/>
        <s v="jasmeet.bhandari@zupee.in"/>
        <s v="jay.rustagi@zupee.in"/>
        <s v="jayata.dureja@zupee.in"/>
        <s v="jessica.dawda@zupee.in"/>
        <s v="jhanvi.pandha@zupee.in"/>
        <s v="jitendra.kaintura@zupee.in"/>
        <s v="jitendra.nayyar@zupee.in"/>
        <s v="jithin.mathew@zupee.in"/>
        <s v="kabeer.manocha@zupee.in"/>
        <s v="kailash.lakshmikanth@zupee.in"/>
        <s v="kalpana.singh@zupee.in"/>
        <s v="kalpriksh.bist@zupee.in"/>
        <s v="kanhaiya.tomar@zupee.in"/>
        <s v="kapil.kant@zupee.in"/>
        <s v="karan.bali@zupee.in"/>
        <s v="karan.bhyana@zupee.in"/>
        <s v="karan.ghosh@zupee.in"/>
        <s v="karan.jhinga@zupee.in"/>
        <s v="kavita.morwani@zupee.in"/>
        <s v="keerat.kaur@zupee.in"/>
        <s v="keshav.jindal@zupee.in"/>
        <s v="kirandeep.kaur@zupee.in"/>
        <s v="kirtesh.kpaliwal@zupee.in"/>
        <s v="kunal.garg@zupee.in"/>
        <s v="kush.gupta@zupee.in"/>
        <s v="lakshay.jain@zupee.in"/>
        <s v="lakshay.kapoor@zupee.in"/>
        <s v="lalit.mohan@zupee.in"/>
        <s v="lalit.tokas@zupee.in"/>
        <s v="life@zupee.in"/>
        <s v="madhumati.kivande@zupee.in"/>
        <s v="madhur.aggarwal@zupee.in"/>
        <s v="madhuri.dutta@zupee.in"/>
        <s v="manan.bhatia@zupee.in"/>
        <s v="manav.jain@zupee.in"/>
        <s v="mandhir.singh@zupee.in"/>
        <s v="maneesh.goel@zupee.in"/>
        <s v="maninder.saluja@zupee.in"/>
        <s v="manish.karnatak@zupee.in"/>
        <s v="manish.kawatra@zupee.in"/>
        <s v="manish.kumar@zupee.in"/>
        <s v="mansi.bedi@zupee.in"/>
        <s v="manvi.agarwal@zupee.in"/>
        <s v="mathias.lakra@zupee.in"/>
        <s v="mayank.pathak@zupee.in"/>
        <s v="md.sanjeed@zupee.in"/>
        <s v="meera.pawar@zupee.in"/>
        <s v="mehul.shah@zupee.in"/>
        <s v="mitali.tyagi@zupee.in"/>
        <s v="mitali@zupee.in"/>
        <s v="mohammed.faheem@zupee.in"/>
        <s v="mohd.ansari@zupee.in"/>
        <s v="mohd.danish@zupee.in"/>
        <s v="mohit.bakshi@zupee.in"/>
        <s v="mohit.kaushik@zupee.in"/>
        <s v="mohit.mangal@zupee.in"/>
        <s v="molik.chauhan@zupee.in"/>
        <s v="mounica.duvva@zupee.in"/>
        <s v="mudit.khandelwal@zupee.in"/>
        <s v="mukesh.vaidya@zupee.in"/>
        <s v="muskan.arora@zupee.in"/>
        <s v="nabil.syed@zupee.in"/>
        <s v="neha.singh@zupee.in"/>
        <s v="nidhi.agarwal@zupee.in"/>
        <s v="nidhi.kumari@zupee.in"/>
        <s v="nihal.sandhu@zupee.in"/>
        <s v="nihal.sidhu@zupee.in"/>
        <s v="nikhil.jha@zupee.in"/>
        <s v="nikhil.singhal@zupee.in"/>
        <s v="nikhil@zupee.in"/>
        <s v="nikunj.aggarwal@zupee.in"/>
        <s v="nilesh.kumar@zupee.in"/>
        <s v="nilesh.saxena@zupee.in"/>
        <s v="nirmal.kumar@zupee.in"/>
        <s v="nischay.sabherwal@zupee.in"/>
        <s v="nishchay.singh@zupee.in"/>
        <s v="nishtha.pandey@zupee.in"/>
        <s v="nithin.munaga@zupee.in"/>
        <s v="nitin.chauhan@zupee.in"/>
        <s v="niyati.verma@zupee.in"/>
        <s v="om.deoli@zupee.in"/>
        <s v="pallavi.singh@zupee.in"/>
        <s v="pankaj.sharma@zupee.in"/>
        <s v="pankhuri.mittal@zupee.in"/>
        <s v="paramvir.singh@zupee.in"/>
        <s v="paras.sharma@zupee.in"/>
        <s v="parth.kumar@zupee.in"/>
        <s v="parv.sharma@zupee.in"/>
        <s v="pavit.batra@zupee.in"/>
        <s v="piyush.bansal@zupee.in"/>
        <s v="piyush.charles@zupee.in"/>
        <s v="piyush.mathpal@zupee.in"/>
        <s v="piyush.mewar@zupee.in"/>
        <s v="piyush.raghuvanshi@zupee.in"/>
        <s v="prabhat.kumar@zupee.in"/>
        <s v="prachi.Kanthiyal@zupee.in"/>
        <s v="prakash.acharya@zupee.in"/>
        <s v="prakash.upadhyay@zupee.in"/>
        <s v="prakhar.gupta@zupee.in"/>
        <s v="pranjali.kumar@zupee.in"/>
        <s v="prarabdh.sharma@zupee.in"/>
        <s v="prarth.desai@zupee.in"/>
        <s v="prashant.pundir@zupee.in"/>
        <s v="prateek.asthana@zupee.in"/>
        <s v="prateek.chawala@zupee.in"/>
        <s v="prateek.chawla@zupee.in"/>
        <s v="prateek.jain@zupee.in"/>
        <s v="prathamesh.kurambhatti@zupee.in"/>
        <s v="preeti.malik@zupee.in"/>
        <s v="prince.batra@zupee.in"/>
        <s v="pritiyankur.biswas@zupee.in"/>
        <s v="priya.vadan@zupee.in"/>
        <s v="priyanka.gangwani@zupee.in"/>
        <s v="priyanka.srivastava@zupee.in"/>
        <s v="priyanshu.jain@zupee.in"/>
        <s v="puja.rai@zupee.in"/>
        <s v="pulkit.chhabra@zupee.in"/>
        <s v="pulkit.gupta@zupee.in"/>
        <s v="puneet.dhiman@zupee.in"/>
        <s v="pushkar.mourya@zupee.in"/>
        <s v="rabindra.gundura@zupee.in"/>
        <s v="rachit.agrawal@zupee.in"/>
        <s v="rahul.bisht@zupee.in"/>
        <s v="rahul.goyal@zupee.in"/>
        <s v="rahul.kashyap@zupee.in"/>
        <s v="rahul.kumar@zupee.in"/>
        <s v="rahul.sharma2@zupee.in"/>
        <s v="rahul.verma@zupee.in"/>
        <s v="rajashekhar.nari@zupee.in"/>
        <s v="rajat.sharma@zupee.in"/>
        <s v="rakshanda.thakur@zupee.in"/>
        <s v="ram.prasad@zupee.in"/>
        <s v="ram.sehgal@zupee.in"/>
        <s v="raman.bedi@zupee.in"/>
        <s v="ramkunwar.meghwal@zupee.in"/>
        <s v="ranjeesh.yadav@zupee.in"/>
        <s v="ratnish.malhotra@zupee.in"/>
        <s v="reyansh.mishra@zupee.in"/>
        <s v="rishab.sachdev@zupee.in"/>
        <s v="rishab.sachdeva@zupee.in"/>
        <s v="rishabh.garg@zupee.in"/>
        <s v="rishabh.nigam@zupee.in"/>
        <s v="rishi.gour@zupee.in"/>
        <s v="ritika.gola@zupee.in"/>
        <s v="ritika.pathania@zupee.in"/>
        <s v="ritika.tatiya@zupee.in"/>
        <s v="ritu.singh@zupee.in"/>
        <s v="riya.maurya@zupee.in"/>
        <s v="robin.achankunju@zupee.in"/>
        <s v="rohan.aggarwal@zupee.in"/>
        <s v="rohan.bhagat@zupee.in"/>
        <s v="rohan.kochhar@zupee.in"/>
        <s v="rohan.singh@zupee.in"/>
        <s v="ronnie.henrikson@zupee.in"/>
        <s v="roopesh.kaushik@zupee.in"/>
        <s v="rubaab.sood@zupee.in"/>
        <s v="ruhi.kapoor@zupee.in"/>
        <s v="rupam.das@zupee.in"/>
        <s v="sachin.purohit@zupee.in"/>
        <s v="sachin.tanwar@zupee.in"/>
        <s v="sachin.yadav@zupee.in"/>
        <s v="sahil.aggarwal@zupee.in"/>
        <s v="sahil.aggrawal@zupee.in"/>
        <s v="sahil.narang@zupee.in"/>
        <s v="sahil.shah@zupee.in"/>
        <s v="saifulla.khan@zupee.in"/>
        <s v="sakshi.gupta@zupee.in"/>
        <s v="sakshi.pathak@zupee.in"/>
        <s v="sakshi.singh@zupee.in"/>
        <s v="saloni.madan@zupee.in"/>
        <s v="samarth.u@zupee.in"/>
        <s v="samarth.udasin@zupee.in"/>
        <s v="saneesh.maheshwari@zupee.in"/>
        <s v="sanjit.chauhan@zupee.in"/>
        <s v="sankalp.sharma@zupee.in"/>
        <s v="saravana.gupta@zupee.in"/>
        <s v="satish.chandra@zupee.in"/>
        <s v="saurabh.dandriyal@zupee.in"/>
        <s v="saurabh.shrivastava@zupee.in"/>
        <s v="saurabh.srivastava@zupee.in"/>
        <s v="saurabh.yadav@zupee.in"/>
        <s v="saurav.temp@zupee.in"/>
        <s v="sayantima.paul@zupee.in"/>
        <s v="shaad.khan@zupee.in"/>
        <s v="shahid.rabbani@zupee.in"/>
        <s v="shailendra.bhadouriya@zupee.in"/>
        <s v="shameek.datta@zupee.in"/>
        <s v="shankhaneel.saikia@zupee.in"/>
        <s v="sharath.kowligi@zupee.in"/>
        <s v="shashwati.ghosh@zupee.in"/>
        <s v="shaurya.upadhyay@zupee.in"/>
        <s v="shikha.devrani@zupee.in"/>
        <s v="shikha.maheshwari@zupee.in"/>
        <s v="shikha.meheshwari@zupee.in"/>
        <s v="shikha.tripathi@zupee.in"/>
        <s v="shikha.verma@zupee.in"/>
        <s v="shikhar.varshney@zupee.in"/>
        <s v="shilpasree.chatterjee@zupee.in"/>
        <s v="shirish.shubhanker@zupee.in"/>
        <s v="shiv.kumar@zupee.in"/>
        <s v="shiv.sharma@zupee.in"/>
        <s v="shivangi.shivangi@zupee.in"/>
        <s v="shivani.mehta@zupee.in"/>
        <s v="shoorvir.gupta@zupee.in"/>
        <s v="shreya.manchanda@zupee.in"/>
        <s v="shreyansh.bengani@zupee.in"/>
        <s v="shreyansh.goel@zupee.in"/>
        <s v="shreyansh.jain@zupee.in"/>
        <s v="shristi.agrawal@zupee.in"/>
        <s v="shrutisachdeva16@gmail.com"/>
        <s v="shubham.agarwal@zupee.in"/>
        <s v="shubham.chander@zupee.in"/>
        <s v="shubham.gupta@zupee.in"/>
        <s v="shubham.vishwakarma@zupee.in"/>
        <s v="shwetank.anand@zupee.in"/>
        <s v="shyam.singh@zupee.in"/>
        <s v="siddharth.jain@zupee.in"/>
        <s v="siddharth.rehani@zupee.in"/>
        <s v="simran.bansal@zupee.in"/>
        <s v="simran.mukhia@zupee.in"/>
        <s v="simran.taneja@zupee.in"/>
        <s v="sneha.thapa@zupee.in"/>
        <s v="snigdha.tripathi@zupee.in"/>
        <s v="somanshu.suran@zupee.in"/>
        <s v="somya.singla@zupee.in"/>
        <s v="sonali.pandey@zupee.in"/>
        <s v="sonam.gupta@zupee.in"/>
        <s v="sonam.rathore@zupee.in"/>
        <s v="soni.saurav@zupee.in"/>
        <s v="soumyadip.deb@zupee.in"/>
        <s v="sourabh.mukherjee@zupee.in"/>
        <s v="sourabh.singh@zupee.in"/>
        <s v="sruja.gangolu@zupee.in"/>
        <s v="subhrajit.makur@zupee.in"/>
        <s v="subi.chaturvedi@zupee.in"/>
        <s v="sucheta.sharma@zupee.in"/>
        <s v="sudhanshu.singh@zupee.in"/>
        <s v="suhani.arya@zupee.in"/>
        <s v="sujoy.ghosh@zupee.in"/>
        <s v="sumit.chugh@zupee.in"/>
        <s v="sumit.k@zupee.in"/>
        <s v="sumit.kumar@zupee.in"/>
        <s v="sundeep.sharma@zupee.in"/>
        <s v="sunil.gupta@zupee.in"/>
        <s v="supreet.kaur@zupee.in"/>
        <s v="supreet.srivastava@zupee.in"/>
        <s v="supriya.chauhan@zupee.in"/>
        <s v="surabhi.sanchita@zupee.in"/>
        <s v="suresh.gupta@zupee.in"/>
        <s v="swati.bhardwaj@zupee.in"/>
        <s v="syed.hussain@zupee.in"/>
        <s v="tanisha.gupta@zupee.in"/>
        <s v="tanmeet.ahuja@zupee.in"/>
        <s v="taranpreet.kaur@zupee.in"/>
        <s v="tarun.misra@zupee.in"/>
        <s v="tarun.talan@zupee.in"/>
        <s v="taufique.khan@zupee.in"/>
        <s v="tavisi.malpani@zupee.in"/>
        <s v="tejveer.singh@zupee.in"/>
        <s v="test.it10@zupee.in"/>
        <s v="test.it7@zupee.in"/>
        <s v="tripti.jain@zupee.in"/>
        <s v="udit.mahendra@zupee.in"/>
        <s v="umesh.patnaik@zupee.in"/>
        <s v="umme.asma@zupee.in"/>
        <s v="vaibhav.sharma@zupee.in"/>
        <s v="vamci.vishal@zupee.in"/>
        <s v="vanshika.rathi@zupee.in"/>
        <s v="varsha.sk@zupee.in"/>
        <s v="vartin.jain@zupee.in"/>
        <s v="varun.yadav@zupee.in"/>
        <s v="vasudev.yadav@zupee.in"/>
        <s v="vicky.mehra@zupee.in"/>
        <s v="vidhi.arora@zupee.in"/>
        <s v="vidhi.dutta@zupee.in"/>
        <s v="vidushi.gupta@zupee.in"/>
        <s v="vidya.bhushan@zupee.in"/>
        <s v="vihsal.agarwal@zupee.in"/>
        <s v="vijay.mr@zupee.in"/>
        <s v="vikas.kumar@zupee.in"/>
        <s v="vikram.bhadoriya@zupee.in"/>
        <s v="vinay.pratap@zupee.in"/>
        <s v="vinay.rawat@zupee.in"/>
        <s v="vinni.francis@zupee.in"/>
        <s v="vinoth.r@zupee.in"/>
        <s v="vipul.jalal@zupee.in"/>
        <s v="virender.gupta@zupee.in"/>
        <s v="vishal.saw@zupee.in"/>
        <s v="vishu.chopra@zupee.in"/>
        <s v="vishu.singh@zupee.in"/>
        <s v="vivek.goyal@zupee.in"/>
        <s v="vivek.sharma@zupee.in"/>
        <s v="vivek.walecha@zupee.in"/>
        <s v="vivek.yadav@zupee.in"/>
        <s v="wajid.ansari@zupee.in"/>
        <s v="yash.anand@zupee.in"/>
        <s v="yash.dixit@zupee.in"/>
        <s v="yash.gola@zupee.in"/>
        <s v="yash.lamba@zupee.in"/>
        <s v="yuvika.duggal@zupee.in"/>
        <s v="zeba.sheikh@zupee.in"/>
        <s v="zoya.ruhi@zupee.in"/>
        <s v="aaditya.singh@zupee.in"/>
        <s v="aakash.phogat@zupee.in"/>
        <s v="aakashdeep.madaan@zupee.in"/>
        <s v="aashi.mangal@zupee.in"/>
        <s v="abhay.kumar@zupee.in"/>
        <s v="abhishek.g@zupee.in"/>
        <s v="abhishek.swami@zupee.in"/>
        <s v="abhishek.dharmman@zupee.in"/>
        <s v="abhishek.bisht@zupee.in"/>
        <s v="abhishek.kumar1@zupee.in"/>
        <s v="abhishek.k@zupee.in"/>
        <s v="abhishek.gupta@zupee.in"/>
        <s v="adarsh.kumar@zupee.in"/>
        <s v="aditya.pathak@zupee.in"/>
        <s v="aditya.chaubey@zupee.in"/>
        <s v="aditya.rai@zupee.in"/>
        <s v="aditya.jha@zupee.in"/>
        <s v="agrim.panwar@zupee.in"/>
        <s v="ajay.talukdar@zupee.in"/>
        <s v="akanksha.anand@zupee.in"/>
        <s v="akhilesh.singh@zupee.in"/>
        <s v="akshata.upari@zupee.in"/>
        <s v="akshit.batra@zupee.in"/>
        <s v="aman.khare@zupee.in"/>
        <s v="amarjeet.yadav@zupee.in"/>
        <s v="amit.mohanta@zupee.in"/>
        <s v="amroj.sandhu@zupee.in"/>
        <s v="anant.upadhyaya@zupee.in"/>
        <s v="anant.barla@zupee.in"/>
        <s v="anish.agarwal@zupee.in"/>
        <s v="anjelina.tirkey@zupee.in"/>
        <s v="ankur.a@zupee.in"/>
        <s v="ankush.gupta@zupee.in"/>
        <s v="anubhav.pandey@zupee.in"/>
        <s v="anuj.gupta@zupee.in"/>
        <s v="anuradha.sharma@zupee.in"/>
        <s v="anurag.dwivedi@zupee.in"/>
        <s v="anushka.murgudkar@zupee.in"/>
        <s v="apoorv.mathur@zupee.in"/>
        <s v="aradhana.choudhary@zupee.in"/>
        <s v="arpit.rathore@zupee.in"/>
        <s v="arsalan.abbasi@zupee.in"/>
        <s v="arushi.patni@zupee.in"/>
        <s v="arvind.gupta@zupee.in"/>
        <s v="atharv.bende@zupee.in"/>
        <s v="atiullaha.siddiqui@zupee.in"/>
        <s v="atul.sangwan@zupee.in"/>
        <s v="ayan.pathan@zupee.in"/>
        <s v="ayush.singhal@zupee.in"/>
        <s v="ayush.k@zupee.in"/>
        <s v="ayushi.sharma@zupee.in"/>
        <s v="bal.sikandar@zupee.in"/>
        <s v="baljinder.kaur@zupee.in"/>
        <s v="banta.singh@zupee.in"/>
        <s v="bhanu.pratap@zupee.in"/>
        <s v="bharti.rani@zupee.in"/>
        <s v="bhoomika.arora@zupee.in"/>
        <s v="bikash.jha@zupee.in"/>
        <s v="bishan.bhadra@zupee.in"/>
        <s v="biswajit.dey@zupee.in"/>
        <s v="chaitanya.kapoor@zupee.in"/>
        <s v="daksh.tyagi@zupee.in"/>
        <s v="deep.dwivedi@zupee.in"/>
        <s v="deepak.rawat@zupee.in"/>
        <s v="deeplata.singh@zupee.in"/>
        <s v="dev.peshawari@zupee.in"/>
        <s v="dev.gupta@zupee.in"/>
        <s v="dhanishtha.bansal@zupee.in"/>
        <s v="diksha.verma@zupee.in"/>
        <s v="divang.singh@zupee.in"/>
        <s v="divij.bhola@zupee.in"/>
        <s v="divya.dhiman@zupee.in"/>
        <s v="divyansh.singh@zupee.in"/>
        <s v="gargi.bhadu@zupee.in"/>
        <s v="gaurav.midda@zupee.in"/>
        <s v="gauri.menghani@zupee.in"/>
        <s v="goldee.arora@zupee.in"/>
        <s v="gulshan.varshney@zupee.in"/>
        <s v="gunn.bhargava@zupee.in"/>
        <s v="gurchetan.singh@zupee.in"/>
        <s v="harkirat.singh@zupee.in"/>
        <s v="harsh.raghuvanshi@zupee.in"/>
        <s v="harsh.anand@zupee.in"/>
        <s v="harsh.yadav@zupee.in"/>
        <s v="harsh.m@zupee.in"/>
        <s v="harsh.ratwaya@zupee.in"/>
        <s v="harsh.thaplyal@zupee.in"/>
        <s v="harsha.nanwani@zupee.in"/>
        <s v="hemant.dandotiya@zupee.in"/>
        <s v="himanshu.solanki@zupee.in"/>
        <s v="himanshu.sharma@zupee.in"/>
        <s v="hitesh.kwatra@zupee.in"/>
        <s v="hritik.garg@zupee.in"/>
        <s v="iqra.islam@zupee.in"/>
        <s v="ishpreet.singh@zupee.in"/>
        <s v="iteshree.ipsita@zupee.in"/>
        <s v="janvi.rajpoot@zupee.in"/>
        <s v="jasleen.kaur@zupee.in"/>
        <s v="jeevan.singla@zupee.in"/>
        <s v="jitendra.rawat@zupee.in"/>
        <s v="jitesh.suneja@zupee.in"/>
        <s v="jyoti.singh@zupee.in"/>
        <s v="kailash.lalta@zupee.in"/>
        <s v="kailash.chand@zupee.in"/>
        <s v="karan.goyal@zupee.in"/>
        <s v="karan.aggarwal@zupee.in"/>
        <s v="kashish.nagpal@zupee.in"/>
        <s v="kashish.rathore@zupee.in"/>
        <s v="keshav.khatri@zupee.in"/>
        <s v="khushboo.chopra@zupee.in"/>
        <s v="khushboo.yadav@zupee.in"/>
        <s v="kirtesh.paliwal@zupee.in"/>
        <s v="kishan.singh@zupee.in"/>
        <s v="ks.chetan@zupee.in"/>
        <s v="lakshya.jain@zupee.in"/>
        <s v="lalit.jadli@zupee.in"/>
        <s v="lokesh.gawande@zupee.in"/>
        <s v="lucky.singh@zupee.in"/>
        <s v="madhurika.nayak@zupee.in"/>
        <s v="mamta.pandey@zupee.in"/>
        <s v="manas.singh@zupee.in"/>
        <s v="manjot.juyal@zupee.in"/>
        <s v="manoj.m@zupee.in"/>
        <s v="mayank.goyal@zupee.in"/>
        <s v="mayank.kumar@zupee.in"/>
        <s v="mayank.kakkar@zupee.in"/>
        <s v="md.neyaz@zupee.in"/>
        <s v="sameer.alam@zupee.in"/>
        <s v="meenu.gupta@zupee.in"/>
        <s v="mohammed.nayeem@zupee.in"/>
        <s v="mohd.khan@zupee.in"/>
        <s v="mohd.ghufran@zupee.in"/>
        <s v="mohini.lal@zupee.in"/>
        <s v="mohini.bhardwaj@zupee.in"/>
        <s v="mohit.tanwar@zupee.in"/>
        <s v="mohit.choudhary@zupee.in"/>
        <s v="mohit.kumar@zupee.in"/>
        <s v="mritunjay.kumar@zupee.in"/>
        <s v="mudit.jain@zupee.in"/>
        <s v="mukul.chaudhary@zupee.in"/>
        <s v="munnu.kumar@zupee.in"/>
        <s v="muskan.khan@zupee.in"/>
        <s v="naman.vijay@zupee.in"/>
        <s v="naman.khandelwal@zupee.in"/>
        <s v="nasir.ali@zupee.in"/>
        <s v="naveen.yadav@zupee.in"/>
        <s v="naveen.sangepu@zupee.in"/>
        <s v="naveen.k@zupee.in"/>
        <s v="neha.sharma@zupee.in"/>
        <s v="nidhi.khedekar@zupee.in"/>
        <s v="nikhil.sharma@zupee.in"/>
        <s v="nikhil.kansotia@zupee.in"/>
        <s v="nikhil.kumar@zupee.in"/>
        <s v="nikita.mantri@zupee.in"/>
        <s v="nishant.tripathi@zupee.in"/>
        <s v="nitin.kaplas@zupee.in"/>
        <s v="pankaj.pankaj@zupee.in"/>
        <s v="pankaj.rana@zupee.in"/>
        <s v="pankaj.garg@zupee.in"/>
        <s v="pawan.sarswat@zupee.in"/>
        <s v="piyush.kumar@zupee.in"/>
        <s v="piyush.b@zupee.in"/>
        <s v="pooja.lunia@zupee.in"/>
        <s v="pooja.kumari@zupee.in"/>
        <s v="prachi.kabthiyal@zupee.in"/>
        <s v="pragya.singh@zupee.in"/>
        <s v="pranjal.saxena@zupee.in"/>
        <s v="pranjay.dhamija@zupee.in"/>
        <s v="prashant.jha@zupee.in"/>
        <s v="preeti.singh@zupee.in"/>
        <s v="prerna.sharma@zupee.in"/>
        <s v="pritesh.kumar@zupee.in"/>
        <s v="priyanka.tiwari@zupee.in"/>
        <s v="priyansh.gupta@zupee.in"/>
        <s v="pulkit.sehgal@zupee.in"/>
        <s v="purodha.singh@zupee.in"/>
        <s v="raghav.maheshwari@zupee.in"/>
        <s v="raghavv.garg@zupee.in"/>
        <s v="rahil.choudhary@zupee.in"/>
        <s v="rahul.kundu@zupee.in"/>
        <s v="rahul.yadav@zupee.in"/>
        <s v="rahul.suman@zupee.in"/>
        <s v="rahul.s@zupee.in"/>
        <s v="rahul.shukla@zupee.in"/>
        <s v="rahul.jaat@zupee.in"/>
        <s v="rahul.saini@zupee.in"/>
        <s v="rahul.thakur@zupee.in"/>
        <s v="rajiv.yadav@zupee.in"/>
        <s v="raman.dixit@zupee.in"/>
        <s v="ramendra.singh@zupee.in"/>
        <s v="rashmi.navale@zupee.in"/>
        <s v="raushan.thakur@zupee.in"/>
        <s v="ravi.kumar@zupee.in"/>
        <s v="ravneet.kaur@zupee.in"/>
        <s v="rhythm.jain@zupee.in"/>
        <s v="richa.s@zupee.in"/>
        <s v="rijul.sehgal@zupee.in"/>
        <s v="rishabh.solanki@zupee.in"/>
        <s v="ritesh.gupta@zupee.in"/>
        <s v="ritik.kumar@zupee.in"/>
        <s v="ritwika.maitra@zupee.in"/>
        <s v="ritwika.rai@zupee.in"/>
        <s v="rohit.sahni@zupee.in"/>
        <s v="rohit.chhabra@zupee.in"/>
        <s v="rohit.raj@zupee.in"/>
        <s v="roma.mehta@zupee.in"/>
        <s v="saaksshi.makkar@zupee.in"/>
        <s v="sagar.tekriwal@zupee.in"/>
        <s v="sagar.saini@zupee.in"/>
        <s v="sahil.singh@zupee.in"/>
        <s v="sameer.negi@zupee.in"/>
        <s v="sameer.abbasi@zupee.in"/>
        <s v="samir.halder@zupee.in"/>
        <s v="sanjana.bhardwaj@zupee.in"/>
        <s v="sanjeev.kumar@zupee.in"/>
        <s v="sanket.jain@zupee.in"/>
        <s v="saravana.kumar@zupee.in"/>
        <s v="sarthak.jain@zupee.in"/>
        <s v="satish.kumar@zupee.in"/>
        <s v="satya.vart@zupee.in"/>
        <s v="saumya.behera@zupee.in"/>
        <s v="saurav.garg@zupee.in"/>
        <s v="sayanika.nandi@zupee.in"/>
        <s v="shambhavi.khare@zupee.in"/>
        <s v="sheshant.sinha@zupee.in"/>
        <s v="shitiza.arora@zupee.in"/>
        <s v="shivam.kumar@zupee.in"/>
        <s v="shivam.yadav@zupee.in"/>
        <s v="shivam.bali@zupee.in"/>
        <s v="shivangi.dalmia@zupee.in"/>
        <s v="shivani.patil@zupee.in"/>
        <s v="shobhit.sharma@zupee.in"/>
        <s v="shreya.pandey@zupee.in"/>
        <s v="shubham.khosla@zupee.in"/>
        <s v="shubham.thakur@zupee.in"/>
        <s v="shubham.kumar@zupee.in"/>
        <s v="shubham.maurya@zupee.in"/>
        <s v="shubham.goyal@zupee.in"/>
        <s v="shubham.v@zupee.in"/>
        <s v="siddharth.saurav@zupee.in"/>
        <s v="siddharth.monga@zupee.in"/>
        <s v="sidharth.dhiman@zupee.in"/>
        <s v="simran.v@zupee.in"/>
        <s v="simran.verma@zupee.in"/>
        <s v="simran.rana@zupee.in"/>
        <s v="sonu.modi@zupee.in"/>
        <s v="soumya.manna@zupee.in"/>
        <s v="sourabh.kumar@zupee.in"/>
        <s v="srijith.shaji@zupee.in"/>
        <s v="suman.kumar@zupee.in"/>
        <s v="sumit.paul@zupee.in"/>
        <s v="suraj.negi@zupee.in"/>
        <s v="sushant.upadhyay@zupee.in"/>
        <s v="suvam.debata@zupee.in"/>
        <s v="suvra.das@zupee.in"/>
        <s v="swati.puhan@zupee.in"/>
        <s v="tarun.kumar@zupee.in"/>
        <s v="tarun.sharma@zupee.in"/>
        <s v="teena.gupta@zupee.in"/>
        <s v="tripat.kaur@zupee.in"/>
        <s v="tulika.bhatnagar@zupee.in"/>
        <s v="tushar.sharma@zupee.in"/>
        <s v="twinkle.bhati@zupee.in"/>
        <s v="uma.batra@zupee.in"/>
        <s v="umair.iliyas@zupee.in"/>
        <s v="umar.khan@zupee.in"/>
        <s v="utkarsh.vishal@zupee.in"/>
        <s v="utkarsh.sharma@zupee.in"/>
        <s v="vansh.dua@zupee.in"/>
        <s v="varsha.mishra@zupee.in"/>
        <s v="vedaant.magow@zupee.in"/>
        <s v="vedant.sharma@zupee.in"/>
        <s v="vidhya.bharathi@zupee.in"/>
        <s v="vikas.gupta@zupee.in"/>
        <s v="vikas.joshi@zupee.in"/>
        <s v="vimal.prajapati@zupee.in"/>
        <s v="vinay.mishra@zupee.in"/>
        <s v="vipin.yadav@zupee.in"/>
        <s v="vishal.lal@zupee.in"/>
        <s v="vivek.jain@zupee.in"/>
        <s v="vivek.soni@zupee.in"/>
        <s v="vivek.claudius@zupee.in"/>
        <s v="yakshita.behl@zupee.in"/>
        <s v="yash.oberoi@zupee.in"/>
        <s v="yogesha.k@zupee.in"/>
        <s v="yuvam.parmar@zupee.in"/>
        <s v="zaid.anwar@zupee.in"/>
        <s v="gaurav.m@zupee.in"/>
        <s v="aditya.pawar@zupee.in"/>
        <s v="siddhant.saurabh@zupee.in"/>
        <s v="dilsher.malhi@zupee.in"/>
        <s v="support@zupee.in"/>
        <s v="aarti.luthra@zupee.in"/>
        <s v="sawai.singh@zupee.in"/>
        <s v="design@zupee.in"/>
        <s v="pranav.jaradi@zupee.in"/>
        <s v="arun.prabhakaran@zupee.in"/>
        <s v="jyoti.gupta@zupee.in"/>
        <s v="pratyaksh.rawat@zupee.in"/>
        <s v="grievances@zupee.in"/>
        <s v="aman.kumar@zupee.in"/>
        <s v="gurmeet.singh@zupee.in"/>
        <s v="sumit.singh@zupee.in"/>
        <s v="akshit.sharma@zupee.in"/>
        <s v="ranjeet.kumar@zupee.in"/>
        <s v="govind.mittal@zupee.in"/>
        <s v="shruti.sachdeva@zupee.in"/>
        <s v="careers@zupee.in"/>
        <s v="akanksha.dhamija@zupee.in"/>
        <s v="m.sangeetha@zupee.in"/>
        <s v="piyush.shukla@zupee.in"/>
        <s v="piyali.kar@zupee.in"/>
        <s v="hr@zupee.in"/>
        <s v="vishal.agarwal@zupee.in"/>
        <s v="disha.garg@zupee.in"/>
        <s v="rajneesh.yadav@zupee.in"/>
        <s v="social@zupee.in"/>
        <s v="rahul.sharma@zupee.in"/>
        <s v="nishant.jaiswal@zupee.in"/>
        <s v="narender.tyagi@zupee.in"/>
        <s v="rahul.ranjan@zupee.in"/>
        <s v="vishnu.khowal@zupee.in"/>
        <s v="aman.kumar2@zupee.in"/>
        <s v="naveen.kadyan@zupee.in"/>
        <s v="acquisition@zupee.in"/>
        <s v="amogh.babbar@zupee.in"/>
        <s v="babita.sharma@zupee.in"/>
        <s v="nayan.intwala@zupee.in"/>
        <s v="saurabh.khurana@zupee.in"/>
        <s v="gagan.sharma@zupee.in"/>
        <s v="shahid.gauri@zupee.in"/>
        <s v="chirag.jain@zupee.in"/>
        <s v="arif.jamal@zupee.in"/>
        <s v="anuj.baghel@zupee.in"/>
        <s v="gaurav.sharma@zupee.in"/>
        <s v="legal@zupee.in"/>
        <s v="amit.garg@zupee.in"/>
        <s v="ishant.wadhwa@zupee.in"/>
        <s v="nikhil.kaplas@zupee.in"/>
        <s v="sumit.khaitan@zupee.in"/>
        <s v="payroll@zupee.in"/>
        <s v="ankit.sahu@zupee.in"/>
        <s v="eeshma.anand@zupee.in"/>
        <s v="kamal.sharma@zupee.in"/>
        <s v="sairam.mushyam@zupee.in"/>
        <s v="akshay.gulati@zupee.in"/>
        <s v="tech-ios@zupee.in"/>
        <s v="aman.gupta@zupee.in"/>
        <s v="mohit.arora@zupee.in"/>
        <s v="rohit.saini@zupee.in"/>
        <s v="ishank.mehta@zupee.in"/>
        <s v="siddhant.saurabh@chococrush.com"/>
        <s v="support@ludoturbo.com"/>
        <s v="recharges@zupee.in"/>
        <s v="siddhant.saurabh@ludoturbo.com"/>
        <s v="kinshuk.puri@zupee.in"/>
        <s v="marketing.dashboard@zupee.in"/>
        <s v="raghav.bansal@zupee.in"/>
        <s v="naina.sharma@zupee.in"/>
        <s v="aman.chhabra@zupee.in"/>
        <s v="rohit.dubey@zupee.in"/>
        <s v="naveen.kumar@zupee.in"/>
        <s v="kamran.hadi@zupee.in"/>
        <s v="ankita.jugran@zupee.in"/>
        <s v="rahul.punia@zupee.in"/>
        <s v="shivam.sharma@zupee.in"/>
        <s v="shubham.verma@zupee.in"/>
        <s v="vedank.goyal@zupee.in"/>
        <s v="vinay.bansal@zupee.in"/>
        <s v="katha.tara@zupee.in"/>
        <s v="vishwa.patel@zupee.in"/>
        <s v="abhinav.shandilya@zupee.in"/>
        <s v="raman.malik@zupee.in"/>
        <s v="dashboard.entities@zupee.in"/>
        <s v="nodal@zupee.in"/>
        <s v="bhargavkumar.khalasi@zupee.in"/>
        <s v="riya.jhalani@zupee.in"/>
        <s v="mayank.jain@zupee.in"/>
        <s v="diksha.sachdeva@zupee.in"/>
        <s v="saurav.yadav@zupee.in"/>
        <s v="sahil.puri@zupee.in"/>
        <s v="aman.k@zupee.in"/>
        <s v="divya.koundal@zupee.in"/>
        <s v="deepak.khandelwal@zupee.in"/>
        <s v="amit.sutar@zupee.in"/>
        <s v="vishal.kapoor@zupee.in"/>
        <s v="research@zupee.in"/>
        <s v="lekhika.dhariyal@zupee.in"/>
        <s v="sachin.sharma@zupee.in"/>
        <s v="divya.khare@zupee.in"/>
        <s v="hitesh.vats@zupee.in"/>
        <s v="annu.nirmal@zupee.in"/>
        <s v="kritika.kapoor@zupee.in"/>
        <s v="nikhil.gupta@zupee.in"/>
        <s v="prashant.kumar@zupee.in"/>
        <s v="harsha.ratnam@zupee.in"/>
        <s v="nitesh.vijay@zupee.in"/>
        <s v="saksham.aneja@zupee.in"/>
        <s v="vijay.singh@zupee.in"/>
        <s v="freshdesk@zupee.in"/>
        <s v="shreya.dwivedi@zupee.in"/>
        <s v="care@zupee.in"/>
        <s v="himanshu.barsiwal@zupee.in"/>
        <s v="nodal.helpdesk@zupee.in"/>
        <s v="a.reddy@zupee.in"/>
        <s v="ishu.sharma@zupee.in"/>
        <s v="vamsidhar.yeddu@zupee.in"/>
        <s v="cs@zupee.in"/>
        <s v="itservices@zupee.in"/>
        <s v="ramit.arora@zupee.in"/>
        <s v="payal.katoch@zupee.in"/>
        <s v="aman.g@zupee.in"/>
        <s v="posh@zupee.in"/>
        <s v="ananya.apurva@zupee.in"/>
        <s v="harshitaa.prakash@zupee.in"/>
        <s v="manoj.rane@zupee.in"/>
        <s v="prashant.yadav@zupee.in"/>
        <s v="satyam.govila@zupee.in"/>
        <s v="itsupport@zupee.in"/>
        <s v="people@zupee.in"/>
        <s v="anish.abraham@zupee.in"/>
        <s v="khushali.bagga@zupee.in"/>
        <s v="nandeshwar.gupta@zupee.in"/>
        <s v="anshul.mittal@zupee.in"/>
        <s v="pratik.aswal@zupee.in"/>
        <s v="devagya.kumar@zupee.in"/>
        <s v="nikhil.j@zupee.in"/>
        <s v="gyani.dass@zupee.in"/>
        <s v="arpita.latta@zupee.in"/>
        <s v="crm-qa@zupee.in"/>
        <s v="marcom@zupee.in"/>
        <s v="monika.yadav@zupee.in"/>
        <s v="amarjeet.singh@zupee.in"/>
        <s v="speakup@zupee.in"/>
        <s v="astha.mishra@zupee.in"/>
        <s v="yogesh.yadav@zupee.in"/>
        <s v="maneesha.negi@zupee.in"/>
        <s v="shubham.singh@zupee.in"/>
        <s v="harish@zupee.in"/>
        <s v="dhruv.adlakha@zupee.in"/>
        <s v="nimish.goyal@zupee.in"/>
        <s v="zupee.repomaster@zupee.in"/>
        <s v="saksham.kochhar@zupee.in"/>
        <s v="support.zupeefree@zupee.in"/>
        <s v="wecare@zupee.in"/>
        <s v="pareena.singh@zupee.in"/>
        <s v="nikunj.a@zupee.in"/>
        <s v="rakesh.kumar@zupee.in"/>
        <s v="amit.singh@zupee.in"/>
        <s v="manmohan.sagar@zupee.in"/>
        <s v="pratik.taltia@zupee.in"/>
        <s v="pradeep.agrawal@zupee.in"/>
        <s v="shrasti.tomar@zupee.in"/>
        <s v="satyam.jaiswal@zupee.in"/>
        <s v="payrollsupport@zupee.in"/>
        <s v="tushar.patil@zupee.in"/>
        <s v="mukul.bhatt@zupee.in"/>
        <s v="mohit.rathore@zupee.in"/>
        <s v="abhishek.goyal@zupee.in"/>
        <s v="gaurav.khanna@zupee.in"/>
        <s v="rajkumar.singh@zupee.in"/>
        <s v="adhip.kushwaha@zupee.in"/>
        <s v="devops.integrations@zupee.in"/>
        <s v="jatin.kinra@zupee.in"/>
        <s v="esop@zupee.in"/>
        <s v="mohit.singh@zupee.in."/>
        <s v="zai-bot@zupee.in"/>
        <s v="anwesha.raj@zupee.in"/>
        <s v="tushar.mehta@zupee.in"/>
        <s v="rijul.sharma@zupee.in"/>
        <s v="mukesh.maurya@zupee.in"/>
        <s v="talent@zupee.in"/>
        <s v="kanika.wadhwa@zupee.in"/>
        <s v="sumit.yadav@zupee.in"/>
        <s v="anand.keshav@zupee.in"/>
        <s v="rajat.garg@zupee.in"/>
        <s v="aman.hans@zupee.in"/>
        <s v="shiv.k@zupee.in"/>
        <s v="basilnath.masabiel@zupee.in"/>
        <s v="shashwat.agarwal@zupee.in"/>
        <s v="tarun.mangal@zupee.in"/>
        <s v="security@zupee.in"/>
        <s v="piyush.maurya@zupee.in"/>
        <s v="gokul.verma@zupee.in"/>
        <s v="ritvik.sharma@zupee.in"/>
        <s v="satyam.singh@zupee.in"/>
        <s v="kanwar.singh@zupee.in"/>
        <s v="sanchi.gupta@zupee.in"/>
        <s v="rahul.satija@zupee.in"/>
        <s v="nikhil.jain@zupee.in"/>
        <s v="anjali.pal@zupee.in"/>
        <s v="nidhi.kashyap@zupee.in"/>
        <s v="rukhsar.bano@zupee.in"/>
        <s v="mrityunjay.k@zupee.in"/>
        <s v="shivani.bisht@zupee.in"/>
        <s v="ravi.jha@zupee.in"/>
        <s v="richa.sharma@zupee.in"/>
        <s v="avanish.dubey@zupee.in"/>
        <s v="prityankur.biswas@zupee.in"/>
        <s v="aditi.khanna@zupee.in"/>
        <s v="abhishek.prasad@zupee.in"/>
        <s v="piyush.patel@zupee.in"/>
        <s v="ayush.g@zupee.in"/>
        <s v="harshit.makhija@zupee.in"/>
        <s v="om.mishra@zupee.in"/>
        <s v="parth.jindal@zupee.in"/>
        <s v="punit.sharma@zupee.in"/>
        <s v="shankar.sangwan@zupee.in"/>
        <s v="ravi.kaushik@zupee.in"/>
        <s v="vip-team@zupee.in"/>
        <s v="data-auth@zupee.in"/>
        <s v="jaidev.chauhan@zupee.in"/>
        <s v="shivam.s@zupee.in"/>
        <s v="shyam.verma@zupee.in"/>
        <s v="aditya.samantaray@zupee.in"/>
        <s v="informant@zupee.in"/>
        <s v="meenu.bharti@zupee.in"/>
        <s v="ayush.dabas@zupee.in"/>
        <s v="vivek.choudhary@zupee.in"/>
        <s v="foundersoffice@zupee.in"/>
        <s v="chetan.more@zupee.in"/>
        <s v="shashank.gupta@zupee.in"/>
        <s v="sunny.singh@zupee.in"/>
        <s v="rishabh.bhatia@zupee.in"/>
        <s v="rajan.jayaswal@zupee.in"/>
        <s v="amrit.anand@zupee.in"/>
      </sharedItems>
    </cacheField>
    <cacheField name="Department" numFmtId="0">
      <sharedItems containsBlank="1">
        <s v="Strategy"/>
        <m/>
        <s v="Legal"/>
        <s v="Org"/>
        <s v="Brand Marketing"/>
        <s v="Technology"/>
        <s v="Digital Marketing"/>
        <s v="Customer Experience"/>
        <s v="Data"/>
        <s v="Human Resources"/>
        <s v="Product Design"/>
        <s v="Finance"/>
        <s v="Product"/>
        <s v="IT Infra"/>
        <s v="P R &amp; Corporate Comms"/>
        <s v="Public Policy"/>
        <s v="Founder's Office"/>
        <s v="Administration"/>
      </sharedItems>
    </cacheField>
    <cacheField name="Acc Info" numFmtId="0">
      <sharedItems>
        <s v="GWS"/>
      </sharedItems>
    </cacheField>
    <cacheField name="Work Phone">
      <sharedItems containsBlank="1" containsMixedTypes="1" containsNumber="1" containsInteger="1">
        <n v="7.022967608E9"/>
        <m/>
        <s v="+919466654900"/>
        <n v="9.999913305E9"/>
        <s v="+919012270979"/>
        <s v="+917065453356"/>
        <s v="+919677196330"/>
        <s v="+919871947526"/>
        <s v="+917905883361"/>
        <s v="+917999230378"/>
        <s v="+919610353635"/>
        <s v="+919887852990"/>
        <s v="+917503624202"/>
        <s v="+919458260880"/>
        <n v="9.234192854E9"/>
        <n v="8.188883E9"/>
        <n v="8.510901001E9"/>
        <n v="6.399881057E9"/>
        <s v="+918950022186"/>
        <s v="+917348803275"/>
        <n v="9.855699522E9"/>
        <n v="9.582028236E9"/>
        <s v="+919920370131"/>
        <s v="+918971800272"/>
        <n v="8.28747296E9"/>
        <s v="+918872446815"/>
        <s v="+918882247118"/>
        <s v="+919717007291"/>
        <n v="9.310753386E9"/>
        <n v="8.800515119E9"/>
        <n v="9.990483291E9"/>
        <s v="+917692882186"/>
        <s v="+918800327796"/>
        <s v="+919650818290"/>
        <n v="9.690255071E9"/>
        <n v="8.700184178E9"/>
        <s v="+918588822320"/>
        <s v="+919882223818"/>
        <n v="9.46319427E9"/>
        <n v="8.571061946E9"/>
        <s v="+917737040690"/>
        <n v="9.560155064E9"/>
        <n v="9.319013247E9"/>
        <s v="+919353881749"/>
        <s v="+919521413919"/>
        <s v="+918827467326"/>
        <n v="8.17855371E9"/>
        <s v="+918471083566"/>
        <s v="+919163044287"/>
        <s v="+918076568233"/>
        <s v="+919999221098"/>
        <n v="8.745939266E9"/>
        <s v="+917340333828"/>
        <s v="+919205568805"/>
        <s v="+918688998064"/>
        <s v="+919873223404"/>
        <s v="+919981074915"/>
        <s v="+919890179987"/>
        <s v="+917905611649"/>
        <s v="+918791713443"/>
        <s v="+919811452061"/>
        <n v="7.50050833E9"/>
        <n v="6.306383796E9"/>
        <s v="+919352410818"/>
        <s v="+918595233273"/>
        <s v="+917827559600"/>
        <s v="+919582386283"/>
        <n v="9.310815667E9"/>
        <n v="7.532923636E9"/>
        <s v="+919266653647"/>
        <s v="+917529030199"/>
        <n v="8.287738829E9"/>
        <s v="+919511874042"/>
        <n v="9.582234571E9"/>
        <n v="9.559280127E9"/>
        <s v="+919953987225"/>
        <s v="+918171740440"/>
        <s v="+917038405006"/>
        <n v="9.711929192E9"/>
        <s v="+918802343972"/>
        <n v="9.717781317E9"/>
        <n v="8.800929377E9"/>
        <n v="9.871297068E9"/>
        <s v="+919570825046"/>
        <s v="+917644984079"/>
        <s v="+917042432283"/>
        <s v="+917701891644"/>
        <s v="+917291015806"/>
        <s v="+918240746893"/>
        <s v="+917817076900"/>
        <n v="9.520464896E9"/>
        <s v="+919311880111"/>
        <n v="9.589522192E9"/>
        <n v="8.448463623E9"/>
        <s v="+916394419882"/>
        <s v="+919040127075"/>
        <s v="+917605889435"/>
        <n v="9.643987425E9"/>
        <n v="8.708492778E9"/>
        <n v="7.900755805E9"/>
        <s v="+919816696116"/>
        <s v="+919599165055"/>
        <s v="+918800274005"/>
        <s v="+917291052534"/>
        <s v="+919953198801"/>
        <s v="+918905755342"/>
        <s v="+919311560404"/>
        <s v="+919818826113"/>
        <n v="8.384065469E9"/>
        <s v="+919999913305"/>
        <s v="+919928060889"/>
        <s v="+919897939666"/>
        <s v="+919810213957"/>
        <s v="+919958293705"/>
        <s v="+918006606806"/>
        <s v="+918510054225"/>
        <s v="+919911825866"/>
        <s v="+918800980872"/>
        <s v="+919821070176"/>
        <s v="+917982058712"/>
        <s v="+917760982692"/>
        <s v="+919999106918"/>
        <s v="+918802118601"/>
        <s v="+917004319253"/>
        <s v="+917669386089"/>
        <s v="+918800326042"/>
        <s v="+919136223610"/>
        <s v="+918800249887"/>
        <s v="+918742980202"/>
        <s v="+919818761514"/>
        <s v="+919479464683"/>
        <s v="+919910457434"/>
        <s v="+919999597330"/>
        <n v="8.882946897E9"/>
        <s v="+919407226795"/>
        <s v="+919940243821"/>
        <s v="+919811726986"/>
        <s v="+918527863751"/>
        <n v="8.140465265E9"/>
        <s v="+918305816012"/>
        <s v="+917065286013"/>
        <s v="+919810796066"/>
        <s v="+917874782241"/>
        <s v="+917737255358"/>
        <s v="+918527095302"/>
        <n v="8.054867578E9"/>
        <s v="+919034575564"/>
        <s v="+917042168083"/>
        <s v="+918770855347"/>
        <s v="+919990123068"/>
        <s v="+918588836434"/>
        <s v="+918800596489"/>
        <s v="+919582027321"/>
        <s v=""/>
        <s v="+919700270687"/>
        <s v="+917409782849"/>
        <n v="9.873223404E9"/>
        <s v="+917838015028"/>
        <n v="9.599165055E9"/>
        <s v="+917354854331"/>
        <n v="9.711730822E9"/>
        <s v="+919815049488"/>
        <n v="7.042705116E9"/>
        <s v="+918010583231"/>
        <n v="9.871762488E9"/>
        <n v="7.838495225E9"/>
        <s v="+919810210616"/>
        <s v="+917678112581"/>
        <n v="9.953198801E9"/>
        <s v="+919351318554"/>
        <s v="+917974831301"/>
        <n v="8.285299131E9"/>
        <n v="9.91103131E9"/>
        <s v="+919557854494"/>
        <n v="9.034340484E9"/>
        <n v="9.611107116E9"/>
        <n v="9.740032233E9"/>
        <s v="+919911031310"/>
        <s v="+918677910193"/>
        <s v="+919528178911"/>
        <s v="+918950085725"/>
        <n v="9.717117404E9"/>
        <n v="8.076189324E9"/>
        <n v="8.287180853E9"/>
        <s v="+917694966881"/>
        <s v="+919650926072"/>
        <s v="+918294133035"/>
        <s v="+918287549188"/>
        <s v="+918092541196"/>
        <s v="+917085852100"/>
        <n v="9.289251608E9"/>
        <n v="9.306621917E9"/>
        <n v="9.355201829E9"/>
        <n v="9.908124628E9"/>
        <n v="8.700076096E9"/>
        <s v="+919289299149"/>
        <n v="7.982058712E9"/>
        <s v="98102 44341"/>
        <n v="9.65494517E9"/>
        <s v="+919999893268"/>
        <s v="+918805937549"/>
        <s v="+919958001195"/>
      </sharedItems>
    </cacheField>
    <cacheField name="Employee Type" numFmtId="0">
      <sharedItems containsBlank="1">
        <s v="Full Time"/>
        <m/>
        <s v="Contractual"/>
        <s v="Intern"/>
        <s v="Generic ID"/>
        <s v="Trainee"/>
      </sharedItems>
    </cacheField>
    <cacheField name="Employee Title [Required]" numFmtId="0">
      <sharedItems containsBlank="1">
        <s v="Content Operations Associate"/>
        <m/>
        <s v="Senior Manager - Marketing Design"/>
        <s v="Software Engineer"/>
        <s v="Security Engineer"/>
        <s v="Software Development Engineer in Test Intern"/>
        <s v="Senior Associate - Digital Marketing"/>
        <s v="Contractual"/>
        <s v="Software Development Engineer in Test"/>
        <s v="Contractual: Test Yantra"/>
        <s v="Customer Support Executive"/>
        <s v="VP Engineering"/>
        <s v="Software Engineer - Unity"/>
        <s v="Senior Fraud Analyst"/>
        <s v="Assistant Manager-Strategy"/>
        <s v="Product Marketing Manager"/>
        <s v="Strategy Associate"/>
        <s v="Associate - Content Writer"/>
        <s v="Test Yantra"/>
        <s v="Executive - Customer Experience"/>
        <s v="Manager - FRM"/>
        <s v="Senior Software Engineer"/>
        <s v="Senior 3D Animator"/>
        <s v="Engineering Manager"/>
        <s v="Senior Data Analyst"/>
        <s v="UI/UX Designer"/>
        <s v="Assistant Manager - Finance"/>
        <s v="Senior Manager"/>
        <s v="Financial Controller"/>
        <s v="Team Leader - FRM"/>
        <s v="Quality Assurance Engineer - 2"/>
        <s v="Customer Service Associate"/>
        <s v="Tech"/>
        <s v="Lead Data Engineer"/>
        <s v="CRM HRO"/>
        <s v="Sr. Quality Analyst"/>
        <s v="Associate- Digital Marketing"/>
        <s v="AM-Business Finance"/>
        <s v="Senior Manager - Media"/>
        <s v="Fraud Analyst"/>
        <s v="Relationship Manager"/>
        <s v="Jindal"/>
        <s v="Quality Assurance Engineer - 1"/>
        <s v="Software Engineer Intern"/>
        <s v="Technical Lead - iOS"/>
        <s v="Product Manager"/>
        <s v="Sr. Executive - Customer Experience"/>
        <s v="Manager- Data Analytics"/>
        <s v="Community Growth Manager"/>
        <s v="Lead Data Analyst"/>
        <s v="Head of Government Relations"/>
        <s v="Director- Data Science"/>
        <s v="Process Trainer - CRM"/>
        <s v="Senior Executive- Customer Experience"/>
        <s v="Software Development Engineer 2"/>
        <s v="Sr.Software Engineer-Android"/>
        <s v="Team Leader"/>
        <s v="Software Engineer- DevOps"/>
        <s v="Brand Marketing Intern"/>
        <s v="Quality Analyst"/>
        <s v="Procurement Intern"/>
        <s v="Senior Data Scientist"/>
        <s v="Data Scientist"/>
        <s v="Senior Associate- Talent Acquisition"/>
        <s v="Senior 3D Game Artist"/>
        <s v="Senior Associate-Digital Marketing"/>
        <s v="Senior Associate � Graphic Designer"/>
        <s v="Data Analyst"/>
        <s v="Senior Software Engineer- Unity"/>
        <s v="Senior Manager- Digital Marketing"/>
        <s v="Manager- Taxation"/>
        <s v="Assistant Manager - Taxation"/>
        <s v="Product management Intern"/>
        <s v="Director - Revenue and Growth"/>
        <s v="Customer Success Executive (HRO)"/>
        <s v="Manager - Procurement"/>
        <s v="Senior Manager � Brand Marketing"/>
        <s v="-"/>
        <s v="Contractual: Deqode"/>
        <s v="Senior Associate - Talent Acquisition"/>
        <s v="Associate Director- Brand Marketing"/>
        <s v="Finance Analyst"/>
        <s v="Technical Lead"/>
        <s v="Software Engineer Trainee"/>
        <s v="Senior Creative Designer"/>
        <s v="Lead - Business intelligence"/>
        <s v="Contract: Programming"/>
        <s v="Senior Manager � Customer Experience"/>
        <s v="Associate Manager"/>
        <s v="Senior Motion Graphic Designer."/>
        <s v="Software Development Engineer 3"/>
        <s v="CRM"/>
        <s v="Associate Manager - IT Infra"/>
        <s v="Senior Executive"/>
        <s v="Senior Brand Manager"/>
        <s v="Executive"/>
        <s v="Senior Manager- Consumer Insight"/>
        <s v="Manager - Public relations"/>
        <s v="Senior Advisor - Public Policy"/>
        <s v="Senior Manager-Business Finance"/>
        <s v="Senior Manager - Strategy"/>
        <s v="Founder's Office Intern"/>
        <s v="Assistant Manager- IT"/>
        <s v="Senior Executive - HR Operation"/>
        <s v="Executive-Quality Auditor"/>
        <s v="SME - CRM"/>
        <s v="Software Engineer - Android"/>
        <s v="Executive Producer"/>
        <s v="Manager - Performance Marketing"/>
        <s v="Senior Executive- IT Operations"/>
        <s v="Associate Director- Product Management"/>
        <s v="Innovation"/>
        <s v="Contractual Ogma"/>
        <s v="Team Leader - CRM"/>
        <s v="Manager"/>
        <s v="Associate Product Manager"/>
        <s v="Finance Controller"/>
        <s v="Software Test Engineer"/>
        <s v="Financial Planning and Analysis Manager"/>
        <s v="IT"/>
        <s v="Assistant Manager- Finance"/>
        <s v="Senior Executive - Customer Experience"/>
        <s v="Senior Manager- Procurement"/>
        <s v="SME - Quality"/>
        <s v="Manager-Quality"/>
        <s v="Analyst-Finance"/>
        <s v="SME - Operations"/>
        <s v="Associate - SEO"/>
        <s v="Content Strategist"/>
        <s v="Manager- FinOps"/>
        <s v="Contractual IT"/>
        <s v="Gen AI Intern"/>
        <s v="PR Executive"/>
        <s v="Lead Game Designer"/>
        <s v="Digitech"/>
        <s v="Senior Executive-Customer Experience"/>
        <s v="Customer Success Executive"/>
        <s v="Chief Technical Officer"/>
        <s v="Chief Executive Officer"/>
        <s v="Genric ID"/>
        <s v="Senior Manager - Design"/>
        <s v="Software Development Engineer in Test 2"/>
        <s v="Quality Assurance Engineer 3"/>
        <s v="Technical Architect"/>
        <s v="Vice President - Engineering"/>
        <s v="Innovation Lead"/>
        <s v="Associate Director - Data Engineering"/>
        <s v="Design Lead"/>
        <s v="Lead - Motion Graphic Designer"/>
        <s v="Principal Architect"/>
        <s v="Chief of Staff"/>
        <s v="Quality Assurance 2"/>
        <s v="COO"/>
        <s v="Associate Director - HR"/>
        <s v="Senior Engineering Manager"/>
        <s v="QA Manager"/>
        <s v="Vice President - Digital Marketing"/>
        <s v="UI Designer"/>
        <s v="Vice President - Product"/>
        <s v="Staff Data Scientist"/>
        <s v="Marketing Designer"/>
        <s v="Associate"/>
        <s v="Vice President - Data Science &amp; Analytics"/>
        <s v="Associate Director"/>
        <s v="Lead - Engineering"/>
        <s v="Director - Revenue Strategy"/>
        <s v="Full Time"/>
        <s v="Senior Product Manager"/>
        <s v="Senior Graphic Designer"/>
        <s v="VP - Brand Marketing"/>
        <s v="SXSyJhyq=Hq&lt;7yZ="/>
        <s v="Principal Product Manager"/>
        <s v="Director - DevOps"/>
        <s v="Frontend Web SDE - II"/>
        <s v="Senior Game Artist"/>
        <s v="Team Lead - Social Media &amp; Operations"/>
        <s v="Associate Director- Finops &amp; Revenue Assurance"/>
        <s v="Senior DevOps Engineer"/>
        <s v="Head - Commercial &amp; Financial Projects"/>
        <s v="Senior UX Designer"/>
        <s v="Quality Assurance Engineer 2"/>
        <s v="6bnEA8NjGedZ9dQ&gt;"/>
        <s v="Lead - Data Science"/>
        <s v="Lead Designer"/>
        <s v="Technology Lead"/>
        <s v="Lead - Quality Assurance"/>
        <s v="Lead - Analyst"/>
        <s v="Senior Associate"/>
        <s v="Senior 2D Animator"/>
        <s v="Senior Software Development Engineer in Test"/>
        <s v="Senior Data Engineer"/>
        <s v="Director - Design"/>
        <s v="Lead ML Engineer"/>
        <s v="Engineering Manager - Android"/>
        <s v="Senior Executive - Branded Content"/>
        <s v="Senior Manager - Contracts"/>
        <s v="Lead - Database Administrator"/>
        <s v="Senior Manager-Strategy"/>
        <s v="Assistant Manager"/>
        <s v="Product Manager 1"/>
        <s v="Data Science Intern"/>
        <s v="Lead User Researcher"/>
        <s v="Software Engineer- Android"/>
        <s v="Senior Staff Engineer"/>
        <s v="Senior Associate - Product Marketing"/>
        <s v="Data Engineer"/>
        <s v="Machine Learning Engineer"/>
        <s v="Quality Assurance Engineer- 1"/>
        <s v="Senior Manager - IT Infra"/>
        <s v="SEO Content Writer"/>
        <s v="Senior Software Engineer - Android"/>
        <s v="Senior Motion Graphic Designer"/>
        <s v="Team Lead - Operations"/>
        <s v="Head of Customer Relationship Management"/>
        <s v="IT Executive"/>
        <s v="Senior Analyst � Process Excellence"/>
        <s v="SDET Trainee"/>
        <s v="Lead Data Scientist"/>
        <s v="SEO Executive"/>
        <s v="Senior SEO Content Writer"/>
        <s v="Associate Director - Taxation"/>
        <s v="Assistant Manager - Operations &amp; Strategy"/>
        <s v="Senior Executive HR"/>
        <s v="Director - Public Policy"/>
        <s v="Manager - HRBP"/>
        <s v="Executive- Founder's Office"/>
        <s v="QA Executive"/>
        <s v="Associate Director Digital Marketing"/>
        <s v="AM-FP&amp;A"/>
        <s v="Assistant Manager - Talent Acquisition"/>
        <s v="Personal Assistant"/>
        <s v="Assistant Manager - HRBP"/>
        <s v="Legal"/>
        <s v="AD- Business Finance"/>
        <s v="Field Staff"/>
        <s v="Senior Hindi UX Content Writer"/>
        <s v="Associate Director- Communications"/>
      </sharedItems>
    </cacheField>
    <cacheField name="Manager Email [Required]" numFmtId="0">
      <sharedItems containsBlank="1">
        <s v="chirag.sabhadiya@zupee.in"/>
        <m/>
        <s v="katha.tara@zupee.in"/>
        <s v="aman.k@zupee.in"/>
        <s v="saurav.yadav@zupee.in"/>
        <s v="rahul.sharma@zupee.in"/>
        <s v="yogesh.yadav@zupee.in"/>
        <s v="bal.sikandar@zupee.in"/>
        <s v="ritwika.maitra@zupee.in"/>
        <s v="vishal.agarwal@zupee.in"/>
        <s v="sahil.puri@zupee.in"/>
        <s v="mritunjay.kumar@zupee.in"/>
        <s v="dilsher.malhi@zupee.in"/>
        <s v="anuj.baghel@zupee.in"/>
        <s v="aman.khare@zupee.in"/>
        <s v="karan.aggarwal@zupee.in"/>
        <s v="ishank.mehta@zupee.in"/>
        <s v="abhishek.goyal@zupee.in"/>
        <s v="aman.kumar@zupee.in"/>
        <s v="saumil.shah@zupee.in"/>
        <s v="vipul.gupta@zupee.in"/>
        <s v="vivek.jain@zupee.in"/>
        <s v="sumit.yadav@zupee.in"/>
        <s v="jatin.kinra@zupee.in"/>
        <s v="aarti.luthra@zupee.in"/>
        <s v="aman.g@zupee.in"/>
        <s v="pankaj.gautam@zupee.in"/>
        <s v="abhishek.srivastava@zupee.in"/>
        <s v="pulkit.sehgal@zupee.in"/>
        <s v="ankit.maheshwari@zupee.in"/>
        <s v="suryanshu.shekhar@zupee.in"/>
        <s v="pranav.jaradi@zupee.in"/>
        <s v="-"/>
        <s v="mrityunjay.k@zupee.in"/>
        <s v="shiwani.pokhriyal@zupee.in"/>
        <s v="shashank.gupta@zupee.in"/>
        <s v="shivam.bali@zupee.in"/>
        <s v="mohini.bhardwaj@zupee.in"/>
        <s v="divya.koundal@zupee.in"/>
        <s v="shivam.sharma@zupee.in"/>
        <s v="anshul.mittal@zupee.in"/>
        <s v="naveen.kadyan@zupee.in"/>
        <s v="divya.khare@zupee.in"/>
        <s v="raman.malik@zupee.in"/>
        <s v="khushali.bagga@zupee.in"/>
        <s v="thomas.phillippe@zupee.in"/>
        <s v="sairam.mushyam@zupee.in"/>
        <s v="rohit.saini@zupee.in"/>
        <s v="puneet.dhiman@zupee.in"/>
        <s v="bishan.bhadra@zupee.in"/>
        <s v="abhishek.gupta@zupee.in"/>
        <s v="siddharth.monga@zupee.in"/>
        <s v="deep.dwivedi@zupee.in"/>
        <s v="satya.vart@zupee.in"/>
        <s v="m.sangeetha@zupee.in"/>
        <s v="ritwika.rai@zupee.in"/>
        <s v="akshit.sharma@zupee.in"/>
        <s v="amit.garg@zupee.in"/>
        <s v="nishant.jaiswal@zupee.in"/>
        <s v="rahul.satija@zupee.in"/>
        <s v="pavit.batra@zupee.in"/>
        <s v="maneesha.negi@zupee.in"/>
        <s v="hitesh.vats@zupee.in"/>
        <s v="eeshma.anand@zupee.in"/>
        <s v="sanjeev.kumar@zupee.in"/>
        <s v="rajneesh.yadav@zupee.in"/>
        <s v="narender.tyagi@zupee.in"/>
        <s v="saurabh.khurana@zupee.in"/>
        <s v="deepak.khandelwal@zupee.in"/>
        <s v="piyush.shukla@zupee.in"/>
        <s v="rajkumar.singh@zupee.in"/>
        <s v="pratyaksh.rawat@zupee.in"/>
        <s v="amrit.anand@zupee.in"/>
        <s v="atique.firoz@zupee.in"/>
        <s v="govind.mittal@zupee.in"/>
        <s v="ankit.wadhwa@zupee.in"/>
        <s v="aman.gupta@zupee.in"/>
        <s v="suvra.das@zupee.in"/>
        <s v="aman.kumar2@zupee.in"/>
        <s v="amroj.sandhu@zupee.in"/>
        <s v="sumit.singh@zupee.in"/>
        <s v="ishan.margamwar@zupee.in"/>
        <s v="nikhil.kaplas@zupee.in"/>
        <s v="hitesh.kwatra@zupee.in"/>
        <s v="nitesh.vijay@zupee.in"/>
        <s v="tarun.sharma@zupee.in"/>
        <s v="aman.patni@zupee.in"/>
        <s v="nikita.mantri@zupee.in"/>
        <s v="anish.abraham@zupee.in"/>
        <s v="sushil.patel@zupee.in"/>
        <s v="sagar.saini@zupee.in"/>
        <s v="shwetank.anand@zupee.in"/>
        <s v="ranjeet.kumar@zupee.in"/>
        <s v="gaurav.s@zupee.in"/>
        <s v="akanksha.dhamija@zupee.in"/>
        <s v="surabhi.sanchita@zupee.in"/>
        <s v="aaditya.singh@zupee.in"/>
        <s v="gaurav.khanna@zupee.in"/>
        <s v="arpita.latta@zupee.in"/>
        <s v="ankur.a@zupee.in"/>
        <s v="siddhant.saurabh@zupee.in"/>
        <s v="shobhit.nanda@zupee.in"/>
        <s v="payal.katoch@zupee.in"/>
        <s v="naveen.k@zupee.in"/>
        <s v=""/>
        <s v="akshay.gulati@zupee.in"/>
        <s v="nimish.goyal@zupee.in"/>
        <s v="aditya.jha@zupee.in"/>
        <s v="vijay.singh@zupee.in"/>
        <s v="kamran.hadi@zupee.in"/>
        <s v="lekhika.dhariyal@zupee.in"/>
        <s v="arunarun.prabhakaran@zupee.in"/>
        <s v="mayank.jain@zupee.in"/>
        <s v="aman.chhabra@zupee.in"/>
        <s v="shivani.bisht@zupee.in"/>
        <s v="aditi.khanna@zupee.in"/>
        <s v="avijit.sharma@zupee.in"/>
      </sharedItems>
    </cacheField>
    <cacheField name="Personal Email ID" numFmtId="0">
      <sharedItems containsString="0" containsBlank="1">
        <m/>
      </sharedItems>
    </cacheField>
    <cacheField name="Remarks (If any)" numFmtId="0">
      <sharedItems containsBlank="1">
        <m/>
        <s v="As per mail Confirmation we have decativate the mail ID"/>
        <s v="9-Jul-2025 last working day was 17 jun but confirmation received from HR on 9/july"/>
        <s v="As per HR confirmation we have reactivated the mail ID"/>
        <s v="User rejoin (we have activate the mail ID as per mail )"/>
        <s v="mail deleted on the jc on 16-july-2025"/>
        <s v="using By Hitesh Vats, appv by Raj on Slack"/>
        <s v="Hold "/>
      </sharedItems>
    </cacheField>
    <cacheField name="No-Dues St" numFmtId="0">
      <sharedItems>
        <s v="No-Dues"/>
        <s v="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43" sheet="Mobiles"/>
  </cacheSource>
  <cacheFields>
    <cacheField name="Make &amp; Model" numFmtId="1">
      <sharedItems>
        <s v="MotoE7 Power"/>
        <s v="Oppo A15s (CPH2179)"/>
        <s v="Redmi 9 Activ"/>
        <s v="Moto E7 Power"/>
        <s v="iPhone X"/>
        <s v="Samsung M11"/>
        <s v="iPhone 11 Pro Max"/>
        <s v="Oppo CPH2015"/>
        <s v="Moto E7 Plus"/>
        <s v="Redmi 9 Power"/>
        <s v="Realme C11 2021"/>
        <s v="Moto E7"/>
        <s v=" Realme C11 2021"/>
        <s v="Oppo A15s"/>
        <s v="Samsung"/>
        <s v="Realme C21Y"/>
        <s v="Redmi 8"/>
        <s v="Samsung Galaxy M11"/>
        <s v="Redmi 9 Prime"/>
        <s v="MotoE7 Plus"/>
        <s v="MotoE7 Plus and"/>
        <s v="iPhone 12"/>
        <s v="Redmi Go"/>
        <s v="Itel A23 L5006C"/>
        <s v="Motoe7Plus"/>
        <s v="Samsung Galaxy J2"/>
        <s v="Iphone 8"/>
        <s v="Redmi 9 Active"/>
        <s v="iPhone12"/>
        <s v=" Realme C21Y"/>
        <s v="iPhone 11        "/>
        <s v="itel A23 Pro_Open"/>
        <s v="MotoE7"/>
        <s v="iPhone 12 Pro Max"/>
        <s v="Vivo V2027"/>
        <s v="iPhone XR"/>
        <s v="REDMI 8 M2001C3K3I"/>
        <s v="Redmi Note 9 Pro (M2003J6A1I)"/>
        <s v="Redmi Note 8"/>
        <s v="Redme 6A"/>
        <s v="Oppo A15"/>
        <s v="iPhone 6s"/>
        <s v="Samsung Galaxy J2 Core"/>
        <s v="Redmi 9 Activ "/>
        <s v="iPhone 6"/>
        <s v="Redmi Note9"/>
        <s v="Redmi Note 9"/>
        <s v="motorola E7 Power"/>
        <s v="Samsumg M11"/>
        <s v="Redmi Note 10"/>
        <s v="moto e(7) plus"/>
        <s v="Moto E7 "/>
        <s v="iPhone 7"/>
        <s v="Oppo A31"/>
        <s v="Techno Spark Go 2021"/>
        <s v="iPhone 11"/>
        <s v="Motorola E7"/>
        <s v="moto"/>
        <s v="Redmi 9Activ"/>
        <s v="Redmi"/>
        <s v="iPhone 12 Mini"/>
        <s v="Mote e7 plus"/>
        <s v="Samsung A21S"/>
        <s v="Redmi Note 9 Pro"/>
        <s v="Techno Spark7T"/>
        <s v="Samsung Galaxy A21S"/>
        <s v=" Redmi Note 4"/>
        <s v="Moto  e7"/>
        <s v="Oppo A12"/>
        <s v="Samsung J2"/>
        <s v="Vivo Y20"/>
        <s v="Oppo A15s "/>
        <s v="Vivo V51"/>
        <s v="Oppo A5 2020"/>
        <s v="iPhone 12 Pro"/>
        <s v="Motorola E7 Plus"/>
        <s v="VivoY12"/>
        <s v="Redmi Note 9 Pro Max"/>
        <s v="Realme C11"/>
        <s v="Redmi 8A"/>
        <s v="Vivo V2029"/>
        <s v="Vivo Y91i"/>
        <s v="Samsung A31"/>
        <s v="Samsung Galaxy M51"/>
        <s v="Nokia 4.2"/>
        <s v="iPhone 5s"/>
        <s v="Samsung Galaxy A 31"/>
        <s v="iPhone 5s Gold"/>
        <s v="Jio F320B"/>
        <s v="Redmi 9"/>
        <s v="Redmi Note8 Pro"/>
        <s v="Redmi 5A"/>
        <s v="Samsung M11 "/>
        <s v="Vivo Y21"/>
        <s v="iphone XS"/>
        <s v="One Plus Node"/>
        <s v="ipad"/>
        <s v="Redmi  Note 8"/>
        <s v="iPhone 7 plus "/>
        <s v="iphone x "/>
        <s v="iphone 11 "/>
        <s v="Nothing Phone 1 "/>
        <s v="iPhone 8 Plus"/>
        <s v="Motorola MotoE7"/>
        <s v="Jio Phone Next "/>
        <s v="Vivo Y16"/>
        <s v="Google Pixel 6A"/>
        <s v="iphone 12 "/>
        <s v="Oppo A5s"/>
        <s v="Samsung Galaxy S21 FE 5G"/>
        <s v="iPhone 14 Plus"/>
        <s v="Samsung M14 5G"/>
        <s v="XP-PEN"/>
        <s v="Huion"/>
        <s v="Iphone 13 pro max"/>
        <s v="Iphone 13"/>
        <s v="Iphone 14"/>
        <s v="Iphone 15"/>
        <s v="Samsung galaxy M34 "/>
        <s v="Redmi 12 5G"/>
        <s v="Vivo Y22"/>
        <s v="Vivo T2X 5G"/>
        <s v="One Plus 12R"/>
        <s v="Samsung galaxy M14"/>
        <s v="Redmi 9i "/>
        <s v="Vivo Y18i"/>
        <s v="Realme C61"/>
        <s v="OPPO A1"/>
        <s v="Samsung Galaxy A05"/>
        <s v="Redmi A3"/>
        <s v="Poco M6 5G"/>
        <s v="OPPO A3X"/>
        <s v="POCO C61"/>
        <s v="POCO M6 PLUS 5G"/>
        <s v="REDMI 13C 5G"/>
      </sharedItems>
    </cacheField>
    <cacheField name="Type" numFmtId="0">
      <sharedItems>
        <s v="Android "/>
        <s v="IOS"/>
        <s v="JIO"/>
        <s v="Google OS"/>
        <s v="PenTab"/>
        <s v="Creative Pen Display "/>
      </sharedItems>
    </cacheField>
    <cacheField name="Serial / IMEI No.">
      <sharedItems containsBlank="1" containsMixedTypes="1" containsNumber="1" containsInteger="1">
        <n v="3.5620620344079E14"/>
        <n v="8.69054058054195E14"/>
        <n v="8.64130055300933E14"/>
        <n v="3.56206203667632E14"/>
        <n v="3.54845096785787E14"/>
        <n v="3.50958031023448E14"/>
        <n v="3.53915107908453E14"/>
        <n v="8.64717041696455E14"/>
        <n v="3.55766344203077E14"/>
        <n v="8.64455055804976E14"/>
        <n v="8.64189053524233E14"/>
        <n v="3.56206203434959E14"/>
        <n v="3.55766344218851E14"/>
        <n v="8.64130055470116E14"/>
        <n v="8.62065059348276E14"/>
        <s v="355766343705692/07"/>
        <n v="8.67912051595559E14"/>
        <n v="0.0"/>
        <n v="8.65706052957152E14"/>
        <n v="8.69054058052512E14"/>
        <n v="3.56206203666956E14"/>
        <n v="8.68147043393578E14"/>
        <n v="3.50958030676113E14"/>
        <n v="8.64130055299234E14"/>
        <n v="8.69733052318421E14"/>
        <n v="3.55766343704836E14"/>
        <n v="3.55766343705718E14"/>
        <n v="3.53032117131462E14"/>
        <n v="8.69054057238492E14"/>
        <n v="8.68609041771733E14"/>
        <n v="3.50340713198048E14"/>
        <n v="3.55766344203119E14"/>
        <n v="3.55033115569453E14"/>
        <n v="3.56206203442275E14"/>
        <n v="8.69733051738462E14"/>
        <n v="8.6418905337537E14"/>
        <n v="3.56766083456844E14"/>
        <n v="8.60921051569917E14"/>
        <n v="8.63857055103237E14"/>
        <n v="8.61573058922299E14"/>
        <n v="3.52619274478149E14"/>
        <n v="8.64189053375453E14"/>
        <n v="8.69733056657279E14"/>
        <n v="3.56206203440832E14"/>
        <n v="3.5672008888997E14"/>
        <n v="8.6570605233605E14"/>
        <n v="3.5030822544972E14"/>
        <n v="8.64189054341892E14"/>
        <n v="3.5160678190154E14"/>
        <n v="3.5620620366801E14"/>
        <n v="3.56206203442556E14"/>
        <n v="3.55766343711856E14"/>
        <n v="8.68948051958479E14"/>
        <n v="3.5620620366783E14"/>
        <n v="3.55766344218794E14"/>
        <n v="8.69054052397111E14"/>
        <n v="8.68948050131813E14"/>
        <n v="8.69054050659751E14"/>
        <n v="3.5576634371051E14"/>
        <n v="3.52292936908141E14"/>
        <n v="3.5620620406487E14"/>
        <n v="8.6408005009485E14"/>
        <n v="3.53055102052039E14"/>
        <n v="3.55766343706039E14"/>
        <n v="8.64264055310772E14"/>
        <n v="8.62921045760315E14"/>
        <n v="8.63857055633332E14"/>
        <n v="3.55766343704257E14"/>
        <n v="8.69054052404594E14"/>
        <n v="3.56206203668051E14"/>
        <n v="8.63857055076557E14"/>
        <n v="3.56206203299733E14"/>
        <n v="8.64189053375271E14"/>
        <n v="3.56206203154334E14"/>
        <n v="3.50958030601798E14"/>
        <n v="3.56206203037893E14"/>
        <n v="3.56206203036952E14"/>
        <n v="8.68948054535712E14"/>
        <n v="8.61182048552065E14"/>
        <n v="8.67621049341543E14"/>
        <n v="8.6905405682977E14"/>
        <n v="3.53037119785595E14"/>
        <n v="3.53224104958706E14"/>
        <n v="3.55766344202194E14"/>
        <n v="3.55033115574123E14"/>
        <n v="3.55766344218893E14"/>
        <n v="8.62065059042093E14"/>
        <n v="3.55766344204455E14"/>
        <n v="8.64130050795954E14"/>
        <n v="3.56206203667533E14"/>
        <n v="3.56206203668218E14"/>
        <n v="3.59220079518743E14"/>
        <n v="3.55766344218976E14"/>
        <n v="8.60377045104222E14"/>
        <n v="3.56206203667491E14"/>
        <n v="3.56206203667814E14"/>
        <n v="8.60377045459782E14"/>
        <n v="8.69733051055099E14"/>
        <n v="3.56206203150092E14"/>
        <n v="3.56206202973031E14"/>
        <n v="8.69054052396659E14"/>
        <n v="3.55690119561677E14"/>
        <n v="8.69054051059555E14"/>
        <n v="8.64189053523672E14"/>
        <n v="8.65481050663893E14"/>
        <n v="3.55766344218836E14"/>
        <n v="3.55766344203317E14"/>
        <n v="8.69733051211916E14"/>
        <n v="3.53778089921138E14"/>
        <n v="3.56206204065539E14"/>
        <s v="WWFIJ70ZEEDQNFIV/864717040766317"/>
        <n v="8.64023053356959E14"/>
        <n v="3.58870669847687E14"/>
        <n v="3.5657510385583E14"/>
        <n v="8.62024053846876E14"/>
        <n v="3.5576634421739E14"/>
        <n v="3.55692119329642E14"/>
        <n v="3.56206203435253E14"/>
        <s v="ZF6525RXXW"/>
        <n v="8.61258049061809E14"/>
        <n v="8.69054050660155E14"/>
        <n v="8.63857055638836E14"/>
        <n v="8.64264054890659E14"/>
        <n v="8.61573058309653E14"/>
        <n v="3.50135023155526E14"/>
        <n v="3.5620620366797E14"/>
        <n v="3.56206203321834E14"/>
        <n v="3.55766344219057E14"/>
        <n v="3.55766344203838E14"/>
        <n v="8.69054058142073E14"/>
        <n v="8.64717040740437E14"/>
        <n v="8.62065059335935E14"/>
        <n v="3.56206203762078E14"/>
        <n v="3.50179385306491E14"/>
        <n v="3.56206203667012E14"/>
        <n v="3.53002099783267E14"/>
        <n v="8.69054052395917E14"/>
        <n v="8.65715049778233E14"/>
        <n v="3.53935642103568E14"/>
        <n v="3.56206203038479E14"/>
        <n v="3.56206202552439E14"/>
        <n v="8.62324050803775E14"/>
        <n v="3.55368114123005E14"/>
        <n v="8.66751032618507E14"/>
        <n v="3.5322110226497E14"/>
        <n v="3.55766343706393E14"/>
        <n v="3.56206203328078E14"/>
        <n v="3.55766344203473E14"/>
        <n v="8.65236043899479E14"/>
        <n v="3.56206202553411E14"/>
        <n v="3.52231104495929E14"/>
        <n v="8.69342051133359E14"/>
        <n v="8.69054051059811E14"/>
        <n v="8.60567056045278E14"/>
        <n v="3.56206203666212E14"/>
        <n v="8.69232042134055E14"/>
        <n v="3.55766343704091E14"/>
        <n v="3.53993103787841E14"/>
        <s v="355766344203457/11"/>
        <n v="3.55766343710353E14"/>
        <n v="3.56696119981772E14"/>
        <n v="3.5576634370419E14"/>
        <n v="3.56206202977479E14"/>
        <m/>
        <n v="3.56206203154318E14"/>
        <n v="3.55692111215823E14"/>
        <n v="3.56206203297836E14"/>
        <n v="3.55766343703275E14"/>
        <n v="3.56206202977776E14"/>
        <n v="8.6385705446769E14"/>
        <n v="8.65899043466092E14"/>
        <n v="8.6418905352943E14"/>
        <n v="3.56206203039295E14"/>
        <n v="8.64189053527855E14"/>
        <n v="3.54025412740127E14"/>
        <n v="8.67496043467614E14"/>
        <n v="3.56206203025773E14"/>
        <n v="8.69054056050435E14"/>
        <n v="3.56206204065471E14"/>
        <n v="8.64189053373813E14"/>
        <n v="8.60162055618372E14"/>
        <n v="8.60430059044071E14"/>
        <n v="8.60386047297892E14"/>
        <s v="F2LVP297JCLH"/>
        <n v="3.56206203668135E14"/>
        <n v="3.5620620366759E14"/>
        <n v="3.55766343703853E14"/>
        <n v="8.63857055135734E14"/>
        <n v="8.63857055080419E14"/>
        <n v="8.63857055350473E14"/>
        <n v="8.69054057174234E14"/>
        <n v="3.55390116468659E14"/>
        <n v="3.53544568279301E14"/>
        <n v="3.56206203038255E14"/>
        <n v="3.54025412822511E14"/>
        <n v="3.52906102913912E14"/>
        <n v="8.64717040776936E14"/>
        <n v="8.69733053042798E14"/>
        <n v="3.52037066973864E14"/>
        <n v="3.55766343706211E14"/>
        <n v="3.55743861875439E14"/>
        <n v="8.64130055298673E14"/>
        <n v="3.52086071520046E14"/>
        <n v="8.6385705513283E14"/>
        <n v="8.64130055421176E14"/>
        <n v="8.64130055369078E14"/>
        <n v="3.53989107441088E14"/>
        <n v="3.52157523100222E14"/>
        <n v="3.51486163999648E14"/>
        <n v="3.51486164001766E14"/>
        <n v="3.5215752310136E14"/>
        <n v="3.52157523100065E14"/>
        <n v="3.5215752310513E14"/>
        <n v="8.64712053061912E14"/>
        <n v="8.67965047558073E14"/>
        <n v="8.65687033926484E14"/>
        <n v="3.54025412822248E14"/>
        <n v="8.63723059199318E14"/>
        <n v="8.61520062424937E14"/>
        <n v="8.64264053165756E14"/>
        <n v="8.60377045438463E14"/>
        <n v="3.56429100286625E14"/>
        <n v="3.55766343706195E14"/>
        <n v="8.68218056189409E14"/>
        <s v="J2PYPQV449"/>
        <s v="DK672TJ4QG"/>
        <n v="8.6379304506334E14"/>
        <n v="3.56452108477889E14"/>
        <n v="3.53779081533491E14"/>
        <n v="3.54855091640796E14"/>
        <n v="3.56702084728675E14"/>
        <n v="3.52681235166825E14"/>
        <n v="3.50778867975606E14"/>
        <n v="3.5611409490881E14"/>
        <n v="3.56725089335386E14"/>
        <n v="3.56206203442051E14"/>
        <n v="3.57559824168565E14"/>
        <n v="8.6955406626701E14"/>
        <n v="3.5609809571142E13"/>
        <n v="3.50162898203926E14"/>
        <n v="3.5707816996391E14"/>
        <n v="8.69912044571194E14"/>
        <n v="3.56350645459453E14"/>
        <n v="3.52485859834084E14"/>
        <n v="3.55766343704356E14"/>
        <n v="3.57718898841834E14"/>
        <n v="3.57360092089736E14"/>
        <s v="XPLP1515C123403798"/>
        <s v="D7DB9SH0061"/>
        <n v="3.56955701086212E14"/>
        <n v="3.55611224135173E14"/>
        <n v="3.53092224591842E14"/>
        <s v="Q4F0J34121/359462819414631"/>
        <s v="SF4Q2F7QQQN/351072500497593"/>
        <n v="3.53994850643013E14"/>
        <n v="8.61515070282541E14"/>
        <s v="10BD521052005S/862807065099892"/>
        <s v="10BDCX15AB0013C/865639065487778"/>
        <s v="38C23B57/860957062511878"/>
        <s v="RZCX61E9PGL/353994851398716"/>
        <s v="RZCX61KP29B/353994851449725"/>
        <s v="R9ZX802V4PR/353927347840099"/>
        <s v="R9ZX707GGRB/353927347495118"/>
        <s v="R9ZX803JGHJ/353927348007961"/>
        <s v="7LXCL7N7NVWKYXEA/861405052616405"/>
        <s v="JVUCJB650NMJWSYX/869580057362122"/>
        <s v="GL5THLBLRK6HBENV/861405052716585"/>
        <s v="SGV0DQY98PPFVWV8/869580057477920"/>
        <n v="8.69580057728082E14"/>
        <s v="10BE8A0KTK0015H/866575076675598"/>
        <s v="10BE7Z0835000PF/866575077874596"/>
        <s v="10BE8B1FH600173/866575076500119"/>
        <s v="10BE8338Q8000SP/866575077367559"/>
        <s v="0D64814125200DBE/860899071394872"/>
        <s v="0D5461412820103F/862145073292690"/>
        <s v="0D6419125200817/860899071482370"/>
        <s v="0D64814125200E25/860899071644375"/>
        <s v="4HCM858DKRDAIZEQ/864487067426779"/>
        <s v="MV7PV4GQMNJN0N6L/864487061035295"/>
        <s v="QGGY7DAEYLL74LRK/864487064109816"/>
        <s v="4XNBK7KZ5DYPDYPN/864487060919697"/>
        <s v="R9ZX7026HQH/350835038285867"/>
        <s v="R9ZX7026P9J/350835038287699"/>
        <s v="R9ZX7026TAX/350835038289026"/>
        <s v="R9ZX7026JCE/350835038286071"/>
        <s v="R9ZX7026SVW/350835038288879"/>
        <s v="R9ZX701LW8E/350835038269754"/>
        <s v="R9ZX7026ZPT/350835038290800"/>
        <s v="R9ZX7026NYT/350835038287582"/>
        <s v="R9ZX7026VHA/350835038289422"/>
        <s v="R9ZX7026NRJ/350835038287525"/>
        <s v="R9ZX7026SPM/350835038288820"/>
        <s v="R9ZX7026PBZ/350835038287715"/>
        <s v="R9ZX7026VER/350835038289398"/>
        <s v="R9ZX7026PCD/350835038287723"/>
        <s v="R9ZX7026NJA/350835038287459"/>
        <s v="PNU4JV7D8XTKIRV8/868565079036938"/>
        <s v="6HWK599P9HZTCAHU/868565078164996"/>
        <s v="ZXZTFAE6PJLFBU7T/866173067296986"/>
        <s v="NB8TIFKB7L7LEMRO/868398068924900"/>
        <s v="LQ9749CQCV/357737718585884"/>
        <s v="5FEC68DC/869238075876215"/>
        <s v="336AEF65/869238075293619"/>
        <s v="28E7FF48/869238075295317"/>
        <s v="34F0CF6C/869238075876033"/>
        <s v="EEBF81EF/869238074803699"/>
        <s v="CQEIIZ0RHITKEQXW/860035071107622"/>
        <s v="ZTBAAQR0KVC67D55/860035071097922"/>
        <s v="S06PZ5PVV0V87LUG/860035070840983"/>
        <s v="5PIZQ4MNAE49S8GQ/860035070857284"/>
        <s v="AIGQHYY995RSDE95/869742075736386"/>
        <s v="10BEAB0Y71003X6/863051071006638"/>
        <s v="10BEAB0Y1N003X6/863051071006596"/>
        <s v="10BEAB0RDM003X6/863051071021538"/>
        <s v="10BEAB0RD1003X6/863051071021835"/>
        <s v="10BEAB0YCD003X6/863051071005499"/>
        <n v="8.6453007387556E14"/>
        <n v="8.64530073563869E14"/>
        <n v="8.64530073902786E14"/>
        <n v="8.64530072968408E14"/>
        <n v="8.64530073846868E14"/>
        <n v="8.64530074003568E14"/>
        <n v="8.64530073892581E14"/>
        <n v="8.64530073975584E14"/>
        <n v="8.64530073173586E14"/>
        <n v="8.64530072949762E14"/>
        <n v="8.66807078608347E14"/>
        <n v="8.68618078882941E14"/>
        <n v="8.60845077686225E14"/>
        <n v="8.68618076717966E14"/>
        <n v="8.68618079018065E14"/>
        <n v="8.6861807899368E14"/>
        <n v="8.68618079046744E14"/>
        <n v="8.66807078265643E14"/>
        <n v="8.66807078593705E14"/>
        <n v="8.68618078878881E14"/>
        <n v="8.68618076540368E14"/>
        <n v="8.66807078590628E14"/>
        <n v="8.668070784554E14"/>
        <n v="8.68618079125381E14"/>
        <n v="8.68618073300709E14"/>
      </sharedItems>
    </cacheField>
    <cacheField name="Phone Configuration ">
      <sharedItems containsBlank="1" containsMixedTypes="1" containsNumber="1" containsInteger="1">
        <s v="4/64GB"/>
        <s v="4GB/64GB"/>
        <s v="4GB/64"/>
        <s v="3GB/64"/>
        <s v="3GB/32"/>
        <s v="6GB/128"/>
        <s v="2GB/32"/>
        <m/>
        <s v="2GB/16"/>
        <s v="4GB/128"/>
        <s v="1GB/16GB"/>
        <s v="1GB/8GB"/>
        <s v="1/16GB"/>
        <s v="2GB/64"/>
        <s v="3GB/64GB"/>
        <s v="4GB/128GB"/>
        <s v="2/64GB"/>
        <s v="1GB/64GB"/>
        <s v="6GB/64GB"/>
        <s v="2/128GB"/>
        <s v="1/4GB"/>
        <s v="2GB/64GB"/>
        <s v="2GB/16GB"/>
        <s v="2/32GB"/>
        <s v="3/32GB"/>
        <s v="6/64GB"/>
        <s v="4/128GB"/>
        <s v="2/16GB"/>
        <s v="6/128GB"/>
        <s v="1/32GB"/>
        <s v="16GB"/>
        <s v="2GB/4GB"/>
        <s v="6GB/64"/>
        <s v="3/64GB"/>
        <s v="64GB"/>
        <s v="NA"/>
        <s v="8/128GB"/>
        <n v="128.0"/>
        <s v="6/128"/>
        <s v="16/256"/>
        <s v="4/128"/>
        <s v="8/128"/>
        <s v="4/64"/>
        <s v="6GB/128GB"/>
      </sharedItems>
    </cacheField>
    <cacheField name="Asset ID" numFmtId="1">
      <sharedItems containsBlank="1">
        <s v="Z/FAM/OE1000113"/>
        <s v="Z/FAM/OE1000047"/>
        <s v="Z/FAM/CE1000151"/>
        <s v="Z/FAM/CE1000657"/>
        <s v="Z/FAM/CE1000442"/>
        <s v="Z/FAM/CE1000398"/>
        <s v="Z/FAM/CE1000397"/>
        <s v="Z/FAM/OE1000145"/>
        <s v="Z/FAM/OE1000039"/>
        <s v="Z/FAM/OE1000110"/>
        <s v="Z/FAM/OE1000102"/>
        <s v="Z/FAM/OE1000237"/>
        <s v="Z/FAM/OE1000137"/>
        <s v="Z/FAM/CE1000144"/>
        <s v="Z/FAM/OE1000085"/>
        <s v="Z/FAM/OE1000121"/>
        <s v="Z/FAM/OE1000161"/>
        <s v="Z/FAM/CE1000050"/>
        <s v="Z/FAM/OE1000122"/>
        <s v="Z/FAM/OE1000183"/>
        <s v="Z/FAM/CE1000088"/>
        <m/>
        <s v="Z/FAM/CE1000086"/>
        <s v="Z/FAM/CE1000183"/>
        <s v="Z/FAM/OE1000134"/>
        <s v="Z/FAM/OE1000396"/>
        <s v="Z/FAM/OE1000172"/>
        <s v="Z/FAM/OE1000132"/>
        <s v="Z/FAM/OE1000169"/>
        <s v="Z/FAM/OE1000075"/>
        <s v="Z/FAM/OE1000400"/>
        <s v="Z/FAM/OE1000071"/>
        <s v="Z/FAM/OE1000089"/>
        <s v="Z/FAM/CE1000180"/>
        <s v="Z/FAM/OE1000086"/>
        <s v="Z/FAM/CE1000071"/>
        <s v="Z/FAM/CE1000153"/>
        <s v="Z/FAM/CE1000159"/>
        <s v="Z/FAM/CE1000139"/>
        <s v="Z/FAM/CE1000006"/>
        <s v="Z/FAM/OE1000182"/>
        <s v="Z/FAM/CE1000101"/>
        <s v="Z/FAM/CE1000146"/>
        <s v="Z/FAM/OE1000181"/>
        <s v="Z/FAM/OE1000077"/>
        <s v="Z/FAM/OE1000147"/>
        <s v="Z/FAM/CE1000174"/>
        <s v="Z/FAM/CE1000616"/>
        <s v="Z/FAM/CE1000617"/>
        <s v="Z/FAM/OE1000123"/>
        <s v="Z/FAM/OE1000098"/>
        <s v="Z/FAM/CE1000073"/>
        <s v="Z/FAM/OE1000138"/>
        <s v="Z/FAM/OE1000184"/>
        <s v="Z/FAM/CE1000069"/>
        <s v="Z/FAM/OE1000130"/>
        <s v="Z/FAM/CE1000325"/>
        <s v="Z/FAM/OE1000150"/>
        <s v="Z/FAM/CE1000188"/>
        <s v="Z/FAM/OE1000111"/>
        <s v="Z/FAM/CE1000034"/>
        <s v="Z/FAM/CE1000035"/>
        <s v="Z/FAM/OE1000399"/>
        <s v="Z/FAM/CE1000454"/>
        <s v="Z/FAM/CE1000047"/>
        <s v="Z/FAM/CE1000111"/>
        <s v="Z/FAM/OE1000173"/>
        <s v="Z/FAM/CE1000075"/>
        <s v="Z/FAM/CE1000396"/>
        <s v="Z/FAM/CE1000114"/>
        <s v="Z/FAM/OE1000140"/>
        <s v="Z/FAM/OE1000141"/>
        <s v="Z/FAM/CE1000647"/>
        <s v="Z/FAM/OE1000151"/>
        <s v="Z/FAM/CE1000172"/>
        <s v="Z/FAM/OE1000040"/>
        <s v="Z/FAM/OE1000393"/>
        <s v="Z/FAM/CE1000645"/>
        <s v="Z/FAM/OE1000055"/>
        <s v="Z/FAM/CE1000393"/>
        <s v="Z/FAM/OE1000185"/>
        <s v="Z/FAM/OE1000146"/>
        <s v="Z/FAM/OE1000142"/>
        <s v="Z/FAM/OE1000131"/>
        <s v="Z/FAM/OE1000139"/>
        <s v="Z/FAM/CE1000037"/>
        <s v="Z/FAM/CE1000038"/>
        <s v="Z/FAM/OE1000067"/>
        <s v="Z/FAM/CE1000168"/>
        <s v="Z/FAM/OE1000397"/>
        <s v="Z/FAM/OE1000143"/>
        <s v="Z/FAM/CE1000078"/>
        <s v="Z/FAM/CE1000639"/>
        <s v="Z/FAM/CE1000045"/>
        <s v="Z/FAM/OE1000180"/>
        <s v="Z/FAM/CE1000642"/>
        <s v="Z/FAM/CE1000097"/>
        <s v="Z/FAM/OE1000116"/>
        <s v="Z/FAM/OE1000038"/>
        <s v="Z/FAM/OE1000120"/>
        <s v="Z/FAM/CE1000638"/>
        <s v="Z/FAM/CE1000431"/>
        <s v="Z/FAM/OE1000054"/>
        <s v="Z/FAM/CE1000157"/>
        <s v="Z/FAM/OE1000398"/>
        <s v="Z/FAM/OE1000170"/>
        <s v="Z/FAM/CE1000394"/>
        <s v="Z/FAM/CE1000607"/>
        <s v="Z/FAM/OE1000046"/>
        <s v="Z/FAM/OE1000133"/>
        <s v="Z/FAM/CE1000081"/>
        <s v="Z/FAM/OE1000166"/>
        <s v="Z/FAM/CE1000467"/>
        <s v="Z/FAM/CE1000658"/>
        <s v="Z/FAM/OE1000165"/>
        <s v="Z/FAM/OE1000168"/>
        <s v="Z/FAM/CE1000106"/>
        <s v="Z/FAM/OE1000148"/>
        <s v="Z/FAM/CE1000327"/>
        <s v="Z/FAM/CE1000223"/>
        <s v="Z/FAM/OE1000103"/>
        <s v="Z/FAM/OE1000073"/>
        <s v="Z/FAM/OE1000126"/>
        <s v="Z/FAM/OE1000127"/>
        <s v="Z/FAM/OE1000159"/>
        <s v="Z/FAM/CE1000019"/>
        <s v="Z/FAM/CE1000644"/>
        <s v="Z/FAM/CE1000017"/>
        <s v="Z/FAM/CE1000444"/>
        <s v="Z/FAM/CE1000611"/>
        <s v="Z/FAM/CE1000614"/>
        <s v="Z/FAM/CE1000612"/>
        <s v="Z/FAM/CE1000020"/>
        <s v="Z/FAM/OE1000061"/>
        <s v="Z/FAM/OE1000179"/>
        <s v="Z/FAM/CE1000338"/>
        <s v="Z/FAM/OE1000124"/>
        <s v="Z/FAM/CE1000451"/>
        <s v="Z/FAM/OE1000125"/>
        <s v="Z/FAM/CE1000115"/>
        <s v="Z/FAM/OE1000171"/>
        <s v="Z/FAM/OE1000037"/>
        <s v="Z/FAM/CE1000015"/>
        <s v="Z/FAM/OE1000057"/>
        <s v="Z/FAM/OE1000118"/>
        <s v="Z/FAM/OE1000128"/>
        <s v="Z/FAM/OE1000129"/>
        <s v="Z/FAM/CE1000100"/>
        <s v="Z/FAM/CE1000340"/>
        <s v="Z/FAM/CE1000262"/>
        <s v="Z/FAM/CE1000363"/>
        <s v="Z/FAM/OE1000084"/>
        <s v="Z/FAM/CE1000065"/>
        <s v="Z/FAM/CE1000055"/>
        <s v="Z/FAM/OE1000167"/>
        <s v="Z/FAM/OE1000162"/>
        <s v="Z/FAM/OE1000163"/>
        <s v="Z/FAM/CE1000067"/>
        <s v="Z/FAM/CE1000031"/>
        <s v="Z/FAM/OE1000186"/>
        <s v="Z/FAM/CE1000134"/>
        <s v="Z/FAM/OE1000074"/>
        <s v="Z/FAM/CE1000093"/>
        <s v="Z/FAM/OE1000117"/>
        <s v="Z/FAM/CE1000028"/>
        <s v="Z/FAM/CE1000029"/>
        <s v="Z/FAM/OE1000389"/>
        <s v="Z/FAM/OE1000112"/>
        <s v="Z/FAM/CE1000094"/>
        <s v="Z/FAM/OE1000158"/>
        <s v="Z/FAM/OE1000157"/>
        <s v="Z/FAM/OE1000045"/>
        <s v="Z/FAM/CE1000447"/>
        <s v="Z/FAM/CE1000446"/>
        <s v="Z/FAM/CE1000448"/>
        <s v="Z/FAM/OE1000083"/>
        <s v="Z/FAM/OE1000195"/>
        <s v="Z/FAM/OE/1000053"/>
        <s v="Z/FAM/CE1000312"/>
        <s v="Z/FAM/CE1000315"/>
        <s v="Z/FAM/CE1000316"/>
        <s v="Z/FAM/CE1000362"/>
        <s v="Z/FAM/CE1000127"/>
        <s v="Z/FAM/CE1000317"/>
        <s v="Z/FAM/CE1000318"/>
        <s v="Z/FAM/CE1000319"/>
        <s v="Z/FAM/CE1000320"/>
        <s v="Z/FAM/CE1000150"/>
        <s v="Z/FAM/CE1000321"/>
        <s v="Z/FAM/CE1000322"/>
        <s v="Z/FAM/CE1000323"/>
        <s v="Z/FAM/CE1000324"/>
        <s v="Z/FAM/CE1000326"/>
        <s v="Z/FAM/CE1000328"/>
        <s v="Z/FAM/CE1000329"/>
        <s v="Z/FAM/CE1000331"/>
        <s v="Z/FAM/CE1000330"/>
        <s v="Z/FAM/CE1000342"/>
        <s v="Z/FAM/CE1000353"/>
        <s v="Z/FAM/CE1000354"/>
        <s v="Z/FAM/CE1000355"/>
        <s v="Z/FAM/CE1000356"/>
        <s v="Z/FAM/CE1000357"/>
        <s v="Z/FAM/CE1000358"/>
        <s v="Z/FAM/CE1000359"/>
        <s v="Z/FAM/CE1000314"/>
        <s v="Z/FAM/CE1000361"/>
        <s v="Z/FAM/CE1000360"/>
        <s v="Z/FAM/OE1000313"/>
        <s v="Z/FAM/CE1000392"/>
        <s v="Z/FAM/OE1000036"/>
        <s v="Z/FAM/OE1000041"/>
        <s v="Z/FAM/CE1000395"/>
        <s v="Z/FAM/OE1000221"/>
        <s v="Z/FAM/OE1000034"/>
        <s v="Z/FAM/OE1000033"/>
        <s v="Z/FAM/CE1000458"/>
        <s v="Z/FAM/CE1000615"/>
        <s v="Z/FAM/OE1000114"/>
        <s v="Z/FAM/OE1000065"/>
        <s v="Z/FAM/OE1000066"/>
        <s v="Z/FAM/OE1000082"/>
        <s v="Z/FAM/OE1000070"/>
        <s v="Z/FAM/CE1000640"/>
        <s v="Z/FAM/OE1000069"/>
        <s v="Z/FAM/OE1000081"/>
        <s v="Z/FAM/OE1000004"/>
        <s v="Z/FAM/OE1000058"/>
        <s v="Z/FAM/OE1000060"/>
        <s v="Z/FAM/OE1000088"/>
        <s v="Z/FAM/CE1000609"/>
        <s v="Z/FAM/OE1000056"/>
        <s v="Z/FAM/CE1000608"/>
        <s v="Z/FAM/OE1000101"/>
        <s v="Z/FAM/CE1000637"/>
        <s v="Z/FAM/OE1000160"/>
        <s v="Z/FAM/OE1000087"/>
        <s v="Z/FAM/OE1000144"/>
        <s v="Z/FAM/OE1000149"/>
        <s v="Z/FAM/OE1000164"/>
        <s v="Z/FAM/OE1000175"/>
        <s v="Z/FAM/OE1000174"/>
        <s v="Z/FAM/OE1000176"/>
        <s v="Z/FAM/OE1000178"/>
        <s v="Z/FAM/OE1000187"/>
        <s v="Z/FAM/OE1000188"/>
        <s v="Z/FAM/OE1000189"/>
        <s v="Z/FAM/OE1000190"/>
        <s v="Z/FAM/OE1000191"/>
        <s v="Z/FAM/OE1000192"/>
        <s v="Z/FAM/OE1000193"/>
        <s v="Z/FAM/OE1000194"/>
        <s v="Z/FAM/OE1000196"/>
        <s v="Z/FAM/OE1000197"/>
        <s v="Z/FAM/OE1000198"/>
        <s v="Z/FAM/OE1000199"/>
        <s v="Z/FAM/OE1000200"/>
        <s v="Z/FAM/OE1000201"/>
        <s v="Z/FAM/OE1000202"/>
        <s v="Z/FAM/OE1000203"/>
        <s v="Z/FAM/OE1000204"/>
        <s v="Z/FAM/OE1000205"/>
        <s v="Z/FAM/OE1000206"/>
        <s v="Z/FAM/OE1000207"/>
        <s v="Z/FAM/OE1000208"/>
        <s v="Z/FAM/OE1000209"/>
        <s v="Z/FAM/OE1000210"/>
        <s v="Z/FAM/OE1000215"/>
        <s v="Z/FAM/OE1000211"/>
        <s v="Z/FAM/OE1000212"/>
        <s v="Z/FAM/OE1000213"/>
        <s v="Z/FAM/OE1000214"/>
        <s v="Z/FAM/OE1000216"/>
        <s v="Z/FAM/OE1000217"/>
        <s v="Z/FAM/OE1000218"/>
        <s v="Z/FAM/OE1000219"/>
        <s v="Z/FAM/OE1000220"/>
        <s v="Z/FAM/OE1000222"/>
        <s v="Z/FAM/OE1000223"/>
        <s v="Z/FAM/OE1000224"/>
        <s v="Z/FAM/OE1000225"/>
        <s v="Z/FAM/OE1000226"/>
        <s v="Z/FAM/OE1000227"/>
        <s v="Z/FAM/OE1000228"/>
        <s v="Z/FAM/OE1000229"/>
        <s v="Z/FAM/OE1000230"/>
        <s v="Z/FAM/OE1000231"/>
        <s v="Z/FAM/OE1000232"/>
        <s v="Z/FAM/OE1000233"/>
        <s v="Z/FAM/OE1000234"/>
        <s v="Z/FAM/OE1000235"/>
        <s v="Z/FAM/OE1000236"/>
        <s v="Z/FAM/OE1000264"/>
        <s v="Z/FAM/OE1000265"/>
        <s v="Z/FAM/OE1000266"/>
        <s v="Z/FAM/OE1000267"/>
        <s v="Z/FAM/OE1000268"/>
        <s v="Z/FAM/OE1000269"/>
        <s v="Z/FAM/OE1000270"/>
        <s v="Z/FAM/OE1000271"/>
        <s v="Z/FAM/OE1000272"/>
        <s v="Z/FAM/OE1000273"/>
        <s v="Z/FAM/OE1000274"/>
        <s v="Z/FAM/OE1000275"/>
        <s v="Z/FAM/OE1000276"/>
        <s v="Z/FAM/OE1000277"/>
        <s v="Z/FAM/OE1000278"/>
        <s v="Z/FAM/OE1000282"/>
        <s v="Z/FAM/OE1000283"/>
        <s v="Z/FAM/OE1000284"/>
        <s v="Z/FAM/OE1000285"/>
        <s v="Z/FAM/OE1000286"/>
        <s v="Z/FAM/OE1000287"/>
        <s v="Z/FAM/OE1000288"/>
        <s v="Z/FAM/OE1000289"/>
        <s v="Z/FAM/OE1000290"/>
        <s v="Z/FAM/OE1000291"/>
        <s v="Z/FAM/OE1000292"/>
        <s v="Z/FAM/OE1000293"/>
        <s v="Z/FAM/OE1000281"/>
        <s v="Z/FAM/OE1000294"/>
        <s v="Z/FAM/OE1000295"/>
        <s v="Z/FAM/OE1000296"/>
        <s v="Z/FAM/OE1000297"/>
        <s v="Z/FAM/OE1000298"/>
        <s v="Z/FAM/OE1000299"/>
        <s v="Z/FAM/OE1000300"/>
        <s v="Z/FAM/OE1000301"/>
        <s v="Z/FAM/OE1000302"/>
        <s v="Z/FAM/OE1000303"/>
        <s v="Z/FAM/OE1000304"/>
        <s v="Z/FAM/OE1000305"/>
      </sharedItems>
    </cacheField>
    <cacheField name="Status" numFmtId="0">
      <sharedItems>
        <s v="In Use"/>
        <s v="In Stock"/>
        <s v="Sold to Cashify"/>
        <s v="Sold to Employee"/>
        <s v="Lost By Employee"/>
      </sharedItems>
    </cacheField>
    <cacheField name="Remarks" numFmtId="0">
      <sharedItems>
        <s v="In Use"/>
        <s v="Working"/>
        <s v="In Stock"/>
        <s v="NPO"/>
        <s v="Screen Damamged but in working condition"/>
        <s v="Sold to Employee"/>
        <s v="Apple ID locked"/>
        <s v="Screen Damage"/>
        <s v="Charging issue "/>
        <s v="working but having touch issue on screen"/>
        <s v="Lost By Employee"/>
        <s v="Not Working"/>
        <s v="Working but low configuration"/>
      </sharedItems>
    </cacheField>
    <cacheField name="Asset condition" numFmtId="0">
      <sharedItems>
        <s v="In Use"/>
        <s v="Working"/>
        <s v="In Stock"/>
        <s v="Sold to Cashify"/>
        <s v="Not Working/Need to scrap/sold"/>
        <s v="Sold to Employee"/>
        <s v="Checked "/>
      </sharedItems>
    </cacheField>
    <cacheField name="User Name" numFmtId="0">
      <sharedItems containsBlank="1">
        <s v="Aakashdeep Madaan"/>
        <s v="Tushar Mehta "/>
        <s v="Ankit kumar Sahu"/>
        <s v="Abhinav Shandilya"/>
        <s v="Devagya Kumar"/>
        <s v="Shreya pandey"/>
        <s v="Mayank Pathak"/>
        <s v="Shubham Singh"/>
        <s v="In Stock"/>
        <s v="Akshay Gulati "/>
        <s v="Rahul Sharma"/>
        <s v=" Shashank Gupta"/>
        <s v="Aman Gupta"/>
        <s v="Sold to Cashify"/>
        <s v="Aman Kumar Bahl"/>
        <s v="Aman Kumar 2"/>
        <s v="Aman Kumar"/>
        <s v="Amit Garg"/>
        <s v="Mohit Singh Rathore"/>
        <s v="Amit Shukracharya Sutar"/>
        <s v="Amogh Babbar"/>
        <s v="Ananya Apurva"/>
        <s v="Soumya Manna"/>
        <s v="Annu Nirmal"/>
        <s v="Anuj Baghel"/>
        <s v="Yogesh yadav"/>
        <s v="Anuj Gupta"/>
        <s v="Nischay Sabherwal"/>
        <s v="Vamsidhar Yeddu"/>
        <s v="Jeevan Kumar Singla "/>
        <s v="Ayush Singhal"/>
        <s v="Nikunj Aggarwal"/>
        <s v="Jatin Kinra"/>
        <s v="Avijit Sharma"/>
        <s v=" Adarsh Kumar"/>
        <s v="Pankaj Rana"/>
        <s v="Payal Katoch"/>
        <s v="Ayushi Sharma"/>
        <s v="Bal Sikandar"/>
        <s v="Pavit Batra"/>
        <s v="Vikas Joshi"/>
        <s v="Bhargavkumar Khalasi"/>
        <s v="Chirag Jain"/>
        <s v="Diksha Sachdeva"/>
        <s v="Dilsher Malhi"/>
        <s v="Disha Garg"/>
        <s v="Amarjeet Singh"/>
        <s v="Divya Kiran Wangoo"/>
        <s v="Abhishek Bisht"/>
        <s v="Mukul Bhatt"/>
        <s v="Divya Koundal"/>
        <m/>
        <s v="Pranjal Saxena "/>
        <s v="Gaurav Mehta "/>
        <s v="Divyansh Singh"/>
        <s v="Aashi Mangal"/>
        <s v="Hardik Chhatrala"/>
        <s v="Hemant Kumar"/>
        <s v="Himanshu Barsiwal"/>
        <s v="Hitesh Kwatra"/>
        <s v="Nayan Vinodkumar Intwala"/>
        <s v="Ishan Margamwar"/>
        <s v="Tushar Rajendra Patil"/>
        <s v="Vinay Bansal"/>
        <s v="Jyoti Gupta"/>
        <s v="Shameek datta"/>
        <s v="Jyoti Singh"/>
        <s v="Parth Jindal"/>
        <s v="Kamran Ahmad Hadi"/>
        <s v="Hritik Wadhwa"/>
        <s v="Karan Bhyana"/>
        <s v="Kinshuk Puri"/>
        <s v="Kritika Kapoor"/>
        <s v="Suvam Debata"/>
        <s v="Mohit singh"/>
        <s v="Mayank"/>
        <s v="Mayank Jain"/>
        <s v="Harshita Prakash"/>
        <s v="Mohit Arora"/>
        <s v="Chaitanya Kapoor"/>
        <s v="Naveen Kumar"/>
        <s v="Nikhil Kumar Gupta"/>
        <s v="Nikita Mantri"/>
        <s v="MD Neyaz"/>
        <s v="Suraj Arora"/>
        <s v="Shaurya Upadhyay"/>
        <s v="Piyush Shukla"/>
        <s v="Vidhi Arora"/>
        <s v="Pranav Jaradi "/>
        <s v="Sonam Rathore"/>
        <s v="Prashant Yadav"/>
        <s v="Tanisha gupta"/>
        <s v="Pratyaksh Rawat"/>
        <s v="Rahul Punia"/>
        <s v="Raman Malik"/>
        <s v="Eeshma Anand"/>
        <s v="Riya Jhalani"/>
        <s v="Rohan Bhagat"/>
        <s v="Rohit Nandan Dubey"/>
        <s v="Rohit Saini"/>
        <s v="Sachin Sharma"/>
        <s v="Aditya Samantaray"/>
        <s v="Sairam Mushyam"/>
        <s v="Saksham Aneja"/>
        <s v="Sumit Khaitan"/>
        <s v="Aman Hans"/>
        <s v="Satya Vart"/>
        <s v="Saurav Yadav"/>
        <s v="Sawai Singh"/>
        <s v="Munnu Kumar"/>
        <s v="Shahid Arshad Gauri"/>
        <s v="Shailendra Bhadouriya"/>
        <s v="Sheshant Sinha"/>
        <s v="Ankur Sharma"/>
        <s v="Harshit Makhija"/>
        <s v="Ankur Prajapati"/>
        <s v="Gulshan Varshney"/>
        <s v="Shubham Kumar"/>
        <s v="Sumit Singh"/>
        <s v="Naman Khandelwal"/>
        <s v="Nikhil Kaplas"/>
        <s v="Hemant Dandotiya"/>
        <s v="Shivam bali"/>
        <s v="Tarun Kumar"/>
        <s v="Yogesha k"/>
        <s v="Vedank Goyal"/>
        <s v="Divang Singh"/>
        <s v="Katha tara"/>
        <s v="Nandeshwar Gupta"/>
        <s v="Vinoth R"/>
        <s v="Atique Firoz"/>
        <s v="Vishal Agarwal"/>
        <s v="Ravi kumar"/>
        <s v="Vishwa Patel"/>
        <s v="Raman Dixit"/>
        <s v="Akash Bisht"/>
        <s v="Adarsh Kumar"/>
        <s v="Kanwar Aditya Singh"/>
        <s v="Naveen Kadyan"/>
        <s v="Narender tyagi"/>
        <s v="Guard ( For Reception )"/>
        <s v="Anjali  Pal"/>
        <s v="Gulshan Varshney(testyantra)"/>
        <s v="Nikhil Kumar Jha (New )"/>
        <s v="Astha Mishra"/>
        <s v="Sanket Jain"/>
        <s v="Ishank Mehta"/>
        <s v="ayush gupta"/>
        <s v="Anshul Mittal"/>
        <s v="Nimish Goyal"/>
        <s v="In Stock "/>
        <s v="Soni Saurav"/>
        <s v="Shreya Dwivedi"/>
        <s v="Adhip Kushwaha"/>
        <s v="vikas joshi "/>
        <s v="Sidharth Dhiman"/>
        <s v="Diksha Sachdeva "/>
        <s v="Govind Mittal"/>
        <s v="Anish choudhary"/>
        <s v="Arun Rajaram"/>
        <s v="Shubham Verma "/>
        <s v="Vedant Sharma"/>
        <s v="Sonu Modi "/>
        <s v="Satyam Jaiswal"/>
        <s v="Baljinder kaur"/>
        <s v="Pareena Singh"/>
        <s v="Dhanishtha Bansal"/>
        <s v="Sunny(rider)"/>
        <s v="Himanshu Sharma"/>
        <s v="Gokul Verma"/>
        <s v="Piyush Maurya"/>
        <s v="Sumit Chugh"/>
        <s v=" Hitesh Vats"/>
        <s v="Shyam Sunder Verma"/>
        <s v="Rishabh Bhatia"/>
        <s v="Rupam Das"/>
        <s v="Anwesha Raj"/>
        <s v="Nishant Tripathi"/>
        <s v="Vivek Choudhary"/>
        <s v="mayank kakkar"/>
        <s v="Avanish Dubey"/>
        <s v="Ajay Yadav "/>
        <s v="Yuvam Parmar"/>
        <s v="Saumya Ranjan Behera"/>
        <s v="Vipul Gupta"/>
        <s v="Shivani patil"/>
        <s v="Amit Singh"/>
        <s v="Amrit Anand"/>
        <s v="Vivek Soni"/>
        <s v="Ranu Gupta"/>
        <s v="Ayush Dabas"/>
        <s v="Deepak Khandelwal"/>
        <s v="Mayank Kumar"/>
        <s v="Om Hari Mishra "/>
        <s v="Pratik Taltia"/>
        <s v="Iqra Islam "/>
        <s v="kanika wadhwa "/>
        <s v="Geeta Joshi"/>
        <s v="Khushboo Singh"/>
        <s v="Rohit Sahni"/>
        <s v="nikhil kumar "/>
        <s v="Uma Batra "/>
        <s v="Muskan Khan "/>
        <s v="Harsh Thaplyal"/>
        <s v="Himanshu nagpal "/>
        <s v="Sparsh Pandey"/>
        <s v="Prityankur Biswas"/>
        <s v="Saaksshi Makkar"/>
        <s v="Rajiv Yadav"/>
        <s v="Ayan Pathan"/>
        <s v="Rahil Choudhary"/>
        <s v="Khushboo Kushwah"/>
        <s v="Jaidev Chauhan"/>
        <s v="Rukhsar Bano"/>
        <s v="Prashant Pundir"/>
        <s v="Shubham"/>
        <s v="Bikash Kumar Jha"/>
        <s v="Prakhar Srivastava"/>
        <s v="Srijan Bhageria"/>
        <s v="Abhiroop Hora"/>
        <s v="Lokesh Gawande"/>
        <s v="Armaan Nayyar"/>
        <s v="Priyanka Tiwari"/>
        <s v="Garima Prakash"/>
      </sharedItems>
    </cacheField>
    <cacheField name="Function" numFmtId="0">
      <sharedItems containsBlank="1">
        <s v="Technology"/>
        <s v="Product"/>
        <s v="CRM"/>
        <m/>
        <s v="Finance"/>
        <s v="Analytics"/>
        <s v="Design"/>
        <s v="Founder Office "/>
        <s v="Legal"/>
        <s v="Technology( Contractual)"/>
        <s v="CEO"/>
        <s v="Data"/>
        <s v="Technology "/>
        <s v="Strategy"/>
        <s v="Technology (TestYantra)"/>
        <s v="Marketing"/>
        <s v="CRM ( Jindal )"/>
        <s v="NPO"/>
        <s v="SDET"/>
        <s v="Administration"/>
        <s v="Product Design"/>
        <s v="PA"/>
      </sharedItems>
    </cacheField>
    <cacheField name="Email id" numFmtId="0">
      <sharedItems containsBlank="1">
        <s v="aakashdeep.madaan@zupee.in"/>
        <s v="tushar.mehta@zupee.in"/>
        <s v="ankit.sahu@zupee.in"/>
        <s v="abhinav.shandilya@zupee.in"/>
        <s v="devagya.kumar@zupee.in"/>
        <s v="shreya.panday@zupee.in"/>
        <s v="mayank.pathak@zupee.in"/>
        <s v="shubham.singh@zupee.in"/>
        <m/>
        <s v="akshay.gulati@zupee.in"/>
        <s v="rahul.sharma@zupee.in"/>
        <s v="shashank.gupta@zupee.in"/>
        <s v="aman.gupta@zupee.in"/>
        <s v="aman.g@zupee.in"/>
        <s v="aman.kumar@zupee.in"/>
        <s v="aman.kumar2@zupee.in"/>
        <s v="aman.k@zupee.in"/>
        <s v="amit.garg@zupee.in"/>
        <s v="mohit.rathore@zupee.in"/>
        <s v="amit.sutar@zupee.in"/>
        <s v="amogh.babbar@zupee.in"/>
        <s v="ananya.apurva@zupee.in"/>
        <s v="soumya.manna@zupee.in"/>
        <s v="annu.nirmal@zupee.in"/>
        <s v="anuj.baghel@zupee.in"/>
        <s v="yogesh.yadav@zupee.in"/>
        <s v="anuj.gupta@zupee.in"/>
        <s v="nischay.sabherwal@zupee.in"/>
        <s v="vamsidhar.yeddu@zupee.in"/>
        <s v="jeevan.singla@zupee.in"/>
        <s v="ayush.singhal@zupee.in"/>
        <s v="nikunj.a@zupee.in"/>
        <s v="jatin.kinra@zupee.in"/>
        <s v="avijit.sharma@zupee.in"/>
        <s v="adarsh.kumar@zupee.in"/>
        <s v="pankaj.rana@zupee.in"/>
        <s v="payal.katoch@zupee.in"/>
        <s v="ayushi.sharma@zupee.in"/>
        <s v="bal.sikandar@zupee.in"/>
        <s v="pavit.batra@zupee.in"/>
        <s v="vikas.joshi@zupee.in"/>
        <s v="bhargavkumar.khalasi@zupee.in"/>
        <s v="chirag.jain@zupee.in"/>
        <s v="diksha.sachdeva@zupee.in"/>
        <s v="dilsher.malhi@zupee.in"/>
        <s v="disha.garg@zupee.in"/>
        <s v="amarjeet.singh@zupee.in"/>
        <s v="Divya.wangoo@zupee.in"/>
        <s v="abhishek.bisht@zupee.in"/>
        <s v="mukul.bhatt@zupee.in"/>
        <s v="divya.koundal@zupee.in"/>
        <s v="Issue - NPO"/>
        <s v="pranjal.saxena@zupee.in"/>
        <s v="divyansh.singh@zupee.in"/>
        <s v="aashi.mangal@zupee.in"/>
        <s v="hardik.chhatrala@zupee.in"/>
        <s v="hemant.kumar@zupee.in"/>
        <s v="himanshu.barsiwal@zupee.in"/>
        <s v="hitesh.kwatra@zupee.in"/>
        <s v="nayan.intwala@zupee.in"/>
        <s v="ishan.margamwar@zupee.in"/>
        <s v="tushar.patil@zupee.in"/>
        <s v="vinay.bansal@zupee.in"/>
        <s v="jyoti.gupta@zupee.in"/>
        <s v="shameek.datta@zupee.in"/>
        <s v="jyoti.singh@zupee.in"/>
        <s v="parth.jindal@zupee.in"/>
        <s v="kamran.hadi@zupee.in"/>
        <s v="hritik.wadhwa@zupee.in"/>
        <s v="karan.bhyana@zupee.in"/>
        <s v="kinshuk.puri@zupee.in"/>
        <s v="kritika.kapoor@zupee.in"/>
        <s v="suvam.debata@zupee.in"/>
        <s v="mohit.singh@zupee.in"/>
        <s v="mayank.kumar@zupee.in"/>
        <s v="mayank.jain@zupee.in"/>
        <s v="harshitaa.prakash@zupee.in"/>
        <s v="mohit.arora@zupee.in"/>
        <s v="chaitanya.kapoor@zupee.in"/>
        <s v="naveen.kumar@zupee.in"/>
        <s v="nikhil.gupta@zupee.in"/>
        <s v="nikita.mantri@zupee.in"/>
        <s v="md.neyaz@zupee.in"/>
        <s v="suraj.arora@zupee.in"/>
        <s v="shaurya.upadhyay@zupee.in"/>
        <s v="piyush.shukla@zupee.in"/>
        <s v="vidhi.arora@zupee.in"/>
        <s v="pranav.jaradi@zupee.in"/>
        <s v="sonam.rathore@zupee.in"/>
        <s v="prashant.yadav@zupee.in"/>
        <s v="tanisha.gupta@zupee.in"/>
        <s v="pratyaksh.rawat@zupee.in"/>
        <s v="rahul.punia@zupee.in"/>
        <s v="raman.malik@zupee.in"/>
        <s v="eeshma.anand@zupee.in"/>
        <s v="riya.jhalani@zupee.in"/>
        <s v="rohan.bhagat@zupee.in"/>
        <s v="rohit.dubey@zupee.in"/>
        <s v="rohit.saini@zupee.in"/>
        <s v="sachin.sharma@zupee.in"/>
        <s v="aditya.samantaray@zupee.in"/>
        <s v="sairam.mushyam@zupee.in"/>
        <s v="saksham.aneja@zupee.in"/>
        <s v="sumit.khaitan@zupee.in"/>
        <s v="aman.hans@zupee.in"/>
        <s v="satya.vart@zupee.in"/>
        <s v="saurav.yadav@zupee.in"/>
        <s v="sawai.singh@zupee.in"/>
        <s v="munnu.kumar@zupee.in"/>
        <s v="shahid.gauri@zupee.in"/>
        <s v="shailendra.bhadouriya@zupee.in"/>
        <s v="sheshant.sinha@zupee.in"/>
        <s v="ankur.sharma@zupee.in"/>
        <s v="harshit.makhija@zupee.in"/>
        <s v="ankur.prajapati@zupee.in"/>
        <s v="gulshan.varshney@zupee.com"/>
        <s v="shubham.kumar@zupee.in"/>
        <s v="sumit.singh@zupee.in"/>
        <s v="naman.khandelwal@zupee.in"/>
        <s v="nikhil.kaplas@zupee.in"/>
        <s v="hemant.dandotiya@zupee.in"/>
        <s v="shivam.bali@zupee.in"/>
        <s v="tarun.kumar@zupee.in"/>
        <s v="yogesha.k@zupee.in"/>
        <s v="vedank.goyal@zupee.in"/>
        <s v="divang.singh@zupee.in"/>
        <s v="katha.tara@zupee.in"/>
        <s v="nandeshwar.gupta@zupee.in"/>
        <s v="vinoth.r@zupee.in"/>
        <s v="atique.firoz@zupee.in"/>
        <s v="vishal.agarwal@zupee.in"/>
        <s v="ravi.kumar@zupee.in"/>
        <s v="vishwa.patel@zupee.in"/>
        <s v="raman.dixit@zupee.in"/>
        <s v="akash.bisht@zupee.in"/>
        <s v="kanwar.singh@zupee.in"/>
        <s v="naveen.kadyan@zupee.in"/>
        <s v="narender.tyagi@zupee.in"/>
        <s v="rajkumar.singh@zupee.in"/>
        <s v="anjali.pal@zupee.in"/>
        <s v="gulshan.varshney@zupee.in"/>
        <s v="nikhil.j@zupee.in"/>
        <s v="astha.mishra@zupee.in"/>
        <s v="sanket.jain@zupee.in"/>
        <s v="ishank.mehta@zupee.in"/>
        <s v="ayush.g@zupee.in"/>
        <s v="anshul.mittal@zupee.in"/>
        <s v="nimish.goyal@zupee.in"/>
        <s v="soni.saurav@zupee.in"/>
        <s v="Shreya.Dwivedi@zupee.in"/>
        <s v="adhip.kushwaha@zupee.in"/>
        <s v="sidharth.dhiman@zupee.in"/>
        <s v="govind.mittal@zupee.in"/>
        <s v="anish.choudhary@zupee.in"/>
        <s v="arun.rajaram@zupee.in"/>
        <s v="shubham.verma@zupee.in"/>
        <s v="Vedant.sharma@zupee.in"/>
        <s v="sonu.modi@zupee.in"/>
        <s v="satyam.jaiswal@zupee.in"/>
        <s v="baljinder.kaur@zupee.in"/>
        <s v="Pareena.singh@zupee.in"/>
        <s v="dhanishtha.bansal@zupee.in"/>
        <s v="sunny.singh@zupee.in"/>
        <s v="himanshu.sharma@zupee.in"/>
        <s v="gokul.verma@zupee.in"/>
        <s v="piyush.maurya@zupee.in"/>
        <s v="sumit.chugh@zupee.in"/>
        <s v="hitesh.vats@zupee.in"/>
        <s v="shyam.verma@zupee.in"/>
        <s v="rishabh.bhatia@zupee.in"/>
        <s v="rupam.das@zupee.in"/>
        <s v="anwesha.raj@zupee.in"/>
        <s v="Nishant.Tripathi@zupee.in"/>
        <s v="vivek.choudhary@zupee.in"/>
        <s v="mayank.kakkar@zupee.in"/>
        <s v="Avanish.Dubey@zupee.in"/>
        <s v="ajay.yadav@zupee.in"/>
        <s v="yuvam.parmar@zupee.in"/>
        <s v="saumya.behera@zupee.in"/>
        <s v="vipul.gupta@zupee.in"/>
        <s v="shivani.patil@zupee.in"/>
        <s v="amit.singh@zupee.in"/>
        <s v="amrit.anand@zupee.in"/>
        <s v="Vivek.soni@zupee.in"/>
        <s v="ranu.gupta@zupee.in"/>
        <s v="ayush.dabas@zupee.in"/>
        <s v="deepak.khandelwal@zupee.in"/>
        <s v="om.mishra@zupee.in"/>
        <s v="pratik.taltia@zupee.in"/>
        <s v="iqra.islam@zupee.in"/>
        <s v="kanika.wadhwa@zupee.in"/>
        <s v="geeta.joshi@zupee.in"/>
        <s v="khushboo.singh@zupee.in"/>
        <s v="rohit.sahni@zupee.in"/>
        <s v="nikhil.kumar@zupee.in"/>
        <s v="uma.batra@zupee.in"/>
        <s v="Muskan.Khan@zupee.in"/>
        <s v="Harsh.Thaplyal@zupee.in"/>
        <s v="Himanshu.nagpal@zupee.in"/>
        <s v="sparsh.pandey@zupee.in"/>
        <s v="prityankur.biswas@zupee.in"/>
        <s v="saaksshi.makkar@zupee.in"/>
        <s v="rajiv.yadav@zupee.in"/>
        <s v="ayan.pathan@zupee.in"/>
        <s v="rahil.choudhary@zupee.in"/>
        <s v="khushboo.kushwah@zupee.in"/>
        <s v="jaidev.chauhan@zupee.in"/>
        <s v="rukhsar.bano@zupee.in"/>
        <s v="prashant.pundir@zupee.in"/>
        <s v="shubham.khosla@zupee.in"/>
        <s v="bikash.jha@zupee.in"/>
        <s v="prakhar.srivastava@zupee.in"/>
        <s v="Srijan.Bhageria@zupee.in"/>
        <s v="abhiroop.hora@zupee.in"/>
        <s v="Lokesh.Gawande@zupee.in"/>
        <s v="Armaan.Nayyar@zupee.in"/>
        <s v="priyanka.tiwari@zupee.in"/>
        <s v="garima.parkash@zupee.in"/>
      </sharedItems>
    </cacheField>
    <cacheField name="Previous Allocation user" numFmtId="0">
      <sharedItems containsBlank="1">
        <m/>
        <s v="Pareena Singh"/>
        <s v="Aayushi Sharma"/>
        <s v="M Sangeetha"/>
        <s v="Sidharth Dhiman"/>
        <s v="Pankaj Rana"/>
        <s v="Shreya Dwivedi"/>
        <s v="Mohit Mangal"/>
        <s v="aman.khare@zupee.in"/>
        <s v="Arpit Gulati"/>
        <s v="Amit Kumar "/>
        <s v="Siddharth Rehani"/>
        <s v="Anuj Baghel"/>
        <s v="Anuj Gupta"/>
        <s v="Siddharth Monga"/>
        <s v="Aakashdeep Madan"/>
        <s v="Arjun Sankhala"/>
        <s v="Ashwani Rana"/>
        <s v="Avinash Srivastava"/>
        <s v="Anshu Satheesh"/>
        <s v="tejveer singh"/>
        <s v="Jyoti Singh"/>
        <s v="Aditya Pawar(jindal)"/>
        <s v="Deepak Khandelwal"/>
        <s v="Sahil Puri"/>
        <s v="Divya Koundal"/>
        <s v="Lucky singh"/>
        <s v="Gagan Sharma"/>
        <s v="Gaurav Mehta"/>
        <s v="vinay bansal"/>
        <s v="Gyanendra Kumar Maurya"/>
        <s v="Alankrita Sharma"/>
        <s v="Suresh Gupta"/>
        <s v="Gourav Sharma"/>
        <s v="kapil kant"/>
        <s v="Prityankur Biswas"/>
        <s v="Supreet Kaur"/>
        <s v="Mayank Pathak"/>
        <s v="Madhur Aggarwal"/>
        <s v="Mohd Faheem"/>
        <s v="Mritunjay Kumar"/>
        <s v="Suvam Debata"/>
        <s v="Narender Tyagi"/>
        <s v="vijay singh"/>
        <s v="Hitesh Vats"/>
        <s v="Shreyansh "/>
        <s v="Diksha Sachdeva"/>
        <s v="Avanish Kumar Dubey"/>
        <s v="Prashant Yadav"/>
        <s v="Prarth Desai"/>
        <s v="Rahul Kumar "/>
        <s v="Ranjeet Kumar"/>
        <s v="Sonam Rathore"/>
        <s v="Payal Katoch"/>
        <s v="Sumit Chugh"/>
        <s v="Sanjit Chauhan"/>
        <s v="Tarun Talan"/>
        <s v="Shivam Bali"/>
        <s v="kanika Wadhwa"/>
        <s v="Shristi Agrawal"/>
        <s v="Shyam Singh"/>
        <s v="Shikhar Varshney"/>
        <s v="Bikash Kumar Jha"/>
        <s v="Sundeep Sharma"/>
        <s v="Supreet Srivastava"/>
        <s v="Umesh Chandra Patnaik"/>
        <s v="Gagan Sharma (Admin)"/>
        <s v="Shivangi"/>
        <s v="Vikas Gupta"/>
        <s v="Vinni Kalra "/>
        <s v="Kabeer Manocha"/>
        <s v="Vishal Agarwal"/>
        <s v="Vishal Kapoor"/>
        <s v="Zoya Rushi"/>
        <s v="Mohit Bakshi"/>
        <s v="Rajkumar singh"/>
        <s v="Uma Batra"/>
        <s v="Aashi mangal"/>
        <s v="Aman Bahl"/>
        <s v="Apurav Garg"/>
        <s v="Satyam Jaiswal"/>
        <s v="Yogesh Yadav"/>
        <s v="Ayush Gupta"/>
        <s v="Dalveer Kaur Sandhu"/>
        <s v="Akash Bisht"/>
        <s v="Abhinav Srivastva"/>
        <s v="Vivek Claudious"/>
        <s v="New Phone "/>
        <s v="New"/>
        <s v="Baljinder Singh"/>
        <s v="New "/>
        <s v="Kritika Kapoor "/>
        <s v="vidhi arora"/>
        <s v="Divya Kiran Wangoo"/>
        <s v="Pranav jareda"/>
        <s v="Iqra Islam"/>
        <s v="Apurav Garg "/>
        <s v="Nishchay Singh"/>
        <s v="Govind Mittal"/>
        <s v="Prakhar Gupta"/>
      </sharedItems>
    </cacheField>
    <cacheField name="Notes / Remarks" numFmtId="0">
      <sharedItems containsBlank="1">
        <m/>
        <s v="USB to type b cable "/>
        <s v="With charger"/>
        <s v="USB to D cable "/>
        <s v="Keep the mobile "/>
        <s v="With adapter and d cable"/>
        <s v="Received Physical Screen Damage"/>
        <s v="With adapter and cable"/>
        <s v="User said she has not mobile"/>
        <s v="As per your discussion with Rajkumar, phone charger is not required. Hence We have handed over the phone to Sumit without a charger. "/>
        <s v="USB to c cable "/>
        <s v="User said he has not mobile"/>
        <s v="Exit user"/>
        <s v="With USB to D cable"/>
        <s v="Note -  This phone was assigned to Dilsher sir by Naveen for tesing LUDU apps "/>
        <s v="Nextech charger"/>
        <s v="Dual"/>
        <s v="with adaptor"/>
        <s v="Charging cable"/>
        <s v="With adapter"/>
        <s v="With C To C cable"/>
        <s v="C to C cable "/>
        <s v="With C TO lightning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344" sheet="Mobiles"/>
  </cacheSource>
  <cacheFields>
    <cacheField name="Make &amp; Model" numFmtId="1">
      <sharedItems>
        <s v="MotoE7 Power"/>
        <s v="Oppo A15s (CPH2179)"/>
        <s v="Redmi 9 Activ"/>
        <s v="Moto E7 Power"/>
        <s v="iPhone X"/>
        <s v="Samsung M11"/>
        <s v="iPhone 11 Pro Max"/>
        <s v="Oppo CPH2015"/>
        <s v="Moto E7 Plus"/>
        <s v="Redmi 9 Power"/>
        <s v="Realme C11 2021"/>
        <s v="Moto E7"/>
        <s v=" Realme C11 2021"/>
        <s v="Oppo A15s"/>
        <s v="Samsung"/>
        <s v="Realme C21Y"/>
        <s v="Redmi 8"/>
        <s v="Samsung Galaxy M11"/>
        <s v="Redmi 9 Prime"/>
        <s v="MotoE7 Plus"/>
        <s v="MotoE7 Plus and"/>
        <s v="iPhone 12"/>
        <s v="Redmi Go"/>
        <s v="Itel A23 L5006C"/>
        <s v="Motoe7Plus"/>
        <s v="Samsung Galaxy J2"/>
        <s v="Iphone 8"/>
        <s v="Redmi 9 Active"/>
        <s v="iPhone12"/>
        <s v=" Realme C21Y"/>
        <s v="iPhone 11        "/>
        <s v="itel A23 Pro_Open"/>
        <s v="MotoE7"/>
        <s v="iPhone 12 Pro Max"/>
        <s v="Vivo V2027"/>
        <s v="iPhone XR"/>
        <s v="REDMI 8 M2001C3K3I"/>
        <s v="Redmi Note 9 Pro (M2003J6A1I)"/>
        <s v="Redmi Note 8"/>
        <s v="Redme 6A"/>
        <s v="Oppo A15"/>
        <s v="iPhone 6s"/>
        <s v="Samsung Galaxy J2 Core"/>
        <s v="Redmi 9 Activ "/>
        <s v="iPhone 6"/>
        <s v="Redmi Note9"/>
        <s v="Redmi Note 9"/>
        <s v="motorola E7 Power"/>
        <s v="Samsumg M11"/>
        <s v="Redmi Note 10"/>
        <s v="moto e(7) plus"/>
        <s v="Moto E7 "/>
        <s v="iPhone 7"/>
        <s v="Oppo A31"/>
        <s v="Techno Spark Go 2021"/>
        <s v="iPhone 11"/>
        <s v="Motorola E7"/>
        <s v="moto"/>
        <s v="Redmi 9Activ"/>
        <s v="Redmi"/>
        <s v="iPhone 12 Mini"/>
        <s v="Mote e7 plus"/>
        <s v="Samsung A21S"/>
        <s v="Redmi Note 9 Pro"/>
        <s v="Techno Spark7T"/>
        <s v="Samsung Galaxy A21S"/>
        <s v=" Redmi Note 4"/>
        <s v="Moto  e7"/>
        <s v="Oppo A12"/>
        <s v="Samsung J2"/>
        <s v="Vivo Y20"/>
        <s v="Oppo A15s "/>
        <s v="Vivo V51"/>
        <s v="Oppo A5 2020"/>
        <s v="iPhone 12 Pro"/>
        <s v="Motorola E7 Plus"/>
        <s v="VivoY12"/>
        <s v="Redmi Note 9 Pro Max"/>
        <s v="Realme C11"/>
        <s v="Redmi 8A"/>
        <s v="Vivo V2029"/>
        <s v="Vivo Y91i"/>
        <s v="Samsung A31"/>
        <s v="Samsung Galaxy M51"/>
        <s v="Nokia 4.2"/>
        <s v="iPhone 5s"/>
        <s v="Samsung Galaxy A 31"/>
        <s v="iPhone 5s Gold"/>
        <s v="Jio F320B"/>
        <s v="Redmi 9"/>
        <s v="Redmi Note8 Pro"/>
        <s v="Redmi 5A"/>
        <s v="Samsung M11 "/>
        <s v="Vivo Y21"/>
        <s v="iphone XS"/>
        <s v="One Plus Node"/>
        <s v="ipad"/>
        <s v="Redmi  Note 8"/>
        <s v="iPhone 7 plus "/>
        <s v="iphone x "/>
        <s v="iphone 11 "/>
        <s v="Nothing Phone 1 "/>
        <s v="iPhone 8 Plus"/>
        <s v="Motorola MotoE7"/>
        <s v="Jio Phone Next "/>
        <s v="Vivo Y16"/>
        <s v="Google Pixel 6A"/>
        <s v="iphone 12 "/>
        <s v="Oppo A5s"/>
        <s v="Samsung Galaxy S21 FE 5G"/>
        <s v="iPhone 14 Plus"/>
        <s v="Samsung M14 5G"/>
        <s v="XP-PEN"/>
        <s v="Huion"/>
        <s v="Iphone 13 pro max"/>
        <s v="Iphone 13"/>
        <s v="Iphone 14"/>
        <s v="Iphone 15"/>
        <s v="Samsung galaxy M34 "/>
        <s v="Redmi 12 5G"/>
        <s v="Vivo Y22"/>
        <s v="Vivo T2X 5G"/>
        <s v="One Plus 12R"/>
        <s v="Samsung galaxy M14"/>
        <s v="Redmi 9i "/>
        <s v="Vivo Y18i"/>
        <s v="Realme C61"/>
        <s v="OPPO A1"/>
        <s v="Samsung Galaxy A05"/>
        <s v="Redmi A3"/>
        <s v="Poco M6 5G"/>
        <s v="OPPO A3X"/>
        <s v="POCO C61"/>
        <s v="POCO M6 PLUS 5G"/>
        <s v="REDMI 13C 5G"/>
        <s v="IQOO Z9X 5G"/>
      </sharedItems>
    </cacheField>
    <cacheField name="Type" numFmtId="0">
      <sharedItems>
        <s v="Android "/>
        <s v="IOS"/>
        <s v="JIO"/>
        <s v="Google OS"/>
        <s v="PenTab"/>
        <s v="Creative Pen Display "/>
      </sharedItems>
    </cacheField>
    <cacheField name="Serial / IMEI No.">
      <sharedItems containsBlank="1" containsMixedTypes="1" containsNumber="1" containsInteger="1">
        <n v="3.5620620344079E14"/>
        <n v="8.69054058054195E14"/>
        <n v="8.64130055300933E14"/>
        <n v="3.56206203667632E14"/>
        <n v="3.54845096785787E14"/>
        <n v="3.50958031023448E14"/>
        <n v="3.53915107908453E14"/>
        <n v="8.64717041696455E14"/>
        <n v="3.55766344203077E14"/>
        <n v="8.64455055804976E14"/>
        <n v="8.64189053524233E14"/>
        <n v="3.56206203434959E14"/>
        <n v="3.55766344218851E14"/>
        <n v="8.64130055470116E14"/>
        <n v="8.62065059348276E14"/>
        <s v="355766343705692/07"/>
        <n v="8.67912051595559E14"/>
        <n v="0.0"/>
        <n v="8.65706052957152E14"/>
        <n v="8.69054058052512E14"/>
        <n v="3.56206203666956E14"/>
        <n v="8.68147043393578E14"/>
        <n v="3.50958030676113E14"/>
        <n v="8.64130055299234E14"/>
        <n v="8.69733052318421E14"/>
        <n v="3.55766343704836E14"/>
        <n v="3.55766343705718E14"/>
        <n v="3.53032117131462E14"/>
        <n v="8.69054057238492E14"/>
        <n v="8.68609041771733E14"/>
        <n v="3.50340713198048E14"/>
        <n v="3.55766344203119E14"/>
        <n v="3.55033115569453E14"/>
        <n v="3.56206203442275E14"/>
        <n v="8.69733051738462E14"/>
        <n v="8.6418905337537E14"/>
        <n v="3.56766083456844E14"/>
        <n v="8.60921051569917E14"/>
        <n v="8.63857055103237E14"/>
        <n v="8.61573058922299E14"/>
        <n v="3.52619274478149E14"/>
        <n v="8.64189053375453E14"/>
        <n v="8.69733056657279E14"/>
        <n v="3.56206203440832E14"/>
        <n v="3.5672008888997E14"/>
        <n v="8.6570605233605E14"/>
        <n v="3.5030822544972E14"/>
        <n v="8.64189054341892E14"/>
        <n v="3.5160678190154E14"/>
        <n v="3.5620620366801E14"/>
        <n v="3.56206203442556E14"/>
        <n v="3.55766343711856E14"/>
        <n v="8.68948051958479E14"/>
        <n v="3.5620620366783E14"/>
        <n v="3.55766344218794E14"/>
        <n v="8.69054052397111E14"/>
        <n v="8.68948050131813E14"/>
        <n v="8.69054050659751E14"/>
        <n v="3.5576634371051E14"/>
        <n v="3.52292936908141E14"/>
        <n v="3.5620620406487E14"/>
        <n v="8.6408005009485E14"/>
        <n v="3.53055102052039E14"/>
        <n v="3.55766343706039E14"/>
        <n v="8.64264055310772E14"/>
        <n v="8.62921045760315E14"/>
        <n v="8.63857055633332E14"/>
        <n v="3.55766343704257E14"/>
        <n v="8.69054052404594E14"/>
        <n v="3.56206203668051E14"/>
        <n v="8.63857055076557E14"/>
        <n v="3.56206203299733E14"/>
        <n v="8.64189053375271E14"/>
        <n v="3.56206203154334E14"/>
        <n v="3.50958030601798E14"/>
        <n v="3.56206203037893E14"/>
        <n v="3.56206203036952E14"/>
        <n v="8.68948054535712E14"/>
        <n v="8.61182048552065E14"/>
        <n v="8.67621049341543E14"/>
        <n v="8.6905405682977E14"/>
        <n v="3.53037119785595E14"/>
        <n v="3.53224104958706E14"/>
        <n v="3.55766344202194E14"/>
        <n v="3.55033115574123E14"/>
        <n v="3.55766344218893E14"/>
        <n v="8.62065059042093E14"/>
        <n v="3.55766344204455E14"/>
        <n v="8.64130050795954E14"/>
        <n v="3.56206203667533E14"/>
        <n v="3.56206203668218E14"/>
        <n v="3.59220079518743E14"/>
        <n v="3.55766344218976E14"/>
        <n v="8.60377045104222E14"/>
        <n v="3.56206203667491E14"/>
        <n v="3.56206203667814E14"/>
        <n v="8.60377045459782E14"/>
        <n v="8.69733051055099E14"/>
        <n v="3.56206203150092E14"/>
        <n v="3.56206202973031E14"/>
        <n v="8.69054052396659E14"/>
        <n v="3.55690119561677E14"/>
        <n v="8.69054051059555E14"/>
        <n v="8.64189053523672E14"/>
        <n v="8.65481050663893E14"/>
        <n v="3.55766344218836E14"/>
        <n v="3.55766344203317E14"/>
        <n v="8.69733051211916E14"/>
        <n v="3.53778089921138E14"/>
        <n v="3.56206204065539E14"/>
        <s v="WWFIJ70ZEEDQNFIV/864717040766317"/>
        <n v="8.64023053356959E14"/>
        <n v="3.58870669847687E14"/>
        <n v="3.5657510385583E14"/>
        <n v="8.62024053846876E14"/>
        <n v="3.5576634421739E14"/>
        <n v="3.55692119329642E14"/>
        <n v="3.56206203435253E14"/>
        <s v="ZF6525RXXW"/>
        <n v="8.61258049061809E14"/>
        <n v="8.69054050660155E14"/>
        <n v="8.63857055638836E14"/>
        <n v="8.64264054890659E14"/>
        <n v="8.61573058309653E14"/>
        <n v="3.50135023155526E14"/>
        <n v="3.5620620366797E14"/>
        <n v="3.56206203321834E14"/>
        <n v="3.55766344219057E14"/>
        <n v="3.55766344203838E14"/>
        <n v="8.69054058142073E14"/>
        <n v="8.64717040740437E14"/>
        <n v="8.62065059335935E14"/>
        <n v="3.56206203762078E14"/>
        <n v="3.50179385306491E14"/>
        <n v="3.56206203667012E14"/>
        <n v="3.53002099783267E14"/>
        <n v="8.69054052395917E14"/>
        <n v="8.65715049778233E14"/>
        <n v="3.53935642103568E14"/>
        <n v="3.56206203038479E14"/>
        <n v="3.56206202552439E14"/>
        <n v="8.62324050803775E14"/>
        <n v="3.55368114123005E14"/>
        <n v="8.66751032618507E14"/>
        <n v="3.5322110226497E14"/>
        <n v="3.55766343706393E14"/>
        <n v="3.56206203328078E14"/>
        <n v="3.55766344203473E14"/>
        <n v="8.65236043899479E14"/>
        <n v="3.56206202553411E14"/>
        <n v="3.52231104495929E14"/>
        <n v="8.69342051133359E14"/>
        <n v="8.69054051059811E14"/>
        <n v="8.60567056045278E14"/>
        <n v="3.56206203666212E14"/>
        <n v="8.69232042134055E14"/>
        <n v="3.55766343704091E14"/>
        <n v="3.53993103787841E14"/>
        <s v="355766344203457/11"/>
        <n v="3.55766343710353E14"/>
        <n v="3.56696119981772E14"/>
        <n v="3.5576634370419E14"/>
        <n v="3.56206202977479E14"/>
        <m/>
        <n v="3.56206203154318E14"/>
        <n v="3.55692111215823E14"/>
        <n v="3.56206203297836E14"/>
        <n v="3.55766343703275E14"/>
        <n v="3.56206202977776E14"/>
        <n v="8.6385705446769E14"/>
        <n v="8.65899043466092E14"/>
        <n v="8.6418905352943E14"/>
        <n v="3.56206203039295E14"/>
        <n v="8.64189053527855E14"/>
        <n v="3.54025412740127E14"/>
        <n v="8.67496043467614E14"/>
        <n v="3.56206203025773E14"/>
        <n v="8.69054056050435E14"/>
        <n v="3.56206204065471E14"/>
        <n v="8.64189053373813E14"/>
        <n v="8.60162055618372E14"/>
        <n v="8.60430059044071E14"/>
        <n v="8.60386047297892E14"/>
        <s v="F2LVP297JCLH"/>
        <n v="3.56206203668135E14"/>
        <n v="3.5620620366759E14"/>
        <n v="3.55766343703853E14"/>
        <n v="8.63857055135734E14"/>
        <n v="8.63857055080419E14"/>
        <n v="8.63857055350473E14"/>
        <n v="8.69054057174234E14"/>
        <n v="3.55390116468659E14"/>
        <n v="3.53544568279301E14"/>
        <n v="3.56206203038255E14"/>
        <n v="3.54025412822511E14"/>
        <n v="3.52906102913912E14"/>
        <n v="8.64717040776936E14"/>
        <n v="8.69733053042798E14"/>
        <n v="3.52037066973864E14"/>
        <n v="3.55766343706211E14"/>
        <n v="3.55743861875439E14"/>
        <n v="8.64130055298673E14"/>
        <n v="3.52086071520046E14"/>
        <n v="8.6385705513283E14"/>
        <n v="8.64130055421176E14"/>
        <n v="8.64130055369078E14"/>
        <n v="3.53989107441088E14"/>
        <n v="3.52157523100222E14"/>
        <n v="3.51486163999648E14"/>
        <n v="3.51486164001766E14"/>
        <n v="3.5215752310136E14"/>
        <n v="3.52157523100065E14"/>
        <n v="3.5215752310513E14"/>
        <n v="8.64712053061912E14"/>
        <n v="8.67965047558073E14"/>
        <n v="8.65687033926484E14"/>
        <n v="3.54025412822248E14"/>
        <n v="8.63723059199318E14"/>
        <n v="8.61520062424937E14"/>
        <n v="8.64264053165756E14"/>
        <n v="8.60377045438463E14"/>
        <n v="3.56429100286625E14"/>
        <n v="3.55766343706195E14"/>
        <n v="8.68218056189409E14"/>
        <s v="J2PYPQV449"/>
        <s v="DK672TJ4QG"/>
        <n v="8.6379304506334E14"/>
        <n v="3.56452108477889E14"/>
        <n v="3.53779081533491E14"/>
        <n v="3.54855091640796E14"/>
        <n v="3.56702084728675E14"/>
        <n v="3.52681235166825E14"/>
        <n v="3.50778867975606E14"/>
        <n v="3.5611409490881E14"/>
        <n v="3.56725089335386E14"/>
        <n v="3.56206203442051E14"/>
        <n v="3.57559824168565E14"/>
        <n v="8.6955406626701E14"/>
        <n v="3.5609809571142E13"/>
        <n v="3.50162898203926E14"/>
        <n v="3.5707816996391E14"/>
        <n v="8.69912044571194E14"/>
        <n v="3.56350645459453E14"/>
        <n v="3.52485859834084E14"/>
        <n v="3.55766343704356E14"/>
        <n v="3.57718898841834E14"/>
        <n v="3.57360092089736E14"/>
        <s v="XPLP1515C123403798"/>
        <s v="D7DB9SH0061"/>
        <n v="3.56955701086212E14"/>
        <n v="3.55611224135173E14"/>
        <n v="3.53092224591842E14"/>
        <s v="Q4F0J34121/359462819414631"/>
        <s v="SF4Q2F7QQQN/351072500497593"/>
        <n v="3.53994850643013E14"/>
        <n v="8.61515070282541E14"/>
        <s v="10BD521052005S/862807065099892"/>
        <s v="10BDCX15AB0013C/865639065487778"/>
        <s v="38C23B57/860957062511878"/>
        <s v="RZCX61E9PGL/353994851398716"/>
        <s v="RZCX61KP29B/353994851449725"/>
        <s v="R9ZX802V4PR/353927347840099"/>
        <s v="R9ZX707GGRB/353927347495118"/>
        <s v="R9ZX803JGHJ/353927348007961"/>
        <s v="7LXCL7N7NVWKYXEA/861405052616405"/>
        <s v="JVUCJB650NMJWSYX/869580057362122"/>
        <s v="GL5THLBLRK6HBENV/861405052716585"/>
        <s v="SGV0DQY98PPFVWV8/869580057477920"/>
        <n v="8.69580057728082E14"/>
        <s v="10BE8A0KTK0015H/866575076675598"/>
        <s v="10BE7Z0835000PF/866575077874596"/>
        <s v="10BE8B1FH600173/866575076500119"/>
        <s v="10BE8338Q8000SP/866575077367559"/>
        <s v="0D64814125200DBE/860899071394872"/>
        <s v="0D5461412820103F/862145073292690"/>
        <s v="0D6419125200817/860899071482370"/>
        <s v="0D64814125200E25/860899071644375"/>
        <s v="4HCM858DKRDAIZEQ/864487067426779"/>
        <s v="MV7PV4GQMNJN0N6L/864487061035295"/>
        <s v="QGGY7DAEYLL74LRK/864487064109816"/>
        <s v="4XNBK7KZ5DYPDYPN/864487060919697"/>
        <s v="R9ZX7026HQH/350835038285867"/>
        <s v="R9ZX7026P9J/350835038287699"/>
        <s v="R9ZX7026TAX/350835038289026"/>
        <s v="R9ZX7026JCE/350835038286071"/>
        <s v="R9ZX7026SVW/350835038288879"/>
        <s v="R9ZX701LW8E/350835038269754"/>
        <s v="R9ZX7026ZPT/350835038290800"/>
        <s v="R9ZX7026NYT/350835038287582"/>
        <s v="R9ZX7026VHA/350835038289422"/>
        <s v="R9ZX7026NRJ/350835038287525"/>
        <s v="R9ZX7026SPM/350835038288820"/>
        <s v="R9ZX7026PBZ/350835038287715"/>
        <s v="R9ZX7026VER/350835038289398"/>
        <s v="R9ZX7026PCD/350835038287723"/>
        <s v="R9ZX7026NJA/350835038287459"/>
        <s v="PNU4JV7D8XTKIRV8/868565079036938"/>
        <s v="6HWK599P9HZTCAHU/868565078164996"/>
        <s v="ZXZTFAE6PJLFBU7T/866173067296986"/>
        <s v="NB8TIFKB7L7LEMRO/868398068924900"/>
        <s v="LQ9749CQCV/357737718585884"/>
        <s v="5FEC68DC/869238075876215"/>
        <s v="336AEF65/869238075293619"/>
        <s v="28E7FF48/869238075295317"/>
        <s v="34F0CF6C/869238075876033"/>
        <s v="EEBF81EF/869238074803699"/>
        <s v="CQEIIZ0RHITKEQXW/860035071107622"/>
        <s v="ZTBAAQR0KVC67D55/860035071097922"/>
        <s v="S06PZ5PVV0V87LUG/860035070840983"/>
        <s v="5PIZQ4MNAE49S8GQ/860035070857284"/>
        <s v="AIGQHYY995RSDE95/869742075736386"/>
        <s v="10BEAB0Y71003X6/863051071006638"/>
        <s v="10BEAB0Y1N003X6/863051071006596"/>
        <s v="10BEAB0RDM003X6/863051071021538"/>
        <s v="10BEAB0RD1003X6/863051071021835"/>
        <s v="10BEAB0YCD003X6/863051071005499"/>
        <n v="8.6453007387556E14"/>
        <n v="8.64530073563869E14"/>
        <n v="8.64530073902786E14"/>
        <n v="8.64530072968408E14"/>
        <n v="8.64530073846868E14"/>
        <n v="8.64530074003568E14"/>
        <n v="8.64530073892581E14"/>
        <n v="8.64530073975584E14"/>
        <n v="8.64530073173586E14"/>
        <n v="8.64530072949762E14"/>
        <n v="8.66807078608347E14"/>
        <n v="8.68618078882941E14"/>
        <n v="8.60845077686225E14"/>
        <n v="8.68618076717966E14"/>
        <n v="8.68618079018065E14"/>
        <n v="8.6861807899368E14"/>
        <n v="8.68618079046744E14"/>
        <n v="8.66807078265643E14"/>
        <n v="8.66807078593705E14"/>
        <n v="8.68618078878881E14"/>
        <n v="8.68618076540368E14"/>
        <n v="8.66807078590628E14"/>
        <n v="8.668070784554E14"/>
        <n v="8.68618079125381E14"/>
        <n v="8.68618073300709E14"/>
        <s v="10BE8Z333C0026K/866041072793554"/>
      </sharedItems>
    </cacheField>
    <cacheField name="Phone Configuration ">
      <sharedItems containsBlank="1" containsMixedTypes="1" containsNumber="1" containsInteger="1">
        <s v="4/64GB"/>
        <s v="4GB/64GB"/>
        <s v="4GB/64"/>
        <s v="3GB/64"/>
        <s v="3GB/32"/>
        <s v="6GB/128"/>
        <s v="2GB/32"/>
        <m/>
        <s v="2GB/16"/>
        <s v="4GB/128"/>
        <s v="1GB/16GB"/>
        <s v="1GB/8GB"/>
        <s v="1/16GB"/>
        <s v="2GB/64"/>
        <s v="3GB/64GB"/>
        <s v="4GB/128GB"/>
        <s v="2/64GB"/>
        <s v="1GB/64GB"/>
        <s v="6GB/64GB"/>
        <s v="2/128GB"/>
        <s v="1/4GB"/>
        <s v="2GB/64GB"/>
        <s v="2GB/16GB"/>
        <s v="2/32GB"/>
        <s v="3/32GB"/>
        <s v="6/64GB"/>
        <s v="4/128GB"/>
        <s v="2/16GB"/>
        <s v="6/128GB"/>
        <s v="1/32GB"/>
        <s v="16GB"/>
        <s v="2GB/4GB"/>
        <s v="6GB/64"/>
        <s v="3/64GB"/>
        <s v="64GB"/>
        <s v="NA"/>
        <s v="8/128GB"/>
        <n v="128.0"/>
        <s v="6/128"/>
        <s v="16/256"/>
        <s v="4/128"/>
        <s v="8/128"/>
        <s v="4/64"/>
        <s v="6GB/128GB"/>
      </sharedItems>
    </cacheField>
    <cacheField name="Asset ID" numFmtId="1">
      <sharedItems containsBlank="1">
        <s v="Z/FAM/OE1000113"/>
        <s v="Z/FAM/OE1000047"/>
        <s v="Z/FAM/CE1000151"/>
        <s v="Z/FAM/CE1000657"/>
        <s v="Z/FAM/CE1000442"/>
        <s v="Z/FAM/CE1000398"/>
        <s v="Z/FAM/CE1000397"/>
        <s v="Z/FAM/OE1000145"/>
        <s v="Z/FAM/OE1000039"/>
        <s v="Z/FAM/OE1000110"/>
        <s v="Z/FAM/OE1000102"/>
        <s v="Z/FAM/OE1000237"/>
        <s v="Z/FAM/OE1000137"/>
        <s v="Z/FAM/CE1000144"/>
        <s v="Z/FAM/OE1000085"/>
        <s v="Z/FAM/OE1000121"/>
        <s v="Z/FAM/OE1000161"/>
        <s v="Z/FAM/CE1000050"/>
        <s v="Z/FAM/OE1000122"/>
        <s v="Z/FAM/OE1000183"/>
        <s v="Z/FAM/CE1000088"/>
        <m/>
        <s v="Z/FAM/CE1000086"/>
        <s v="Z/FAM/CE1000183"/>
        <s v="Z/FAM/OE1000134"/>
        <s v="Z/FAM/OE1000396"/>
        <s v="Z/FAM/OE1000172"/>
        <s v="Z/FAM/OE1000132"/>
        <s v="Z/FAM/OE1000169"/>
        <s v="Z/FAM/OE1000075"/>
        <s v="Z/FAM/OE1000400"/>
        <s v="Z/FAM/OE1000071"/>
        <s v="Z/FAM/OE1000089"/>
        <s v="Z/FAM/CE1000180"/>
        <s v="Z/FAM/OE1000086"/>
        <s v="Z/FAM/CE1000071"/>
        <s v="Z/FAM/CE1000153"/>
        <s v="Z/FAM/CE1000159"/>
        <s v="Z/FAM/CE1000139"/>
        <s v="Z/FAM/CE1000006"/>
        <s v="Z/FAM/OE1000182"/>
        <s v="Z/FAM/CE1000101"/>
        <s v="Z/FAM/CE1000146"/>
        <s v="Z/FAM/OE1000181"/>
        <s v="Z/FAM/OE1000077"/>
        <s v="Z/FAM/OE1000147"/>
        <s v="Z/FAM/CE1000174"/>
        <s v="Z/FAM/CE1000616"/>
        <s v="Z/FAM/CE1000617"/>
        <s v="Z/FAM/OE1000123"/>
        <s v="Z/FAM/OE1000098"/>
        <s v="Z/FAM/CE1000073"/>
        <s v="Z/FAM/OE1000138"/>
        <s v="Z/FAM/OE1000184"/>
        <s v="Z/FAM/CE1000069"/>
        <s v="Z/FAM/OE1000130"/>
        <s v="Z/FAM/CE1000325"/>
        <s v="Z/FAM/OE1000150"/>
        <s v="Z/FAM/CE1000188"/>
        <s v="Z/FAM/OE1000111"/>
        <s v="Z/FAM/CE1000034"/>
        <s v="Z/FAM/CE1000035"/>
        <s v="Z/FAM/OE1000399"/>
        <s v="Z/FAM/CE1000454"/>
        <s v="Z/FAM/CE1000047"/>
        <s v="Z/FAM/CE1000111"/>
        <s v="Z/FAM/OE1000173"/>
        <s v="Z/FAM/CE1000075"/>
        <s v="Z/FAM/CE1000396"/>
        <s v="Z/FAM/CE1000114"/>
        <s v="Z/FAM/OE1000140"/>
        <s v="Z/FAM/OE1000141"/>
        <s v="Z/FAM/CE1000647"/>
        <s v="Z/FAM/OE1000151"/>
        <s v="Z/FAM/CE1000172"/>
        <s v="Z/FAM/OE1000040"/>
        <s v="Z/FAM/OE1000393"/>
        <s v="Z/FAM/CE1000645"/>
        <s v="Z/FAM/OE1000055"/>
        <s v="Z/FAM/CE1000393"/>
        <s v="Z/FAM/OE1000185"/>
        <s v="Z/FAM/OE1000146"/>
        <s v="Z/FAM/OE1000142"/>
        <s v="Z/FAM/OE1000131"/>
        <s v="Z/FAM/OE1000139"/>
        <s v="Z/FAM/CE1000037"/>
        <s v="Z/FAM/CE1000038"/>
        <s v="Z/FAM/OE1000067"/>
        <s v="Z/FAM/CE1000168"/>
        <s v="Z/FAM/OE1000397"/>
        <s v="Z/FAM/OE1000143"/>
        <s v="Z/FAM/CE1000078"/>
        <s v="Z/FAM/CE1000639"/>
        <s v="Z/FAM/CE1000045"/>
        <s v="Z/FAM/OE1000180"/>
        <s v="Z/FAM/CE1000642"/>
        <s v="Z/FAM/CE1000097"/>
        <s v="Z/FAM/OE1000116"/>
        <s v="Z/FAM/OE1000038"/>
        <s v="Z/FAM/OE1000120"/>
        <s v="Z/FAM/CE1000638"/>
        <s v="Z/FAM/CE1000431"/>
        <s v="Z/FAM/OE1000054"/>
        <s v="Z/FAM/CE1000157"/>
        <s v="Z/FAM/OE1000398"/>
        <s v="Z/FAM/OE1000170"/>
        <s v="Z/FAM/CE1000394"/>
        <s v="Z/FAM/CE1000607"/>
        <s v="Z/FAM/OE1000046"/>
        <s v="Z/FAM/OE1000133"/>
        <s v="Z/FAM/CE1000081"/>
        <s v="Z/FAM/OE1000166"/>
        <s v="Z/FAM/CE1000467"/>
        <s v="Z/FAM/CE1000658"/>
        <s v="Z/FAM/OE1000165"/>
        <s v="Z/FAM/OE1000168"/>
        <s v="Z/FAM/CE1000106"/>
        <s v="Z/FAM/OE1000148"/>
        <s v="Z/FAM/CE1000327"/>
        <s v="Z/FAM/CE1000223"/>
        <s v="Z/FAM/OE1000103"/>
        <s v="Z/FAM/OE1000073"/>
        <s v="Z/FAM/OE1000126"/>
        <s v="Z/FAM/OE1000127"/>
        <s v="Z/FAM/OE1000159"/>
        <s v="Z/FAM/CE1000019"/>
        <s v="Z/FAM/CE1000644"/>
        <s v="Z/FAM/CE1000017"/>
        <s v="Z/FAM/CE1000444"/>
        <s v="Z/FAM/CE1000611"/>
        <s v="Z/FAM/CE1000614"/>
        <s v="Z/FAM/CE1000612"/>
        <s v="Z/FAM/CE1000020"/>
        <s v="Z/FAM/OE1000061"/>
        <s v="Z/FAM/OE1000179"/>
        <s v="Z/FAM/CE1000338"/>
        <s v="Z/FAM/OE1000124"/>
        <s v="Z/FAM/CE1000451"/>
        <s v="Z/FAM/OE1000125"/>
        <s v="Z/FAM/CE1000115"/>
        <s v="Z/FAM/OE1000171"/>
        <s v="Z/FAM/OE1000037"/>
        <s v="Z/FAM/CE1000015"/>
        <s v="Z/FAM/OE1000057"/>
        <s v="Z/FAM/OE1000118"/>
        <s v="Z/FAM/OE1000128"/>
        <s v="Z/FAM/OE1000129"/>
        <s v="Z/FAM/CE1000100"/>
        <s v="Z/FAM/CE1000340"/>
        <s v="Z/FAM/CE1000262"/>
        <s v="Z/FAM/CE1000363"/>
        <s v="Z/FAM/OE1000084"/>
        <s v="Z/FAM/CE1000065"/>
        <s v="Z/FAM/CE1000055"/>
        <s v="Z/FAM/OE1000167"/>
        <s v="Z/FAM/OE1000162"/>
        <s v="Z/FAM/OE1000163"/>
        <s v="Z/FAM/CE1000067"/>
        <s v="Z/FAM/CE1000031"/>
        <s v="Z/FAM/OE1000186"/>
        <s v="Z/FAM/CE1000134"/>
        <s v="Z/FAM/OE1000074"/>
        <s v="Z/FAM/CE1000093"/>
        <s v="Z/FAM/OE1000117"/>
        <s v="Z/FAM/CE1000028"/>
        <s v="Z/FAM/CE1000029"/>
        <s v="Z/FAM/OE1000389"/>
        <s v="Z/FAM/OE1000112"/>
        <s v="Z/FAM/CE1000094"/>
        <s v="Z/FAM/OE1000158"/>
        <s v="Z/FAM/OE1000157"/>
        <s v="Z/FAM/OE1000045"/>
        <s v="Z/FAM/CE1000447"/>
        <s v="Z/FAM/CE1000446"/>
        <s v="Z/FAM/CE1000448"/>
        <s v="Z/FAM/OE1000083"/>
        <s v="Z/FAM/OE1000195"/>
        <s v="Z/FAM/OE/1000053"/>
        <s v="Z/FAM/CE1000312"/>
        <s v="Z/FAM/CE1000315"/>
        <s v="Z/FAM/CE1000316"/>
        <s v="Z/FAM/CE1000362"/>
        <s v="Z/FAM/CE1000127"/>
        <s v="Z/FAM/CE1000317"/>
        <s v="Z/FAM/CE1000318"/>
        <s v="Z/FAM/CE1000319"/>
        <s v="Z/FAM/CE1000320"/>
        <s v="Z/FAM/CE1000150"/>
        <s v="Z/FAM/CE1000321"/>
        <s v="Z/FAM/CE1000322"/>
        <s v="Z/FAM/CE1000323"/>
        <s v="Z/FAM/CE1000324"/>
        <s v="Z/FAM/CE1000326"/>
        <s v="Z/FAM/CE1000328"/>
        <s v="Z/FAM/CE1000329"/>
        <s v="Z/FAM/CE1000331"/>
        <s v="Z/FAM/CE1000330"/>
        <s v="Z/FAM/CE1000342"/>
        <s v="Z/FAM/CE1000353"/>
        <s v="Z/FAM/CE1000354"/>
        <s v="Z/FAM/CE1000355"/>
        <s v="Z/FAM/CE1000356"/>
        <s v="Z/FAM/CE1000357"/>
        <s v="Z/FAM/CE1000358"/>
        <s v="Z/FAM/CE1000359"/>
        <s v="Z/FAM/CE1000314"/>
        <s v="Z/FAM/CE1000361"/>
        <s v="Z/FAM/CE1000360"/>
        <s v="Z/FAM/OE1000313"/>
        <s v="Z/FAM/CE1000392"/>
        <s v="Z/FAM/OE1000036"/>
        <s v="Z/FAM/OE1000041"/>
        <s v="Z/FAM/CE1000395"/>
        <s v="Z/FAM/OE1000221"/>
        <s v="Z/FAM/OE1000034"/>
        <s v="Z/FAM/OE1000033"/>
        <s v="Z/FAM/CE1000458"/>
        <s v="Z/FAM/CE1000615"/>
        <s v="Z/FAM/OE1000114"/>
        <s v="Z/FAM/OE1000065"/>
        <s v="Z/FAM/OE1000066"/>
        <s v="Z/FAM/OE1000082"/>
        <s v="Z/FAM/OE1000070"/>
        <s v="Z/FAM/CE1000640"/>
        <s v="Z/FAM/OE1000069"/>
        <s v="Z/FAM/OE1000081"/>
        <s v="Z/FAM/OE1000004"/>
        <s v="Z/FAM/OE1000058"/>
        <s v="Z/FAM/OE1000060"/>
        <s v="Z/FAM/OE1000088"/>
        <s v="Z/FAM/CE1000609"/>
        <s v="Z/FAM/OE1000056"/>
        <s v="Z/FAM/CE1000608"/>
        <s v="Z/FAM/OE1000101"/>
        <s v="Z/FAM/CE1000637"/>
        <s v="Z/FAM/OE1000160"/>
        <s v="Z/FAM/OE1000087"/>
        <s v="Z/FAM/OE1000144"/>
        <s v="Z/FAM/OE1000149"/>
        <s v="Z/FAM/OE1000164"/>
        <s v="Z/FAM/OE1000175"/>
        <s v="Z/FAM/OE1000174"/>
        <s v="Z/FAM/OE1000176"/>
        <s v="Z/FAM/OE1000178"/>
        <s v="Z/FAM/OE1000187"/>
        <s v="Z/FAM/OE1000188"/>
        <s v="Z/FAM/OE1000189"/>
        <s v="Z/FAM/OE1000190"/>
        <s v="Z/FAM/OE1000191"/>
        <s v="Z/FAM/OE1000192"/>
        <s v="Z/FAM/OE1000193"/>
        <s v="Z/FAM/OE1000194"/>
        <s v="Z/FAM/OE1000196"/>
        <s v="Z/FAM/OE1000197"/>
        <s v="Z/FAM/OE1000198"/>
        <s v="Z/FAM/OE1000199"/>
        <s v="Z/FAM/OE1000200"/>
        <s v="Z/FAM/OE1000201"/>
        <s v="Z/FAM/OE1000202"/>
        <s v="Z/FAM/OE1000203"/>
        <s v="Z/FAM/OE1000204"/>
        <s v="Z/FAM/OE1000205"/>
        <s v="Z/FAM/OE1000206"/>
        <s v="Z/FAM/OE1000207"/>
        <s v="Z/FAM/OE1000208"/>
        <s v="Z/FAM/OE1000209"/>
        <s v="Z/FAM/OE1000210"/>
        <s v="Z/FAM/OE1000215"/>
        <s v="Z/FAM/OE1000211"/>
        <s v="Z/FAM/OE1000212"/>
        <s v="Z/FAM/OE1000213"/>
        <s v="Z/FAM/OE1000214"/>
        <s v="Z/FAM/OE1000216"/>
        <s v="Z/FAM/OE1000217"/>
        <s v="Z/FAM/OE1000218"/>
        <s v="Z/FAM/OE1000219"/>
        <s v="Z/FAM/OE1000220"/>
        <s v="Z/FAM/OE1000222"/>
        <s v="Z/FAM/OE1000223"/>
        <s v="Z/FAM/OE1000224"/>
        <s v="Z/FAM/OE1000225"/>
        <s v="Z/FAM/OE1000226"/>
        <s v="Z/FAM/OE1000227"/>
        <s v="Z/FAM/OE1000228"/>
        <s v="Z/FAM/OE1000229"/>
        <s v="Z/FAM/OE1000230"/>
        <s v="Z/FAM/OE1000231"/>
        <s v="Z/FAM/OE1000232"/>
        <s v="Z/FAM/OE1000233"/>
        <s v="Z/FAM/OE1000234"/>
        <s v="Z/FAM/OE1000235"/>
        <s v="Z/FAM/OE1000236"/>
        <s v="Z/FAM/OE1000264"/>
        <s v="Z/FAM/OE1000265"/>
        <s v="Z/FAM/OE1000266"/>
        <s v="Z/FAM/OE1000267"/>
        <s v="Z/FAM/OE1000268"/>
        <s v="Z/FAM/OE1000269"/>
        <s v="Z/FAM/OE1000270"/>
        <s v="Z/FAM/OE1000271"/>
        <s v="Z/FAM/OE1000272"/>
        <s v="Z/FAM/OE1000273"/>
        <s v="Z/FAM/OE1000274"/>
        <s v="Z/FAM/OE1000275"/>
        <s v="Z/FAM/OE1000276"/>
        <s v="Z/FAM/OE1000277"/>
        <s v="Z/FAM/OE1000278"/>
        <s v="Z/FAM/OE1000282"/>
        <s v="Z/FAM/OE1000283"/>
        <s v="Z/FAM/OE1000284"/>
        <s v="Z/FAM/OE1000285"/>
        <s v="Z/FAM/OE1000286"/>
        <s v="Z/FAM/OE1000287"/>
        <s v="Z/FAM/OE1000288"/>
        <s v="Z/FAM/OE1000289"/>
        <s v="Z/FAM/OE1000290"/>
        <s v="Z/FAM/OE1000291"/>
        <s v="Z/FAM/OE1000292"/>
        <s v="Z/FAM/OE1000293"/>
        <s v="Z/FAM/OE1000281"/>
        <s v="Z/FAM/OE1000294"/>
        <s v="Z/FAM/OE1000295"/>
        <s v="Z/FAM/OE1000296"/>
        <s v="Z/FAM/OE1000297"/>
        <s v="Z/FAM/OE1000298"/>
        <s v="Z/FAM/OE1000299"/>
        <s v="Z/FAM/OE1000300"/>
        <s v="Z/FAM/OE1000301"/>
        <s v="Z/FAM/OE1000302"/>
        <s v="Z/FAM/OE1000303"/>
        <s v="Z/FAM/OE1000304"/>
        <s v="Z/FAM/OE1000305"/>
        <s v="Z/FAM/OE1000308"/>
      </sharedItems>
    </cacheField>
    <cacheField name="Status" numFmtId="0">
      <sharedItems>
        <s v="In Use"/>
        <s v="In Stock"/>
        <s v="Sold to Cashify"/>
        <s v="Sold to Employee"/>
        <s v="Lost By Employee"/>
      </sharedItems>
    </cacheField>
    <cacheField name="Remarks" numFmtId="0">
      <sharedItems>
        <s v="In Use"/>
        <s v="Working"/>
        <s v="In Stock"/>
        <s v="NPO"/>
        <s v="Screen Damamged but in working condition"/>
        <s v="Sold to Employee"/>
        <s v="Apple ID locked"/>
        <s v="Screen Damage"/>
        <s v="Charging issue "/>
        <s v="working but having touch issue on screen"/>
        <s v="Lost By Employee"/>
        <s v="Not Working"/>
        <s v="Working but low configuration"/>
      </sharedItems>
    </cacheField>
    <cacheField name="Asset condition" numFmtId="0">
      <sharedItems>
        <s v="In Use"/>
        <s v="Working"/>
        <s v="In Stock"/>
        <s v="Sold to Cashify"/>
        <s v="Not Working/Need to scrap/sold"/>
        <s v="Sold to Employee"/>
        <s v="Checked "/>
      </sharedItems>
    </cacheField>
    <cacheField name="User Name" numFmtId="0">
      <sharedItems containsBlank="1">
        <s v="Aakashdeep Madaan"/>
        <s v="Tushar Mehta "/>
        <s v="Ankit kumar Sahu"/>
        <s v="Abhinav Shandilya"/>
        <s v="Devagya Kumar"/>
        <s v="Shreya pandey"/>
        <s v="Mayank Pathak"/>
        <s v="Shubham Singh"/>
        <s v="In Stock"/>
        <s v="Akshay Gulati "/>
        <s v="Rahul Sharma"/>
        <s v=" Shashank Gupta"/>
        <s v="Aman Gupta"/>
        <s v="Sold to Cashify"/>
        <s v="Aman Kumar Bahl"/>
        <s v="Aman Kumar 2"/>
        <s v="Aman Kumar"/>
        <s v="Amit Garg"/>
        <s v="Mohit Singh Rathore"/>
        <s v="Amit Shukracharya Sutar"/>
        <s v="Amogh Babbar"/>
        <s v="Ananya Apurva"/>
        <s v="Soumya Manna"/>
        <s v="Annu Nirmal"/>
        <s v="Anuj Baghel"/>
        <s v="Yogesh yadav"/>
        <s v="Anuj Gupta"/>
        <s v="Nischay Sabherwal"/>
        <s v="Vamsidhar Yeddu"/>
        <s v="Jeevan Kumar Singla "/>
        <s v="Ayush Singhal"/>
        <s v="Nikunj Aggarwal"/>
        <s v="Jatin Kinra"/>
        <s v="Avijit Sharma"/>
        <s v=" Adarsh Kumar"/>
        <s v="Pankaj Rana"/>
        <s v="Payal Katoch"/>
        <s v="Ayushi Sharma"/>
        <s v="Bal Sikandar"/>
        <s v="Pavit Batra"/>
        <s v="Vikas Joshi"/>
        <s v="Bhargavkumar Khalasi"/>
        <s v="Chirag Jain"/>
        <s v="Diksha Sachdeva"/>
        <s v="Dilsher Malhi"/>
        <s v="Disha Garg"/>
        <s v="Amarjeet Singh"/>
        <s v="Divya Kiran Wangoo"/>
        <s v="Abhishek Bisht"/>
        <s v="Mukul Bhatt"/>
        <s v="Divya Koundal"/>
        <m/>
        <s v="Pranjal Saxena "/>
        <s v="Gaurav Mehta "/>
        <s v="Divyansh Singh"/>
        <s v="Aashi Mangal"/>
        <s v="Hardik Chhatrala"/>
        <s v="Hemant Kumar"/>
        <s v="Himanshu Barsiwal"/>
        <s v="Hitesh Kwatra"/>
        <s v="Nayan Vinodkumar Intwala"/>
        <s v="Ishan Margamwar"/>
        <s v="Tushar Rajendra Patil"/>
        <s v="Vinay Bansal"/>
        <s v="Jyoti Gupta"/>
        <s v="Shameek datta"/>
        <s v="Jyoti Singh"/>
        <s v="Parth Jindal"/>
        <s v="Kamran Ahmad Hadi"/>
        <s v="Hritik Wadhwa"/>
        <s v="Karan Bhyana"/>
        <s v="Kinshuk Puri"/>
        <s v="Kritika Kapoor"/>
        <s v="Suvam Debata"/>
        <s v="Mohit singh"/>
        <s v="Mayank"/>
        <s v="Mayank Jain"/>
        <s v="Harshita Prakash"/>
        <s v="Mohit Arora"/>
        <s v="Chaitanya Kapoor"/>
        <s v="Naveen Kumar"/>
        <s v="Nikhil Kumar Gupta"/>
        <s v="Nikita Mantri"/>
        <s v="MD Neyaz"/>
        <s v="Suraj Arora"/>
        <s v="Shaurya Upadhyay"/>
        <s v="Piyush Shukla"/>
        <s v="Vidhi Arora"/>
        <s v="Pranav Jaradi "/>
        <s v="Sonam Rathore"/>
        <s v="Prashant Yadav"/>
        <s v="Tanisha gupta"/>
        <s v="Pratyaksh Rawat"/>
        <s v="Rahul Punia"/>
        <s v="Raman Malik"/>
        <s v="Eeshma Anand"/>
        <s v="Riya Jhalani"/>
        <s v="Rohan Bhagat"/>
        <s v="Rohit Nandan Dubey"/>
        <s v="Rohit Saini"/>
        <s v="Sachin Sharma"/>
        <s v="Aditya Samantaray"/>
        <s v="Sairam Mushyam"/>
        <s v="Saksham Aneja"/>
        <s v="Sumit Khaitan"/>
        <s v="Aman Hans"/>
        <s v="Satya Vart"/>
        <s v="Saurav Yadav"/>
        <s v="Sawai Singh"/>
        <s v="Munnu Kumar"/>
        <s v="Shahid Arshad Gauri"/>
        <s v="Shailendra Bhadouriya"/>
        <s v="Sheshant Sinha"/>
        <s v="Ankur Sharma"/>
        <s v="Harshit Makhija"/>
        <s v="Ankur Prajapati"/>
        <s v="Gulshan Varshney"/>
        <s v="Shubham Kumar"/>
        <s v="Sumit Singh"/>
        <s v="Naman Khandelwal"/>
        <s v="Nikhil Kaplas"/>
        <s v="Hemant Dandotiya"/>
        <s v="Shivam bali"/>
        <s v="Tarun Kumar"/>
        <s v="Yogesha k"/>
        <s v="Vedank Goyal"/>
        <s v="Divang Singh"/>
        <s v="Katha tara"/>
        <s v="Nandeshwar Gupta"/>
        <s v="Vinoth R"/>
        <s v="Atique Firoz"/>
        <s v="Vishal Agarwal"/>
        <s v="Ravi kumar"/>
        <s v="Vishwa Patel"/>
        <s v="Raman Dixit"/>
        <s v="Akash Bisht"/>
        <s v="Adarsh Kumar"/>
        <s v="Kanwar Aditya Singh"/>
        <s v="Naveen Kadyan"/>
        <s v="Narender tyagi"/>
        <s v="Guard ( For Reception )"/>
        <s v="Anjali  Pal"/>
        <s v="Gulshan Varshney(testyantra)"/>
        <s v="Nikhil Kumar Jha (New )"/>
        <s v="Astha Mishra"/>
        <s v="Sanket Jain"/>
        <s v="Ishank Mehta"/>
        <s v="ayush gupta"/>
        <s v="Anshul Mittal"/>
        <s v="Nimish Goyal"/>
        <s v="In Stock "/>
        <s v="Soni Saurav"/>
        <s v="Shreya Dwivedi"/>
        <s v="Adhip Kushwaha"/>
        <s v="vikas joshi "/>
        <s v="Sidharth Dhiman"/>
        <s v="Diksha Sachdeva "/>
        <s v="Govind Mittal"/>
        <s v="Anish choudhary"/>
        <s v="Arun Rajaram"/>
        <s v="Shubham Verma "/>
        <s v="Vedant Sharma"/>
        <s v="Sonu Modi "/>
        <s v="Satyam Jaiswal"/>
        <s v="Baljinder kaur"/>
        <s v="Pareena Singh"/>
        <s v="Dhanishtha Bansal"/>
        <s v="Sunny(rider)"/>
        <s v="Himanshu Sharma"/>
        <s v="Gokul Verma"/>
        <s v="Piyush Maurya"/>
        <s v="Sumit Chugh"/>
        <s v=" Hitesh Vats"/>
        <s v="Shyam Sunder Verma"/>
        <s v="Rishabh Bhatia"/>
        <s v="Rupam Das"/>
        <s v="Anwesha Raj"/>
        <s v="Nishant Tripathi"/>
        <s v="Vivek Choudhary"/>
        <s v="mayank kakkar"/>
        <s v="Avanish Dubey"/>
        <s v="Ajay Yadav "/>
        <s v="Yuvam Parmar"/>
        <s v="Saumya Ranjan Behera"/>
        <s v="Vipul Gupta"/>
        <s v="Shivani patil"/>
        <s v="Amit Singh"/>
        <s v="Amrit Anand"/>
        <s v="Vivek Soni"/>
        <s v="Ranu Gupta"/>
        <s v="Ayush Dabas"/>
        <s v="Deepak Khandelwal"/>
        <s v="Mayank Kumar"/>
        <s v="Om Hari Mishra "/>
        <s v="Pratik Taltia"/>
        <s v="Iqra Islam "/>
        <s v="kanika wadhwa "/>
        <s v="Geeta Joshi"/>
        <s v="Khushboo Singh"/>
        <s v="Rohit Sahni"/>
        <s v="nikhil kumar "/>
        <s v="Uma Batra "/>
        <s v="Muskan Khan "/>
        <s v="Harsh Thaplyal"/>
        <s v="Himanshu nagpal "/>
        <s v="Sparsh Pandey"/>
        <s v="Prityankur Biswas"/>
        <s v="Saaksshi Makkar"/>
        <s v="Rajiv Yadav"/>
        <s v="Ayan Pathan"/>
        <s v="Rahil Choudhary"/>
        <s v="Khushboo Kushwah"/>
        <s v="Jaidev Chauhan"/>
        <s v="Rukhsar Bano"/>
        <s v="Prashant Pundir"/>
        <s v="Shubham"/>
        <s v="Bikash Kumar Jha"/>
        <s v="Prakhar Srivastava"/>
        <s v="Srijan Bhageria"/>
        <s v="Abhiroop Hora"/>
        <s v="Lokesh Gawande"/>
        <s v="Armaan Nayyar"/>
        <s v="Priyanka Tiwari"/>
        <s v="Garima Prakash"/>
      </sharedItems>
    </cacheField>
    <cacheField name="Function" numFmtId="0">
      <sharedItems containsBlank="1">
        <s v="Technology"/>
        <s v="Product"/>
        <s v="CRM"/>
        <m/>
        <s v="Finance"/>
        <s v="Analytics"/>
        <s v="Design"/>
        <s v="Founder Office "/>
        <s v="Legal"/>
        <s v="Technology( Contractual)"/>
        <s v="CEO"/>
        <s v="Data"/>
        <s v="Technology "/>
        <s v="Strategy"/>
        <s v="Technology (TestYantra)"/>
        <s v="Marketing"/>
        <s v="CRM ( Jindal )"/>
        <s v="NPO"/>
        <s v="SDET"/>
        <s v="Administration"/>
        <s v="Product Design"/>
        <s v="PA"/>
      </sharedItems>
    </cacheField>
    <cacheField name="Email id" numFmtId="0">
      <sharedItems containsBlank="1">
        <s v="aakashdeep.madaan@zupee.in"/>
        <s v="tushar.mehta@zupee.in"/>
        <s v="ankit.sahu@zupee.in"/>
        <s v="abhinav.shandilya@zupee.in"/>
        <s v="devagya.kumar@zupee.in"/>
        <s v="shreya.panday@zupee.in"/>
        <s v="mayank.pathak@zupee.in"/>
        <s v="shubham.singh@zupee.in"/>
        <m/>
        <s v="akshay.gulati@zupee.in"/>
        <s v="rahul.sharma@zupee.in"/>
        <s v="shashank.gupta@zupee.in"/>
        <s v="aman.gupta@zupee.in"/>
        <s v="aman.g@zupee.in"/>
        <s v="aman.kumar@zupee.in"/>
        <s v="aman.kumar2@zupee.in"/>
        <s v="aman.k@zupee.in"/>
        <s v="amit.garg@zupee.in"/>
        <s v="mohit.rathore@zupee.in"/>
        <s v="amit.sutar@zupee.in"/>
        <s v="amogh.babbar@zupee.in"/>
        <s v="ananya.apurva@zupee.in"/>
        <s v="soumya.manna@zupee.in"/>
        <s v="annu.nirmal@zupee.in"/>
        <s v="anuj.baghel@zupee.in"/>
        <s v="yogesh.yadav@zupee.in"/>
        <s v="anuj.gupta@zupee.in"/>
        <s v="nischay.sabherwal@zupee.in"/>
        <s v="vamsidhar.yeddu@zupee.in"/>
        <s v="jeevan.singla@zupee.in"/>
        <s v="ayush.singhal@zupee.in"/>
        <s v="nikunj.a@zupee.in"/>
        <s v="jatin.kinra@zupee.in"/>
        <s v="avijit.sharma@zupee.in"/>
        <s v="adarsh.kumar@zupee.in"/>
        <s v="pankaj.rana@zupee.in"/>
        <s v="payal.katoch@zupee.in"/>
        <s v="ayushi.sharma@zupee.in"/>
        <s v="bal.sikandar@zupee.in"/>
        <s v="pavit.batra@zupee.in"/>
        <s v="vikas.joshi@zupee.in"/>
        <s v="bhargavkumar.khalasi@zupee.in"/>
        <s v="chirag.jain@zupee.in"/>
        <s v="diksha.sachdeva@zupee.in"/>
        <s v="dilsher.malhi@zupee.in"/>
        <s v="disha.garg@zupee.in"/>
        <s v="amarjeet.singh@zupee.in"/>
        <s v="Divya.wangoo@zupee.in"/>
        <s v="abhishek.bisht@zupee.in"/>
        <s v="mukul.bhatt@zupee.in"/>
        <s v="divya.koundal@zupee.in"/>
        <s v="Issue - NPO"/>
        <s v="pranjal.saxena@zupee.in"/>
        <s v="divyansh.singh@zupee.in"/>
        <s v="aashi.mangal@zupee.in"/>
        <s v="hardik.chhatrala@zupee.in"/>
        <s v="hemant.kumar@zupee.in"/>
        <s v="himanshu.barsiwal@zupee.in"/>
        <s v="hitesh.kwatra@zupee.in"/>
        <s v="nayan.intwala@zupee.in"/>
        <s v="ishan.margamwar@zupee.in"/>
        <s v="tushar.patil@zupee.in"/>
        <s v="vinay.bansal@zupee.in"/>
        <s v="jyoti.gupta@zupee.in"/>
        <s v="shameek.datta@zupee.in"/>
        <s v="jyoti.singh@zupee.in"/>
        <s v="parth.jindal@zupee.in"/>
        <s v="kamran.hadi@zupee.in"/>
        <s v="hritik.wadhwa@zupee.in"/>
        <s v="karan.bhyana@zupee.in"/>
        <s v="kinshuk.puri@zupee.in"/>
        <s v="kritika.kapoor@zupee.in"/>
        <s v="suvam.debata@zupee.in"/>
        <s v="mohit.singh@zupee.in"/>
        <s v="mayank.kumar@zupee.in"/>
        <s v="mayank.jain@zupee.in"/>
        <s v="harshitaa.prakash@zupee.in"/>
        <s v="mohit.arora@zupee.in"/>
        <s v="chaitanya.kapoor@zupee.in"/>
        <s v="naveen.kumar@zupee.in"/>
        <s v="nikhil.gupta@zupee.in"/>
        <s v="nikita.mantri@zupee.in"/>
        <s v="md.neyaz@zupee.in"/>
        <s v="suraj.arora@zupee.in"/>
        <s v="shaurya.upadhyay@zupee.in"/>
        <s v="piyush.shukla@zupee.in"/>
        <s v="vidhi.arora@zupee.in"/>
        <s v="pranav.jaradi@zupee.in"/>
        <s v="sonam.rathore@zupee.in"/>
        <s v="prashant.yadav@zupee.in"/>
        <s v="tanisha.gupta@zupee.in"/>
        <s v="pratyaksh.rawat@zupee.in"/>
        <s v="rahul.punia@zupee.in"/>
        <s v="raman.malik@zupee.in"/>
        <s v="eeshma.anand@zupee.in"/>
        <s v="riya.jhalani@zupee.in"/>
        <s v="rohan.bhagat@zupee.in"/>
        <s v="rohit.dubey@zupee.in"/>
        <s v="rohit.saini@zupee.in"/>
        <s v="sachin.sharma@zupee.in"/>
        <s v="aditya.samantaray@zupee.in"/>
        <s v="sairam.mushyam@zupee.in"/>
        <s v="saksham.aneja@zupee.in"/>
        <s v="sumit.khaitan@zupee.in"/>
        <s v="aman.hans@zupee.in"/>
        <s v="satya.vart@zupee.in"/>
        <s v="saurav.yadav@zupee.in"/>
        <s v="sawai.singh@zupee.in"/>
        <s v="munnu.kumar@zupee.in"/>
        <s v="shahid.gauri@zupee.in"/>
        <s v="shailendra.bhadouriya@zupee.in"/>
        <s v="sheshant.sinha@zupee.in"/>
        <s v="ankur.sharma@zupee.in"/>
        <s v="harshit.makhija@zupee.in"/>
        <s v="ankur.prajapati@zupee.in"/>
        <s v="gulshan.varshney@zupee.com"/>
        <s v="shubham.kumar@zupee.in"/>
        <s v="sumit.singh@zupee.in"/>
        <s v="naman.khandelwal@zupee.in"/>
        <s v="nikhil.kaplas@zupee.in"/>
        <s v="hemant.dandotiya@zupee.in"/>
        <s v="shivam.bali@zupee.in"/>
        <s v="tarun.kumar@zupee.in"/>
        <s v="yogesha.k@zupee.in"/>
        <s v="vedank.goyal@zupee.in"/>
        <s v="divang.singh@zupee.in"/>
        <s v="katha.tara@zupee.in"/>
        <s v="nandeshwar.gupta@zupee.in"/>
        <s v="vinoth.r@zupee.in"/>
        <s v="atique.firoz@zupee.in"/>
        <s v="vishal.agarwal@zupee.in"/>
        <s v="ravi.kumar@zupee.in"/>
        <s v="vishwa.patel@zupee.in"/>
        <s v="raman.dixit@zupee.in"/>
        <s v="akash.bisht@zupee.in"/>
        <s v="kanwar.singh@zupee.in"/>
        <s v="naveen.kadyan@zupee.in"/>
        <s v="narender.tyagi@zupee.in"/>
        <s v="rajkumar.singh@zupee.in"/>
        <s v="anjali.pal@zupee.in"/>
        <s v="gulshan.varshney@zupee.in"/>
        <s v="nikhil.j@zupee.in"/>
        <s v="astha.mishra@zupee.in"/>
        <s v="sanket.jain@zupee.in"/>
        <s v="ishank.mehta@zupee.in"/>
        <s v="ayush.g@zupee.in"/>
        <s v="anshul.mittal@zupee.in"/>
        <s v="nimish.goyal@zupee.in"/>
        <s v="soni.saurav@zupee.in"/>
        <s v="Shreya.Dwivedi@zupee.in"/>
        <s v="adhip.kushwaha@zupee.in"/>
        <s v="sidharth.dhiman@zupee.in"/>
        <s v="govind.mittal@zupee.in"/>
        <s v="anish.choudhary@zupee.in"/>
        <s v="arun.rajaram@zupee.in"/>
        <s v="shubham.verma@zupee.in"/>
        <s v="Vedant.sharma@zupee.in"/>
        <s v="sonu.modi@zupee.in"/>
        <s v="satyam.jaiswal@zupee.in"/>
        <s v="baljinder.kaur@zupee.in"/>
        <s v="Pareena.singh@zupee.in"/>
        <s v="dhanishtha.bansal@zupee.in"/>
        <s v="sunny.singh@zupee.in"/>
        <s v="himanshu.sharma@zupee.in"/>
        <s v="gokul.verma@zupee.in"/>
        <s v="piyush.maurya@zupee.in"/>
        <s v="sumit.chugh@zupee.in"/>
        <s v="hitesh.vats@zupee.in"/>
        <s v="shyam.verma@zupee.in"/>
        <s v="rishabh.bhatia@zupee.in"/>
        <s v="rupam.das@zupee.in"/>
        <s v="anwesha.raj@zupee.in"/>
        <s v="Nishant.Tripathi@zupee.in"/>
        <s v="vivek.choudhary@zupee.in"/>
        <s v="mayank.kakkar@zupee.in"/>
        <s v="Avanish.Dubey@zupee.in"/>
        <s v="ajay.yadav@zupee.in"/>
        <s v="yuvam.parmar@zupee.in"/>
        <s v="saumya.behera@zupee.in"/>
        <s v="vipul.gupta@zupee.in"/>
        <s v="shivani.patil@zupee.in"/>
        <s v="amit.singh@zupee.in"/>
        <s v="amrit.anand@zupee.in"/>
        <s v="Vivek.soni@zupee.in"/>
        <s v="ranu.gupta@zupee.in"/>
        <s v="ayush.dabas@zupee.in"/>
        <s v="deepak.khandelwal@zupee.in"/>
        <s v="om.mishra@zupee.in"/>
        <s v="pratik.taltia@zupee.in"/>
        <s v="iqra.islam@zupee.in"/>
        <s v="kanika.wadhwa@zupee.in"/>
        <s v="geeta.joshi@zupee.in"/>
        <s v="khushboo.singh@zupee.in"/>
        <s v="rohit.sahni@zupee.in"/>
        <s v="nikhil.kumar@zupee.in"/>
        <s v="uma.batra@zupee.in"/>
        <s v="Muskan.Khan@zupee.in"/>
        <s v="Harsh.Thaplyal@zupee.in"/>
        <s v="Himanshu.nagpal@zupee.in"/>
        <s v="sparsh.pandey@zupee.in"/>
        <s v="prityankur.biswas@zupee.in"/>
        <s v="saaksshi.makkar@zupee.in"/>
        <s v="rajiv.yadav@zupee.in"/>
        <s v="ayan.pathan@zupee.in"/>
        <s v="rahil.choudhary@zupee.in"/>
        <s v="khushboo.kushwah@zupee.in"/>
        <s v="jaidev.chauhan@zupee.in"/>
        <s v="rukhsar.bano@zupee.in"/>
        <s v="prashant.pundir@zupee.in"/>
        <s v="shubham.khosla@zupee.in"/>
        <s v="bikash.jha@zupee.in"/>
        <s v="prakhar.srivastava@zupee.in"/>
        <s v="Srijan.Bhageria@zupee.in"/>
        <s v="abhiroop.hora@zupee.in"/>
        <s v="Lokesh.Gawande@zupee.in"/>
        <s v="Armaan.Nayyar@zupee.in"/>
        <s v="priyanka.tiwari@zupee.in"/>
        <s v="garima.parkash@zupee.in"/>
      </sharedItems>
    </cacheField>
    <cacheField name="Previous Allocation user" numFmtId="0">
      <sharedItems containsBlank="1">
        <m/>
        <s v="Pareena Singh"/>
        <s v="Aayushi Sharma"/>
        <s v="M Sangeetha"/>
        <s v="Sidharth Dhiman"/>
        <s v="Pankaj Rana"/>
        <s v="Shreya Dwivedi"/>
        <s v="Mohit Mangal"/>
        <s v="aman.khare@zupee.in"/>
        <s v="Arpit Gulati"/>
        <s v="Amit Kumar "/>
        <s v="Siddharth Rehani"/>
        <s v="Anuj Baghel"/>
        <s v="Anuj Gupta"/>
        <s v="Siddharth Monga"/>
        <s v="Aakashdeep Madan"/>
        <s v="Arjun Sankhala"/>
        <s v="Ashwani Rana"/>
        <s v="Avinash Srivastava"/>
        <s v="Anshu Satheesh"/>
        <s v="tejveer singh"/>
        <s v="Jyoti Singh"/>
        <s v="Aditya Pawar(jindal)"/>
        <s v="Deepak Khandelwal"/>
        <s v="Sahil Puri"/>
        <s v="Divya Koundal"/>
        <s v="Lucky singh"/>
        <s v="Gagan Sharma"/>
        <s v="Gaurav Mehta"/>
        <s v="vinay bansal"/>
        <s v="Gyanendra Kumar Maurya"/>
        <s v="Alankrita Sharma"/>
        <s v="Suresh Gupta"/>
        <s v="Gourav Sharma"/>
        <s v="kapil kant"/>
        <s v="Prityankur Biswas"/>
        <s v="Supreet Kaur"/>
        <s v="Mayank Pathak"/>
        <s v="Madhur Aggarwal"/>
        <s v="Mohd Faheem"/>
        <s v="Mritunjay Kumar"/>
        <s v="Suvam Debata"/>
        <s v="Narender Tyagi"/>
        <s v="vijay singh"/>
        <s v="Hitesh Vats"/>
        <s v="Shreyansh "/>
        <s v="Diksha Sachdeva"/>
        <s v="Avanish Kumar Dubey"/>
        <s v="Prashant Yadav"/>
        <s v="Prarth Desai"/>
        <s v="Rahul Kumar "/>
        <s v="Ranjeet Kumar"/>
        <s v="Sonam Rathore"/>
        <s v="Payal Katoch"/>
        <s v="Sumit Chugh"/>
        <s v="Sanjit Chauhan"/>
        <s v="Tarun Talan"/>
        <s v="Shivam Bali"/>
        <s v="kanika Wadhwa"/>
        <s v="Shristi Agrawal"/>
        <s v="Shyam Singh"/>
        <s v="Shikhar Varshney"/>
        <s v="Bikash Kumar Jha"/>
        <s v="Sundeep Sharma"/>
        <s v="Supreet Srivastava"/>
        <s v="Umesh Chandra Patnaik"/>
        <s v="Gagan Sharma (Admin)"/>
        <s v="Shivangi"/>
        <s v="Vikas Gupta"/>
        <s v="Vinni Kalra "/>
        <s v="Kabeer Manocha"/>
        <s v="Vishal Agarwal"/>
        <s v="Vishal Kapoor"/>
        <s v="Zoya Rushi"/>
        <s v="Mohit Bakshi"/>
        <s v="Rajkumar singh"/>
        <s v="Uma Batra"/>
        <s v="Aashi mangal"/>
        <s v="Aman Bahl"/>
        <s v="Apurav Garg"/>
        <s v="Satyam Jaiswal"/>
        <s v="Yogesh Yadav"/>
        <s v="Ayush Gupta"/>
        <s v="Dalveer Kaur Sandhu"/>
        <s v="Akash Bisht"/>
        <s v="Abhinav Srivastva"/>
        <s v="Vivek Claudious"/>
        <s v="New Phone "/>
        <s v="New"/>
        <s v="Baljinder Singh"/>
        <s v="New "/>
        <s v="Kritika Kapoor "/>
        <s v="vidhi arora"/>
        <s v="Divya Kiran Wangoo"/>
        <s v="Pranav jareda"/>
        <s v="Iqra Islam"/>
        <s v="Apurav Garg "/>
        <s v="Nishchay Singh"/>
        <s v="Govind Mittal"/>
        <s v="Prakhar Gupta"/>
      </sharedItems>
    </cacheField>
    <cacheField name="Notes / Remarks" numFmtId="0">
      <sharedItems containsBlank="1">
        <m/>
        <s v="USB to type b cable "/>
        <s v="With charger"/>
        <s v="USB to D cable "/>
        <s v="Keep the mobile "/>
        <s v="With adapter and d cable"/>
        <s v="Received Physical Screen Damage"/>
        <s v="With adapter and cable"/>
        <s v="User said she has not mobile"/>
        <s v="As per your discussion with Rajkumar, phone charger is not required. Hence We have handed over the phone to Sumit without a charger. "/>
        <s v="USB to c cable "/>
        <s v="User said he has not mobile"/>
        <s v="Exit user"/>
        <s v="With USB to D cable"/>
        <s v="Note -  This phone was assigned to Dilsher sir by Naveen for tesing LUDU apps "/>
        <s v="Nextech charger"/>
        <s v="Dual"/>
        <s v="with adaptor"/>
        <s v="Charging cable"/>
        <s v="With adapter"/>
        <s v="With C To C cable"/>
        <s v="C to C cable "/>
        <s v="With C TO lightni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B20" firstHeaderRow="0" firstDataRow="1" firstDataCol="0"/>
  <pivotFields>
    <pivotField name="Creation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t="default"/>
      </items>
    </pivotField>
    <pivotField name="Office Email 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Department" axis="axisRow" dataField="1" compact="0" outline="0" multipleItemSelectionAllowed="1" showAll="0" sortType="ascending">
      <items>
        <item x="1"/>
        <item x="17"/>
        <item x="4"/>
        <item x="7"/>
        <item x="8"/>
        <item x="6"/>
        <item x="11"/>
        <item x="16"/>
        <item x="9"/>
        <item x="13"/>
        <item x="2"/>
        <item x="3"/>
        <item x="14"/>
        <item x="12"/>
        <item x="10"/>
        <item x="15"/>
        <item x="0"/>
        <item x="5"/>
        <item t="default"/>
      </items>
    </pivotField>
    <pivotField name="Acc Info" compact="0" outline="0" multipleItemSelectionAllowed="1" showAll="0">
      <items>
        <item x="0"/>
        <item t="default"/>
      </items>
    </pivotField>
    <pivotField name="Work 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Employee 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 Title [Required]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name="Manager Email [Required]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Personal Email ID" compact="0" outline="0" multipleItemSelectionAllowed="1" showAll="0">
      <items>
        <item x="0"/>
        <item t="default"/>
      </items>
    </pivotField>
    <pivotField name="Remarks (If any)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-Dues St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COUNTA of Department" fld="3" subtotal="count" baseField="0"/>
  </dataFields>
</pivotTableDefinition>
</file>

<file path=xl/pivotTables/pivotTable2.xml><?xml version="1.0" encoding="utf-8"?>
<pivotTableDefinition xmlns="http://schemas.openxmlformats.org/spreadsheetml/2006/main" name="Pivot Table 1" cacheId="1" dataCaption="" compact="0" compactData="0">
  <location ref="A52:H59" firstHeaderRow="0" firstDataRow="1" firstDataCol="1"/>
  <pivotFields>
    <pivotField name="Make &amp; Mode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name="Type" axis="axisCol" compact="0" outline="0" multipleItemSelectionAllowed="1" showAll="0" sortType="ascending">
      <items>
        <item x="0"/>
        <item x="5"/>
        <item x="3"/>
        <item x="1"/>
        <item x="2"/>
        <item x="4"/>
        <item t="default"/>
      </items>
    </pivotField>
    <pivotField name="Serial / IMEI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t="default"/>
      </items>
    </pivotField>
    <pivotField name="Phone Config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sset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t="default"/>
      </items>
    </pivotField>
    <pivotField name="Status" axis="axisRow" compact="0" outline="0" multipleItemSelectionAllowed="1" showAll="0" sortType="ascending">
      <items>
        <item x="1"/>
        <item x="0"/>
        <item x="4"/>
        <item x="2"/>
        <item x="3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sset conditio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s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Previous Allocation u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tes /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5"/>
  </rowFields>
  <colFields>
    <field x="1"/>
  </colFields>
  <dataFields>
    <dataField name="COUNTA of Asset condition" fld="7" subtotal="count" baseField="0"/>
  </dataFields>
</pivotTableDefinition>
</file>

<file path=xl/pivotTables/pivotTable3.xml><?xml version="1.0" encoding="utf-8"?>
<pivotTableDefinition xmlns="http://schemas.openxmlformats.org/spreadsheetml/2006/main" name="Pivot Table 1 2" cacheId="2" dataCaption="" compact="0" compactData="0">
  <location ref="A73:E77" firstHeaderRow="0" firstDataRow="1" firstDataCol="1" rowPageCount="1" colPageCount="1"/>
  <pivotFields>
    <pivotField name="Make &amp; Model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Type" axis="axisCol" compact="0" outline="0" multipleItemSelectionAllowed="1" showAll="0" sortType="ascending">
      <items>
        <item x="0"/>
        <item x="5"/>
        <item x="3"/>
        <item x="1"/>
        <item x="2"/>
        <item x="4"/>
        <item t="default"/>
      </items>
    </pivotField>
    <pivotField name="Serial / IMEI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Phone Configura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Asset 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t="default"/>
      </items>
    </pivotField>
    <pivotField name="Status" axis="axisPage" compact="0" outline="0" multipleItemSelectionAllowed="1" showAll="0">
      <items>
        <item h="1" x="0"/>
        <item x="1"/>
        <item h="1" x="2"/>
        <item h="1" x="3"/>
        <item h="1" x="4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sset condition" axis="axisRow" dataField="1" compact="0" outline="0" multipleItemSelectionAllowed="1" showAll="0" sortType="ascending">
      <items>
        <item x="6"/>
        <item x="2"/>
        <item x="0"/>
        <item x="4"/>
        <item x="3"/>
        <item x="5"/>
        <item x="1"/>
        <item t="default"/>
      </items>
    </pivotField>
    <pivotField name="Us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name="Func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Email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Previous Allocation u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tes / 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</pivotFields>
  <rowFields>
    <field x="7"/>
  </rowFields>
  <colFields>
    <field x="1"/>
  </colFields>
  <pageFields>
    <pageField fld="5"/>
  </pageFields>
  <dataFields>
    <dataField name="COUNTA of Asset condition" fld="7" subtotal="count" baseField="0"/>
  </dataFields>
</pivotTableDefinition>
</file>

<file path=xl/tables/table1.xml><?xml version="1.0" encoding="utf-8"?>
<table xmlns="http://schemas.openxmlformats.org/spreadsheetml/2006/main" ref="A1:L1542" displayName="Table_1" name="Table_1" id="1">
  <tableColumns count="12">
    <tableColumn name="Creation Date" id="1"/>
    <tableColumn name="Full Name" id="2"/>
    <tableColumn name="Office Email Address" id="3"/>
    <tableColumn name="Department" id="4"/>
    <tableColumn name="Acc Info" id="5"/>
    <tableColumn name="Work Phone" id="6"/>
    <tableColumn name="Employee Type" id="7"/>
    <tableColumn name="Employee Title [Required]" id="8"/>
    <tableColumn name="Manager Email [Required]" id="9"/>
    <tableColumn name="Personal Email ID" id="10"/>
    <tableColumn name="Remarks (If any)" id="11"/>
    <tableColumn name="No-Dues St" id="12"/>
  </tableColumns>
  <tableStyleInfo name="On-Boarding-style" showColumnStripes="0" showFirstColumn="1" showLastColumn="1" showRowStripes="1"/>
</table>
</file>

<file path=xl/tables/table2.xml><?xml version="1.0" encoding="utf-8"?>
<table xmlns="http://schemas.openxmlformats.org/spreadsheetml/2006/main" headerRowCount="0" ref="A2:T829" displayName="Table_2" name="Table_2" id="2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Off-Boardi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2:N1318" displayName="Table_3" name="Table_3" id="3">
  <tableColumns count="14">
    <tableColumn name=" Probable Date of Joining" id="1"/>
    <tableColumn name=" Name" id="2"/>
    <tableColumn name=" Department" id="3"/>
    <tableColumn name=" Contact Number" id="4"/>
    <tableColumn name="CANDIDATE DETAILS Designation" id="5"/>
    <tableColumn name=" Sub Department " id="6"/>
    <tableColumn name=" Personal Email ID" id="7"/>
    <tableColumn name=" Reporting Manager" id="8"/>
    <tableColumn name=" Date of Offer Release" id="9"/>
    <tableColumn name=" Recruiter Name" id="10"/>
    <tableColumn name=" Offer Status" id="11"/>
    <tableColumn name=" Induction Type" id="12"/>
    <tableColumn name="To be Filled by IT Team Email ID" id="13"/>
    <tableColumn name=" Laptop Allocated Serial Number" id="14"/>
  </tableColumns>
  <tableStyleInfo name="Join &amp; Induc By HR-style" showColumnStripes="0" showFirstColumn="1" showLastColumn="1" showRowStripes="1"/>
</table>
</file>

<file path=xl/tables/table4.xml><?xml version="1.0" encoding="utf-8"?>
<table xmlns="http://schemas.openxmlformats.org/spreadsheetml/2006/main" headerRowCount="0" ref="A1:N150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NJ_Laptop 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K1001" displayName="Table_5" name="Table_5" id="5">
  <tableColumns count="11">
    <tableColumn name="Email Address" id="1"/>
    <tableColumn name="Acc &amp; Mail's St" id="2"/>
    <tableColumn name="Details" id="3"/>
    <tableColumn name="IT Status" id="4"/>
    <tableColumn name="New Drive Ownership" id="5"/>
    <tableColumn name="D|O-Ship St" id="6"/>
    <tableColumn name="E-Takeout" id="7"/>
    <tableColumn name="New E|T, O-Ship St" id="8"/>
    <tableColumn name="Department" id="9"/>
    <tableColumn name="Revoked Date" id="10"/>
    <tableColumn name="Confirmed By" id="11"/>
  </tableColumns>
  <tableStyleInfo name="AT_Data-style" showColumnStripes="0" showFirstColumn="1" showLastColumn="1" showRowStripes="1"/>
</table>
</file>

<file path=xl/tables/table6.xml><?xml version="1.0" encoding="utf-8"?>
<table xmlns="http://schemas.openxmlformats.org/spreadsheetml/2006/main" ref="A1:J5" displayName="Table_6" name="Table_6" id="6">
  <tableColumns count="10">
    <tableColumn name="Creation Date" id="1"/>
    <tableColumn name="Full Name" id="2"/>
    <tableColumn name="Email Address" id="3"/>
    <tableColumn name="Password" id="4"/>
    <tableColumn name="Department" id="5"/>
    <tableColumn name="Domain Name" id="6"/>
    <tableColumn name="Work or R No: -" id="7"/>
    <tableColumn name="Owner Of Account" id="8"/>
    <tableColumn name="Recovery email" id="9"/>
    <tableColumn name="Remarks (If any)" id="10"/>
  </tableColumns>
  <tableStyleInfo name="Public Domain-style" showColumnStripes="0" showFirstColumn="1" showLastColumn="1" showRowStripes="1"/>
</table>
</file>

<file path=xl/tables/table7.xml><?xml version="1.0" encoding="utf-8"?>
<table xmlns="http://schemas.openxmlformats.org/spreadsheetml/2006/main" ref="A3:K2400" displayName="Table_7" name="Table_7" id="7">
  <tableColumns count="11">
    <tableColumn name="IT Status" id="1"/>
    <tableColumn name="Porpoise | Reason" id="2"/>
    <tableColumn name="Complaint Status" id="3"/>
    <tableColumn name="Assets Type" id="4"/>
    <tableColumn name="Job Owner" id="5"/>
    <tableColumn name="Manager" id="6"/>
    <tableColumn name="Full Name Range" id="7"/>
    <tableColumn name="Office Email Address" id="8"/>
    <tableColumn name="Department Range" id="9"/>
    <tableColumn name="Notes" id="10"/>
    <tableColumn name="Employee Type" id="11"/>
  </tableColumns>
  <tableStyleInfo name="Lis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5-06-17T17:08:10.00" personId="{f4d6241f-6b83-437d-b900-c5ed85c16563}" id="{439fd238-3033-46b2-9709-ddd77a413d89}" done="1">
    <x18tc:text xml:space="preserve">Need to check with Raj</x18tc:text>
  </x18tc:threadedComment>
  <x18tc:threadedComment ref="A9" dT="2025-06-17T17:07:57.00" personId="{f4d6241f-6b83-437d-b900-c5ed85c16563}" id="{2c61f564-0559-4a1a-8bba-e6e57fdc4794}" done="1">
    <x18tc:text xml:space="preserve">Need to check with Raj</x18tc:text>
  </x18tc:threadedComment>
  <x18tc:threadedComment ref="G3" dT="2025-06-26T12:15:04.00" personId="{a21be8db-02a5-4294-83d7-a7cdf25a1fa9}" id="{f1604c36-1c93-4e30-b910-097ea153942d}" done="1">
    <x18tc:text xml:space="preserve">1 license extra showing in JC because ithelpdeak@zupee.in is Group ID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82" dT="2025-06-26T09:56:39.00" personId="{a21be8db-02a5-4294-83d7-a7cdf25a1fa9}" id="{c4c0de70-80ea-4584-ac66-f85e805f55e5}" done="0">
    <x18tc:text xml:space="preserve">Investor email account created by Raj</x18tc:text>
  </x18tc:threadedComment>
  <x18tc:threadedComment ref="K519" dT="2025-08-14T07:40:02.00" personId="{a21be8db-02a5-4294-83d7-a7cdf25a1fa9}" id="{f45fe138-8ef7-47bc-9cf1-0f77b0bd28f7}" done="0">
    <x18tc:text xml:space="preserve">{subject Line} Re: Temporary Deactivation of Atul’s Gmail and Slack Access</x18tc:text>
  </x18tc:threadedComment>
  <x18tc:threadedComment ref="C1094" dT="2025-06-26T09:55:10.00" personId="{a21be8db-02a5-4294-83d7-a7cdf25a1fa9}" id="{a14326a5-993e-4ad3-9e14-4f75a83cdff9}" done="0">
    <x18tc:text xml:space="preserve">Used by Dilsher don.t delete.</x18tc:text>
  </x18tc:threadedComment>
  <x18tc:threadedComment ref="C644" dT="2025-06-26T10:02:49.00" personId="{a21be8db-02a5-4294-83d7-a7cdf25a1fa9}" id="{779f6533-d10c-4dbe-9049-90163b379189}" done="0">
    <x18tc:text xml:space="preserve">Naveen comments :- Confirm with Anshul Mittal</x18tc:text>
  </x18tc:threadedComment>
  <x18tc:threadedComment ref="C1011" dT="2025-06-26T06:49:21.00" personId="{f4d6241f-6b83-437d-b900-c5ed85c16563}" id="{16359738-a783-4ccd-808d-e07cfe47dc4e}" done="0">
    <x18tc:text xml:space="preserve">Investor email account : As per confirm by Naveen on email</x18tc:text>
  </x18tc:threadedComment>
  <x18tc:threadedComment ref="C653" dT="2025-08-04T07:02:25.00" personId="{a21be8db-02a5-4294-83d7-a7cdf25a1fa9}" id="{ebaf456f-c3f6-42b2-af37-f068b2130299}" done="0">
    <x18tc:text xml:space="preserve">Email Subject line :- Re: New task(s) assigned for Completion</x18tc:text>
  </x18tc:threadedComment>
  <x18tc:threadedComment ref="C676" dT="2025-06-26T10:01:48.00" personId="{a21be8db-02a5-4294-83d7-a7cdf25a1fa9}" id="{622ae5ad-c277-44ae-bec1-573b7ff4ec74}" done="0">
    <x18tc:text xml:space="preserve">Naveen comment :- Need Check with Hitesh Vats</x18tc:text>
  </x18tc:threadedComment>
  <x18tc:threadedComment ref="C912" dT="2025-06-26T09:55:39.00" personId="{a21be8db-02a5-4294-83d7-a7cdf25a1fa9}" id="{0dfe382d-3fe8-42ad-8b72-12a7055d8661}" done="0">
    <x18tc:text xml:space="preserve">Investor email id created by Raj</x18tc:text>
  </x18tc:threadedComment>
  <x18tc:threadedComment ref="C787" dT="2025-07-15T10:30:32.00" personId="{a21be8db-02a5-4294-83d7-a7cdf25a1fa9}" id="{aea04c5b-06e3-44e5-8f87-9e1e84154cde}" done="0">
    <x18tc:text xml:space="preserve">without MDM need to enroll the JC in the laptop as user leave for 1 month.</x18tc:text>
  </x18tc:threadedComment>
  <x18tc:threadedComment ref="C1010" dT="2025-06-26T10:02:20.00" personId="{a21be8db-02a5-4294-83d7-a7cdf25a1fa9}" id="{78d8d382-f928-4df0-a6b4-d0f92b7ae969}" done="0">
    <x18tc:text xml:space="preserve">Naveen Comments :- Need to Confirm with Piyush Shukla</x18tc:text>
  </x18tc:threadedComment>
  <x18tc:threadedComment ref="C763" dT="2025-07-15T10:29:56.00" personId="{a21be8db-02a5-4294-83d7-a7cdf25a1fa9}" id="{958b4191-8291-4bb3-8093-451eb8d5a947}" done="0">
    <x18tc:text xml:space="preserve">without MDM need to enroll the JC in the laptop as per availability.</x18tc:text>
  </x18tc:threadedComment>
  <x18tc:threadedComment ref="C880" dT="2025-07-01T08:45:59.00" personId="{a21be8db-02a5-4294-83d7-a7cdf25a1fa9}" id="{a60d268c-9502-4ac1-8308-697fbdee2ab1}" done="0">
    <x18tc:text xml:space="preserve">Only User Portal Access</x18tc:text>
  </x18tc:threadedComment>
  <x18tc:threadedComment ref="C954" dT="2025-06-26T10:00:30.00" personId="{a21be8db-02a5-4294-83d7-a7cdf25a1fa9}" id="{4b5ffea9-8123-422c-be3e-556e8386672c}" done="0">
    <x18tc:text xml:space="preserve">Naveen comments :- Confirm with Abhishek</x18tc:text>
  </x18tc:threadedComment>
  <x18tc:threadedComment ref="C994" dT="2025-06-26T09:54:40.00" personId="{a21be8db-02a5-4294-83d7-a7cdf25a1fa9}" id="{c3c3daf6-58b2-4721-9bc3-afa005a76016}" done="0">
    <x18tc:text xml:space="preserve">Requested by Avijit Contractual As confirm with naveen</x18tc:text>
  </x18tc:threadedComment>
  <x18tc:threadedComment ref="C879" dT="2025-07-01T08:44:52.00" personId="{a21be8db-02a5-4294-83d7-a7cdf25a1fa9}" id="{e3dd6fb0-2e6b-4da6-84c6-c2294afdecca}" done="0">
    <x18tc:text xml:space="preserve">Only user portal access</x18tc:text>
  </x18tc:threadedComment>
  <x18tc:threadedComment ref="C953" dT="2025-06-26T10:01:03.00" personId="{a21be8db-02a5-4294-83d7-a7cdf25a1fa9}" id="{318202ce-55ae-43c6-a3f3-9a786a14f444}" done="0">
    <x18tc:text xml:space="preserve">Naveen comments :-Confirm with Abhishek</x18tc:text>
  </x18tc:threadedComment>
  <x18tc:threadedComment ref="C1157" dT="2025-06-26T09:58:17.00" personId="{a21be8db-02a5-4294-83d7-a7cdf25a1fa9}" id="{ff715c7b-1cd0-4261-89a3-75e261708796}" done="0">
    <x18tc:text xml:space="preserve">Naveen Comments :- 
Requested by Sangeetha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40" dT="2025-07-01T13:33:38.00" personId="{f4d6241f-6b83-437d-b900-c5ed85c16563}" id="{98fb11bf-c026-4efb-be78-93fbbd661bb5}" done="0">
    <x18tc:text xml:space="preserve">Is tihs exit user or not .plz confirm because as per exit sheet user remarks are exit.
Neha Sharma neha.sharma@zupee.in Date of exit : 13/12/2024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7" dT="2025-06-25T09:40:55.00" personId="{f4d6241f-6b83-437d-b900-c5ed85c16563}" id="{a6ddf738-a7f9-4da5-a646-12886415d57f}" done="0">
    <x18tc:text xml:space="preserve">@naveen.k@zupee.in :
Is tihs exit user or not .plz confirm because as per exit sheet user remarks are exit.
Neha Sharma neha.sharma@zupee.in Date of exit : 13/12/2024
Assigned to </x18tc:text>
    <x18tc:mentions>
      <x18tc:mention mentionpersonId="{d5f9055c-be02-4629-89c5-642370123d09}" mentionId="{a5a07c11-41b2-4ed5-949b-e84fab82d700}" startIndex="0" length="18"/>
    </x18tc:mentions>
  </x18tc:threadedComment>
  <x18tc:threadedComment ref="B37" dT="2025-06-26T12:56:13.00" personId="{f4d6241f-6b83-437d-b900-c5ed85c16563}" id="{1bcc6279-0161-47e1-88d9-26889409bb95}" parentId="{a6ddf738-a7f9-4da5-a646-12886415d57f}">
    <x18tc:text xml:space="preserve">Simler email ID create for New user so that in GWS account status are active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mailto:Subhankarjha65@gmail.com" TargetMode="External"/><Relationship Id="rId42" Type="http://schemas.openxmlformats.org/officeDocument/2006/relationships/hyperlink" Target="mailto:ajay.talukdar@innovationm.com" TargetMode="External"/><Relationship Id="rId41" Type="http://schemas.openxmlformats.org/officeDocument/2006/relationships/hyperlink" Target="mailto:Subhankarjha65@gmail.com" TargetMode="External"/><Relationship Id="rId44" Type="http://schemas.openxmlformats.org/officeDocument/2006/relationships/hyperlink" Target="mailto:rehan_siddiqi92@yahoo.com" TargetMode="External"/><Relationship Id="rId43" Type="http://schemas.openxmlformats.org/officeDocument/2006/relationships/hyperlink" Target="mailto:sn@ogma.in" TargetMode="External"/><Relationship Id="rId46" Type="http://schemas.openxmlformats.org/officeDocument/2006/relationships/hyperlink" Target="mailto:rahulkundu2016rk@gmail.com" TargetMode="External"/><Relationship Id="rId45" Type="http://schemas.openxmlformats.org/officeDocument/2006/relationships/hyperlink" Target="mailto:sk8281997@gmail.com" TargetMode="External"/><Relationship Id="rId1" Type="http://schemas.openxmlformats.org/officeDocument/2006/relationships/hyperlink" Target="mailto:amit.shukla072000@gmail.com" TargetMode="External"/><Relationship Id="rId2" Type="http://schemas.openxmlformats.org/officeDocument/2006/relationships/hyperlink" Target="mailto:rahul181020@gmail.com" TargetMode="External"/><Relationship Id="rId3" Type="http://schemas.openxmlformats.org/officeDocument/2006/relationships/hyperlink" Target="mailto:ramkunwarboo@gmail.com" TargetMode="External"/><Relationship Id="rId4" Type="http://schemas.openxmlformats.org/officeDocument/2006/relationships/hyperlink" Target="mailto:vatshitesh8@gmail.com" TargetMode="External"/><Relationship Id="rId9" Type="http://schemas.openxmlformats.org/officeDocument/2006/relationships/hyperlink" Target="mailto:bothra.garima@gmail.com" TargetMode="External"/><Relationship Id="rId48" Type="http://schemas.openxmlformats.org/officeDocument/2006/relationships/hyperlink" Target="mailto:Vinayrawat279@gmail.com" TargetMode="External"/><Relationship Id="rId47" Type="http://schemas.openxmlformats.org/officeDocument/2006/relationships/hyperlink" Target="mailto:atharvbende26@gmail.com" TargetMode="External"/><Relationship Id="rId49" Type="http://schemas.openxmlformats.org/officeDocument/2006/relationships/hyperlink" Target="mailto:riteshgupta2100@gmail.com" TargetMode="External"/><Relationship Id="rId5" Type="http://schemas.openxmlformats.org/officeDocument/2006/relationships/hyperlink" Target="https://www.amazon.in/dp/B08CTZ7WGJ/ref=cm_sw_r_apan_i_HWGGRTK6JQQQA7BN3M1P?_encoding=UTF8&amp;psc=1" TargetMode="External"/><Relationship Id="rId6" Type="http://schemas.openxmlformats.org/officeDocument/2006/relationships/hyperlink" Target="mailto:bisht.akash781@gmail.com" TargetMode="External"/><Relationship Id="rId7" Type="http://schemas.openxmlformats.org/officeDocument/2006/relationships/hyperlink" Target="mailto:wajidzac123445@gmail.com" TargetMode="External"/><Relationship Id="rId8" Type="http://schemas.openxmlformats.org/officeDocument/2006/relationships/hyperlink" Target="mailto:devagya33@gmail.com" TargetMode="External"/><Relationship Id="rId31" Type="http://schemas.openxmlformats.org/officeDocument/2006/relationships/hyperlink" Target="mailto:kashishnagpal8236@gmail.com" TargetMode="External"/><Relationship Id="rId30" Type="http://schemas.openxmlformats.org/officeDocument/2006/relationships/hyperlink" Target="mailto:sk2551999@gmail.com" TargetMode="External"/><Relationship Id="rId33" Type="http://schemas.openxmlformats.org/officeDocument/2006/relationships/hyperlink" Target="mailto:kubaid199@gmail.com" TargetMode="External"/><Relationship Id="rId32" Type="http://schemas.openxmlformats.org/officeDocument/2006/relationships/hyperlink" Target="mailto:solankijai17@gmail.com" TargetMode="External"/><Relationship Id="rId35" Type="http://schemas.openxmlformats.org/officeDocument/2006/relationships/hyperlink" Target="mailto:richasharma2326@gmail.com" TargetMode="External"/><Relationship Id="rId34" Type="http://schemas.openxmlformats.org/officeDocument/2006/relationships/hyperlink" Target="mailto:jrhythm858@gmail.com" TargetMode="External"/><Relationship Id="rId37" Type="http://schemas.openxmlformats.org/officeDocument/2006/relationships/hyperlink" Target="mailto:pragyasln09@gmail.com" TargetMode="External"/><Relationship Id="rId36" Type="http://schemas.openxmlformats.org/officeDocument/2006/relationships/hyperlink" Target="mailto:chethanks340@gmail.com" TargetMode="External"/><Relationship Id="rId39" Type="http://schemas.openxmlformats.org/officeDocument/2006/relationships/hyperlink" Target="mailto:er.akhil95@gmail.com" TargetMode="External"/><Relationship Id="rId38" Type="http://schemas.openxmlformats.org/officeDocument/2006/relationships/hyperlink" Target="mailto:mhd2danish@gmail.com" TargetMode="External"/><Relationship Id="rId62" Type="http://schemas.openxmlformats.org/officeDocument/2006/relationships/hyperlink" Target="mailto:rrohitsawant24@gmail.com" TargetMode="External"/><Relationship Id="rId61" Type="http://schemas.openxmlformats.org/officeDocument/2006/relationships/hyperlink" Target="mailto:lovenithsrampure@gmail.com" TargetMode="External"/><Relationship Id="rId20" Type="http://schemas.openxmlformats.org/officeDocument/2006/relationships/hyperlink" Target="mailto:lalitjadli6666@gmail.com" TargetMode="External"/><Relationship Id="rId64" Type="http://schemas.openxmlformats.org/officeDocument/2006/relationships/hyperlink" Target="mailto:ganesh.psmedia@gmail.com" TargetMode="External"/><Relationship Id="rId63" Type="http://schemas.openxmlformats.org/officeDocument/2006/relationships/hyperlink" Target="mailto:surajpol1518@gmail.com" TargetMode="External"/><Relationship Id="rId22" Type="http://schemas.openxmlformats.org/officeDocument/2006/relationships/hyperlink" Target="mailto:anusharm999@gmail.com" TargetMode="External"/><Relationship Id="rId21" Type="http://schemas.openxmlformats.org/officeDocument/2006/relationships/hyperlink" Target="mailto:mehtaharsh049@gmail.com" TargetMode="External"/><Relationship Id="rId65" Type="http://schemas.openxmlformats.org/officeDocument/2006/relationships/drawing" Target="../drawings/drawing6.xml"/><Relationship Id="rId24" Type="http://schemas.openxmlformats.org/officeDocument/2006/relationships/hyperlink" Target="mailto:bhanusangat94@gmail.com" TargetMode="External"/><Relationship Id="rId23" Type="http://schemas.openxmlformats.org/officeDocument/2006/relationships/hyperlink" Target="mailto:vermasimmi1402@gmail.com" TargetMode="External"/><Relationship Id="rId67" Type="http://schemas.openxmlformats.org/officeDocument/2006/relationships/table" Target="../tables/table4.xml"/><Relationship Id="rId60" Type="http://schemas.openxmlformats.org/officeDocument/2006/relationships/hyperlink" Target="mailto:rishabhpratap20995@gmail.com" TargetMode="External"/><Relationship Id="rId26" Type="http://schemas.openxmlformats.org/officeDocument/2006/relationships/hyperlink" Target="mailto:saneeshm2103@gmail.com" TargetMode="External"/><Relationship Id="rId25" Type="http://schemas.openxmlformats.org/officeDocument/2006/relationships/hyperlink" Target="mailto:poojakumari985439@gmail.com" TargetMode="External"/><Relationship Id="rId28" Type="http://schemas.openxmlformats.org/officeDocument/2006/relationships/hyperlink" Target="mailto:mohit.kr238@gmail.com" TargetMode="External"/><Relationship Id="rId27" Type="http://schemas.openxmlformats.org/officeDocument/2006/relationships/hyperlink" Target="mailto:arrexdev@gmail.com" TargetMode="External"/><Relationship Id="rId29" Type="http://schemas.openxmlformats.org/officeDocument/2006/relationships/hyperlink" Target="mailto:manoj.er61@gmail.com" TargetMode="External"/><Relationship Id="rId51" Type="http://schemas.openxmlformats.org/officeDocument/2006/relationships/hyperlink" Target="mailto:nayakmadhurika6@gmail.com" TargetMode="External"/><Relationship Id="rId50" Type="http://schemas.openxmlformats.org/officeDocument/2006/relationships/hyperlink" Target="http://linkedin.com/in/idanishsharma" TargetMode="External"/><Relationship Id="rId53" Type="http://schemas.openxmlformats.org/officeDocument/2006/relationships/hyperlink" Target="mailto:sharma.1506vivek@gmail.com" TargetMode="External"/><Relationship Id="rId52" Type="http://schemas.openxmlformats.org/officeDocument/2006/relationships/hyperlink" Target="mailto:sourabhatram123@gmail.com" TargetMode="External"/><Relationship Id="rId11" Type="http://schemas.openxmlformats.org/officeDocument/2006/relationships/hyperlink" Target="mailto:pulkitgupta040@gmail.com" TargetMode="External"/><Relationship Id="rId55" Type="http://schemas.openxmlformats.org/officeDocument/2006/relationships/hyperlink" Target="mailto:rohangauda013@gmail.com" TargetMode="External"/><Relationship Id="rId10" Type="http://schemas.openxmlformats.org/officeDocument/2006/relationships/hyperlink" Target="mailto:tguptaa2019@gmail.com" TargetMode="External"/><Relationship Id="rId54" Type="http://schemas.openxmlformats.org/officeDocument/2006/relationships/hyperlink" Target="mailto:sidmlv43@gmail.com" TargetMode="External"/><Relationship Id="rId13" Type="http://schemas.openxmlformats.org/officeDocument/2006/relationships/hyperlink" Target="mailto:mishraastha211@gmail.com" TargetMode="External"/><Relationship Id="rId57" Type="http://schemas.openxmlformats.org/officeDocument/2006/relationships/hyperlink" Target="mailto:ag2881427@gmail.com" TargetMode="External"/><Relationship Id="rId12" Type="http://schemas.openxmlformats.org/officeDocument/2006/relationships/hyperlink" Target="mailto:goelmaneesh@gmail.com" TargetMode="External"/><Relationship Id="rId56" Type="http://schemas.openxmlformats.org/officeDocument/2006/relationships/hyperlink" Target="mailto:kashishbaliyan@gmail.com" TargetMode="External"/><Relationship Id="rId15" Type="http://schemas.openxmlformats.org/officeDocument/2006/relationships/hyperlink" Target="mailto:sameer.amaan75@gmail.com" TargetMode="External"/><Relationship Id="rId59" Type="http://schemas.openxmlformats.org/officeDocument/2006/relationships/hyperlink" Target="mailto:ritikasati1212@gmail.com" TargetMode="External"/><Relationship Id="rId14" Type="http://schemas.openxmlformats.org/officeDocument/2006/relationships/hyperlink" Target="mailto:suryanshu.30sep@gmail.com" TargetMode="External"/><Relationship Id="rId58" Type="http://schemas.openxmlformats.org/officeDocument/2006/relationships/hyperlink" Target="mailto:palv703@gmail.com" TargetMode="External"/><Relationship Id="rId17" Type="http://schemas.openxmlformats.org/officeDocument/2006/relationships/hyperlink" Target="mailto:devwork260802@gmail.com" TargetMode="External"/><Relationship Id="rId16" Type="http://schemas.openxmlformats.org/officeDocument/2006/relationships/hyperlink" Target="mailto:ac2845537@gmail.com" TargetMode="External"/><Relationship Id="rId19" Type="http://schemas.openxmlformats.org/officeDocument/2006/relationships/hyperlink" Target="mailto:sahidafreediji@gmail.com" TargetMode="External"/><Relationship Id="rId18" Type="http://schemas.openxmlformats.org/officeDocument/2006/relationships/hyperlink" Target="mailto:ritik9105487762@gmail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mailto:nikhil.gupta@zupee.in" TargetMode="External"/><Relationship Id="rId2" Type="http://schemas.openxmlformats.org/officeDocument/2006/relationships/hyperlink" Target="mailto:itservices@zupee.in" TargetMode="External"/><Relationship Id="rId3" Type="http://schemas.openxmlformats.org/officeDocument/2006/relationships/hyperlink" Target="mailto:amit.singh@zupee.in" TargetMode="External"/><Relationship Id="rId4" Type="http://schemas.openxmlformats.org/officeDocument/2006/relationships/hyperlink" Target="mailto:saumil.shah@zupee.in" TargetMode="External"/><Relationship Id="rId5" Type="http://schemas.openxmlformats.org/officeDocument/2006/relationships/hyperlink" Target="mailto:itservices@zupee.in" TargetMode="External"/><Relationship Id="rId6" Type="http://schemas.openxmlformats.org/officeDocument/2006/relationships/drawing" Target="../drawings/drawing8.xml"/><Relationship Id="rId8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4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console.jumpcloud.com/" TargetMode="External"/><Relationship Id="rId2" Type="http://schemas.openxmlformats.org/officeDocument/2006/relationships/hyperlink" Target="https://console.jumpcloud.com/" TargetMode="External"/><Relationship Id="rId3" Type="http://schemas.openxmlformats.org/officeDocument/2006/relationships/hyperlink" Target="https://console.jumpcloud.com/" TargetMode="External"/><Relationship Id="rId4" Type="http://schemas.openxmlformats.org/officeDocument/2006/relationships/hyperlink" Target="https://console.jumpcloud.com/" TargetMode="External"/><Relationship Id="rId9" Type="http://schemas.openxmlformats.org/officeDocument/2006/relationships/hyperlink" Target="mailto:abhishek.choudhary@cashgrail.onmicrosoft.com" TargetMode="External"/><Relationship Id="rId5" Type="http://schemas.openxmlformats.org/officeDocument/2006/relationships/hyperlink" Target="https://console.jumpcloud.com/" TargetMode="External"/><Relationship Id="rId6" Type="http://schemas.openxmlformats.org/officeDocument/2006/relationships/hyperlink" Target="mailto:sagar.nassa@cashgrail.onmicrosoft.com" TargetMode="External"/><Relationship Id="rId7" Type="http://schemas.openxmlformats.org/officeDocument/2006/relationships/hyperlink" Target="mailto:gunn.bhargava@cashgrail.onmicrosoft.com" TargetMode="External"/><Relationship Id="rId8" Type="http://schemas.openxmlformats.org/officeDocument/2006/relationships/hyperlink" Target="mailto:shivam.s@cashgrail.onmicrosoft.com" TargetMode="External"/><Relationship Id="rId11" Type="http://schemas.openxmlformats.org/officeDocument/2006/relationships/hyperlink" Target="mailto:sahil.brahmania@cashgrail.onmicrosoft.com" TargetMode="External"/><Relationship Id="rId10" Type="http://schemas.openxmlformats.org/officeDocument/2006/relationships/hyperlink" Target="mailto:jaya.tiwari@cashgrail.onmicrosoft.com" TargetMode="External"/><Relationship Id="rId13" Type="http://schemas.openxmlformats.org/officeDocument/2006/relationships/drawing" Target="../drawings/drawing13.xml"/><Relationship Id="rId12" Type="http://schemas.openxmlformats.org/officeDocument/2006/relationships/hyperlink" Target="https://console.jumpcloud.com/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mailto:chaitanya.kapoor@zupee.in" TargetMode="External"/><Relationship Id="rId2" Type="http://schemas.openxmlformats.org/officeDocument/2006/relationships/hyperlink" Target="mailto:eeshma.anand@zupee.in" TargetMode="External"/><Relationship Id="rId3" Type="http://schemas.openxmlformats.org/officeDocument/2006/relationships/hyperlink" Target="mailto:gulshan.varshney@zupee.in" TargetMode="External"/><Relationship Id="rId4" Type="http://schemas.openxmlformats.org/officeDocument/2006/relationships/hyperlink" Target="mailto:aman.hans@zupee.in" TargetMode="External"/><Relationship Id="rId9" Type="http://schemas.openxmlformats.org/officeDocument/2006/relationships/hyperlink" Target="mailto:rohit.sahni@zupee.in" TargetMode="External"/><Relationship Id="rId5" Type="http://schemas.openxmlformats.org/officeDocument/2006/relationships/hyperlink" Target="mailto:aditya.samantaray@zupee.in" TargetMode="External"/><Relationship Id="rId6" Type="http://schemas.openxmlformats.org/officeDocument/2006/relationships/hyperlink" Target="mailto:vivek.choudhary@zupee.in" TargetMode="External"/><Relationship Id="rId7" Type="http://schemas.openxmlformats.org/officeDocument/2006/relationships/hyperlink" Target="mailto:geeta.joshi@zupee.in" TargetMode="External"/><Relationship Id="rId8" Type="http://schemas.openxmlformats.org/officeDocument/2006/relationships/hyperlink" Target="mailto:khushboo.singh@zupee.in" TargetMode="External"/><Relationship Id="rId11" Type="http://schemas.openxmlformats.org/officeDocument/2006/relationships/hyperlink" Target="mailto:rahil.choudhary@zupee.in" TargetMode="External"/><Relationship Id="rId10" Type="http://schemas.openxmlformats.org/officeDocument/2006/relationships/hyperlink" Target="mailto:ayan.pathan@zupee.in" TargetMode="External"/><Relationship Id="rId13" Type="http://schemas.openxmlformats.org/officeDocument/2006/relationships/hyperlink" Target="mailto:jaidev.chauhan@zupee.in" TargetMode="External"/><Relationship Id="rId12" Type="http://schemas.openxmlformats.org/officeDocument/2006/relationships/hyperlink" Target="mailto:khushboo.kushwah@zupee.in" TargetMode="External"/><Relationship Id="rId15" Type="http://schemas.openxmlformats.org/officeDocument/2006/relationships/hyperlink" Target="mailto:priyanka.tiwari@zupee.in" TargetMode="External"/><Relationship Id="rId14" Type="http://schemas.openxmlformats.org/officeDocument/2006/relationships/hyperlink" Target="mailto:rukhsar.bano@zupee.in" TargetMode="External"/><Relationship Id="rId1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mailto:rahul.s@zupee.in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15.88"/>
    <col customWidth="1" min="3" max="3" width="5.88"/>
    <col customWidth="1" min="4" max="4" width="28.5"/>
    <col customWidth="1" min="5" max="5" width="11.13"/>
    <col customWidth="1" min="6" max="6" width="3.13"/>
    <col customWidth="1" min="7" max="7" width="35.25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tr">
        <f>IFERROR(__xludf.DUMMYFUNCTION("{""Department 🔂""; 
  ARRAYFORMULA(
    IFERROR(
      FILTER(UNIQUE('On-Boarding'!$D$2:$D1002), UNIQUE('On-Boarding'!$D$2:$D1002) &lt;&gt; """")
    , """")
  );
  ""Grand Total""}"),"Department 🔂")</f>
        <v>Department 🔂</v>
      </c>
      <c r="B2" s="4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2" t="str">
        <f>IFERROR(__xludf.DUMMYFUNCTION("""COMPUTED_VALUE"""),"Strategy")</f>
        <v>Strategy</v>
      </c>
      <c r="B3" s="2">
        <f>(IF(A2:A1002 = "", "", COUNTIFS('On-Boarding'!$D$2:$D1002, A2:A1002, 'On-Boarding'!$L$2:$L1002, "")))</f>
        <v>14</v>
      </c>
      <c r="C3" s="2"/>
      <c r="D3" s="5" t="s">
        <v>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 t="str">
        <f>IFERROR(__xludf.DUMMYFUNCTION("""COMPUTED_VALUE"""),"Legal")</f>
        <v>Legal</v>
      </c>
      <c r="B4" s="2">
        <f>(IF(A3:A1002 = "", "", COUNTIFS('On-Boarding'!$D$2:$D1002, A3:A1002, 'On-Boarding'!$L$2:$L1002, "")))</f>
        <v>8</v>
      </c>
      <c r="C4" s="2"/>
      <c r="D4" s="5" t="s">
        <v>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2" t="str">
        <f>IFERROR(__xludf.DUMMYFUNCTION("""COMPUTED_VALUE"""),"Org")</f>
        <v>Org</v>
      </c>
      <c r="B5" s="2">
        <f>(IF(A4:A1002 = "", "", COUNTIFS('On-Boarding'!$D$2:$D1002, A4:A1002, 'On-Boarding'!$L$2:$L1002, "")))</f>
        <v>13</v>
      </c>
      <c r="C5" s="2"/>
      <c r="D5" s="6">
        <v>7.0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2" t="str">
        <f>IFERROR(__xludf.DUMMYFUNCTION("""COMPUTED_VALUE"""),"Brand Marketing")</f>
        <v>Brand Marketing</v>
      </c>
      <c r="B6" s="2">
        <f>(IF(A5:A1002 = "", "", COUNTIFS('On-Boarding'!$D$2:$D1002, A5:A1002, 'On-Boarding'!$L$2:$L1002, "")))</f>
        <v>19</v>
      </c>
      <c r="C6" s="2"/>
      <c r="D6" s="5" t="s">
        <v>6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2" t="str">
        <f>IFERROR(__xludf.DUMMYFUNCTION("""COMPUTED_VALUE"""),"Technology")</f>
        <v>Technology</v>
      </c>
      <c r="B7" s="2">
        <f>(IF(A6:A1002 = "", "", COUNTIFS('On-Boarding'!$D$2:$D1002, A6:A1002, 'On-Boarding'!$L$2:$L1002, "")))</f>
        <v>69</v>
      </c>
      <c r="C7" s="2"/>
      <c r="D7" s="5" t="s">
        <v>6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2" t="str">
        <f>IFERROR(__xludf.DUMMYFUNCTION("""COMPUTED_VALUE"""),"Digital Marketing")</f>
        <v>Digital Marketing</v>
      </c>
      <c r="B8" s="2">
        <f>(IF(A7:A1002 = "", "", COUNTIFS('On-Boarding'!$D$2:$D1002, A7:A1002, 'On-Boarding'!$L$2:$L1002, "")))</f>
        <v>18</v>
      </c>
      <c r="C8" s="2"/>
      <c r="D8" s="5" t="s">
        <v>6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2" t="str">
        <f>IFERROR(__xludf.DUMMYFUNCTION("""COMPUTED_VALUE"""),"Customer Experience")</f>
        <v>Customer Experience</v>
      </c>
      <c r="B9" s="2">
        <f>(IF(A8:A1002 = "", "", COUNTIFS('On-Boarding'!$D$2:$D1002, A8:A1002, 'On-Boarding'!$L$2:$L1002, "")))</f>
        <v>31</v>
      </c>
      <c r="C9" s="2"/>
      <c r="D9" s="5" t="s">
        <v>6</v>
      </c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2" t="str">
        <f>IFERROR(__xludf.DUMMYFUNCTION("""COMPUTED_VALUE"""),"Data")</f>
        <v>Data</v>
      </c>
      <c r="B10" s="2">
        <f>(IF(A9:A1002 = "", "", COUNTIFS('On-Boarding'!$D$2:$D1002, A9:A1002, 'On-Boarding'!$L$2:$L1002, "")))</f>
        <v>32</v>
      </c>
      <c r="C10" s="2"/>
      <c r="D10" s="5" t="s">
        <v>6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2" t="str">
        <f>IFERROR(__xludf.DUMMYFUNCTION("""COMPUTED_VALUE"""),"Human Resources")</f>
        <v>Human Resources</v>
      </c>
      <c r="B11" s="2">
        <f>(IF(A10:A1002 = "", "", COUNTIFS('On-Boarding'!$D$2:$D1002, A10:A1002, 'On-Boarding'!$L$2:$L1002, "")))</f>
        <v>16</v>
      </c>
      <c r="C11" s="2"/>
      <c r="D11" s="5" t="s">
        <v>6</v>
      </c>
      <c r="E11" s="5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2" t="str">
        <f>IFERROR(__xludf.DUMMYFUNCTION("""COMPUTED_VALUE"""),"Product Design")</f>
        <v>Product Design</v>
      </c>
      <c r="B12" s="2">
        <f>(IF(A11:A1002 = "", "", COUNTIFS('On-Boarding'!$D$2:$D1002, A11:A1002, 'On-Boarding'!$L$2:$L1002, "")))</f>
        <v>8</v>
      </c>
      <c r="C12" s="2"/>
      <c r="D12" s="5" t="s">
        <v>6</v>
      </c>
      <c r="E12" s="5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2" t="str">
        <f>IFERROR(__xludf.DUMMYFUNCTION("""COMPUTED_VALUE"""),"Finance")</f>
        <v>Finance</v>
      </c>
      <c r="B13" s="2">
        <f>(IF(A12:A1002 = "", "", COUNTIFS('On-Boarding'!$D$2:$D1002, A12:A1002, 'On-Boarding'!$L$2:$L1002, "")))</f>
        <v>23</v>
      </c>
      <c r="C13" s="2"/>
      <c r="D13" s="5" t="s">
        <v>6</v>
      </c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2" t="str">
        <f>IFERROR(__xludf.DUMMYFUNCTION("""COMPUTED_VALUE"""),"Product")</f>
        <v>Product</v>
      </c>
      <c r="B14" s="2">
        <f>(IF(A13:A1002 = "", "", COUNTIFS('On-Boarding'!$D$2:$D1002, A13:A1002, 'On-Boarding'!$L$2:$L1002, "")))</f>
        <v>24</v>
      </c>
      <c r="C14" s="2"/>
      <c r="D14" s="5" t="s">
        <v>6</v>
      </c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2" t="str">
        <f>IFERROR(__xludf.DUMMYFUNCTION("""COMPUTED_VALUE"""),"IT Infra")</f>
        <v>IT Infra</v>
      </c>
      <c r="B15" s="2">
        <f>(IF(A14:A1002 = "", "", COUNTIFS('On-Boarding'!$D$2:$D1002, A14:A1002, 'On-Boarding'!$L$2:$L1002, "")))</f>
        <v>12</v>
      </c>
      <c r="C15" s="2"/>
      <c r="D15" s="5" t="s">
        <v>6</v>
      </c>
      <c r="E15" s="5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>
      <c r="A16" s="2" t="str">
        <f>IFERROR(__xludf.DUMMYFUNCTION("""COMPUTED_VALUE"""),"P R &amp; Corporate Comms")</f>
        <v>P R &amp; Corporate Comms</v>
      </c>
      <c r="B16" s="2">
        <f>(IF(A15:A1002 = "", "", COUNTIFS('On-Boarding'!$D$2:$D1002, A15:A1002, 'On-Boarding'!$L$2:$L1002, "")))</f>
        <v>2</v>
      </c>
      <c r="C16" s="2"/>
      <c r="D16" s="5" t="s">
        <v>6</v>
      </c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2" t="str">
        <f>IFERROR(__xludf.DUMMYFUNCTION("""COMPUTED_VALUE"""),"Public Policy")</f>
        <v>Public Policy</v>
      </c>
      <c r="B17" s="2">
        <f>(IF(A16:A1002 = "", "", COUNTIFS('On-Boarding'!$D$2:$D1002, A16:A1002, 'On-Boarding'!$L$2:$L1002, "")))</f>
        <v>1</v>
      </c>
      <c r="C17" s="2"/>
      <c r="D17" s="5" t="s">
        <v>6</v>
      </c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" t="str">
        <f>IFERROR(__xludf.DUMMYFUNCTION("""COMPUTED_VALUE"""),"Founder's Office")</f>
        <v>Founder's Office</v>
      </c>
      <c r="B18" s="2">
        <f>(IF(A17:A1002 = "", "", COUNTIFS('On-Boarding'!$D$2:$D1002, A17:A1002, 'On-Boarding'!$L$2:$L1002, "")))</f>
        <v>5</v>
      </c>
      <c r="C18" s="2"/>
      <c r="D18" s="5" t="s">
        <v>6</v>
      </c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" t="str">
        <f>IFERROR(__xludf.DUMMYFUNCTION("""COMPUTED_VALUE"""),"Administration")</f>
        <v>Administration</v>
      </c>
      <c r="B19" s="2">
        <f>(IF(A18:A1002 = "", "", COUNTIFS('On-Boarding'!$D$2:$D1002, A18:A1002, 'On-Boarding'!$L$2:$L1002, "")))</f>
        <v>3</v>
      </c>
      <c r="C19" s="2"/>
      <c r="D19" s="5" t="s">
        <v>6</v>
      </c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" t="str">
        <f>IFERROR(__xludf.DUMMYFUNCTION("""COMPUTED_VALUE"""),"strategy")</f>
        <v>strategy</v>
      </c>
      <c r="B20" s="2">
        <f>(IF(A19:A1002 = "", "", COUNTIFS('On-Boarding'!$D$2:$D1002, A19:A1002, 'On-Boarding'!$L$2:$L1002, "")))</f>
        <v>14</v>
      </c>
      <c r="C20" s="2"/>
      <c r="D20" s="5" t="s">
        <v>6</v>
      </c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" t="str">
        <f>IFERROR(__xludf.DUMMYFUNCTION("""COMPUTED_VALUE"""),"Vertical Tv")</f>
        <v>Vertical Tv</v>
      </c>
      <c r="B21" s="2">
        <f>(IF(A20:A1002 = "", "", COUNTIFS('On-Boarding'!$D$2:$D1002, A20:A1002, 'On-Boarding'!$L$2:$L1002, "")))</f>
        <v>86</v>
      </c>
      <c r="C21" s="2"/>
      <c r="D21" s="5" t="s">
        <v>6</v>
      </c>
      <c r="E21" s="5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" t="str">
        <f>IFERROR(__xludf.DUMMYFUNCTION("""COMPUTED_VALUE"""),"Nucanon")</f>
        <v>Nucanon</v>
      </c>
      <c r="B22" s="2">
        <f>(IF(A21:A1002 = "", "", COUNTIFS('On-Boarding'!$D$2:$D1002, A21:A1002, 'On-Boarding'!$L$2:$L1002, "")))</f>
        <v>1</v>
      </c>
      <c r="C22" s="2"/>
      <c r="D22" s="5" t="s">
        <v>6</v>
      </c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8" t="str">
        <f>IFERROR(__xludf.DUMMYFUNCTION("""COMPUTED_VALUE"""),"Grand Total")</f>
        <v>Grand Total</v>
      </c>
      <c r="B23" s="9">
        <f>SUM(B4:B22)</f>
        <v>385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8"/>
      <c r="B24" s="1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8"/>
      <c r="B25" s="1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11" t="s">
        <v>7</v>
      </c>
      <c r="B26" s="12" t="s">
        <v>8</v>
      </c>
      <c r="C26" s="2"/>
      <c r="D26" s="13" t="s">
        <v>9</v>
      </c>
      <c r="E26" s="14" t="s">
        <v>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15" t="s">
        <v>10</v>
      </c>
      <c r="B27" s="16" t="s">
        <v>11</v>
      </c>
      <c r="C27" s="2"/>
      <c r="D27" s="17" t="s">
        <v>12</v>
      </c>
      <c r="E27" s="14" t="s">
        <v>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15" t="s">
        <v>14</v>
      </c>
      <c r="B28" s="16" t="s">
        <v>15</v>
      </c>
      <c r="C28" s="2"/>
      <c r="D28" s="17" t="s">
        <v>16</v>
      </c>
      <c r="E28" s="14" t="s">
        <v>13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15" t="s">
        <v>17</v>
      </c>
      <c r="B29" s="16" t="s">
        <v>18</v>
      </c>
      <c r="C29" s="2"/>
      <c r="D29" s="17" t="s">
        <v>19</v>
      </c>
      <c r="E29" s="14" t="s">
        <v>13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5" t="s">
        <v>12</v>
      </c>
      <c r="B30" s="16" t="s">
        <v>20</v>
      </c>
      <c r="C30" s="2"/>
      <c r="D30" s="17" t="s">
        <v>21</v>
      </c>
      <c r="E30" s="14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5" t="s">
        <v>22</v>
      </c>
      <c r="B31" s="16" t="s">
        <v>23</v>
      </c>
      <c r="C31" s="2"/>
      <c r="D31" s="18" t="s">
        <v>24</v>
      </c>
      <c r="E31" s="14" t="s">
        <v>13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15" t="s">
        <v>25</v>
      </c>
      <c r="B32" s="16" t="s">
        <v>26</v>
      </c>
      <c r="C32" s="2"/>
      <c r="D32" s="18" t="s">
        <v>27</v>
      </c>
      <c r="E32" s="14" t="s">
        <v>13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15" t="s">
        <v>28</v>
      </c>
      <c r="B33" s="16" t="s">
        <v>29</v>
      </c>
      <c r="C33" s="2"/>
      <c r="D33" s="17" t="s">
        <v>22</v>
      </c>
      <c r="E33" s="14" t="s">
        <v>13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15" t="s">
        <v>30</v>
      </c>
      <c r="B34" s="16" t="s">
        <v>31</v>
      </c>
      <c r="C34" s="2"/>
      <c r="D34" s="17" t="s">
        <v>30</v>
      </c>
      <c r="E34" s="14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15" t="s">
        <v>16</v>
      </c>
      <c r="B35" s="16" t="s">
        <v>32</v>
      </c>
      <c r="C35" s="2"/>
      <c r="D35" s="17" t="s">
        <v>33</v>
      </c>
      <c r="E35" s="14" t="s">
        <v>13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15" t="s">
        <v>33</v>
      </c>
      <c r="B36" s="16" t="s">
        <v>34</v>
      </c>
      <c r="C36" s="2"/>
      <c r="D36" s="17" t="s">
        <v>35</v>
      </c>
      <c r="E36" s="14" t="s">
        <v>13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15" t="s">
        <v>36</v>
      </c>
      <c r="B37" s="16" t="s">
        <v>37</v>
      </c>
      <c r="C37" s="2"/>
      <c r="D37" s="17" t="s">
        <v>38</v>
      </c>
      <c r="E37" s="14" t="s">
        <v>13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15" t="s">
        <v>39</v>
      </c>
      <c r="B38" s="16" t="s">
        <v>40</v>
      </c>
      <c r="C38" s="2"/>
      <c r="D38" s="17" t="s">
        <v>25</v>
      </c>
      <c r="E38" s="14" t="s">
        <v>13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15" t="s">
        <v>21</v>
      </c>
      <c r="B39" s="16" t="s">
        <v>41</v>
      </c>
      <c r="C39" s="2"/>
      <c r="D39" s="17" t="s">
        <v>36</v>
      </c>
      <c r="E39" s="14" t="s">
        <v>13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19" t="s">
        <v>42</v>
      </c>
      <c r="B40" s="16" t="s">
        <v>43</v>
      </c>
      <c r="C40" s="2"/>
      <c r="D40" s="17" t="s">
        <v>39</v>
      </c>
      <c r="E40" s="14" t="s">
        <v>13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15" t="s">
        <v>44</v>
      </c>
      <c r="B41" s="16" t="s">
        <v>45</v>
      </c>
      <c r="C41" s="2"/>
      <c r="D41" s="17" t="s">
        <v>46</v>
      </c>
      <c r="E41" s="14" t="s">
        <v>13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16" t="s">
        <v>47</v>
      </c>
      <c r="B42" s="16" t="s">
        <v>48</v>
      </c>
      <c r="C42" s="2"/>
      <c r="D42" s="17" t="s">
        <v>47</v>
      </c>
      <c r="E42" s="14" t="s">
        <v>13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20" t="s">
        <v>49</v>
      </c>
      <c r="B43" s="20" t="s">
        <v>50</v>
      </c>
      <c r="C43" s="2"/>
      <c r="D43" s="17" t="s">
        <v>17</v>
      </c>
      <c r="E43" s="14" t="s">
        <v>13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20" t="s">
        <v>51</v>
      </c>
      <c r="B44" s="20" t="s">
        <v>52</v>
      </c>
      <c r="C44" s="2"/>
      <c r="D44" s="17" t="s">
        <v>42</v>
      </c>
      <c r="E44" s="14" t="s">
        <v>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>
      <c r="A45" s="20" t="s">
        <v>53</v>
      </c>
      <c r="B45" s="20"/>
      <c r="C45" s="2"/>
      <c r="D45" s="17" t="s">
        <v>28</v>
      </c>
      <c r="E45" s="14" t="s">
        <v>13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2"/>
      <c r="B46" s="2"/>
      <c r="C46" s="2"/>
      <c r="D46" s="17" t="s">
        <v>14</v>
      </c>
      <c r="E46" s="14" t="s">
        <v>13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2"/>
      <c r="B47" s="2"/>
      <c r="C47" s="2"/>
      <c r="D47" s="20" t="s">
        <v>51</v>
      </c>
      <c r="E47" s="14" t="s">
        <v>13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2"/>
      <c r="B48" s="2"/>
      <c r="C48" s="2"/>
      <c r="D48" s="17" t="s">
        <v>54</v>
      </c>
      <c r="E48" s="14" t="s">
        <v>13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2"/>
      <c r="B49" s="2"/>
      <c r="C49" s="2"/>
      <c r="D49" s="17" t="s">
        <v>55</v>
      </c>
      <c r="E49" s="14" t="s">
        <v>13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2"/>
      <c r="B50" s="2"/>
      <c r="C50" s="2"/>
      <c r="D50" s="17" t="s">
        <v>56</v>
      </c>
      <c r="E50" s="14" t="s">
        <v>13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88"/>
    <col customWidth="1" min="2" max="2" width="23.13"/>
    <col customWidth="1" min="3" max="3" width="24.75"/>
    <col customWidth="1" min="4" max="4" width="17.13"/>
    <col customWidth="1" min="5" max="5" width="7.0"/>
    <col customWidth="1" min="6" max="6" width="13.13"/>
    <col customWidth="1" min="7" max="7" width="12.0"/>
    <col customWidth="1" min="8" max="8" width="38.25"/>
    <col customWidth="1" min="9" max="9" width="24.5"/>
    <col customWidth="1" min="10" max="10" width="30.63"/>
    <col customWidth="1" min="11" max="11" width="62.63"/>
    <col customWidth="1" hidden="1" min="12" max="12" width="9.25"/>
  </cols>
  <sheetData>
    <row r="1">
      <c r="A1" s="21" t="s">
        <v>57</v>
      </c>
      <c r="B1" s="21" t="s">
        <v>58</v>
      </c>
      <c r="C1" s="21" t="s">
        <v>59</v>
      </c>
      <c r="D1" s="22" t="s">
        <v>60</v>
      </c>
      <c r="E1" s="23" t="s">
        <v>61</v>
      </c>
      <c r="F1" s="22" t="s">
        <v>62</v>
      </c>
      <c r="G1" s="22" t="s">
        <v>63</v>
      </c>
      <c r="H1" s="24" t="s">
        <v>64</v>
      </c>
      <c r="I1" s="24" t="s">
        <v>65</v>
      </c>
      <c r="J1" s="21" t="s">
        <v>66</v>
      </c>
      <c r="K1" s="24" t="s">
        <v>67</v>
      </c>
      <c r="L1" s="21" t="str">
        <f t="array" ref="L1:L1542">{"No-Dues St"; IF(ISNA(VLOOKUP(C2:C1542, 'Off-Boarding'!B:B, 1, FALSE)), "", "No-Dues")}</f>
        <v>No-Dues St</v>
      </c>
    </row>
    <row r="2">
      <c r="A2" s="25" t="s">
        <v>68</v>
      </c>
      <c r="B2" s="26" t="s">
        <v>69</v>
      </c>
      <c r="C2" s="27" t="s">
        <v>70</v>
      </c>
      <c r="D2" s="27" t="s">
        <v>28</v>
      </c>
      <c r="E2" s="28" t="s">
        <v>71</v>
      </c>
      <c r="F2" s="29">
        <v>7.022967608E9</v>
      </c>
      <c r="G2" s="30" t="s">
        <v>72</v>
      </c>
      <c r="H2" s="31" t="s">
        <v>73</v>
      </c>
      <c r="I2" s="26" t="s">
        <v>74</v>
      </c>
      <c r="J2" s="26"/>
      <c r="K2" s="31"/>
      <c r="L2" s="31" t="s">
        <v>75</v>
      </c>
    </row>
    <row r="3">
      <c r="A3" s="25" t="s">
        <v>68</v>
      </c>
      <c r="B3" s="26" t="s">
        <v>76</v>
      </c>
      <c r="C3" s="26" t="s">
        <v>77</v>
      </c>
      <c r="D3" s="32"/>
      <c r="E3" s="28" t="s">
        <v>71</v>
      </c>
      <c r="F3" s="33"/>
      <c r="G3" s="32"/>
      <c r="H3" s="31"/>
      <c r="I3" s="26"/>
      <c r="J3" s="26"/>
      <c r="K3" s="31"/>
      <c r="L3" s="31" t="s">
        <v>78</v>
      </c>
    </row>
    <row r="4">
      <c r="A4" s="25" t="s">
        <v>68</v>
      </c>
      <c r="B4" s="26" t="s">
        <v>79</v>
      </c>
      <c r="C4" s="26" t="s">
        <v>80</v>
      </c>
      <c r="D4" s="32"/>
      <c r="E4" s="28" t="s">
        <v>71</v>
      </c>
      <c r="F4" s="33"/>
      <c r="G4" s="32"/>
      <c r="H4" s="31"/>
      <c r="I4" s="26"/>
      <c r="J4" s="26"/>
      <c r="K4" s="31"/>
      <c r="L4" s="31" t="s">
        <v>78</v>
      </c>
    </row>
    <row r="5">
      <c r="A5" s="25" t="s">
        <v>68</v>
      </c>
      <c r="B5" s="26" t="s">
        <v>81</v>
      </c>
      <c r="C5" s="26" t="s">
        <v>82</v>
      </c>
      <c r="D5" s="32"/>
      <c r="E5" s="28" t="s">
        <v>71</v>
      </c>
      <c r="F5" s="33"/>
      <c r="G5" s="32"/>
      <c r="H5" s="31"/>
      <c r="I5" s="26"/>
      <c r="J5" s="26"/>
      <c r="K5" s="31"/>
      <c r="L5" s="31" t="s">
        <v>78</v>
      </c>
    </row>
    <row r="6">
      <c r="A6" s="25" t="s">
        <v>68</v>
      </c>
      <c r="B6" s="26" t="s">
        <v>83</v>
      </c>
      <c r="C6" s="26" t="s">
        <v>84</v>
      </c>
      <c r="D6" s="32"/>
      <c r="E6" s="28" t="s">
        <v>71</v>
      </c>
      <c r="F6" s="33"/>
      <c r="G6" s="32"/>
      <c r="H6" s="31"/>
      <c r="I6" s="26"/>
      <c r="J6" s="26"/>
      <c r="K6" s="31"/>
      <c r="L6" s="31" t="s">
        <v>78</v>
      </c>
    </row>
    <row r="7">
      <c r="A7" s="25" t="s">
        <v>68</v>
      </c>
      <c r="B7" s="26" t="s">
        <v>85</v>
      </c>
      <c r="C7" s="26" t="s">
        <v>86</v>
      </c>
      <c r="D7" s="32"/>
      <c r="E7" s="28" t="s">
        <v>71</v>
      </c>
      <c r="F7" s="33"/>
      <c r="G7" s="32"/>
      <c r="H7" s="31"/>
      <c r="I7" s="26"/>
      <c r="J7" s="26"/>
      <c r="K7" s="31"/>
      <c r="L7" s="31" t="s">
        <v>78</v>
      </c>
    </row>
    <row r="8">
      <c r="A8" s="25" t="s">
        <v>68</v>
      </c>
      <c r="B8" s="26" t="s">
        <v>87</v>
      </c>
      <c r="C8" s="26" t="s">
        <v>88</v>
      </c>
      <c r="D8" s="32"/>
      <c r="E8" s="28" t="s">
        <v>71</v>
      </c>
      <c r="F8" s="33"/>
      <c r="G8" s="32"/>
      <c r="H8" s="31"/>
      <c r="I8" s="26"/>
      <c r="J8" s="26"/>
      <c r="K8" s="31"/>
      <c r="L8" s="31" t="s">
        <v>78</v>
      </c>
    </row>
    <row r="9">
      <c r="A9" s="25" t="s">
        <v>68</v>
      </c>
      <c r="B9" s="26" t="s">
        <v>89</v>
      </c>
      <c r="C9" s="26" t="s">
        <v>90</v>
      </c>
      <c r="D9" s="32"/>
      <c r="E9" s="28" t="s">
        <v>71</v>
      </c>
      <c r="F9" s="33"/>
      <c r="G9" s="32"/>
      <c r="H9" s="31"/>
      <c r="I9" s="26"/>
      <c r="J9" s="26"/>
      <c r="K9" s="31"/>
      <c r="L9" s="31" t="s">
        <v>78</v>
      </c>
    </row>
    <row r="10">
      <c r="A10" s="25" t="s">
        <v>68</v>
      </c>
      <c r="B10" s="26" t="s">
        <v>91</v>
      </c>
      <c r="C10" s="26" t="s">
        <v>92</v>
      </c>
      <c r="D10" s="32"/>
      <c r="E10" s="28" t="s">
        <v>71</v>
      </c>
      <c r="F10" s="33"/>
      <c r="G10" s="32"/>
      <c r="H10" s="31"/>
      <c r="I10" s="26"/>
      <c r="J10" s="26"/>
      <c r="K10" s="31"/>
      <c r="L10" s="31" t="s">
        <v>78</v>
      </c>
    </row>
    <row r="11">
      <c r="A11" s="25" t="s">
        <v>68</v>
      </c>
      <c r="B11" s="26" t="s">
        <v>93</v>
      </c>
      <c r="C11" s="26" t="s">
        <v>94</v>
      </c>
      <c r="D11" s="32"/>
      <c r="E11" s="28" t="s">
        <v>71</v>
      </c>
      <c r="F11" s="33"/>
      <c r="G11" s="32"/>
      <c r="H11" s="31"/>
      <c r="I11" s="26"/>
      <c r="J11" s="26"/>
      <c r="K11" s="31"/>
      <c r="L11" s="31" t="s">
        <v>78</v>
      </c>
    </row>
    <row r="12">
      <c r="A12" s="25" t="s">
        <v>68</v>
      </c>
      <c r="B12" s="26" t="s">
        <v>95</v>
      </c>
      <c r="C12" s="26" t="s">
        <v>96</v>
      </c>
      <c r="D12" s="32"/>
      <c r="E12" s="28" t="s">
        <v>71</v>
      </c>
      <c r="F12" s="33"/>
      <c r="G12" s="32"/>
      <c r="H12" s="31"/>
      <c r="I12" s="26"/>
      <c r="J12" s="26"/>
      <c r="K12" s="31"/>
      <c r="L12" s="31" t="s">
        <v>78</v>
      </c>
    </row>
    <row r="13">
      <c r="A13" s="25" t="s">
        <v>68</v>
      </c>
      <c r="B13" s="26" t="s">
        <v>97</v>
      </c>
      <c r="C13" s="26" t="s">
        <v>98</v>
      </c>
      <c r="D13" s="32"/>
      <c r="E13" s="28" t="s">
        <v>71</v>
      </c>
      <c r="F13" s="33"/>
      <c r="G13" s="32"/>
      <c r="H13" s="31"/>
      <c r="I13" s="26"/>
      <c r="J13" s="26"/>
      <c r="K13" s="31"/>
      <c r="L13" s="31" t="s">
        <v>78</v>
      </c>
    </row>
    <row r="14">
      <c r="A14" s="25" t="s">
        <v>68</v>
      </c>
      <c r="B14" s="26" t="s">
        <v>99</v>
      </c>
      <c r="C14" s="26" t="s">
        <v>100</v>
      </c>
      <c r="D14" s="32"/>
      <c r="E14" s="28" t="s">
        <v>71</v>
      </c>
      <c r="F14" s="33"/>
      <c r="G14" s="32"/>
      <c r="H14" s="31"/>
      <c r="I14" s="26"/>
      <c r="J14" s="26"/>
      <c r="K14" s="31"/>
      <c r="L14" s="31" t="s">
        <v>78</v>
      </c>
    </row>
    <row r="15">
      <c r="A15" s="25" t="s">
        <v>68</v>
      </c>
      <c r="B15" s="26" t="s">
        <v>101</v>
      </c>
      <c r="C15" s="26" t="s">
        <v>102</v>
      </c>
      <c r="D15" s="32"/>
      <c r="E15" s="28" t="s">
        <v>71</v>
      </c>
      <c r="F15" s="33"/>
      <c r="G15" s="32"/>
      <c r="H15" s="31"/>
      <c r="I15" s="26"/>
      <c r="J15" s="26"/>
      <c r="K15" s="31"/>
      <c r="L15" s="31" t="s">
        <v>78</v>
      </c>
    </row>
    <row r="16">
      <c r="A16" s="25" t="s">
        <v>68</v>
      </c>
      <c r="B16" s="26" t="s">
        <v>103</v>
      </c>
      <c r="C16" s="26" t="s">
        <v>104</v>
      </c>
      <c r="D16" s="32"/>
      <c r="E16" s="28" t="s">
        <v>71</v>
      </c>
      <c r="F16" s="33"/>
      <c r="G16" s="32"/>
      <c r="H16" s="31"/>
      <c r="I16" s="26"/>
      <c r="J16" s="26"/>
      <c r="K16" s="31"/>
      <c r="L16" s="31" t="s">
        <v>78</v>
      </c>
    </row>
    <row r="17">
      <c r="A17" s="25" t="s">
        <v>68</v>
      </c>
      <c r="B17" s="26" t="s">
        <v>105</v>
      </c>
      <c r="C17" s="26" t="s">
        <v>106</v>
      </c>
      <c r="D17" s="32"/>
      <c r="E17" s="28" t="s">
        <v>71</v>
      </c>
      <c r="F17" s="33"/>
      <c r="G17" s="32"/>
      <c r="H17" s="31"/>
      <c r="I17" s="26"/>
      <c r="J17" s="26"/>
      <c r="K17" s="31"/>
      <c r="L17" s="31" t="s">
        <v>78</v>
      </c>
    </row>
    <row r="18">
      <c r="A18" s="25" t="s">
        <v>68</v>
      </c>
      <c r="B18" s="26" t="s">
        <v>107</v>
      </c>
      <c r="C18" s="26" t="s">
        <v>108</v>
      </c>
      <c r="D18" s="32"/>
      <c r="E18" s="28" t="s">
        <v>71</v>
      </c>
      <c r="F18" s="33"/>
      <c r="G18" s="32"/>
      <c r="H18" s="31"/>
      <c r="I18" s="26"/>
      <c r="J18" s="26"/>
      <c r="K18" s="31"/>
      <c r="L18" s="31" t="s">
        <v>75</v>
      </c>
    </row>
    <row r="19">
      <c r="A19" s="25" t="s">
        <v>68</v>
      </c>
      <c r="B19" s="26" t="s">
        <v>109</v>
      </c>
      <c r="C19" s="26" t="s">
        <v>110</v>
      </c>
      <c r="D19" s="32"/>
      <c r="E19" s="28" t="s">
        <v>71</v>
      </c>
      <c r="F19" s="33"/>
      <c r="G19" s="32"/>
      <c r="H19" s="31"/>
      <c r="I19" s="26"/>
      <c r="J19" s="26"/>
      <c r="K19" s="31"/>
      <c r="L19" s="31" t="s">
        <v>78</v>
      </c>
    </row>
    <row r="20">
      <c r="A20" s="25" t="s">
        <v>68</v>
      </c>
      <c r="B20" s="26" t="s">
        <v>111</v>
      </c>
      <c r="C20" s="26" t="s">
        <v>112</v>
      </c>
      <c r="D20" s="32"/>
      <c r="E20" s="28" t="s">
        <v>71</v>
      </c>
      <c r="F20" s="33"/>
      <c r="G20" s="32"/>
      <c r="H20" s="31"/>
      <c r="I20" s="26"/>
      <c r="J20" s="26"/>
      <c r="K20" s="31"/>
      <c r="L20" s="31" t="s">
        <v>75</v>
      </c>
    </row>
    <row r="21">
      <c r="A21" s="25" t="s">
        <v>68</v>
      </c>
      <c r="B21" s="26" t="s">
        <v>113</v>
      </c>
      <c r="C21" s="26" t="s">
        <v>114</v>
      </c>
      <c r="D21" s="32"/>
      <c r="E21" s="28" t="s">
        <v>71</v>
      </c>
      <c r="F21" s="33"/>
      <c r="G21" s="32"/>
      <c r="H21" s="31"/>
      <c r="I21" s="26"/>
      <c r="J21" s="26"/>
      <c r="K21" s="31"/>
      <c r="L21" s="31" t="s">
        <v>78</v>
      </c>
    </row>
    <row r="22">
      <c r="A22" s="25" t="s">
        <v>68</v>
      </c>
      <c r="B22" s="26" t="s">
        <v>115</v>
      </c>
      <c r="C22" s="26" t="s">
        <v>116</v>
      </c>
      <c r="D22" s="32"/>
      <c r="E22" s="28" t="s">
        <v>71</v>
      </c>
      <c r="F22" s="33"/>
      <c r="G22" s="32"/>
      <c r="H22" s="31"/>
      <c r="I22" s="26"/>
      <c r="J22" s="26"/>
      <c r="K22" s="31"/>
      <c r="L22" s="31" t="s">
        <v>75</v>
      </c>
    </row>
    <row r="23">
      <c r="A23" s="25" t="s">
        <v>68</v>
      </c>
      <c r="B23" s="26" t="s">
        <v>117</v>
      </c>
      <c r="C23" s="26" t="s">
        <v>118</v>
      </c>
      <c r="D23" s="32"/>
      <c r="E23" s="28" t="s">
        <v>71</v>
      </c>
      <c r="F23" s="33"/>
      <c r="G23" s="32"/>
      <c r="H23" s="31"/>
      <c r="I23" s="26"/>
      <c r="J23" s="26"/>
      <c r="K23" s="31"/>
      <c r="L23" s="31" t="s">
        <v>75</v>
      </c>
    </row>
    <row r="24">
      <c r="A24" s="25" t="s">
        <v>68</v>
      </c>
      <c r="B24" s="26" t="s">
        <v>119</v>
      </c>
      <c r="C24" s="26" t="s">
        <v>120</v>
      </c>
      <c r="D24" s="32"/>
      <c r="E24" s="28" t="s">
        <v>71</v>
      </c>
      <c r="F24" s="33"/>
      <c r="G24" s="32"/>
      <c r="H24" s="31"/>
      <c r="I24" s="26"/>
      <c r="J24" s="26"/>
      <c r="K24" s="31"/>
      <c r="L24" s="31" t="s">
        <v>78</v>
      </c>
    </row>
    <row r="25">
      <c r="A25" s="25" t="s">
        <v>68</v>
      </c>
      <c r="B25" s="26" t="s">
        <v>121</v>
      </c>
      <c r="C25" s="26" t="s">
        <v>122</v>
      </c>
      <c r="D25" s="32"/>
      <c r="E25" s="28" t="s">
        <v>71</v>
      </c>
      <c r="F25" s="33"/>
      <c r="G25" s="32"/>
      <c r="H25" s="31"/>
      <c r="I25" s="26"/>
      <c r="J25" s="26"/>
      <c r="K25" s="31"/>
      <c r="L25" s="31" t="s">
        <v>78</v>
      </c>
    </row>
    <row r="26">
      <c r="A26" s="25" t="s">
        <v>68</v>
      </c>
      <c r="B26" s="26" t="s">
        <v>123</v>
      </c>
      <c r="C26" s="26" t="s">
        <v>124</v>
      </c>
      <c r="D26" s="32"/>
      <c r="E26" s="28" t="s">
        <v>71</v>
      </c>
      <c r="F26" s="33"/>
      <c r="G26" s="32"/>
      <c r="H26" s="31"/>
      <c r="I26" s="26"/>
      <c r="J26" s="26"/>
      <c r="K26" s="31"/>
      <c r="L26" s="31" t="s">
        <v>78</v>
      </c>
    </row>
    <row r="27">
      <c r="A27" s="25" t="s">
        <v>68</v>
      </c>
      <c r="B27" s="26" t="s">
        <v>125</v>
      </c>
      <c r="C27" s="26" t="s">
        <v>126</v>
      </c>
      <c r="D27" s="32"/>
      <c r="E27" s="28" t="s">
        <v>71</v>
      </c>
      <c r="F27" s="33"/>
      <c r="G27" s="32"/>
      <c r="H27" s="31"/>
      <c r="I27" s="26"/>
      <c r="J27" s="26"/>
      <c r="K27" s="31"/>
      <c r="L27" s="31" t="s">
        <v>78</v>
      </c>
    </row>
    <row r="28">
      <c r="A28" s="25" t="s">
        <v>68</v>
      </c>
      <c r="B28" s="26" t="s">
        <v>127</v>
      </c>
      <c r="C28" s="26" t="s">
        <v>128</v>
      </c>
      <c r="D28" s="32"/>
      <c r="E28" s="28" t="s">
        <v>71</v>
      </c>
      <c r="F28" s="33"/>
      <c r="G28" s="32"/>
      <c r="H28" s="31"/>
      <c r="I28" s="26"/>
      <c r="J28" s="26"/>
      <c r="K28" s="31"/>
      <c r="L28" s="31" t="s">
        <v>78</v>
      </c>
    </row>
    <row r="29">
      <c r="A29" s="25" t="s">
        <v>68</v>
      </c>
      <c r="B29" s="26" t="s">
        <v>129</v>
      </c>
      <c r="C29" s="26" t="s">
        <v>130</v>
      </c>
      <c r="D29" s="32"/>
      <c r="E29" s="28" t="s">
        <v>71</v>
      </c>
      <c r="F29" s="33"/>
      <c r="G29" s="32"/>
      <c r="H29" s="31"/>
      <c r="I29" s="26"/>
      <c r="J29" s="26"/>
      <c r="K29" s="31"/>
      <c r="L29" s="31" t="s">
        <v>78</v>
      </c>
    </row>
    <row r="30">
      <c r="A30" s="25" t="s">
        <v>68</v>
      </c>
      <c r="B30" s="26" t="s">
        <v>131</v>
      </c>
      <c r="C30" s="26" t="s">
        <v>132</v>
      </c>
      <c r="D30" s="32"/>
      <c r="E30" s="28" t="s">
        <v>71</v>
      </c>
      <c r="F30" s="33"/>
      <c r="G30" s="32"/>
      <c r="H30" s="31"/>
      <c r="I30" s="26"/>
      <c r="J30" s="26"/>
      <c r="K30" s="31"/>
      <c r="L30" s="31" t="s">
        <v>75</v>
      </c>
    </row>
    <row r="31">
      <c r="A31" s="25" t="s">
        <v>68</v>
      </c>
      <c r="B31" s="26" t="s">
        <v>133</v>
      </c>
      <c r="C31" s="26" t="s">
        <v>134</v>
      </c>
      <c r="D31" s="32"/>
      <c r="E31" s="28" t="s">
        <v>71</v>
      </c>
      <c r="F31" s="33"/>
      <c r="G31" s="32"/>
      <c r="H31" s="31"/>
      <c r="I31" s="26"/>
      <c r="J31" s="26"/>
      <c r="K31" s="31"/>
      <c r="L31" s="31" t="s">
        <v>78</v>
      </c>
    </row>
    <row r="32">
      <c r="A32" s="25" t="s">
        <v>68</v>
      </c>
      <c r="B32" s="26" t="s">
        <v>135</v>
      </c>
      <c r="C32" s="26" t="s">
        <v>136</v>
      </c>
      <c r="D32" s="32"/>
      <c r="E32" s="28" t="s">
        <v>71</v>
      </c>
      <c r="F32" s="33"/>
      <c r="G32" s="32"/>
      <c r="H32" s="31"/>
      <c r="I32" s="26"/>
      <c r="J32" s="26"/>
      <c r="K32" s="31"/>
      <c r="L32" s="31" t="s">
        <v>78</v>
      </c>
    </row>
    <row r="33">
      <c r="A33" s="25" t="s">
        <v>68</v>
      </c>
      <c r="B33" s="26" t="s">
        <v>137</v>
      </c>
      <c r="C33" s="26" t="s">
        <v>138</v>
      </c>
      <c r="D33" s="32"/>
      <c r="E33" s="28" t="s">
        <v>71</v>
      </c>
      <c r="F33" s="33"/>
      <c r="G33" s="32"/>
      <c r="H33" s="31"/>
      <c r="I33" s="26"/>
      <c r="J33" s="26"/>
      <c r="K33" s="31"/>
      <c r="L33" s="31" t="s">
        <v>78</v>
      </c>
    </row>
    <row r="34">
      <c r="A34" s="25" t="s">
        <v>68</v>
      </c>
      <c r="B34" s="26" t="s">
        <v>139</v>
      </c>
      <c r="C34" s="26" t="s">
        <v>140</v>
      </c>
      <c r="D34" s="32"/>
      <c r="E34" s="28" t="s">
        <v>71</v>
      </c>
      <c r="F34" s="33"/>
      <c r="G34" s="32"/>
      <c r="H34" s="31"/>
      <c r="I34" s="26"/>
      <c r="J34" s="26"/>
      <c r="K34" s="31"/>
      <c r="L34" s="31" t="s">
        <v>75</v>
      </c>
    </row>
    <row r="35">
      <c r="A35" s="25" t="s">
        <v>68</v>
      </c>
      <c r="B35" s="26" t="s">
        <v>141</v>
      </c>
      <c r="C35" s="26" t="s">
        <v>142</v>
      </c>
      <c r="D35" s="32"/>
      <c r="E35" s="28" t="s">
        <v>71</v>
      </c>
      <c r="F35" s="33"/>
      <c r="G35" s="32"/>
      <c r="H35" s="31"/>
      <c r="I35" s="26"/>
      <c r="J35" s="26"/>
      <c r="K35" s="31"/>
      <c r="L35" s="31" t="s">
        <v>78</v>
      </c>
    </row>
    <row r="36">
      <c r="A36" s="25" t="s">
        <v>68</v>
      </c>
      <c r="B36" s="26" t="s">
        <v>143</v>
      </c>
      <c r="C36" s="26" t="s">
        <v>144</v>
      </c>
      <c r="D36" s="32"/>
      <c r="E36" s="28" t="s">
        <v>71</v>
      </c>
      <c r="F36" s="33"/>
      <c r="G36" s="32"/>
      <c r="H36" s="31"/>
      <c r="I36" s="26"/>
      <c r="J36" s="26"/>
      <c r="K36" s="31"/>
      <c r="L36" s="31" t="s">
        <v>75</v>
      </c>
    </row>
    <row r="37">
      <c r="A37" s="25" t="s">
        <v>68</v>
      </c>
      <c r="B37" s="26" t="s">
        <v>145</v>
      </c>
      <c r="C37" s="26" t="s">
        <v>146</v>
      </c>
      <c r="D37" s="32"/>
      <c r="E37" s="28" t="s">
        <v>71</v>
      </c>
      <c r="F37" s="33"/>
      <c r="G37" s="32"/>
      <c r="H37" s="31"/>
      <c r="I37" s="26"/>
      <c r="J37" s="26"/>
      <c r="K37" s="31"/>
      <c r="L37" s="31" t="s">
        <v>78</v>
      </c>
    </row>
    <row r="38">
      <c r="A38" s="25" t="s">
        <v>68</v>
      </c>
      <c r="B38" s="26" t="s">
        <v>147</v>
      </c>
      <c r="C38" s="26" t="s">
        <v>148</v>
      </c>
      <c r="D38" s="32"/>
      <c r="E38" s="28" t="s">
        <v>71</v>
      </c>
      <c r="F38" s="33"/>
      <c r="G38" s="32"/>
      <c r="H38" s="31"/>
      <c r="I38" s="26"/>
      <c r="J38" s="26"/>
      <c r="K38" s="31"/>
      <c r="L38" s="31" t="s">
        <v>78</v>
      </c>
    </row>
    <row r="39">
      <c r="A39" s="25" t="s">
        <v>68</v>
      </c>
      <c r="B39" s="26" t="s">
        <v>149</v>
      </c>
      <c r="C39" s="26" t="s">
        <v>150</v>
      </c>
      <c r="D39" s="32"/>
      <c r="E39" s="28" t="s">
        <v>71</v>
      </c>
      <c r="F39" s="33"/>
      <c r="G39" s="32"/>
      <c r="H39" s="31"/>
      <c r="I39" s="26"/>
      <c r="J39" s="26"/>
      <c r="K39" s="31"/>
      <c r="L39" s="31" t="s">
        <v>75</v>
      </c>
    </row>
    <row r="40">
      <c r="A40" s="25" t="s">
        <v>68</v>
      </c>
      <c r="B40" s="26" t="s">
        <v>151</v>
      </c>
      <c r="C40" s="26" t="s">
        <v>152</v>
      </c>
      <c r="D40" s="32"/>
      <c r="E40" s="28" t="s">
        <v>71</v>
      </c>
      <c r="F40" s="33"/>
      <c r="G40" s="32"/>
      <c r="H40" s="31"/>
      <c r="I40" s="26"/>
      <c r="J40" s="26"/>
      <c r="K40" s="31"/>
      <c r="L40" s="31" t="s">
        <v>78</v>
      </c>
    </row>
    <row r="41">
      <c r="A41" s="25" t="s">
        <v>68</v>
      </c>
      <c r="B41" s="26" t="s">
        <v>153</v>
      </c>
      <c r="C41" s="26" t="s">
        <v>154</v>
      </c>
      <c r="D41" s="32"/>
      <c r="E41" s="28" t="s">
        <v>71</v>
      </c>
      <c r="F41" s="33"/>
      <c r="G41" s="32"/>
      <c r="H41" s="31"/>
      <c r="I41" s="26"/>
      <c r="J41" s="26"/>
      <c r="K41" s="31"/>
      <c r="L41" s="31" t="s">
        <v>75</v>
      </c>
    </row>
    <row r="42">
      <c r="A42" s="25" t="s">
        <v>68</v>
      </c>
      <c r="B42" s="26" t="s">
        <v>155</v>
      </c>
      <c r="C42" s="26" t="s">
        <v>156</v>
      </c>
      <c r="D42" s="32"/>
      <c r="E42" s="28" t="s">
        <v>71</v>
      </c>
      <c r="F42" s="33"/>
      <c r="G42" s="32"/>
      <c r="H42" s="31"/>
      <c r="I42" s="26"/>
      <c r="J42" s="26"/>
      <c r="K42" s="31"/>
      <c r="L42" s="31" t="s">
        <v>78</v>
      </c>
    </row>
    <row r="43">
      <c r="A43" s="25" t="s">
        <v>68</v>
      </c>
      <c r="B43" s="26" t="s">
        <v>157</v>
      </c>
      <c r="C43" s="26" t="s">
        <v>158</v>
      </c>
      <c r="D43" s="32"/>
      <c r="E43" s="28" t="s">
        <v>71</v>
      </c>
      <c r="F43" s="33"/>
      <c r="G43" s="32"/>
      <c r="H43" s="31"/>
      <c r="I43" s="26"/>
      <c r="J43" s="26"/>
      <c r="K43" s="31"/>
      <c r="L43" s="31" t="s">
        <v>78</v>
      </c>
    </row>
    <row r="44">
      <c r="A44" s="25" t="s">
        <v>68</v>
      </c>
      <c r="B44" s="26" t="s">
        <v>159</v>
      </c>
      <c r="C44" s="26" t="s">
        <v>160</v>
      </c>
      <c r="D44" s="32"/>
      <c r="E44" s="28" t="s">
        <v>71</v>
      </c>
      <c r="F44" s="33"/>
      <c r="G44" s="32"/>
      <c r="H44" s="31"/>
      <c r="I44" s="26"/>
      <c r="J44" s="26"/>
      <c r="K44" s="31"/>
      <c r="L44" s="31" t="s">
        <v>78</v>
      </c>
    </row>
    <row r="45">
      <c r="A45" s="25" t="s">
        <v>68</v>
      </c>
      <c r="B45" s="26" t="s">
        <v>161</v>
      </c>
      <c r="C45" s="26" t="s">
        <v>162</v>
      </c>
      <c r="D45" s="32"/>
      <c r="E45" s="28" t="s">
        <v>71</v>
      </c>
      <c r="F45" s="33"/>
      <c r="G45" s="32"/>
      <c r="H45" s="31"/>
      <c r="I45" s="26"/>
      <c r="J45" s="26"/>
      <c r="K45" s="31"/>
      <c r="L45" s="31" t="s">
        <v>78</v>
      </c>
    </row>
    <row r="46">
      <c r="A46" s="25" t="s">
        <v>68</v>
      </c>
      <c r="B46" s="26" t="s">
        <v>163</v>
      </c>
      <c r="C46" s="26" t="s">
        <v>164</v>
      </c>
      <c r="D46" s="32"/>
      <c r="E46" s="28" t="s">
        <v>71</v>
      </c>
      <c r="F46" s="33"/>
      <c r="G46" s="32"/>
      <c r="H46" s="31"/>
      <c r="I46" s="26"/>
      <c r="J46" s="26"/>
      <c r="K46" s="31"/>
      <c r="L46" s="31" t="s">
        <v>78</v>
      </c>
    </row>
    <row r="47">
      <c r="A47" s="25" t="s">
        <v>68</v>
      </c>
      <c r="B47" s="26" t="s">
        <v>165</v>
      </c>
      <c r="C47" s="26" t="s">
        <v>166</v>
      </c>
      <c r="D47" s="32"/>
      <c r="E47" s="28" t="s">
        <v>71</v>
      </c>
      <c r="F47" s="33"/>
      <c r="G47" s="32"/>
      <c r="H47" s="31"/>
      <c r="I47" s="26"/>
      <c r="J47" s="26"/>
      <c r="K47" s="31"/>
      <c r="L47" s="31" t="s">
        <v>78</v>
      </c>
    </row>
    <row r="48">
      <c r="A48" s="25" t="s">
        <v>68</v>
      </c>
      <c r="B48" s="26" t="s">
        <v>167</v>
      </c>
      <c r="C48" s="26" t="s">
        <v>168</v>
      </c>
      <c r="D48" s="32"/>
      <c r="E48" s="28" t="s">
        <v>71</v>
      </c>
      <c r="F48" s="33"/>
      <c r="G48" s="32"/>
      <c r="H48" s="31"/>
      <c r="I48" s="26"/>
      <c r="J48" s="26"/>
      <c r="K48" s="31"/>
      <c r="L48" s="31" t="s">
        <v>78</v>
      </c>
    </row>
    <row r="49">
      <c r="A49" s="25" t="s">
        <v>68</v>
      </c>
      <c r="B49" s="26" t="s">
        <v>169</v>
      </c>
      <c r="C49" s="26" t="s">
        <v>170</v>
      </c>
      <c r="D49" s="32"/>
      <c r="E49" s="28" t="s">
        <v>71</v>
      </c>
      <c r="F49" s="33"/>
      <c r="G49" s="32"/>
      <c r="H49" s="31"/>
      <c r="I49" s="26"/>
      <c r="J49" s="26"/>
      <c r="K49" s="31"/>
      <c r="L49" s="31" t="s">
        <v>78</v>
      </c>
    </row>
    <row r="50">
      <c r="A50" s="25" t="s">
        <v>68</v>
      </c>
      <c r="B50" s="26" t="s">
        <v>171</v>
      </c>
      <c r="C50" s="26" t="s">
        <v>172</v>
      </c>
      <c r="D50" s="32"/>
      <c r="E50" s="28" t="s">
        <v>71</v>
      </c>
      <c r="F50" s="33"/>
      <c r="G50" s="32"/>
      <c r="H50" s="31"/>
      <c r="I50" s="26"/>
      <c r="J50" s="26"/>
      <c r="K50" s="31"/>
      <c r="L50" s="31" t="s">
        <v>78</v>
      </c>
    </row>
    <row r="51">
      <c r="A51" s="25" t="s">
        <v>68</v>
      </c>
      <c r="B51" s="26" t="s">
        <v>173</v>
      </c>
      <c r="C51" s="26" t="s">
        <v>174</v>
      </c>
      <c r="D51" s="32"/>
      <c r="E51" s="28" t="s">
        <v>71</v>
      </c>
      <c r="F51" s="33"/>
      <c r="G51" s="32"/>
      <c r="H51" s="31"/>
      <c r="I51" s="26"/>
      <c r="J51" s="26"/>
      <c r="K51" s="31"/>
      <c r="L51" s="31" t="s">
        <v>78</v>
      </c>
    </row>
    <row r="52">
      <c r="A52" s="25" t="s">
        <v>68</v>
      </c>
      <c r="B52" s="26" t="s">
        <v>175</v>
      </c>
      <c r="C52" s="26" t="s">
        <v>176</v>
      </c>
      <c r="D52" s="32"/>
      <c r="E52" s="28" t="s">
        <v>71</v>
      </c>
      <c r="F52" s="33"/>
      <c r="G52" s="32"/>
      <c r="H52" s="31"/>
      <c r="I52" s="26"/>
      <c r="J52" s="26"/>
      <c r="K52" s="31"/>
      <c r="L52" s="31" t="s">
        <v>75</v>
      </c>
    </row>
    <row r="53">
      <c r="A53" s="25" t="s">
        <v>68</v>
      </c>
      <c r="B53" s="26" t="s">
        <v>177</v>
      </c>
      <c r="C53" s="26" t="s">
        <v>178</v>
      </c>
      <c r="D53" s="32"/>
      <c r="E53" s="28" t="s">
        <v>71</v>
      </c>
      <c r="F53" s="33"/>
      <c r="G53" s="32"/>
      <c r="H53" s="31"/>
      <c r="I53" s="26"/>
      <c r="J53" s="26"/>
      <c r="K53" s="31"/>
      <c r="L53" s="31" t="s">
        <v>75</v>
      </c>
    </row>
    <row r="54">
      <c r="A54" s="25" t="s">
        <v>68</v>
      </c>
      <c r="B54" s="26" t="s">
        <v>179</v>
      </c>
      <c r="C54" s="26" t="s">
        <v>180</v>
      </c>
      <c r="D54" s="32"/>
      <c r="E54" s="28" t="s">
        <v>71</v>
      </c>
      <c r="F54" s="33"/>
      <c r="G54" s="32"/>
      <c r="H54" s="31"/>
      <c r="I54" s="26"/>
      <c r="J54" s="26"/>
      <c r="K54" s="31"/>
      <c r="L54" s="31" t="s">
        <v>75</v>
      </c>
    </row>
    <row r="55">
      <c r="A55" s="25" t="s">
        <v>68</v>
      </c>
      <c r="B55" s="26" t="s">
        <v>181</v>
      </c>
      <c r="C55" s="26" t="s">
        <v>182</v>
      </c>
      <c r="D55" s="32"/>
      <c r="E55" s="28" t="s">
        <v>71</v>
      </c>
      <c r="F55" s="33"/>
      <c r="G55" s="32"/>
      <c r="H55" s="31"/>
      <c r="I55" s="26"/>
      <c r="J55" s="26"/>
      <c r="K55" s="31"/>
      <c r="L55" s="31" t="s">
        <v>78</v>
      </c>
    </row>
    <row r="56">
      <c r="A56" s="25" t="s">
        <v>68</v>
      </c>
      <c r="B56" s="26" t="s">
        <v>183</v>
      </c>
      <c r="C56" s="26" t="s">
        <v>184</v>
      </c>
      <c r="D56" s="32"/>
      <c r="E56" s="28" t="s">
        <v>71</v>
      </c>
      <c r="F56" s="33"/>
      <c r="G56" s="32"/>
      <c r="H56" s="31"/>
      <c r="I56" s="26"/>
      <c r="J56" s="26"/>
      <c r="K56" s="31"/>
      <c r="L56" s="31" t="s">
        <v>78</v>
      </c>
    </row>
    <row r="57">
      <c r="A57" s="25" t="s">
        <v>68</v>
      </c>
      <c r="B57" s="26" t="s">
        <v>185</v>
      </c>
      <c r="C57" s="26" t="s">
        <v>186</v>
      </c>
      <c r="D57" s="32"/>
      <c r="E57" s="28" t="s">
        <v>71</v>
      </c>
      <c r="F57" s="33"/>
      <c r="G57" s="32"/>
      <c r="H57" s="31"/>
      <c r="I57" s="26"/>
      <c r="J57" s="26"/>
      <c r="K57" s="31"/>
      <c r="L57" s="31" t="s">
        <v>75</v>
      </c>
    </row>
    <row r="58">
      <c r="A58" s="25" t="s">
        <v>68</v>
      </c>
      <c r="B58" s="26" t="s">
        <v>187</v>
      </c>
      <c r="C58" s="26" t="s">
        <v>188</v>
      </c>
      <c r="D58" s="32"/>
      <c r="E58" s="28" t="s">
        <v>71</v>
      </c>
      <c r="F58" s="33"/>
      <c r="G58" s="32"/>
      <c r="H58" s="31"/>
      <c r="I58" s="26"/>
      <c r="J58" s="26"/>
      <c r="K58" s="31"/>
      <c r="L58" s="31" t="s">
        <v>75</v>
      </c>
    </row>
    <row r="59">
      <c r="A59" s="25" t="s">
        <v>68</v>
      </c>
      <c r="B59" s="26" t="s">
        <v>189</v>
      </c>
      <c r="C59" s="26" t="s">
        <v>190</v>
      </c>
      <c r="D59" s="32"/>
      <c r="E59" s="28" t="s">
        <v>71</v>
      </c>
      <c r="F59" s="33"/>
      <c r="G59" s="32"/>
      <c r="H59" s="31"/>
      <c r="I59" s="26"/>
      <c r="J59" s="26"/>
      <c r="K59" s="31"/>
      <c r="L59" s="31" t="s">
        <v>78</v>
      </c>
    </row>
    <row r="60">
      <c r="A60" s="25" t="s">
        <v>68</v>
      </c>
      <c r="B60" s="26" t="s">
        <v>191</v>
      </c>
      <c r="C60" s="26" t="s">
        <v>192</v>
      </c>
      <c r="D60" s="32"/>
      <c r="E60" s="28" t="s">
        <v>71</v>
      </c>
      <c r="F60" s="33"/>
      <c r="G60" s="32"/>
      <c r="H60" s="31"/>
      <c r="I60" s="26"/>
      <c r="J60" s="26"/>
      <c r="K60" s="31"/>
      <c r="L60" s="31" t="s">
        <v>78</v>
      </c>
    </row>
    <row r="61">
      <c r="A61" s="25" t="s">
        <v>68</v>
      </c>
      <c r="B61" s="26" t="s">
        <v>193</v>
      </c>
      <c r="C61" s="26" t="s">
        <v>194</v>
      </c>
      <c r="D61" s="32"/>
      <c r="E61" s="28" t="s">
        <v>71</v>
      </c>
      <c r="F61" s="33"/>
      <c r="G61" s="32"/>
      <c r="H61" s="31"/>
      <c r="I61" s="26"/>
      <c r="J61" s="26"/>
      <c r="K61" s="31"/>
      <c r="L61" s="31" t="s">
        <v>75</v>
      </c>
    </row>
    <row r="62">
      <c r="A62" s="25" t="s">
        <v>68</v>
      </c>
      <c r="B62" s="26" t="s">
        <v>195</v>
      </c>
      <c r="C62" s="26" t="s">
        <v>196</v>
      </c>
      <c r="D62" s="32"/>
      <c r="E62" s="28" t="s">
        <v>71</v>
      </c>
      <c r="F62" s="33"/>
      <c r="G62" s="32"/>
      <c r="H62" s="31"/>
      <c r="I62" s="26"/>
      <c r="J62" s="26"/>
      <c r="K62" s="31"/>
      <c r="L62" s="31" t="s">
        <v>78</v>
      </c>
    </row>
    <row r="63">
      <c r="A63" s="25" t="s">
        <v>68</v>
      </c>
      <c r="B63" s="26" t="s">
        <v>197</v>
      </c>
      <c r="C63" s="26" t="s">
        <v>198</v>
      </c>
      <c r="D63" s="32"/>
      <c r="E63" s="28" t="s">
        <v>71</v>
      </c>
      <c r="F63" s="33"/>
      <c r="G63" s="32"/>
      <c r="H63" s="31"/>
      <c r="I63" s="26"/>
      <c r="J63" s="26"/>
      <c r="K63" s="31"/>
      <c r="L63" s="31" t="s">
        <v>78</v>
      </c>
    </row>
    <row r="64">
      <c r="A64" s="25" t="s">
        <v>68</v>
      </c>
      <c r="B64" s="26" t="s">
        <v>199</v>
      </c>
      <c r="C64" s="26" t="s">
        <v>200</v>
      </c>
      <c r="D64" s="32"/>
      <c r="E64" s="28" t="s">
        <v>71</v>
      </c>
      <c r="F64" s="33"/>
      <c r="G64" s="32"/>
      <c r="H64" s="31"/>
      <c r="I64" s="26"/>
      <c r="J64" s="26"/>
      <c r="K64" s="31"/>
      <c r="L64" s="31" t="s">
        <v>75</v>
      </c>
    </row>
    <row r="65">
      <c r="A65" s="25" t="s">
        <v>68</v>
      </c>
      <c r="B65" s="26" t="s">
        <v>201</v>
      </c>
      <c r="C65" s="26" t="s">
        <v>202</v>
      </c>
      <c r="D65" s="32"/>
      <c r="E65" s="28" t="s">
        <v>71</v>
      </c>
      <c r="F65" s="33"/>
      <c r="G65" s="32"/>
      <c r="H65" s="31"/>
      <c r="I65" s="26"/>
      <c r="J65" s="26"/>
      <c r="K65" s="31"/>
      <c r="L65" s="31" t="s">
        <v>78</v>
      </c>
    </row>
    <row r="66">
      <c r="A66" s="25" t="s">
        <v>68</v>
      </c>
      <c r="B66" s="26" t="s">
        <v>203</v>
      </c>
      <c r="C66" s="26" t="s">
        <v>204</v>
      </c>
      <c r="D66" s="32"/>
      <c r="E66" s="28" t="s">
        <v>71</v>
      </c>
      <c r="F66" s="33"/>
      <c r="G66" s="32"/>
      <c r="H66" s="31"/>
      <c r="I66" s="26"/>
      <c r="J66" s="26"/>
      <c r="K66" s="31"/>
      <c r="L66" s="31" t="s">
        <v>78</v>
      </c>
    </row>
    <row r="67">
      <c r="A67" s="25" t="s">
        <v>68</v>
      </c>
      <c r="B67" s="26" t="s">
        <v>205</v>
      </c>
      <c r="C67" s="26" t="s">
        <v>206</v>
      </c>
      <c r="D67" s="32"/>
      <c r="E67" s="28" t="s">
        <v>71</v>
      </c>
      <c r="F67" s="33"/>
      <c r="G67" s="32"/>
      <c r="H67" s="31"/>
      <c r="I67" s="26"/>
      <c r="J67" s="26"/>
      <c r="K67" s="31"/>
      <c r="L67" s="31" t="s">
        <v>78</v>
      </c>
    </row>
    <row r="68">
      <c r="A68" s="25" t="s">
        <v>68</v>
      </c>
      <c r="B68" s="26" t="s">
        <v>207</v>
      </c>
      <c r="C68" s="26" t="s">
        <v>208</v>
      </c>
      <c r="D68" s="32"/>
      <c r="E68" s="28" t="s">
        <v>71</v>
      </c>
      <c r="F68" s="33"/>
      <c r="G68" s="32"/>
      <c r="H68" s="31"/>
      <c r="I68" s="26"/>
      <c r="J68" s="26"/>
      <c r="K68" s="31"/>
      <c r="L68" s="31" t="s">
        <v>78</v>
      </c>
    </row>
    <row r="69">
      <c r="A69" s="25" t="s">
        <v>68</v>
      </c>
      <c r="B69" s="26" t="s">
        <v>209</v>
      </c>
      <c r="C69" s="26" t="s">
        <v>210</v>
      </c>
      <c r="D69" s="32"/>
      <c r="E69" s="28" t="s">
        <v>71</v>
      </c>
      <c r="F69" s="33"/>
      <c r="G69" s="32"/>
      <c r="H69" s="31"/>
      <c r="I69" s="26"/>
      <c r="J69" s="26"/>
      <c r="K69" s="31"/>
      <c r="L69" s="31" t="s">
        <v>78</v>
      </c>
    </row>
    <row r="70">
      <c r="A70" s="25" t="s">
        <v>68</v>
      </c>
      <c r="B70" s="26" t="s">
        <v>211</v>
      </c>
      <c r="C70" s="26" t="s">
        <v>212</v>
      </c>
      <c r="D70" s="32"/>
      <c r="E70" s="28" t="s">
        <v>71</v>
      </c>
      <c r="F70" s="33"/>
      <c r="G70" s="32"/>
      <c r="H70" s="31"/>
      <c r="I70" s="26"/>
      <c r="J70" s="26"/>
      <c r="K70" s="31"/>
      <c r="L70" s="31" t="s">
        <v>78</v>
      </c>
    </row>
    <row r="71">
      <c r="A71" s="25" t="s">
        <v>68</v>
      </c>
      <c r="B71" s="26" t="s">
        <v>213</v>
      </c>
      <c r="C71" s="26" t="s">
        <v>214</v>
      </c>
      <c r="D71" s="32"/>
      <c r="E71" s="28" t="s">
        <v>71</v>
      </c>
      <c r="F71" s="33"/>
      <c r="G71" s="32"/>
      <c r="H71" s="31"/>
      <c r="I71" s="26"/>
      <c r="J71" s="26"/>
      <c r="K71" s="31"/>
      <c r="L71" s="31" t="s">
        <v>78</v>
      </c>
    </row>
    <row r="72">
      <c r="A72" s="25" t="s">
        <v>68</v>
      </c>
      <c r="B72" s="26" t="s">
        <v>215</v>
      </c>
      <c r="C72" s="26" t="s">
        <v>216</v>
      </c>
      <c r="D72" s="32"/>
      <c r="E72" s="28" t="s">
        <v>71</v>
      </c>
      <c r="F72" s="33"/>
      <c r="G72" s="32"/>
      <c r="H72" s="31"/>
      <c r="I72" s="26"/>
      <c r="J72" s="26"/>
      <c r="K72" s="31"/>
      <c r="L72" s="31" t="s">
        <v>78</v>
      </c>
    </row>
    <row r="73">
      <c r="A73" s="25" t="s">
        <v>68</v>
      </c>
      <c r="B73" s="26" t="s">
        <v>217</v>
      </c>
      <c r="C73" s="26" t="s">
        <v>218</v>
      </c>
      <c r="D73" s="32"/>
      <c r="E73" s="28" t="s">
        <v>71</v>
      </c>
      <c r="F73" s="33"/>
      <c r="G73" s="32"/>
      <c r="H73" s="31"/>
      <c r="I73" s="26"/>
      <c r="J73" s="26"/>
      <c r="K73" s="31"/>
      <c r="L73" s="31" t="s">
        <v>78</v>
      </c>
    </row>
    <row r="74">
      <c r="A74" s="25" t="s">
        <v>68</v>
      </c>
      <c r="B74" s="26" t="s">
        <v>219</v>
      </c>
      <c r="C74" s="26" t="s">
        <v>220</v>
      </c>
      <c r="D74" s="32"/>
      <c r="E74" s="28" t="s">
        <v>71</v>
      </c>
      <c r="F74" s="33"/>
      <c r="G74" s="32"/>
      <c r="H74" s="31"/>
      <c r="I74" s="26"/>
      <c r="J74" s="26"/>
      <c r="K74" s="31"/>
      <c r="L74" s="31" t="s">
        <v>78</v>
      </c>
    </row>
    <row r="75">
      <c r="A75" s="25" t="s">
        <v>68</v>
      </c>
      <c r="B75" s="26" t="s">
        <v>221</v>
      </c>
      <c r="C75" s="26" t="s">
        <v>222</v>
      </c>
      <c r="D75" s="32"/>
      <c r="E75" s="28" t="s">
        <v>71</v>
      </c>
      <c r="F75" s="33"/>
      <c r="G75" s="32"/>
      <c r="H75" s="31"/>
      <c r="I75" s="26"/>
      <c r="J75" s="26"/>
      <c r="K75" s="31"/>
      <c r="L75" s="31" t="s">
        <v>75</v>
      </c>
    </row>
    <row r="76">
      <c r="A76" s="25" t="s">
        <v>68</v>
      </c>
      <c r="B76" s="26" t="s">
        <v>223</v>
      </c>
      <c r="C76" s="26" t="s">
        <v>224</v>
      </c>
      <c r="D76" s="32"/>
      <c r="E76" s="28" t="s">
        <v>71</v>
      </c>
      <c r="F76" s="33"/>
      <c r="G76" s="32"/>
      <c r="H76" s="31"/>
      <c r="I76" s="26"/>
      <c r="J76" s="26"/>
      <c r="K76" s="31"/>
      <c r="L76" s="31" t="s">
        <v>78</v>
      </c>
    </row>
    <row r="77">
      <c r="A77" s="25" t="s">
        <v>68</v>
      </c>
      <c r="B77" s="26" t="s">
        <v>225</v>
      </c>
      <c r="C77" s="26" t="s">
        <v>226</v>
      </c>
      <c r="D77" s="32"/>
      <c r="E77" s="28" t="s">
        <v>71</v>
      </c>
      <c r="F77" s="33"/>
      <c r="G77" s="32"/>
      <c r="H77" s="31"/>
      <c r="I77" s="26"/>
      <c r="J77" s="26"/>
      <c r="K77" s="31"/>
      <c r="L77" s="31" t="s">
        <v>75</v>
      </c>
    </row>
    <row r="78">
      <c r="A78" s="25" t="s">
        <v>68</v>
      </c>
      <c r="B78" s="26" t="s">
        <v>227</v>
      </c>
      <c r="C78" s="26" t="s">
        <v>228</v>
      </c>
      <c r="D78" s="32"/>
      <c r="E78" s="28" t="s">
        <v>71</v>
      </c>
      <c r="F78" s="33"/>
      <c r="G78" s="32"/>
      <c r="H78" s="31"/>
      <c r="I78" s="26"/>
      <c r="J78" s="26"/>
      <c r="K78" s="31"/>
      <c r="L78" s="31" t="s">
        <v>78</v>
      </c>
    </row>
    <row r="79">
      <c r="A79" s="25" t="s">
        <v>68</v>
      </c>
      <c r="B79" s="26" t="s">
        <v>229</v>
      </c>
      <c r="C79" s="26" t="s">
        <v>230</v>
      </c>
      <c r="D79" s="32"/>
      <c r="E79" s="28" t="s">
        <v>71</v>
      </c>
      <c r="F79" s="33"/>
      <c r="G79" s="32"/>
      <c r="H79" s="31"/>
      <c r="I79" s="26"/>
      <c r="J79" s="26"/>
      <c r="K79" s="31"/>
      <c r="L79" s="31" t="s">
        <v>78</v>
      </c>
    </row>
    <row r="80">
      <c r="A80" s="25" t="s">
        <v>68</v>
      </c>
      <c r="B80" s="26" t="s">
        <v>231</v>
      </c>
      <c r="C80" s="26" t="s">
        <v>232</v>
      </c>
      <c r="D80" s="32"/>
      <c r="E80" s="28" t="s">
        <v>71</v>
      </c>
      <c r="F80" s="33"/>
      <c r="G80" s="32"/>
      <c r="H80" s="31"/>
      <c r="I80" s="26"/>
      <c r="J80" s="26"/>
      <c r="K80" s="31"/>
      <c r="L80" s="31" t="s">
        <v>75</v>
      </c>
    </row>
    <row r="81">
      <c r="A81" s="25" t="s">
        <v>68</v>
      </c>
      <c r="B81" s="26" t="s">
        <v>233</v>
      </c>
      <c r="C81" s="26" t="s">
        <v>234</v>
      </c>
      <c r="D81" s="32"/>
      <c r="E81" s="28" t="s">
        <v>71</v>
      </c>
      <c r="F81" s="33"/>
      <c r="G81" s="32"/>
      <c r="H81" s="31"/>
      <c r="I81" s="26"/>
      <c r="J81" s="26"/>
      <c r="K81" s="31"/>
      <c r="L81" s="31" t="s">
        <v>75</v>
      </c>
    </row>
    <row r="82">
      <c r="A82" s="25" t="s">
        <v>68</v>
      </c>
      <c r="B82" s="26" t="s">
        <v>235</v>
      </c>
      <c r="C82" s="26" t="s">
        <v>236</v>
      </c>
      <c r="D82" s="32"/>
      <c r="E82" s="28" t="s">
        <v>71</v>
      </c>
      <c r="F82" s="33"/>
      <c r="G82" s="32"/>
      <c r="H82" s="31"/>
      <c r="I82" s="26"/>
      <c r="J82" s="26"/>
      <c r="K82" s="31"/>
      <c r="L82" s="31" t="s">
        <v>75</v>
      </c>
    </row>
    <row r="83">
      <c r="A83" s="25" t="s">
        <v>68</v>
      </c>
      <c r="B83" s="26" t="s">
        <v>237</v>
      </c>
      <c r="C83" s="26" t="s">
        <v>238</v>
      </c>
      <c r="D83" s="32"/>
      <c r="E83" s="28" t="s">
        <v>71</v>
      </c>
      <c r="F83" s="33"/>
      <c r="G83" s="32"/>
      <c r="H83" s="31"/>
      <c r="I83" s="26"/>
      <c r="J83" s="26"/>
      <c r="K83" s="31"/>
      <c r="L83" s="31" t="s">
        <v>78</v>
      </c>
    </row>
    <row r="84">
      <c r="A84" s="25" t="s">
        <v>68</v>
      </c>
      <c r="B84" s="26" t="s">
        <v>239</v>
      </c>
      <c r="C84" s="26" t="s">
        <v>240</v>
      </c>
      <c r="D84" s="32"/>
      <c r="E84" s="28" t="s">
        <v>71</v>
      </c>
      <c r="F84" s="33"/>
      <c r="G84" s="32"/>
      <c r="H84" s="31"/>
      <c r="I84" s="26"/>
      <c r="J84" s="26"/>
      <c r="K84" s="31"/>
      <c r="L84" s="31" t="s">
        <v>78</v>
      </c>
    </row>
    <row r="85">
      <c r="A85" s="25" t="s">
        <v>68</v>
      </c>
      <c r="B85" s="26" t="s">
        <v>241</v>
      </c>
      <c r="C85" s="26" t="s">
        <v>242</v>
      </c>
      <c r="D85" s="32"/>
      <c r="E85" s="28" t="s">
        <v>71</v>
      </c>
      <c r="F85" s="33"/>
      <c r="G85" s="32"/>
      <c r="H85" s="31"/>
      <c r="I85" s="26"/>
      <c r="J85" s="26"/>
      <c r="K85" s="31"/>
      <c r="L85" s="31" t="s">
        <v>75</v>
      </c>
    </row>
    <row r="86">
      <c r="A86" s="25" t="s">
        <v>68</v>
      </c>
      <c r="B86" s="26" t="s">
        <v>243</v>
      </c>
      <c r="C86" s="26" t="s">
        <v>244</v>
      </c>
      <c r="D86" s="32"/>
      <c r="E86" s="28" t="s">
        <v>71</v>
      </c>
      <c r="F86" s="33"/>
      <c r="G86" s="32"/>
      <c r="H86" s="31"/>
      <c r="I86" s="26"/>
      <c r="J86" s="26"/>
      <c r="K86" s="31"/>
      <c r="L86" s="31" t="s">
        <v>78</v>
      </c>
    </row>
    <row r="87">
      <c r="A87" s="25" t="s">
        <v>68</v>
      </c>
      <c r="B87" s="26" t="s">
        <v>245</v>
      </c>
      <c r="C87" s="26" t="s">
        <v>246</v>
      </c>
      <c r="D87" s="32"/>
      <c r="E87" s="28" t="s">
        <v>71</v>
      </c>
      <c r="F87" s="33"/>
      <c r="G87" s="32"/>
      <c r="H87" s="31"/>
      <c r="I87" s="26"/>
      <c r="J87" s="26"/>
      <c r="K87" s="31"/>
      <c r="L87" s="31" t="s">
        <v>78</v>
      </c>
    </row>
    <row r="88">
      <c r="A88" s="25" t="s">
        <v>68</v>
      </c>
      <c r="B88" s="26" t="s">
        <v>247</v>
      </c>
      <c r="C88" s="26" t="s">
        <v>248</v>
      </c>
      <c r="D88" s="32"/>
      <c r="E88" s="28" t="s">
        <v>71</v>
      </c>
      <c r="F88" s="33"/>
      <c r="G88" s="32"/>
      <c r="H88" s="31"/>
      <c r="I88" s="26"/>
      <c r="J88" s="26"/>
      <c r="K88" s="31"/>
      <c r="L88" s="31" t="s">
        <v>78</v>
      </c>
    </row>
    <row r="89">
      <c r="A89" s="25" t="s">
        <v>68</v>
      </c>
      <c r="B89" s="26" t="s">
        <v>249</v>
      </c>
      <c r="C89" s="26" t="s">
        <v>250</v>
      </c>
      <c r="D89" s="32"/>
      <c r="E89" s="28" t="s">
        <v>71</v>
      </c>
      <c r="F89" s="33"/>
      <c r="G89" s="32"/>
      <c r="H89" s="31"/>
      <c r="I89" s="26"/>
      <c r="J89" s="26"/>
      <c r="K89" s="31"/>
      <c r="L89" s="31" t="s">
        <v>75</v>
      </c>
    </row>
    <row r="90">
      <c r="A90" s="25" t="s">
        <v>68</v>
      </c>
      <c r="B90" s="26" t="s">
        <v>251</v>
      </c>
      <c r="C90" s="26" t="s">
        <v>252</v>
      </c>
      <c r="D90" s="32"/>
      <c r="E90" s="28" t="s">
        <v>71</v>
      </c>
      <c r="F90" s="33"/>
      <c r="G90" s="32"/>
      <c r="H90" s="31"/>
      <c r="I90" s="26"/>
      <c r="J90" s="26"/>
      <c r="K90" s="31"/>
      <c r="L90" s="31" t="s">
        <v>78</v>
      </c>
    </row>
    <row r="91">
      <c r="A91" s="25" t="s">
        <v>68</v>
      </c>
      <c r="B91" s="26" t="s">
        <v>253</v>
      </c>
      <c r="C91" s="26" t="s">
        <v>254</v>
      </c>
      <c r="D91" s="32"/>
      <c r="E91" s="28" t="s">
        <v>71</v>
      </c>
      <c r="F91" s="33"/>
      <c r="G91" s="32"/>
      <c r="H91" s="31"/>
      <c r="I91" s="26"/>
      <c r="J91" s="26"/>
      <c r="K91" s="31"/>
      <c r="L91" s="31" t="s">
        <v>75</v>
      </c>
    </row>
    <row r="92">
      <c r="A92" s="25" t="s">
        <v>68</v>
      </c>
      <c r="B92" s="26" t="s">
        <v>255</v>
      </c>
      <c r="C92" s="26" t="s">
        <v>256</v>
      </c>
      <c r="D92" s="32"/>
      <c r="E92" s="28" t="s">
        <v>71</v>
      </c>
      <c r="F92" s="33"/>
      <c r="G92" s="32"/>
      <c r="H92" s="31"/>
      <c r="I92" s="26"/>
      <c r="J92" s="26"/>
      <c r="K92" s="31"/>
      <c r="L92" s="31" t="s">
        <v>75</v>
      </c>
    </row>
    <row r="93">
      <c r="A93" s="25" t="s">
        <v>68</v>
      </c>
      <c r="B93" s="26" t="s">
        <v>257</v>
      </c>
      <c r="C93" s="26" t="s">
        <v>258</v>
      </c>
      <c r="D93" s="32"/>
      <c r="E93" s="28" t="s">
        <v>71</v>
      </c>
      <c r="F93" s="33"/>
      <c r="G93" s="32"/>
      <c r="H93" s="31"/>
      <c r="I93" s="26"/>
      <c r="J93" s="26"/>
      <c r="K93" s="31"/>
      <c r="L93" s="31" t="s">
        <v>78</v>
      </c>
    </row>
    <row r="94">
      <c r="A94" s="25" t="s">
        <v>68</v>
      </c>
      <c r="B94" s="26" t="s">
        <v>259</v>
      </c>
      <c r="C94" s="26" t="s">
        <v>260</v>
      </c>
      <c r="D94" s="32"/>
      <c r="E94" s="28" t="s">
        <v>71</v>
      </c>
      <c r="F94" s="33"/>
      <c r="G94" s="32"/>
      <c r="H94" s="31"/>
      <c r="I94" s="26"/>
      <c r="J94" s="26"/>
      <c r="K94" s="31"/>
      <c r="L94" s="31" t="s">
        <v>78</v>
      </c>
    </row>
    <row r="95">
      <c r="A95" s="25" t="s">
        <v>68</v>
      </c>
      <c r="B95" s="26" t="s">
        <v>261</v>
      </c>
      <c r="C95" s="26" t="s">
        <v>262</v>
      </c>
      <c r="D95" s="32"/>
      <c r="E95" s="28" t="s">
        <v>71</v>
      </c>
      <c r="F95" s="33"/>
      <c r="G95" s="32"/>
      <c r="H95" s="31"/>
      <c r="I95" s="26"/>
      <c r="J95" s="26"/>
      <c r="K95" s="31"/>
      <c r="L95" s="31" t="s">
        <v>75</v>
      </c>
    </row>
    <row r="96">
      <c r="A96" s="25" t="s">
        <v>68</v>
      </c>
      <c r="B96" s="26" t="s">
        <v>263</v>
      </c>
      <c r="C96" s="26" t="s">
        <v>264</v>
      </c>
      <c r="D96" s="30" t="s">
        <v>39</v>
      </c>
      <c r="E96" s="28" t="s">
        <v>71</v>
      </c>
      <c r="F96" s="33"/>
      <c r="G96" s="32"/>
      <c r="H96" s="31"/>
      <c r="I96" s="26"/>
      <c r="J96" s="26"/>
      <c r="K96" s="31"/>
      <c r="L96" s="31" t="s">
        <v>75</v>
      </c>
    </row>
    <row r="97">
      <c r="A97" s="25" t="s">
        <v>68</v>
      </c>
      <c r="B97" s="26" t="s">
        <v>265</v>
      </c>
      <c r="C97" s="26" t="s">
        <v>266</v>
      </c>
      <c r="D97" s="32"/>
      <c r="E97" s="28" t="s">
        <v>71</v>
      </c>
      <c r="F97" s="33"/>
      <c r="G97" s="32"/>
      <c r="H97" s="31"/>
      <c r="I97" s="26"/>
      <c r="J97" s="26"/>
      <c r="K97" s="31"/>
      <c r="L97" s="31" t="s">
        <v>78</v>
      </c>
    </row>
    <row r="98">
      <c r="A98" s="25" t="s">
        <v>68</v>
      </c>
      <c r="B98" s="26" t="s">
        <v>267</v>
      </c>
      <c r="C98" s="26" t="s">
        <v>268</v>
      </c>
      <c r="D98" s="32"/>
      <c r="E98" s="28" t="s">
        <v>71</v>
      </c>
      <c r="F98" s="33"/>
      <c r="G98" s="32"/>
      <c r="H98" s="31"/>
      <c r="I98" s="26"/>
      <c r="J98" s="26"/>
      <c r="K98" s="31"/>
      <c r="L98" s="31" t="s">
        <v>75</v>
      </c>
    </row>
    <row r="99">
      <c r="A99" s="25" t="s">
        <v>68</v>
      </c>
      <c r="B99" s="26" t="s">
        <v>269</v>
      </c>
      <c r="C99" s="26" t="s">
        <v>270</v>
      </c>
      <c r="D99" s="32"/>
      <c r="E99" s="28" t="s">
        <v>71</v>
      </c>
      <c r="F99" s="33"/>
      <c r="G99" s="32"/>
      <c r="H99" s="31"/>
      <c r="I99" s="26"/>
      <c r="J99" s="26"/>
      <c r="K99" s="31"/>
      <c r="L99" s="31" t="s">
        <v>78</v>
      </c>
    </row>
    <row r="100">
      <c r="A100" s="25" t="s">
        <v>68</v>
      </c>
      <c r="B100" s="26" t="s">
        <v>271</v>
      </c>
      <c r="C100" s="26" t="s">
        <v>272</v>
      </c>
      <c r="D100" s="32"/>
      <c r="E100" s="28" t="s">
        <v>71</v>
      </c>
      <c r="F100" s="33"/>
      <c r="G100" s="32"/>
      <c r="H100" s="31"/>
      <c r="I100" s="26"/>
      <c r="J100" s="26"/>
      <c r="K100" s="31"/>
      <c r="L100" s="31" t="s">
        <v>78</v>
      </c>
    </row>
    <row r="101">
      <c r="A101" s="25" t="s">
        <v>68</v>
      </c>
      <c r="B101" s="26" t="s">
        <v>273</v>
      </c>
      <c r="C101" s="26" t="s">
        <v>274</v>
      </c>
      <c r="D101" s="32"/>
      <c r="E101" s="28" t="s">
        <v>71</v>
      </c>
      <c r="F101" s="33"/>
      <c r="G101" s="32"/>
      <c r="H101" s="31"/>
      <c r="I101" s="26"/>
      <c r="J101" s="26"/>
      <c r="K101" s="31"/>
      <c r="L101" s="31" t="s">
        <v>78</v>
      </c>
    </row>
    <row r="102">
      <c r="A102" s="25" t="s">
        <v>68</v>
      </c>
      <c r="B102" s="26" t="s">
        <v>275</v>
      </c>
      <c r="C102" s="26" t="s">
        <v>276</v>
      </c>
      <c r="D102" s="32"/>
      <c r="E102" s="28" t="s">
        <v>71</v>
      </c>
      <c r="F102" s="33"/>
      <c r="G102" s="32"/>
      <c r="H102" s="31"/>
      <c r="I102" s="26"/>
      <c r="J102" s="26"/>
      <c r="K102" s="31"/>
      <c r="L102" s="31" t="s">
        <v>78</v>
      </c>
    </row>
    <row r="103">
      <c r="A103" s="25" t="s">
        <v>68</v>
      </c>
      <c r="B103" s="26" t="s">
        <v>277</v>
      </c>
      <c r="C103" s="26" t="s">
        <v>278</v>
      </c>
      <c r="D103" s="32"/>
      <c r="E103" s="28" t="s">
        <v>71</v>
      </c>
      <c r="F103" s="33"/>
      <c r="G103" s="32"/>
      <c r="H103" s="31"/>
      <c r="I103" s="26"/>
      <c r="J103" s="26"/>
      <c r="K103" s="31"/>
      <c r="L103" s="31" t="s">
        <v>78</v>
      </c>
    </row>
    <row r="104">
      <c r="A104" s="25" t="s">
        <v>68</v>
      </c>
      <c r="B104" s="26" t="s">
        <v>279</v>
      </c>
      <c r="C104" s="26" t="s">
        <v>280</v>
      </c>
      <c r="D104" s="32"/>
      <c r="E104" s="28" t="s">
        <v>71</v>
      </c>
      <c r="F104" s="33"/>
      <c r="G104" s="32"/>
      <c r="H104" s="31"/>
      <c r="I104" s="26"/>
      <c r="J104" s="26"/>
      <c r="K104" s="31"/>
      <c r="L104" s="31" t="s">
        <v>78</v>
      </c>
    </row>
    <row r="105">
      <c r="A105" s="25" t="s">
        <v>68</v>
      </c>
      <c r="B105" s="26" t="s">
        <v>281</v>
      </c>
      <c r="C105" s="26" t="s">
        <v>282</v>
      </c>
      <c r="D105" s="32"/>
      <c r="E105" s="28" t="s">
        <v>71</v>
      </c>
      <c r="F105" s="33"/>
      <c r="G105" s="32"/>
      <c r="H105" s="31"/>
      <c r="I105" s="26"/>
      <c r="J105" s="26"/>
      <c r="K105" s="31"/>
      <c r="L105" s="31" t="s">
        <v>78</v>
      </c>
    </row>
    <row r="106">
      <c r="A106" s="25" t="s">
        <v>68</v>
      </c>
      <c r="B106" s="26" t="s">
        <v>283</v>
      </c>
      <c r="C106" s="26" t="s">
        <v>284</v>
      </c>
      <c r="D106" s="32"/>
      <c r="E106" s="28" t="s">
        <v>71</v>
      </c>
      <c r="F106" s="33"/>
      <c r="G106" s="32"/>
      <c r="H106" s="31"/>
      <c r="I106" s="26"/>
      <c r="J106" s="26"/>
      <c r="K106" s="31"/>
      <c r="L106" s="31" t="s">
        <v>78</v>
      </c>
    </row>
    <row r="107">
      <c r="A107" s="25" t="s">
        <v>68</v>
      </c>
      <c r="B107" s="26" t="s">
        <v>285</v>
      </c>
      <c r="C107" s="26" t="s">
        <v>286</v>
      </c>
      <c r="D107" s="32"/>
      <c r="E107" s="28" t="s">
        <v>71</v>
      </c>
      <c r="F107" s="33"/>
      <c r="G107" s="32"/>
      <c r="H107" s="31"/>
      <c r="I107" s="26"/>
      <c r="J107" s="26"/>
      <c r="K107" s="31"/>
      <c r="L107" s="31" t="s">
        <v>78</v>
      </c>
    </row>
    <row r="108">
      <c r="A108" s="25" t="s">
        <v>68</v>
      </c>
      <c r="B108" s="26" t="s">
        <v>287</v>
      </c>
      <c r="C108" s="26" t="s">
        <v>288</v>
      </c>
      <c r="D108" s="32"/>
      <c r="E108" s="28" t="s">
        <v>71</v>
      </c>
      <c r="F108" s="33"/>
      <c r="G108" s="32"/>
      <c r="H108" s="31"/>
      <c r="I108" s="26"/>
      <c r="J108" s="26"/>
      <c r="K108" s="31"/>
      <c r="L108" s="31" t="s">
        <v>78</v>
      </c>
    </row>
    <row r="109">
      <c r="A109" s="25" t="s">
        <v>68</v>
      </c>
      <c r="B109" s="26" t="s">
        <v>289</v>
      </c>
      <c r="C109" s="26" t="s">
        <v>290</v>
      </c>
      <c r="D109" s="32"/>
      <c r="E109" s="28" t="s">
        <v>71</v>
      </c>
      <c r="F109" s="33"/>
      <c r="G109" s="32"/>
      <c r="H109" s="31"/>
      <c r="I109" s="26"/>
      <c r="J109" s="26"/>
      <c r="K109" s="31"/>
      <c r="L109" s="31" t="s">
        <v>75</v>
      </c>
    </row>
    <row r="110">
      <c r="A110" s="25" t="s">
        <v>68</v>
      </c>
      <c r="B110" s="26" t="s">
        <v>291</v>
      </c>
      <c r="C110" s="26" t="s">
        <v>292</v>
      </c>
      <c r="D110" s="32"/>
      <c r="E110" s="28" t="s">
        <v>71</v>
      </c>
      <c r="F110" s="33"/>
      <c r="G110" s="32"/>
      <c r="H110" s="31"/>
      <c r="I110" s="26"/>
      <c r="J110" s="26"/>
      <c r="K110" s="31"/>
      <c r="L110" s="31" t="s">
        <v>78</v>
      </c>
    </row>
    <row r="111">
      <c r="A111" s="25" t="s">
        <v>68</v>
      </c>
      <c r="B111" s="26" t="s">
        <v>293</v>
      </c>
      <c r="C111" s="26" t="s">
        <v>294</v>
      </c>
      <c r="D111" s="32"/>
      <c r="E111" s="28" t="s">
        <v>71</v>
      </c>
      <c r="F111" s="33"/>
      <c r="G111" s="32"/>
      <c r="H111" s="31"/>
      <c r="I111" s="26"/>
      <c r="J111" s="26"/>
      <c r="K111" s="31"/>
      <c r="L111" s="31" t="s">
        <v>78</v>
      </c>
    </row>
    <row r="112">
      <c r="A112" s="25" t="s">
        <v>68</v>
      </c>
      <c r="B112" s="26" t="s">
        <v>295</v>
      </c>
      <c r="C112" s="26" t="s">
        <v>296</v>
      </c>
      <c r="D112" s="32"/>
      <c r="E112" s="28" t="s">
        <v>71</v>
      </c>
      <c r="F112" s="33"/>
      <c r="G112" s="32"/>
      <c r="H112" s="31"/>
      <c r="I112" s="26"/>
      <c r="J112" s="26"/>
      <c r="K112" s="31"/>
      <c r="L112" s="31" t="s">
        <v>78</v>
      </c>
    </row>
    <row r="113">
      <c r="A113" s="25" t="s">
        <v>68</v>
      </c>
      <c r="B113" s="26" t="s">
        <v>297</v>
      </c>
      <c r="C113" s="26" t="s">
        <v>298</v>
      </c>
      <c r="D113" s="32"/>
      <c r="E113" s="28" t="s">
        <v>71</v>
      </c>
      <c r="F113" s="33"/>
      <c r="G113" s="32"/>
      <c r="H113" s="31"/>
      <c r="I113" s="26"/>
      <c r="J113" s="26"/>
      <c r="K113" s="31"/>
      <c r="L113" s="31" t="s">
        <v>75</v>
      </c>
    </row>
    <row r="114">
      <c r="A114" s="25" t="s">
        <v>68</v>
      </c>
      <c r="B114" s="26" t="s">
        <v>299</v>
      </c>
      <c r="C114" s="26" t="s">
        <v>300</v>
      </c>
      <c r="D114" s="32"/>
      <c r="E114" s="28" t="s">
        <v>71</v>
      </c>
      <c r="F114" s="33"/>
      <c r="G114" s="32"/>
      <c r="H114" s="31"/>
      <c r="I114" s="26"/>
      <c r="J114" s="26"/>
      <c r="K114" s="31"/>
      <c r="L114" s="31" t="s">
        <v>78</v>
      </c>
    </row>
    <row r="115">
      <c r="A115" s="25" t="s">
        <v>68</v>
      </c>
      <c r="B115" s="26" t="s">
        <v>301</v>
      </c>
      <c r="C115" s="26" t="s">
        <v>302</v>
      </c>
      <c r="D115" s="32"/>
      <c r="E115" s="28" t="s">
        <v>71</v>
      </c>
      <c r="F115" s="33"/>
      <c r="G115" s="32"/>
      <c r="H115" s="31"/>
      <c r="I115" s="26"/>
      <c r="J115" s="26"/>
      <c r="K115" s="31"/>
      <c r="L115" s="31" t="s">
        <v>78</v>
      </c>
    </row>
    <row r="116">
      <c r="A116" s="25" t="s">
        <v>68</v>
      </c>
      <c r="B116" s="26" t="s">
        <v>303</v>
      </c>
      <c r="C116" s="26" t="s">
        <v>304</v>
      </c>
      <c r="D116" s="32"/>
      <c r="E116" s="28" t="s">
        <v>71</v>
      </c>
      <c r="F116" s="33"/>
      <c r="G116" s="32"/>
      <c r="H116" s="31"/>
      <c r="I116" s="26"/>
      <c r="J116" s="26"/>
      <c r="K116" s="31"/>
      <c r="L116" s="31" t="s">
        <v>78</v>
      </c>
    </row>
    <row r="117">
      <c r="A117" s="25" t="s">
        <v>68</v>
      </c>
      <c r="B117" s="26" t="s">
        <v>305</v>
      </c>
      <c r="C117" s="26" t="s">
        <v>306</v>
      </c>
      <c r="D117" s="32"/>
      <c r="E117" s="28" t="s">
        <v>71</v>
      </c>
      <c r="F117" s="33"/>
      <c r="G117" s="32"/>
      <c r="H117" s="31"/>
      <c r="I117" s="26"/>
      <c r="J117" s="26"/>
      <c r="K117" s="31"/>
      <c r="L117" s="31" t="s">
        <v>75</v>
      </c>
    </row>
    <row r="118">
      <c r="A118" s="25" t="s">
        <v>68</v>
      </c>
      <c r="B118" s="26" t="s">
        <v>307</v>
      </c>
      <c r="C118" s="26" t="s">
        <v>308</v>
      </c>
      <c r="D118" s="32"/>
      <c r="E118" s="28" t="s">
        <v>71</v>
      </c>
      <c r="F118" s="33"/>
      <c r="G118" s="32"/>
      <c r="H118" s="31"/>
      <c r="I118" s="26"/>
      <c r="J118" s="26"/>
      <c r="K118" s="31"/>
      <c r="L118" s="31" t="s">
        <v>78</v>
      </c>
    </row>
    <row r="119">
      <c r="A119" s="25" t="s">
        <v>68</v>
      </c>
      <c r="B119" s="26" t="s">
        <v>309</v>
      </c>
      <c r="C119" s="26" t="s">
        <v>310</v>
      </c>
      <c r="D119" s="32"/>
      <c r="E119" s="28" t="s">
        <v>71</v>
      </c>
      <c r="F119" s="33"/>
      <c r="G119" s="32"/>
      <c r="H119" s="31"/>
      <c r="I119" s="26"/>
      <c r="J119" s="26"/>
      <c r="K119" s="31"/>
      <c r="L119" s="31" t="s">
        <v>78</v>
      </c>
    </row>
    <row r="120">
      <c r="A120" s="25" t="s">
        <v>68</v>
      </c>
      <c r="B120" s="26" t="s">
        <v>311</v>
      </c>
      <c r="C120" s="26" t="s">
        <v>312</v>
      </c>
      <c r="D120" s="32"/>
      <c r="E120" s="28" t="s">
        <v>71</v>
      </c>
      <c r="F120" s="33"/>
      <c r="G120" s="32"/>
      <c r="H120" s="31"/>
      <c r="I120" s="26"/>
      <c r="J120" s="26"/>
      <c r="K120" s="31"/>
      <c r="L120" s="31" t="s">
        <v>78</v>
      </c>
    </row>
    <row r="121">
      <c r="A121" s="25" t="s">
        <v>68</v>
      </c>
      <c r="B121" s="26" t="s">
        <v>313</v>
      </c>
      <c r="C121" s="26" t="s">
        <v>314</v>
      </c>
      <c r="D121" s="32"/>
      <c r="E121" s="28" t="s">
        <v>71</v>
      </c>
      <c r="F121" s="33"/>
      <c r="G121" s="32"/>
      <c r="H121" s="31"/>
      <c r="I121" s="26"/>
      <c r="J121" s="26"/>
      <c r="K121" s="31"/>
      <c r="L121" s="31" t="s">
        <v>75</v>
      </c>
    </row>
    <row r="122">
      <c r="A122" s="25" t="s">
        <v>68</v>
      </c>
      <c r="B122" s="26" t="s">
        <v>315</v>
      </c>
      <c r="C122" s="26" t="s">
        <v>316</v>
      </c>
      <c r="D122" s="32"/>
      <c r="E122" s="28" t="s">
        <v>71</v>
      </c>
      <c r="F122" s="33"/>
      <c r="G122" s="32"/>
      <c r="H122" s="31"/>
      <c r="I122" s="26"/>
      <c r="J122" s="26"/>
      <c r="K122" s="31"/>
      <c r="L122" s="31" t="s">
        <v>78</v>
      </c>
    </row>
    <row r="123">
      <c r="A123" s="25" t="s">
        <v>68</v>
      </c>
      <c r="B123" s="26" t="s">
        <v>317</v>
      </c>
      <c r="C123" s="26" t="s">
        <v>318</v>
      </c>
      <c r="D123" s="32"/>
      <c r="E123" s="28" t="s">
        <v>71</v>
      </c>
      <c r="F123" s="33"/>
      <c r="G123" s="32"/>
      <c r="H123" s="31"/>
      <c r="I123" s="26"/>
      <c r="J123" s="26"/>
      <c r="K123" s="31"/>
      <c r="L123" s="31" t="s">
        <v>78</v>
      </c>
    </row>
    <row r="124">
      <c r="A124" s="25" t="s">
        <v>68</v>
      </c>
      <c r="B124" s="26" t="s">
        <v>319</v>
      </c>
      <c r="C124" s="26" t="s">
        <v>320</v>
      </c>
      <c r="D124" s="32"/>
      <c r="E124" s="28" t="s">
        <v>71</v>
      </c>
      <c r="F124" s="33"/>
      <c r="G124" s="32"/>
      <c r="H124" s="31"/>
      <c r="I124" s="26"/>
      <c r="J124" s="26"/>
      <c r="K124" s="31"/>
      <c r="L124" s="31" t="s">
        <v>78</v>
      </c>
    </row>
    <row r="125">
      <c r="A125" s="25" t="s">
        <v>68</v>
      </c>
      <c r="B125" s="26" t="s">
        <v>321</v>
      </c>
      <c r="C125" s="26" t="s">
        <v>322</v>
      </c>
      <c r="D125" s="32"/>
      <c r="E125" s="28" t="s">
        <v>71</v>
      </c>
      <c r="F125" s="33"/>
      <c r="G125" s="32"/>
      <c r="H125" s="31"/>
      <c r="I125" s="26"/>
      <c r="J125" s="26"/>
      <c r="K125" s="31"/>
      <c r="L125" s="31" t="s">
        <v>78</v>
      </c>
    </row>
    <row r="126">
      <c r="A126" s="25" t="s">
        <v>68</v>
      </c>
      <c r="B126" s="26" t="s">
        <v>323</v>
      </c>
      <c r="C126" s="26" t="s">
        <v>324</v>
      </c>
      <c r="D126" s="32"/>
      <c r="E126" s="28" t="s">
        <v>71</v>
      </c>
      <c r="F126" s="33"/>
      <c r="G126" s="32"/>
      <c r="H126" s="31"/>
      <c r="I126" s="26"/>
      <c r="J126" s="26"/>
      <c r="K126" s="31"/>
      <c r="L126" s="31" t="s">
        <v>78</v>
      </c>
    </row>
    <row r="127">
      <c r="A127" s="25" t="s">
        <v>68</v>
      </c>
      <c r="B127" s="26" t="s">
        <v>325</v>
      </c>
      <c r="C127" s="26" t="s">
        <v>326</v>
      </c>
      <c r="D127" s="32"/>
      <c r="E127" s="28" t="s">
        <v>71</v>
      </c>
      <c r="F127" s="33"/>
      <c r="G127" s="32"/>
      <c r="H127" s="31"/>
      <c r="I127" s="26"/>
      <c r="J127" s="26"/>
      <c r="K127" s="31"/>
      <c r="L127" s="31" t="s">
        <v>78</v>
      </c>
    </row>
    <row r="128">
      <c r="A128" s="25" t="s">
        <v>68</v>
      </c>
      <c r="B128" s="26" t="s">
        <v>327</v>
      </c>
      <c r="C128" s="26" t="s">
        <v>328</v>
      </c>
      <c r="D128" s="32"/>
      <c r="E128" s="28" t="s">
        <v>71</v>
      </c>
      <c r="F128" s="33"/>
      <c r="G128" s="32"/>
      <c r="H128" s="31"/>
      <c r="I128" s="26"/>
      <c r="J128" s="26"/>
      <c r="K128" s="31"/>
      <c r="L128" s="31" t="s">
        <v>78</v>
      </c>
    </row>
    <row r="129">
      <c r="A129" s="25" t="s">
        <v>68</v>
      </c>
      <c r="B129" s="26" t="s">
        <v>329</v>
      </c>
      <c r="C129" s="26" t="s">
        <v>330</v>
      </c>
      <c r="D129" s="32"/>
      <c r="E129" s="28" t="s">
        <v>71</v>
      </c>
      <c r="F129" s="33"/>
      <c r="G129" s="32"/>
      <c r="H129" s="31"/>
      <c r="I129" s="26"/>
      <c r="J129" s="26"/>
      <c r="K129" s="31"/>
      <c r="L129" s="31" t="s">
        <v>78</v>
      </c>
    </row>
    <row r="130">
      <c r="A130" s="25" t="s">
        <v>68</v>
      </c>
      <c r="B130" s="26" t="s">
        <v>331</v>
      </c>
      <c r="C130" s="26" t="s">
        <v>332</v>
      </c>
      <c r="D130" s="32"/>
      <c r="E130" s="28" t="s">
        <v>71</v>
      </c>
      <c r="F130" s="33"/>
      <c r="G130" s="32"/>
      <c r="H130" s="31"/>
      <c r="I130" s="26"/>
      <c r="J130" s="26"/>
      <c r="K130" s="31"/>
      <c r="L130" s="31" t="s">
        <v>78</v>
      </c>
    </row>
    <row r="131">
      <c r="A131" s="25" t="s">
        <v>68</v>
      </c>
      <c r="B131" s="26" t="s">
        <v>333</v>
      </c>
      <c r="C131" s="26" t="s">
        <v>334</v>
      </c>
      <c r="D131" s="32"/>
      <c r="E131" s="28" t="s">
        <v>71</v>
      </c>
      <c r="F131" s="33"/>
      <c r="G131" s="32"/>
      <c r="H131" s="31"/>
      <c r="I131" s="26"/>
      <c r="J131" s="26"/>
      <c r="K131" s="31"/>
      <c r="L131" s="31" t="s">
        <v>75</v>
      </c>
    </row>
    <row r="132">
      <c r="A132" s="25" t="s">
        <v>68</v>
      </c>
      <c r="B132" s="26" t="s">
        <v>335</v>
      </c>
      <c r="C132" s="26" t="s">
        <v>336</v>
      </c>
      <c r="D132" s="32"/>
      <c r="E132" s="28" t="s">
        <v>71</v>
      </c>
      <c r="F132" s="33"/>
      <c r="G132" s="32"/>
      <c r="H132" s="31"/>
      <c r="I132" s="26"/>
      <c r="J132" s="26"/>
      <c r="K132" s="31"/>
      <c r="L132" s="31" t="s">
        <v>78</v>
      </c>
    </row>
    <row r="133">
      <c r="A133" s="25" t="s">
        <v>68</v>
      </c>
      <c r="B133" s="26" t="s">
        <v>337</v>
      </c>
      <c r="C133" s="26" t="s">
        <v>338</v>
      </c>
      <c r="D133" s="32"/>
      <c r="E133" s="28" t="s">
        <v>71</v>
      </c>
      <c r="F133" s="33"/>
      <c r="G133" s="32"/>
      <c r="H133" s="31"/>
      <c r="I133" s="26"/>
      <c r="J133" s="26"/>
      <c r="K133" s="31"/>
      <c r="L133" s="31" t="s">
        <v>78</v>
      </c>
    </row>
    <row r="134">
      <c r="A134" s="25" t="s">
        <v>68</v>
      </c>
      <c r="B134" s="26" t="s">
        <v>339</v>
      </c>
      <c r="C134" s="26" t="s">
        <v>340</v>
      </c>
      <c r="D134" s="32"/>
      <c r="E134" s="28" t="s">
        <v>71</v>
      </c>
      <c r="F134" s="33"/>
      <c r="G134" s="32"/>
      <c r="H134" s="31"/>
      <c r="I134" s="26"/>
      <c r="J134" s="26"/>
      <c r="K134" s="31"/>
      <c r="L134" s="31" t="s">
        <v>78</v>
      </c>
    </row>
    <row r="135">
      <c r="A135" s="25" t="s">
        <v>68</v>
      </c>
      <c r="B135" s="26" t="s">
        <v>341</v>
      </c>
      <c r="C135" s="26" t="s">
        <v>342</v>
      </c>
      <c r="D135" s="32"/>
      <c r="E135" s="28" t="s">
        <v>71</v>
      </c>
      <c r="F135" s="33"/>
      <c r="G135" s="32"/>
      <c r="H135" s="31"/>
      <c r="I135" s="26"/>
      <c r="J135" s="26"/>
      <c r="K135" s="31"/>
      <c r="L135" s="31" t="s">
        <v>78</v>
      </c>
    </row>
    <row r="136">
      <c r="A136" s="25" t="s">
        <v>68</v>
      </c>
      <c r="B136" s="26" t="s">
        <v>343</v>
      </c>
      <c r="C136" s="26" t="s">
        <v>344</v>
      </c>
      <c r="D136" s="32"/>
      <c r="E136" s="28" t="s">
        <v>71</v>
      </c>
      <c r="F136" s="33"/>
      <c r="G136" s="32"/>
      <c r="H136" s="31"/>
      <c r="I136" s="26"/>
      <c r="J136" s="26"/>
      <c r="K136" s="31"/>
      <c r="L136" s="31" t="s">
        <v>78</v>
      </c>
    </row>
    <row r="137">
      <c r="A137" s="25" t="s">
        <v>68</v>
      </c>
      <c r="B137" s="26" t="s">
        <v>345</v>
      </c>
      <c r="C137" s="26" t="s">
        <v>346</v>
      </c>
      <c r="D137" s="32"/>
      <c r="E137" s="28" t="s">
        <v>71</v>
      </c>
      <c r="F137" s="33"/>
      <c r="G137" s="32"/>
      <c r="H137" s="31"/>
      <c r="I137" s="26"/>
      <c r="J137" s="26"/>
      <c r="K137" s="31"/>
      <c r="L137" s="31" t="s">
        <v>75</v>
      </c>
    </row>
    <row r="138">
      <c r="A138" s="25" t="s">
        <v>68</v>
      </c>
      <c r="B138" s="26" t="s">
        <v>347</v>
      </c>
      <c r="C138" s="26" t="s">
        <v>348</v>
      </c>
      <c r="D138" s="32"/>
      <c r="E138" s="28" t="s">
        <v>71</v>
      </c>
      <c r="F138" s="33"/>
      <c r="G138" s="32"/>
      <c r="H138" s="31"/>
      <c r="I138" s="26"/>
      <c r="J138" s="26"/>
      <c r="K138" s="31"/>
      <c r="L138" s="31" t="s">
        <v>78</v>
      </c>
    </row>
    <row r="139">
      <c r="A139" s="25" t="s">
        <v>68</v>
      </c>
      <c r="B139" s="26" t="s">
        <v>349</v>
      </c>
      <c r="C139" s="26" t="s">
        <v>350</v>
      </c>
      <c r="D139" s="32"/>
      <c r="E139" s="28" t="s">
        <v>71</v>
      </c>
      <c r="F139" s="33"/>
      <c r="G139" s="32"/>
      <c r="H139" s="31"/>
      <c r="I139" s="26"/>
      <c r="J139" s="26"/>
      <c r="K139" s="31"/>
      <c r="L139" s="31" t="s">
        <v>78</v>
      </c>
    </row>
    <row r="140">
      <c r="A140" s="25" t="s">
        <v>68</v>
      </c>
      <c r="B140" s="26" t="s">
        <v>351</v>
      </c>
      <c r="C140" s="26" t="s">
        <v>352</v>
      </c>
      <c r="D140" s="32"/>
      <c r="E140" s="28" t="s">
        <v>71</v>
      </c>
      <c r="F140" s="33"/>
      <c r="G140" s="32"/>
      <c r="H140" s="31"/>
      <c r="I140" s="26"/>
      <c r="J140" s="26"/>
      <c r="K140" s="31"/>
      <c r="L140" s="31" t="s">
        <v>78</v>
      </c>
    </row>
    <row r="141">
      <c r="A141" s="25" t="s">
        <v>68</v>
      </c>
      <c r="B141" s="26" t="s">
        <v>353</v>
      </c>
      <c r="C141" s="26" t="s">
        <v>354</v>
      </c>
      <c r="D141" s="32"/>
      <c r="E141" s="28" t="s">
        <v>71</v>
      </c>
      <c r="F141" s="33"/>
      <c r="G141" s="32"/>
      <c r="H141" s="31"/>
      <c r="I141" s="26"/>
      <c r="J141" s="26"/>
      <c r="K141" s="31"/>
      <c r="L141" s="31" t="s">
        <v>78</v>
      </c>
    </row>
    <row r="142">
      <c r="A142" s="25" t="s">
        <v>68</v>
      </c>
      <c r="B142" s="26" t="s">
        <v>355</v>
      </c>
      <c r="C142" s="26" t="s">
        <v>356</v>
      </c>
      <c r="D142" s="32"/>
      <c r="E142" s="28" t="s">
        <v>71</v>
      </c>
      <c r="F142" s="33"/>
      <c r="G142" s="32"/>
      <c r="H142" s="31"/>
      <c r="I142" s="26"/>
      <c r="J142" s="26"/>
      <c r="K142" s="31"/>
      <c r="L142" s="31" t="s">
        <v>78</v>
      </c>
    </row>
    <row r="143">
      <c r="A143" s="25" t="s">
        <v>68</v>
      </c>
      <c r="B143" s="26" t="s">
        <v>357</v>
      </c>
      <c r="C143" s="26" t="s">
        <v>358</v>
      </c>
      <c r="D143" s="32"/>
      <c r="E143" s="28" t="s">
        <v>71</v>
      </c>
      <c r="F143" s="33"/>
      <c r="G143" s="32"/>
      <c r="H143" s="31"/>
      <c r="I143" s="26"/>
      <c r="J143" s="26"/>
      <c r="K143" s="31"/>
      <c r="L143" s="31" t="s">
        <v>78</v>
      </c>
    </row>
    <row r="144">
      <c r="A144" s="25" t="s">
        <v>68</v>
      </c>
      <c r="B144" s="26" t="s">
        <v>359</v>
      </c>
      <c r="C144" s="26" t="s">
        <v>360</v>
      </c>
      <c r="D144" s="32"/>
      <c r="E144" s="28" t="s">
        <v>71</v>
      </c>
      <c r="F144" s="33"/>
      <c r="G144" s="32"/>
      <c r="H144" s="31"/>
      <c r="I144" s="26"/>
      <c r="J144" s="26"/>
      <c r="K144" s="31"/>
      <c r="L144" s="31" t="s">
        <v>78</v>
      </c>
    </row>
    <row r="145">
      <c r="A145" s="25" t="s">
        <v>68</v>
      </c>
      <c r="B145" s="26" t="s">
        <v>361</v>
      </c>
      <c r="C145" s="26" t="s">
        <v>362</v>
      </c>
      <c r="D145" s="32"/>
      <c r="E145" s="28" t="s">
        <v>71</v>
      </c>
      <c r="F145" s="33"/>
      <c r="G145" s="32"/>
      <c r="H145" s="31"/>
      <c r="I145" s="26"/>
      <c r="J145" s="26"/>
      <c r="K145" s="31"/>
      <c r="L145" s="31" t="s">
        <v>78</v>
      </c>
    </row>
    <row r="146">
      <c r="A146" s="25" t="s">
        <v>68</v>
      </c>
      <c r="B146" s="26" t="s">
        <v>363</v>
      </c>
      <c r="C146" s="26" t="s">
        <v>364</v>
      </c>
      <c r="D146" s="32"/>
      <c r="E146" s="28" t="s">
        <v>71</v>
      </c>
      <c r="F146" s="33"/>
      <c r="G146" s="32"/>
      <c r="H146" s="31"/>
      <c r="I146" s="26"/>
      <c r="J146" s="26"/>
      <c r="K146" s="31"/>
      <c r="L146" s="31" t="s">
        <v>78</v>
      </c>
    </row>
    <row r="147">
      <c r="A147" s="25" t="s">
        <v>68</v>
      </c>
      <c r="B147" s="26" t="s">
        <v>365</v>
      </c>
      <c r="C147" s="26" t="s">
        <v>366</v>
      </c>
      <c r="D147" s="32"/>
      <c r="E147" s="28" t="s">
        <v>71</v>
      </c>
      <c r="F147" s="33"/>
      <c r="G147" s="32"/>
      <c r="H147" s="31"/>
      <c r="I147" s="26"/>
      <c r="J147" s="26"/>
      <c r="K147" s="31"/>
      <c r="L147" s="31" t="s">
        <v>78</v>
      </c>
    </row>
    <row r="148">
      <c r="A148" s="25" t="s">
        <v>68</v>
      </c>
      <c r="B148" s="26" t="s">
        <v>367</v>
      </c>
      <c r="C148" s="26" t="s">
        <v>368</v>
      </c>
      <c r="D148" s="32"/>
      <c r="E148" s="28" t="s">
        <v>71</v>
      </c>
      <c r="F148" s="33"/>
      <c r="G148" s="32"/>
      <c r="H148" s="31"/>
      <c r="I148" s="26"/>
      <c r="J148" s="26"/>
      <c r="K148" s="31"/>
      <c r="L148" s="31" t="s">
        <v>78</v>
      </c>
    </row>
    <row r="149">
      <c r="A149" s="25" t="s">
        <v>68</v>
      </c>
      <c r="B149" s="26" t="s">
        <v>369</v>
      </c>
      <c r="C149" s="26" t="s">
        <v>370</v>
      </c>
      <c r="D149" s="32"/>
      <c r="E149" s="28" t="s">
        <v>71</v>
      </c>
      <c r="F149" s="33"/>
      <c r="G149" s="32"/>
      <c r="H149" s="31"/>
      <c r="I149" s="26"/>
      <c r="J149" s="26"/>
      <c r="K149" s="31"/>
      <c r="L149" s="31" t="s">
        <v>78</v>
      </c>
    </row>
    <row r="150">
      <c r="A150" s="25" t="s">
        <v>68</v>
      </c>
      <c r="B150" s="26" t="s">
        <v>371</v>
      </c>
      <c r="C150" s="26" t="s">
        <v>372</v>
      </c>
      <c r="D150" s="32"/>
      <c r="E150" s="28" t="s">
        <v>71</v>
      </c>
      <c r="F150" s="33"/>
      <c r="G150" s="32"/>
      <c r="H150" s="31"/>
      <c r="I150" s="26"/>
      <c r="J150" s="26"/>
      <c r="K150" s="31"/>
      <c r="L150" s="31" t="s">
        <v>78</v>
      </c>
    </row>
    <row r="151">
      <c r="A151" s="25" t="s">
        <v>68</v>
      </c>
      <c r="B151" s="26" t="s">
        <v>373</v>
      </c>
      <c r="C151" s="26" t="s">
        <v>374</v>
      </c>
      <c r="D151" s="32"/>
      <c r="E151" s="28" t="s">
        <v>71</v>
      </c>
      <c r="F151" s="33"/>
      <c r="G151" s="32"/>
      <c r="H151" s="31"/>
      <c r="I151" s="26"/>
      <c r="J151" s="26"/>
      <c r="K151" s="31"/>
      <c r="L151" s="31" t="s">
        <v>78</v>
      </c>
    </row>
    <row r="152">
      <c r="A152" s="25" t="s">
        <v>68</v>
      </c>
      <c r="B152" s="26" t="s">
        <v>375</v>
      </c>
      <c r="C152" s="26" t="s">
        <v>376</v>
      </c>
      <c r="D152" s="32"/>
      <c r="E152" s="28" t="s">
        <v>71</v>
      </c>
      <c r="F152" s="33"/>
      <c r="G152" s="32"/>
      <c r="H152" s="31"/>
      <c r="I152" s="26"/>
      <c r="J152" s="26"/>
      <c r="K152" s="31"/>
      <c r="L152" s="31" t="s">
        <v>78</v>
      </c>
    </row>
    <row r="153">
      <c r="A153" s="25" t="s">
        <v>68</v>
      </c>
      <c r="B153" s="26" t="s">
        <v>377</v>
      </c>
      <c r="C153" s="26" t="s">
        <v>378</v>
      </c>
      <c r="D153" s="32"/>
      <c r="E153" s="28" t="s">
        <v>71</v>
      </c>
      <c r="F153" s="33"/>
      <c r="G153" s="32"/>
      <c r="H153" s="31"/>
      <c r="I153" s="26"/>
      <c r="J153" s="26"/>
      <c r="K153" s="31"/>
      <c r="L153" s="31" t="s">
        <v>75</v>
      </c>
    </row>
    <row r="154">
      <c r="A154" s="25" t="s">
        <v>68</v>
      </c>
      <c r="B154" s="26" t="s">
        <v>379</v>
      </c>
      <c r="C154" s="26" t="s">
        <v>380</v>
      </c>
      <c r="D154" s="32"/>
      <c r="E154" s="28" t="s">
        <v>71</v>
      </c>
      <c r="F154" s="33"/>
      <c r="G154" s="32"/>
      <c r="H154" s="31"/>
      <c r="I154" s="26"/>
      <c r="J154" s="26"/>
      <c r="K154" s="31"/>
      <c r="L154" s="31" t="s">
        <v>78</v>
      </c>
    </row>
    <row r="155">
      <c r="A155" s="25" t="s">
        <v>68</v>
      </c>
      <c r="B155" s="26" t="s">
        <v>381</v>
      </c>
      <c r="C155" s="26" t="s">
        <v>382</v>
      </c>
      <c r="D155" s="32"/>
      <c r="E155" s="28" t="s">
        <v>71</v>
      </c>
      <c r="F155" s="33"/>
      <c r="G155" s="32"/>
      <c r="H155" s="31"/>
      <c r="I155" s="26"/>
      <c r="J155" s="26"/>
      <c r="K155" s="31"/>
      <c r="L155" s="31" t="s">
        <v>75</v>
      </c>
    </row>
    <row r="156">
      <c r="A156" s="25" t="s">
        <v>68</v>
      </c>
      <c r="B156" s="26" t="s">
        <v>383</v>
      </c>
      <c r="C156" s="26" t="s">
        <v>384</v>
      </c>
      <c r="D156" s="32"/>
      <c r="E156" s="28" t="s">
        <v>71</v>
      </c>
      <c r="F156" s="33"/>
      <c r="G156" s="32"/>
      <c r="H156" s="31"/>
      <c r="I156" s="26"/>
      <c r="J156" s="26"/>
      <c r="K156" s="31"/>
      <c r="L156" s="31" t="s">
        <v>78</v>
      </c>
    </row>
    <row r="157">
      <c r="A157" s="25" t="s">
        <v>68</v>
      </c>
      <c r="B157" s="26" t="s">
        <v>385</v>
      </c>
      <c r="C157" s="26" t="s">
        <v>386</v>
      </c>
      <c r="D157" s="32"/>
      <c r="E157" s="28" t="s">
        <v>71</v>
      </c>
      <c r="F157" s="33"/>
      <c r="G157" s="32"/>
      <c r="H157" s="31"/>
      <c r="I157" s="26"/>
      <c r="J157" s="26"/>
      <c r="K157" s="31"/>
      <c r="L157" s="31" t="s">
        <v>78</v>
      </c>
    </row>
    <row r="158">
      <c r="A158" s="25" t="s">
        <v>68</v>
      </c>
      <c r="B158" s="26" t="s">
        <v>387</v>
      </c>
      <c r="C158" s="26" t="s">
        <v>388</v>
      </c>
      <c r="D158" s="32"/>
      <c r="E158" s="28" t="s">
        <v>71</v>
      </c>
      <c r="F158" s="33"/>
      <c r="G158" s="32"/>
      <c r="H158" s="31"/>
      <c r="I158" s="26"/>
      <c r="J158" s="26"/>
      <c r="K158" s="31"/>
      <c r="L158" s="31" t="s">
        <v>78</v>
      </c>
    </row>
    <row r="159">
      <c r="A159" s="25" t="s">
        <v>68</v>
      </c>
      <c r="B159" s="26" t="s">
        <v>389</v>
      </c>
      <c r="C159" s="26" t="s">
        <v>390</v>
      </c>
      <c r="D159" s="32"/>
      <c r="E159" s="28" t="s">
        <v>71</v>
      </c>
      <c r="F159" s="33"/>
      <c r="G159" s="32"/>
      <c r="H159" s="31"/>
      <c r="I159" s="26"/>
      <c r="J159" s="26"/>
      <c r="K159" s="31"/>
      <c r="L159" s="31" t="s">
        <v>75</v>
      </c>
    </row>
    <row r="160">
      <c r="A160" s="25" t="s">
        <v>68</v>
      </c>
      <c r="B160" s="26" t="s">
        <v>391</v>
      </c>
      <c r="C160" s="26" t="s">
        <v>392</v>
      </c>
      <c r="D160" s="32"/>
      <c r="E160" s="28" t="s">
        <v>71</v>
      </c>
      <c r="F160" s="33"/>
      <c r="G160" s="32"/>
      <c r="H160" s="31"/>
      <c r="I160" s="26"/>
      <c r="J160" s="26"/>
      <c r="K160" s="31"/>
      <c r="L160" s="31" t="s">
        <v>75</v>
      </c>
    </row>
    <row r="161">
      <c r="A161" s="25" t="s">
        <v>68</v>
      </c>
      <c r="B161" s="26" t="s">
        <v>393</v>
      </c>
      <c r="C161" s="26" t="s">
        <v>394</v>
      </c>
      <c r="D161" s="32"/>
      <c r="E161" s="28" t="s">
        <v>71</v>
      </c>
      <c r="F161" s="33"/>
      <c r="G161" s="32"/>
      <c r="H161" s="31"/>
      <c r="I161" s="26"/>
      <c r="J161" s="26"/>
      <c r="K161" s="31"/>
      <c r="L161" s="31" t="s">
        <v>78</v>
      </c>
    </row>
    <row r="162">
      <c r="A162" s="25" t="s">
        <v>68</v>
      </c>
      <c r="B162" s="26" t="s">
        <v>395</v>
      </c>
      <c r="C162" s="26" t="s">
        <v>396</v>
      </c>
      <c r="D162" s="32"/>
      <c r="E162" s="28" t="s">
        <v>71</v>
      </c>
      <c r="F162" s="33"/>
      <c r="G162" s="32"/>
      <c r="H162" s="31"/>
      <c r="I162" s="26"/>
      <c r="J162" s="26"/>
      <c r="K162" s="31"/>
      <c r="L162" s="31" t="s">
        <v>78</v>
      </c>
    </row>
    <row r="163">
      <c r="A163" s="25" t="s">
        <v>68</v>
      </c>
      <c r="B163" s="26" t="s">
        <v>397</v>
      </c>
      <c r="C163" s="26" t="s">
        <v>398</v>
      </c>
      <c r="D163" s="32"/>
      <c r="E163" s="28" t="s">
        <v>71</v>
      </c>
      <c r="F163" s="33"/>
      <c r="G163" s="32"/>
      <c r="H163" s="31"/>
      <c r="I163" s="26"/>
      <c r="J163" s="26"/>
      <c r="K163" s="31"/>
      <c r="L163" s="31" t="s">
        <v>78</v>
      </c>
    </row>
    <row r="164">
      <c r="A164" s="25" t="s">
        <v>68</v>
      </c>
      <c r="B164" s="26" t="s">
        <v>399</v>
      </c>
      <c r="C164" s="26" t="s">
        <v>400</v>
      </c>
      <c r="D164" s="32"/>
      <c r="E164" s="28" t="s">
        <v>71</v>
      </c>
      <c r="F164" s="33"/>
      <c r="G164" s="32"/>
      <c r="H164" s="31"/>
      <c r="I164" s="26"/>
      <c r="J164" s="26"/>
      <c r="K164" s="31"/>
      <c r="L164" s="31" t="s">
        <v>75</v>
      </c>
    </row>
    <row r="165">
      <c r="A165" s="25" t="s">
        <v>68</v>
      </c>
      <c r="B165" s="26" t="s">
        <v>401</v>
      </c>
      <c r="C165" s="26" t="s">
        <v>402</v>
      </c>
      <c r="D165" s="32"/>
      <c r="E165" s="28" t="s">
        <v>71</v>
      </c>
      <c r="F165" s="33"/>
      <c r="G165" s="32"/>
      <c r="H165" s="31"/>
      <c r="I165" s="26"/>
      <c r="J165" s="26"/>
      <c r="K165" s="31"/>
      <c r="L165" s="31" t="s">
        <v>78</v>
      </c>
    </row>
    <row r="166">
      <c r="A166" s="25" t="s">
        <v>68</v>
      </c>
      <c r="B166" s="26" t="s">
        <v>403</v>
      </c>
      <c r="C166" s="26" t="s">
        <v>404</v>
      </c>
      <c r="D166" s="32"/>
      <c r="E166" s="28" t="s">
        <v>71</v>
      </c>
      <c r="F166" s="33"/>
      <c r="G166" s="32"/>
      <c r="H166" s="31"/>
      <c r="I166" s="26"/>
      <c r="J166" s="26"/>
      <c r="K166" s="31"/>
      <c r="L166" s="31" t="s">
        <v>78</v>
      </c>
    </row>
    <row r="167">
      <c r="A167" s="25" t="s">
        <v>68</v>
      </c>
      <c r="B167" s="26" t="s">
        <v>405</v>
      </c>
      <c r="C167" s="26" t="s">
        <v>406</v>
      </c>
      <c r="D167" s="32"/>
      <c r="E167" s="28" t="s">
        <v>71</v>
      </c>
      <c r="F167" s="33"/>
      <c r="G167" s="32"/>
      <c r="H167" s="31"/>
      <c r="I167" s="26"/>
      <c r="J167" s="26"/>
      <c r="K167" s="31"/>
      <c r="L167" s="31" t="s">
        <v>78</v>
      </c>
    </row>
    <row r="168">
      <c r="A168" s="25" t="s">
        <v>68</v>
      </c>
      <c r="B168" s="26" t="s">
        <v>407</v>
      </c>
      <c r="C168" s="26" t="s">
        <v>408</v>
      </c>
      <c r="D168" s="32"/>
      <c r="E168" s="28" t="s">
        <v>71</v>
      </c>
      <c r="F168" s="33"/>
      <c r="G168" s="32"/>
      <c r="H168" s="31"/>
      <c r="I168" s="26"/>
      <c r="J168" s="26"/>
      <c r="K168" s="31"/>
      <c r="L168" s="31" t="s">
        <v>75</v>
      </c>
    </row>
    <row r="169">
      <c r="A169" s="25" t="s">
        <v>68</v>
      </c>
      <c r="B169" s="26" t="s">
        <v>409</v>
      </c>
      <c r="C169" s="26" t="s">
        <v>410</v>
      </c>
      <c r="D169" s="32"/>
      <c r="E169" s="28" t="s">
        <v>71</v>
      </c>
      <c r="F169" s="33"/>
      <c r="G169" s="32"/>
      <c r="H169" s="31"/>
      <c r="I169" s="26"/>
      <c r="J169" s="26"/>
      <c r="K169" s="31"/>
      <c r="L169" s="31" t="s">
        <v>75</v>
      </c>
    </row>
    <row r="170">
      <c r="A170" s="25" t="s">
        <v>68</v>
      </c>
      <c r="B170" s="26" t="s">
        <v>411</v>
      </c>
      <c r="C170" s="26" t="s">
        <v>412</v>
      </c>
      <c r="D170" s="32"/>
      <c r="E170" s="28" t="s">
        <v>71</v>
      </c>
      <c r="F170" s="33"/>
      <c r="G170" s="32"/>
      <c r="H170" s="31"/>
      <c r="I170" s="26"/>
      <c r="J170" s="26"/>
      <c r="K170" s="31"/>
      <c r="L170" s="31" t="s">
        <v>78</v>
      </c>
    </row>
    <row r="171">
      <c r="A171" s="25" t="s">
        <v>68</v>
      </c>
      <c r="B171" s="26" t="s">
        <v>413</v>
      </c>
      <c r="C171" s="26" t="s">
        <v>414</v>
      </c>
      <c r="D171" s="32"/>
      <c r="E171" s="28" t="s">
        <v>71</v>
      </c>
      <c r="F171" s="33"/>
      <c r="G171" s="32"/>
      <c r="H171" s="31"/>
      <c r="I171" s="26"/>
      <c r="J171" s="26"/>
      <c r="K171" s="31"/>
      <c r="L171" s="31" t="s">
        <v>78</v>
      </c>
    </row>
    <row r="172">
      <c r="A172" s="25" t="s">
        <v>68</v>
      </c>
      <c r="B172" s="26" t="s">
        <v>415</v>
      </c>
      <c r="C172" s="26" t="s">
        <v>416</v>
      </c>
      <c r="D172" s="32"/>
      <c r="E172" s="28" t="s">
        <v>71</v>
      </c>
      <c r="F172" s="33"/>
      <c r="G172" s="32"/>
      <c r="H172" s="31"/>
      <c r="I172" s="26"/>
      <c r="J172" s="26"/>
      <c r="K172" s="31"/>
      <c r="L172" s="31" t="s">
        <v>78</v>
      </c>
    </row>
    <row r="173">
      <c r="A173" s="25" t="s">
        <v>68</v>
      </c>
      <c r="B173" s="26" t="s">
        <v>417</v>
      </c>
      <c r="C173" s="26" t="s">
        <v>418</v>
      </c>
      <c r="D173" s="32"/>
      <c r="E173" s="28" t="s">
        <v>71</v>
      </c>
      <c r="F173" s="33"/>
      <c r="G173" s="32"/>
      <c r="H173" s="31"/>
      <c r="I173" s="26"/>
      <c r="J173" s="26"/>
      <c r="K173" s="31"/>
      <c r="L173" s="31" t="s">
        <v>78</v>
      </c>
    </row>
    <row r="174">
      <c r="A174" s="25" t="s">
        <v>68</v>
      </c>
      <c r="B174" s="26" t="s">
        <v>419</v>
      </c>
      <c r="C174" s="26" t="s">
        <v>420</v>
      </c>
      <c r="D174" s="32"/>
      <c r="E174" s="28" t="s">
        <v>71</v>
      </c>
      <c r="F174" s="33"/>
      <c r="G174" s="32"/>
      <c r="H174" s="31"/>
      <c r="I174" s="26"/>
      <c r="J174" s="26"/>
      <c r="K174" s="31"/>
      <c r="L174" s="31" t="s">
        <v>78</v>
      </c>
    </row>
    <row r="175">
      <c r="A175" s="25" t="s">
        <v>68</v>
      </c>
      <c r="B175" s="26" t="s">
        <v>421</v>
      </c>
      <c r="C175" s="26" t="s">
        <v>422</v>
      </c>
      <c r="D175" s="32"/>
      <c r="E175" s="28" t="s">
        <v>71</v>
      </c>
      <c r="F175" s="33"/>
      <c r="G175" s="32"/>
      <c r="H175" s="31"/>
      <c r="I175" s="26"/>
      <c r="J175" s="26"/>
      <c r="K175" s="31"/>
      <c r="L175" s="31" t="s">
        <v>78</v>
      </c>
    </row>
    <row r="176">
      <c r="A176" s="25" t="s">
        <v>68</v>
      </c>
      <c r="B176" s="26" t="s">
        <v>423</v>
      </c>
      <c r="C176" s="26" t="s">
        <v>424</v>
      </c>
      <c r="D176" s="32"/>
      <c r="E176" s="28" t="s">
        <v>71</v>
      </c>
      <c r="F176" s="33"/>
      <c r="G176" s="32"/>
      <c r="H176" s="31"/>
      <c r="I176" s="26"/>
      <c r="J176" s="26"/>
      <c r="K176" s="31"/>
      <c r="L176" s="31" t="s">
        <v>78</v>
      </c>
    </row>
    <row r="177">
      <c r="A177" s="25" t="s">
        <v>68</v>
      </c>
      <c r="B177" s="26" t="s">
        <v>425</v>
      </c>
      <c r="C177" s="26" t="s">
        <v>426</v>
      </c>
      <c r="D177" s="32"/>
      <c r="E177" s="28" t="s">
        <v>71</v>
      </c>
      <c r="F177" s="33"/>
      <c r="G177" s="32"/>
      <c r="H177" s="31"/>
      <c r="I177" s="26"/>
      <c r="J177" s="26"/>
      <c r="K177" s="31"/>
      <c r="L177" s="31" t="s">
        <v>78</v>
      </c>
    </row>
    <row r="178">
      <c r="A178" s="25" t="s">
        <v>68</v>
      </c>
      <c r="B178" s="26" t="s">
        <v>427</v>
      </c>
      <c r="C178" s="26" t="s">
        <v>428</v>
      </c>
      <c r="D178" s="32"/>
      <c r="E178" s="28" t="s">
        <v>71</v>
      </c>
      <c r="F178" s="33"/>
      <c r="G178" s="32"/>
      <c r="H178" s="31"/>
      <c r="I178" s="26"/>
      <c r="J178" s="26"/>
      <c r="K178" s="31"/>
      <c r="L178" s="31" t="s">
        <v>78</v>
      </c>
    </row>
    <row r="179">
      <c r="A179" s="25" t="s">
        <v>68</v>
      </c>
      <c r="B179" s="26" t="s">
        <v>429</v>
      </c>
      <c r="C179" s="26" t="s">
        <v>430</v>
      </c>
      <c r="D179" s="32"/>
      <c r="E179" s="28" t="s">
        <v>71</v>
      </c>
      <c r="F179" s="33"/>
      <c r="G179" s="32"/>
      <c r="H179" s="31"/>
      <c r="I179" s="26"/>
      <c r="J179" s="26"/>
      <c r="K179" s="31"/>
      <c r="L179" s="31" t="s">
        <v>78</v>
      </c>
    </row>
    <row r="180">
      <c r="A180" s="25" t="s">
        <v>68</v>
      </c>
      <c r="B180" s="26" t="s">
        <v>431</v>
      </c>
      <c r="C180" s="26" t="s">
        <v>432</v>
      </c>
      <c r="D180" s="32"/>
      <c r="E180" s="28" t="s">
        <v>71</v>
      </c>
      <c r="F180" s="33"/>
      <c r="G180" s="32"/>
      <c r="H180" s="31"/>
      <c r="I180" s="26"/>
      <c r="J180" s="26"/>
      <c r="K180" s="31"/>
      <c r="L180" s="31" t="s">
        <v>78</v>
      </c>
    </row>
    <row r="181">
      <c r="A181" s="25" t="s">
        <v>68</v>
      </c>
      <c r="B181" s="26" t="s">
        <v>433</v>
      </c>
      <c r="C181" s="26" t="s">
        <v>434</v>
      </c>
      <c r="D181" s="32"/>
      <c r="E181" s="28" t="s">
        <v>71</v>
      </c>
      <c r="F181" s="33"/>
      <c r="G181" s="32"/>
      <c r="H181" s="31"/>
      <c r="I181" s="26"/>
      <c r="J181" s="26"/>
      <c r="K181" s="31"/>
      <c r="L181" s="31" t="s">
        <v>78</v>
      </c>
    </row>
    <row r="182">
      <c r="A182" s="25" t="s">
        <v>68</v>
      </c>
      <c r="B182" s="26" t="s">
        <v>435</v>
      </c>
      <c r="C182" s="26" t="s">
        <v>436</v>
      </c>
      <c r="D182" s="32"/>
      <c r="E182" s="28" t="s">
        <v>71</v>
      </c>
      <c r="F182" s="33"/>
      <c r="G182" s="32"/>
      <c r="H182" s="31"/>
      <c r="I182" s="26"/>
      <c r="J182" s="26"/>
      <c r="K182" s="31"/>
      <c r="L182" s="31" t="s">
        <v>78</v>
      </c>
    </row>
    <row r="183">
      <c r="A183" s="25" t="s">
        <v>68</v>
      </c>
      <c r="B183" s="26" t="s">
        <v>437</v>
      </c>
      <c r="C183" s="26" t="s">
        <v>438</v>
      </c>
      <c r="D183" s="32"/>
      <c r="E183" s="28" t="s">
        <v>71</v>
      </c>
      <c r="F183" s="33"/>
      <c r="G183" s="32"/>
      <c r="H183" s="31"/>
      <c r="I183" s="26"/>
      <c r="J183" s="26"/>
      <c r="K183" s="31"/>
      <c r="L183" s="31" t="s">
        <v>78</v>
      </c>
    </row>
    <row r="184">
      <c r="A184" s="25" t="s">
        <v>68</v>
      </c>
      <c r="B184" s="26" t="s">
        <v>439</v>
      </c>
      <c r="C184" s="26" t="s">
        <v>440</v>
      </c>
      <c r="D184" s="32"/>
      <c r="E184" s="28" t="s">
        <v>71</v>
      </c>
      <c r="F184" s="33"/>
      <c r="G184" s="32"/>
      <c r="H184" s="31"/>
      <c r="I184" s="26"/>
      <c r="J184" s="26"/>
      <c r="K184" s="31"/>
      <c r="L184" s="31" t="s">
        <v>78</v>
      </c>
    </row>
    <row r="185">
      <c r="A185" s="25" t="s">
        <v>68</v>
      </c>
      <c r="B185" s="26" t="s">
        <v>441</v>
      </c>
      <c r="C185" s="26" t="s">
        <v>442</v>
      </c>
      <c r="D185" s="32"/>
      <c r="E185" s="28" t="s">
        <v>71</v>
      </c>
      <c r="F185" s="33"/>
      <c r="G185" s="32"/>
      <c r="H185" s="31"/>
      <c r="I185" s="26"/>
      <c r="J185" s="26"/>
      <c r="K185" s="31"/>
      <c r="L185" s="31" t="s">
        <v>78</v>
      </c>
    </row>
    <row r="186">
      <c r="A186" s="25" t="s">
        <v>68</v>
      </c>
      <c r="B186" s="26" t="s">
        <v>443</v>
      </c>
      <c r="C186" s="26" t="s">
        <v>444</v>
      </c>
      <c r="D186" s="32"/>
      <c r="E186" s="28" t="s">
        <v>71</v>
      </c>
      <c r="F186" s="33"/>
      <c r="G186" s="32"/>
      <c r="H186" s="31"/>
      <c r="I186" s="26"/>
      <c r="J186" s="26"/>
      <c r="K186" s="31"/>
      <c r="L186" s="31" t="s">
        <v>75</v>
      </c>
    </row>
    <row r="187">
      <c r="A187" s="25" t="s">
        <v>68</v>
      </c>
      <c r="B187" s="26" t="s">
        <v>445</v>
      </c>
      <c r="C187" s="26" t="s">
        <v>446</v>
      </c>
      <c r="D187" s="32"/>
      <c r="E187" s="28" t="s">
        <v>71</v>
      </c>
      <c r="F187" s="33"/>
      <c r="G187" s="32"/>
      <c r="H187" s="31"/>
      <c r="I187" s="26"/>
      <c r="J187" s="26"/>
      <c r="K187" s="31"/>
      <c r="L187" s="31" t="s">
        <v>78</v>
      </c>
    </row>
    <row r="188">
      <c r="A188" s="25" t="s">
        <v>68</v>
      </c>
      <c r="B188" s="26" t="s">
        <v>447</v>
      </c>
      <c r="C188" s="26" t="s">
        <v>448</v>
      </c>
      <c r="D188" s="32"/>
      <c r="E188" s="28" t="s">
        <v>71</v>
      </c>
      <c r="F188" s="33"/>
      <c r="G188" s="32"/>
      <c r="H188" s="31"/>
      <c r="I188" s="26"/>
      <c r="J188" s="26"/>
      <c r="K188" s="31"/>
      <c r="L188" s="31" t="s">
        <v>78</v>
      </c>
    </row>
    <row r="189">
      <c r="A189" s="25" t="s">
        <v>68</v>
      </c>
      <c r="B189" s="26" t="s">
        <v>449</v>
      </c>
      <c r="C189" s="26" t="s">
        <v>450</v>
      </c>
      <c r="D189" s="32"/>
      <c r="E189" s="28" t="s">
        <v>71</v>
      </c>
      <c r="F189" s="33"/>
      <c r="G189" s="32"/>
      <c r="H189" s="31"/>
      <c r="I189" s="26"/>
      <c r="J189" s="26"/>
      <c r="K189" s="31"/>
      <c r="L189" s="31" t="s">
        <v>78</v>
      </c>
    </row>
    <row r="190">
      <c r="A190" s="25" t="s">
        <v>68</v>
      </c>
      <c r="B190" s="26" t="s">
        <v>451</v>
      </c>
      <c r="C190" s="26" t="s">
        <v>452</v>
      </c>
      <c r="D190" s="32"/>
      <c r="E190" s="28" t="s">
        <v>71</v>
      </c>
      <c r="F190" s="33"/>
      <c r="G190" s="32"/>
      <c r="H190" s="31"/>
      <c r="I190" s="26"/>
      <c r="J190" s="26"/>
      <c r="K190" s="31"/>
      <c r="L190" s="31" t="s">
        <v>78</v>
      </c>
    </row>
    <row r="191">
      <c r="A191" s="25" t="s">
        <v>68</v>
      </c>
      <c r="B191" s="26" t="s">
        <v>453</v>
      </c>
      <c r="C191" s="26" t="s">
        <v>454</v>
      </c>
      <c r="D191" s="32"/>
      <c r="E191" s="28" t="s">
        <v>71</v>
      </c>
      <c r="F191" s="33"/>
      <c r="G191" s="32"/>
      <c r="H191" s="31"/>
      <c r="I191" s="26"/>
      <c r="J191" s="26"/>
      <c r="K191" s="31"/>
      <c r="L191" s="31" t="s">
        <v>78</v>
      </c>
    </row>
    <row r="192">
      <c r="A192" s="25" t="s">
        <v>68</v>
      </c>
      <c r="B192" s="26" t="s">
        <v>455</v>
      </c>
      <c r="C192" s="26" t="s">
        <v>456</v>
      </c>
      <c r="D192" s="32"/>
      <c r="E192" s="28" t="s">
        <v>71</v>
      </c>
      <c r="F192" s="33"/>
      <c r="G192" s="32"/>
      <c r="H192" s="31"/>
      <c r="I192" s="26"/>
      <c r="J192" s="26"/>
      <c r="K192" s="31"/>
      <c r="L192" s="31" t="s">
        <v>78</v>
      </c>
    </row>
    <row r="193">
      <c r="A193" s="25" t="s">
        <v>68</v>
      </c>
      <c r="B193" s="26" t="s">
        <v>457</v>
      </c>
      <c r="C193" s="26" t="s">
        <v>458</v>
      </c>
      <c r="D193" s="32"/>
      <c r="E193" s="28" t="s">
        <v>71</v>
      </c>
      <c r="F193" s="33"/>
      <c r="G193" s="32"/>
      <c r="H193" s="31"/>
      <c r="I193" s="26"/>
      <c r="J193" s="26"/>
      <c r="K193" s="31"/>
      <c r="L193" s="31" t="s">
        <v>78</v>
      </c>
    </row>
    <row r="194">
      <c r="A194" s="25" t="s">
        <v>68</v>
      </c>
      <c r="B194" s="26" t="s">
        <v>459</v>
      </c>
      <c r="C194" s="26" t="s">
        <v>460</v>
      </c>
      <c r="D194" s="32"/>
      <c r="E194" s="28" t="s">
        <v>71</v>
      </c>
      <c r="F194" s="33"/>
      <c r="G194" s="32"/>
      <c r="H194" s="31"/>
      <c r="I194" s="26"/>
      <c r="J194" s="26"/>
      <c r="K194" s="31"/>
      <c r="L194" s="31" t="s">
        <v>78</v>
      </c>
    </row>
    <row r="195">
      <c r="A195" s="25" t="s">
        <v>68</v>
      </c>
      <c r="B195" s="26" t="s">
        <v>461</v>
      </c>
      <c r="C195" s="26" t="s">
        <v>462</v>
      </c>
      <c r="D195" s="32"/>
      <c r="E195" s="28" t="s">
        <v>71</v>
      </c>
      <c r="F195" s="33"/>
      <c r="G195" s="32"/>
      <c r="H195" s="31"/>
      <c r="I195" s="26"/>
      <c r="J195" s="26"/>
      <c r="K195" s="31"/>
      <c r="L195" s="31" t="s">
        <v>78</v>
      </c>
    </row>
    <row r="196">
      <c r="A196" s="25" t="s">
        <v>68</v>
      </c>
      <c r="B196" s="26" t="s">
        <v>463</v>
      </c>
      <c r="C196" s="26" t="s">
        <v>464</v>
      </c>
      <c r="D196" s="32"/>
      <c r="E196" s="28" t="s">
        <v>71</v>
      </c>
      <c r="F196" s="33"/>
      <c r="G196" s="32"/>
      <c r="H196" s="31"/>
      <c r="I196" s="26"/>
      <c r="J196" s="26"/>
      <c r="K196" s="31"/>
      <c r="L196" s="31" t="s">
        <v>78</v>
      </c>
    </row>
    <row r="197">
      <c r="A197" s="25" t="s">
        <v>68</v>
      </c>
      <c r="B197" s="26" t="s">
        <v>465</v>
      </c>
      <c r="C197" s="26" t="s">
        <v>466</v>
      </c>
      <c r="D197" s="32"/>
      <c r="E197" s="28" t="s">
        <v>71</v>
      </c>
      <c r="F197" s="33"/>
      <c r="G197" s="32"/>
      <c r="H197" s="31"/>
      <c r="I197" s="26"/>
      <c r="J197" s="26"/>
      <c r="K197" s="31"/>
      <c r="L197" s="31" t="s">
        <v>78</v>
      </c>
    </row>
    <row r="198">
      <c r="A198" s="25" t="s">
        <v>68</v>
      </c>
      <c r="B198" s="26" t="s">
        <v>467</v>
      </c>
      <c r="C198" s="26" t="s">
        <v>468</v>
      </c>
      <c r="D198" s="32"/>
      <c r="E198" s="28" t="s">
        <v>71</v>
      </c>
      <c r="F198" s="33"/>
      <c r="G198" s="32"/>
      <c r="H198" s="31"/>
      <c r="I198" s="26"/>
      <c r="J198" s="26"/>
      <c r="K198" s="31"/>
      <c r="L198" s="31" t="s">
        <v>78</v>
      </c>
    </row>
    <row r="199">
      <c r="A199" s="25" t="s">
        <v>68</v>
      </c>
      <c r="B199" s="26" t="s">
        <v>469</v>
      </c>
      <c r="C199" s="26" t="s">
        <v>470</v>
      </c>
      <c r="D199" s="32"/>
      <c r="E199" s="28" t="s">
        <v>71</v>
      </c>
      <c r="F199" s="33"/>
      <c r="G199" s="32"/>
      <c r="H199" s="31"/>
      <c r="I199" s="26"/>
      <c r="J199" s="26"/>
      <c r="K199" s="31"/>
      <c r="L199" s="31" t="s">
        <v>78</v>
      </c>
    </row>
    <row r="200">
      <c r="A200" s="25" t="s">
        <v>68</v>
      </c>
      <c r="B200" s="26" t="s">
        <v>471</v>
      </c>
      <c r="C200" s="26" t="s">
        <v>472</v>
      </c>
      <c r="D200" s="32"/>
      <c r="E200" s="28" t="s">
        <v>71</v>
      </c>
      <c r="F200" s="33"/>
      <c r="G200" s="32"/>
      <c r="H200" s="31"/>
      <c r="I200" s="26"/>
      <c r="J200" s="26"/>
      <c r="K200" s="31"/>
      <c r="L200" s="31" t="s">
        <v>78</v>
      </c>
    </row>
    <row r="201">
      <c r="A201" s="25" t="s">
        <v>68</v>
      </c>
      <c r="B201" s="26" t="s">
        <v>473</v>
      </c>
      <c r="C201" s="26" t="s">
        <v>474</v>
      </c>
      <c r="D201" s="32"/>
      <c r="E201" s="28" t="s">
        <v>71</v>
      </c>
      <c r="F201" s="33"/>
      <c r="G201" s="32"/>
      <c r="H201" s="31"/>
      <c r="I201" s="26"/>
      <c r="J201" s="26"/>
      <c r="K201" s="31"/>
      <c r="L201" s="31" t="s">
        <v>78</v>
      </c>
    </row>
    <row r="202">
      <c r="A202" s="25" t="s">
        <v>68</v>
      </c>
      <c r="B202" s="26" t="s">
        <v>475</v>
      </c>
      <c r="C202" s="26" t="s">
        <v>476</v>
      </c>
      <c r="D202" s="32"/>
      <c r="E202" s="28" t="s">
        <v>71</v>
      </c>
      <c r="F202" s="33"/>
      <c r="G202" s="32"/>
      <c r="H202" s="31"/>
      <c r="I202" s="26"/>
      <c r="J202" s="26"/>
      <c r="K202" s="31"/>
      <c r="L202" s="31" t="s">
        <v>78</v>
      </c>
    </row>
    <row r="203">
      <c r="A203" s="25" t="s">
        <v>68</v>
      </c>
      <c r="B203" s="26" t="s">
        <v>477</v>
      </c>
      <c r="C203" s="26" t="s">
        <v>478</v>
      </c>
      <c r="D203" s="32"/>
      <c r="E203" s="28" t="s">
        <v>71</v>
      </c>
      <c r="F203" s="33"/>
      <c r="G203" s="32"/>
      <c r="H203" s="31"/>
      <c r="I203" s="26"/>
      <c r="J203" s="26"/>
      <c r="K203" s="31"/>
      <c r="L203" s="31" t="s">
        <v>78</v>
      </c>
    </row>
    <row r="204">
      <c r="A204" s="25" t="s">
        <v>68</v>
      </c>
      <c r="B204" s="26" t="s">
        <v>479</v>
      </c>
      <c r="C204" s="26" t="s">
        <v>480</v>
      </c>
      <c r="D204" s="32"/>
      <c r="E204" s="28" t="s">
        <v>71</v>
      </c>
      <c r="F204" s="33"/>
      <c r="G204" s="32"/>
      <c r="H204" s="31"/>
      <c r="I204" s="26"/>
      <c r="J204" s="26"/>
      <c r="K204" s="31"/>
      <c r="L204" s="31" t="s">
        <v>78</v>
      </c>
    </row>
    <row r="205">
      <c r="A205" s="25" t="s">
        <v>68</v>
      </c>
      <c r="B205" s="26" t="s">
        <v>481</v>
      </c>
      <c r="C205" s="26" t="s">
        <v>482</v>
      </c>
      <c r="D205" s="30" t="s">
        <v>10</v>
      </c>
      <c r="E205" s="28" t="s">
        <v>71</v>
      </c>
      <c r="F205" s="33"/>
      <c r="G205" s="32"/>
      <c r="H205" s="31"/>
      <c r="I205" s="26"/>
      <c r="J205" s="26"/>
      <c r="K205" s="31"/>
      <c r="L205" s="31" t="s">
        <v>75</v>
      </c>
    </row>
    <row r="206">
      <c r="A206" s="25" t="s">
        <v>68</v>
      </c>
      <c r="B206" s="26" t="s">
        <v>483</v>
      </c>
      <c r="C206" s="26" t="s">
        <v>484</v>
      </c>
      <c r="D206" s="32"/>
      <c r="E206" s="28" t="s">
        <v>71</v>
      </c>
      <c r="F206" s="33"/>
      <c r="G206" s="32"/>
      <c r="H206" s="31"/>
      <c r="I206" s="26"/>
      <c r="J206" s="26"/>
      <c r="K206" s="31"/>
      <c r="L206" s="31" t="s">
        <v>78</v>
      </c>
    </row>
    <row r="207">
      <c r="A207" s="25" t="s">
        <v>68</v>
      </c>
      <c r="B207" s="26" t="s">
        <v>485</v>
      </c>
      <c r="C207" s="26" t="s">
        <v>486</v>
      </c>
      <c r="D207" s="32"/>
      <c r="E207" s="28" t="s">
        <v>71</v>
      </c>
      <c r="F207" s="33"/>
      <c r="G207" s="32"/>
      <c r="H207" s="31"/>
      <c r="I207" s="26"/>
      <c r="J207" s="26"/>
      <c r="K207" s="31"/>
      <c r="L207" s="31" t="s">
        <v>78</v>
      </c>
    </row>
    <row r="208">
      <c r="A208" s="25" t="s">
        <v>68</v>
      </c>
      <c r="B208" s="26" t="s">
        <v>487</v>
      </c>
      <c r="C208" s="26" t="s">
        <v>488</v>
      </c>
      <c r="D208" s="32"/>
      <c r="E208" s="28" t="s">
        <v>71</v>
      </c>
      <c r="F208" s="33"/>
      <c r="G208" s="32"/>
      <c r="H208" s="31"/>
      <c r="I208" s="26"/>
      <c r="J208" s="26"/>
      <c r="K208" s="31"/>
      <c r="L208" s="31" t="s">
        <v>78</v>
      </c>
    </row>
    <row r="209">
      <c r="A209" s="25" t="s">
        <v>68</v>
      </c>
      <c r="B209" s="26" t="s">
        <v>489</v>
      </c>
      <c r="C209" s="26" t="s">
        <v>490</v>
      </c>
      <c r="D209" s="32"/>
      <c r="E209" s="28" t="s">
        <v>71</v>
      </c>
      <c r="F209" s="33"/>
      <c r="G209" s="32"/>
      <c r="H209" s="31"/>
      <c r="I209" s="26"/>
      <c r="J209" s="26"/>
      <c r="K209" s="31"/>
      <c r="L209" s="31" t="s">
        <v>78</v>
      </c>
    </row>
    <row r="210">
      <c r="A210" s="25" t="s">
        <v>68</v>
      </c>
      <c r="B210" s="26" t="s">
        <v>491</v>
      </c>
      <c r="C210" s="26" t="s">
        <v>492</v>
      </c>
      <c r="D210" s="32"/>
      <c r="E210" s="28" t="s">
        <v>71</v>
      </c>
      <c r="F210" s="33"/>
      <c r="G210" s="32"/>
      <c r="H210" s="31"/>
      <c r="I210" s="26"/>
      <c r="J210" s="26"/>
      <c r="K210" s="31"/>
      <c r="L210" s="31" t="s">
        <v>78</v>
      </c>
    </row>
    <row r="211">
      <c r="A211" s="25" t="s">
        <v>68</v>
      </c>
      <c r="B211" s="26" t="s">
        <v>493</v>
      </c>
      <c r="C211" s="26" t="s">
        <v>494</v>
      </c>
      <c r="D211" s="32"/>
      <c r="E211" s="28" t="s">
        <v>71</v>
      </c>
      <c r="F211" s="33"/>
      <c r="G211" s="32"/>
      <c r="H211" s="31"/>
      <c r="I211" s="26"/>
      <c r="J211" s="26"/>
      <c r="K211" s="31"/>
      <c r="L211" s="31" t="s">
        <v>78</v>
      </c>
    </row>
    <row r="212">
      <c r="A212" s="25" t="s">
        <v>68</v>
      </c>
      <c r="B212" s="26" t="s">
        <v>495</v>
      </c>
      <c r="C212" s="26" t="s">
        <v>496</v>
      </c>
      <c r="D212" s="32"/>
      <c r="E212" s="28" t="s">
        <v>71</v>
      </c>
      <c r="F212" s="33"/>
      <c r="G212" s="32"/>
      <c r="H212" s="31"/>
      <c r="I212" s="26"/>
      <c r="J212" s="26"/>
      <c r="K212" s="31"/>
      <c r="L212" s="31" t="s">
        <v>78</v>
      </c>
    </row>
    <row r="213">
      <c r="A213" s="25" t="s">
        <v>68</v>
      </c>
      <c r="B213" s="26" t="s">
        <v>497</v>
      </c>
      <c r="C213" s="26" t="s">
        <v>498</v>
      </c>
      <c r="D213" s="32"/>
      <c r="E213" s="28" t="s">
        <v>71</v>
      </c>
      <c r="F213" s="33"/>
      <c r="G213" s="32"/>
      <c r="H213" s="31"/>
      <c r="I213" s="26"/>
      <c r="J213" s="26"/>
      <c r="K213" s="31"/>
      <c r="L213" s="31" t="s">
        <v>78</v>
      </c>
    </row>
    <row r="214">
      <c r="A214" s="25" t="s">
        <v>68</v>
      </c>
      <c r="B214" s="26" t="s">
        <v>499</v>
      </c>
      <c r="C214" s="26" t="s">
        <v>500</v>
      </c>
      <c r="D214" s="32"/>
      <c r="E214" s="28" t="s">
        <v>71</v>
      </c>
      <c r="F214" s="33"/>
      <c r="G214" s="32"/>
      <c r="H214" s="31"/>
      <c r="I214" s="26"/>
      <c r="J214" s="26"/>
      <c r="K214" s="31"/>
      <c r="L214" s="31" t="s">
        <v>78</v>
      </c>
    </row>
    <row r="215">
      <c r="A215" s="25" t="s">
        <v>68</v>
      </c>
      <c r="B215" s="26" t="s">
        <v>501</v>
      </c>
      <c r="C215" s="26" t="s">
        <v>502</v>
      </c>
      <c r="D215" s="32"/>
      <c r="E215" s="28" t="s">
        <v>71</v>
      </c>
      <c r="F215" s="33"/>
      <c r="G215" s="32"/>
      <c r="H215" s="31"/>
      <c r="I215" s="26"/>
      <c r="J215" s="26"/>
      <c r="K215" s="31"/>
      <c r="L215" s="31" t="s">
        <v>75</v>
      </c>
    </row>
    <row r="216">
      <c r="A216" s="25" t="s">
        <v>68</v>
      </c>
      <c r="B216" s="26" t="s">
        <v>503</v>
      </c>
      <c r="C216" s="26" t="s">
        <v>504</v>
      </c>
      <c r="D216" s="32"/>
      <c r="E216" s="28" t="s">
        <v>71</v>
      </c>
      <c r="F216" s="33"/>
      <c r="G216" s="32"/>
      <c r="H216" s="31"/>
      <c r="I216" s="26"/>
      <c r="J216" s="26"/>
      <c r="K216" s="31"/>
      <c r="L216" s="31" t="s">
        <v>78</v>
      </c>
    </row>
    <row r="217">
      <c r="A217" s="25" t="s">
        <v>68</v>
      </c>
      <c r="B217" s="26" t="s">
        <v>505</v>
      </c>
      <c r="C217" s="26" t="s">
        <v>506</v>
      </c>
      <c r="D217" s="32"/>
      <c r="E217" s="28" t="s">
        <v>71</v>
      </c>
      <c r="F217" s="33"/>
      <c r="G217" s="32"/>
      <c r="H217" s="31"/>
      <c r="I217" s="26"/>
      <c r="J217" s="26"/>
      <c r="K217" s="31"/>
      <c r="L217" s="31" t="s">
        <v>78</v>
      </c>
    </row>
    <row r="218">
      <c r="A218" s="25" t="s">
        <v>68</v>
      </c>
      <c r="B218" s="26" t="s">
        <v>507</v>
      </c>
      <c r="C218" s="26" t="s">
        <v>508</v>
      </c>
      <c r="D218" s="32"/>
      <c r="E218" s="28" t="s">
        <v>71</v>
      </c>
      <c r="F218" s="33"/>
      <c r="G218" s="32"/>
      <c r="H218" s="31"/>
      <c r="I218" s="26"/>
      <c r="J218" s="26"/>
      <c r="K218" s="31"/>
      <c r="L218" s="31" t="s">
        <v>75</v>
      </c>
    </row>
    <row r="219">
      <c r="A219" s="25" t="s">
        <v>68</v>
      </c>
      <c r="B219" s="26" t="s">
        <v>509</v>
      </c>
      <c r="C219" s="26" t="s">
        <v>510</v>
      </c>
      <c r="D219" s="32"/>
      <c r="E219" s="28" t="s">
        <v>71</v>
      </c>
      <c r="F219" s="33"/>
      <c r="G219" s="32"/>
      <c r="H219" s="31"/>
      <c r="I219" s="26"/>
      <c r="J219" s="26"/>
      <c r="K219" s="31"/>
      <c r="L219" s="31" t="s">
        <v>78</v>
      </c>
    </row>
    <row r="220">
      <c r="A220" s="25" t="s">
        <v>68</v>
      </c>
      <c r="B220" s="26" t="s">
        <v>511</v>
      </c>
      <c r="C220" s="26" t="s">
        <v>512</v>
      </c>
      <c r="D220" s="32"/>
      <c r="E220" s="28" t="s">
        <v>71</v>
      </c>
      <c r="F220" s="33"/>
      <c r="G220" s="32"/>
      <c r="H220" s="31"/>
      <c r="I220" s="26"/>
      <c r="J220" s="26"/>
      <c r="K220" s="31"/>
      <c r="L220" s="31" t="s">
        <v>78</v>
      </c>
    </row>
    <row r="221">
      <c r="A221" s="25" t="s">
        <v>68</v>
      </c>
      <c r="B221" s="26" t="s">
        <v>513</v>
      </c>
      <c r="C221" s="26" t="s">
        <v>514</v>
      </c>
      <c r="D221" s="32"/>
      <c r="E221" s="28" t="s">
        <v>71</v>
      </c>
      <c r="F221" s="33"/>
      <c r="G221" s="32"/>
      <c r="H221" s="31"/>
      <c r="I221" s="26"/>
      <c r="J221" s="26"/>
      <c r="K221" s="31"/>
      <c r="L221" s="31" t="s">
        <v>78</v>
      </c>
    </row>
    <row r="222">
      <c r="A222" s="25" t="s">
        <v>68</v>
      </c>
      <c r="B222" s="26" t="s">
        <v>515</v>
      </c>
      <c r="C222" s="26" t="s">
        <v>516</v>
      </c>
      <c r="D222" s="32"/>
      <c r="E222" s="28" t="s">
        <v>71</v>
      </c>
      <c r="F222" s="33"/>
      <c r="G222" s="32"/>
      <c r="H222" s="31"/>
      <c r="I222" s="26"/>
      <c r="J222" s="26"/>
      <c r="K222" s="31"/>
      <c r="L222" s="31" t="s">
        <v>75</v>
      </c>
    </row>
    <row r="223">
      <c r="A223" s="25" t="s">
        <v>68</v>
      </c>
      <c r="B223" s="26" t="s">
        <v>517</v>
      </c>
      <c r="C223" s="26" t="s">
        <v>518</v>
      </c>
      <c r="D223" s="32"/>
      <c r="E223" s="28" t="s">
        <v>71</v>
      </c>
      <c r="F223" s="33"/>
      <c r="G223" s="32"/>
      <c r="H223" s="31"/>
      <c r="I223" s="26"/>
      <c r="J223" s="26"/>
      <c r="K223" s="31"/>
      <c r="L223" s="31" t="s">
        <v>75</v>
      </c>
    </row>
    <row r="224">
      <c r="A224" s="25" t="s">
        <v>68</v>
      </c>
      <c r="B224" s="26" t="s">
        <v>519</v>
      </c>
      <c r="C224" s="26" t="s">
        <v>520</v>
      </c>
      <c r="D224" s="32"/>
      <c r="E224" s="28" t="s">
        <v>71</v>
      </c>
      <c r="F224" s="33"/>
      <c r="G224" s="32"/>
      <c r="H224" s="31"/>
      <c r="I224" s="26"/>
      <c r="J224" s="26"/>
      <c r="K224" s="31"/>
      <c r="L224" s="31" t="s">
        <v>75</v>
      </c>
    </row>
    <row r="225">
      <c r="A225" s="25" t="s">
        <v>68</v>
      </c>
      <c r="B225" s="26" t="s">
        <v>521</v>
      </c>
      <c r="C225" s="26" t="s">
        <v>522</v>
      </c>
      <c r="D225" s="32"/>
      <c r="E225" s="28" t="s">
        <v>71</v>
      </c>
      <c r="F225" s="33"/>
      <c r="G225" s="32"/>
      <c r="H225" s="31"/>
      <c r="I225" s="26"/>
      <c r="J225" s="26"/>
      <c r="K225" s="31"/>
      <c r="L225" s="31" t="s">
        <v>78</v>
      </c>
    </row>
    <row r="226">
      <c r="A226" s="25" t="s">
        <v>68</v>
      </c>
      <c r="B226" s="26" t="s">
        <v>523</v>
      </c>
      <c r="C226" s="26" t="s">
        <v>524</v>
      </c>
      <c r="D226" s="32"/>
      <c r="E226" s="28" t="s">
        <v>71</v>
      </c>
      <c r="F226" s="33"/>
      <c r="G226" s="32"/>
      <c r="H226" s="31"/>
      <c r="I226" s="26"/>
      <c r="J226" s="26"/>
      <c r="K226" s="31"/>
      <c r="L226" s="31" t="s">
        <v>78</v>
      </c>
    </row>
    <row r="227">
      <c r="A227" s="25" t="s">
        <v>68</v>
      </c>
      <c r="B227" s="26" t="s">
        <v>525</v>
      </c>
      <c r="C227" s="26" t="s">
        <v>526</v>
      </c>
      <c r="D227" s="32"/>
      <c r="E227" s="28" t="s">
        <v>71</v>
      </c>
      <c r="F227" s="33"/>
      <c r="G227" s="32"/>
      <c r="H227" s="31"/>
      <c r="I227" s="26"/>
      <c r="J227" s="26"/>
      <c r="K227" s="31"/>
      <c r="L227" s="31" t="s">
        <v>78</v>
      </c>
    </row>
    <row r="228">
      <c r="A228" s="25" t="s">
        <v>68</v>
      </c>
      <c r="B228" s="26" t="s">
        <v>527</v>
      </c>
      <c r="C228" s="26" t="s">
        <v>528</v>
      </c>
      <c r="D228" s="32"/>
      <c r="E228" s="28" t="s">
        <v>71</v>
      </c>
      <c r="F228" s="33"/>
      <c r="G228" s="32"/>
      <c r="H228" s="31"/>
      <c r="I228" s="26"/>
      <c r="J228" s="26"/>
      <c r="K228" s="31"/>
      <c r="L228" s="31" t="s">
        <v>78</v>
      </c>
    </row>
    <row r="229">
      <c r="A229" s="25" t="s">
        <v>68</v>
      </c>
      <c r="B229" s="26" t="s">
        <v>529</v>
      </c>
      <c r="C229" s="26" t="s">
        <v>530</v>
      </c>
      <c r="D229" s="32"/>
      <c r="E229" s="28" t="s">
        <v>71</v>
      </c>
      <c r="F229" s="33"/>
      <c r="G229" s="32"/>
      <c r="H229" s="31"/>
      <c r="I229" s="26"/>
      <c r="J229" s="26"/>
      <c r="K229" s="31"/>
      <c r="L229" s="31" t="s">
        <v>78</v>
      </c>
    </row>
    <row r="230">
      <c r="A230" s="25" t="s">
        <v>68</v>
      </c>
      <c r="B230" s="26" t="s">
        <v>531</v>
      </c>
      <c r="C230" s="26" t="s">
        <v>532</v>
      </c>
      <c r="D230" s="32"/>
      <c r="E230" s="28" t="s">
        <v>71</v>
      </c>
      <c r="F230" s="33"/>
      <c r="G230" s="32"/>
      <c r="H230" s="31"/>
      <c r="I230" s="26"/>
      <c r="J230" s="26"/>
      <c r="K230" s="31"/>
      <c r="L230" s="31" t="s">
        <v>78</v>
      </c>
    </row>
    <row r="231">
      <c r="A231" s="25" t="s">
        <v>68</v>
      </c>
      <c r="B231" s="26" t="s">
        <v>533</v>
      </c>
      <c r="C231" s="26" t="s">
        <v>534</v>
      </c>
      <c r="D231" s="32"/>
      <c r="E231" s="28" t="s">
        <v>71</v>
      </c>
      <c r="F231" s="33"/>
      <c r="G231" s="32"/>
      <c r="H231" s="31"/>
      <c r="I231" s="26"/>
      <c r="J231" s="26"/>
      <c r="K231" s="31"/>
      <c r="L231" s="31" t="s">
        <v>78</v>
      </c>
    </row>
    <row r="232">
      <c r="A232" s="25" t="s">
        <v>68</v>
      </c>
      <c r="B232" s="26" t="s">
        <v>535</v>
      </c>
      <c r="C232" s="26" t="s">
        <v>536</v>
      </c>
      <c r="D232" s="32"/>
      <c r="E232" s="28" t="s">
        <v>71</v>
      </c>
      <c r="F232" s="33"/>
      <c r="G232" s="32"/>
      <c r="H232" s="31"/>
      <c r="I232" s="26"/>
      <c r="J232" s="26"/>
      <c r="K232" s="31"/>
      <c r="L232" s="31" t="s">
        <v>78</v>
      </c>
    </row>
    <row r="233">
      <c r="A233" s="25" t="s">
        <v>68</v>
      </c>
      <c r="B233" s="26" t="s">
        <v>537</v>
      </c>
      <c r="C233" s="26" t="s">
        <v>538</v>
      </c>
      <c r="D233" s="32"/>
      <c r="E233" s="28" t="s">
        <v>71</v>
      </c>
      <c r="F233" s="33"/>
      <c r="G233" s="32"/>
      <c r="H233" s="31"/>
      <c r="I233" s="26"/>
      <c r="J233" s="26"/>
      <c r="K233" s="31"/>
      <c r="L233" s="31" t="s">
        <v>78</v>
      </c>
    </row>
    <row r="234">
      <c r="A234" s="25" t="s">
        <v>68</v>
      </c>
      <c r="B234" s="26" t="s">
        <v>539</v>
      </c>
      <c r="C234" s="26" t="s">
        <v>540</v>
      </c>
      <c r="D234" s="32"/>
      <c r="E234" s="28" t="s">
        <v>71</v>
      </c>
      <c r="F234" s="33"/>
      <c r="G234" s="32"/>
      <c r="H234" s="31"/>
      <c r="I234" s="26"/>
      <c r="J234" s="26"/>
      <c r="K234" s="31"/>
      <c r="L234" s="31" t="s">
        <v>75</v>
      </c>
    </row>
    <row r="235">
      <c r="A235" s="25" t="s">
        <v>68</v>
      </c>
      <c r="B235" s="26" t="s">
        <v>541</v>
      </c>
      <c r="C235" s="26" t="s">
        <v>542</v>
      </c>
      <c r="D235" s="32"/>
      <c r="E235" s="28" t="s">
        <v>71</v>
      </c>
      <c r="F235" s="33"/>
      <c r="G235" s="32"/>
      <c r="H235" s="31"/>
      <c r="I235" s="26"/>
      <c r="J235" s="26"/>
      <c r="K235" s="31"/>
      <c r="L235" s="31" t="s">
        <v>75</v>
      </c>
    </row>
    <row r="236">
      <c r="A236" s="25" t="s">
        <v>68</v>
      </c>
      <c r="B236" s="26" t="s">
        <v>543</v>
      </c>
      <c r="C236" s="26" t="s">
        <v>544</v>
      </c>
      <c r="D236" s="32"/>
      <c r="E236" s="28" t="s">
        <v>71</v>
      </c>
      <c r="F236" s="33"/>
      <c r="G236" s="32"/>
      <c r="H236" s="31"/>
      <c r="I236" s="26"/>
      <c r="J236" s="26"/>
      <c r="K236" s="31"/>
      <c r="L236" s="31" t="s">
        <v>78</v>
      </c>
    </row>
    <row r="237">
      <c r="A237" s="25" t="s">
        <v>68</v>
      </c>
      <c r="B237" s="26" t="s">
        <v>543</v>
      </c>
      <c r="C237" s="26" t="s">
        <v>545</v>
      </c>
      <c r="D237" s="32"/>
      <c r="E237" s="28" t="s">
        <v>71</v>
      </c>
      <c r="F237" s="33"/>
      <c r="G237" s="32"/>
      <c r="H237" s="31"/>
      <c r="I237" s="26"/>
      <c r="J237" s="26"/>
      <c r="K237" s="31"/>
      <c r="L237" s="31" t="s">
        <v>78</v>
      </c>
    </row>
    <row r="238">
      <c r="A238" s="25" t="s">
        <v>68</v>
      </c>
      <c r="B238" s="26" t="s">
        <v>546</v>
      </c>
      <c r="C238" s="26" t="s">
        <v>547</v>
      </c>
      <c r="D238" s="32"/>
      <c r="E238" s="28" t="s">
        <v>71</v>
      </c>
      <c r="F238" s="33"/>
      <c r="G238" s="32"/>
      <c r="H238" s="31"/>
      <c r="I238" s="26"/>
      <c r="J238" s="26"/>
      <c r="K238" s="31"/>
      <c r="L238" s="31" t="s">
        <v>75</v>
      </c>
    </row>
    <row r="239">
      <c r="A239" s="25" t="s">
        <v>68</v>
      </c>
      <c r="B239" s="26" t="s">
        <v>548</v>
      </c>
      <c r="C239" s="26" t="s">
        <v>549</v>
      </c>
      <c r="D239" s="32"/>
      <c r="E239" s="28" t="s">
        <v>71</v>
      </c>
      <c r="F239" s="33"/>
      <c r="G239" s="32"/>
      <c r="H239" s="31"/>
      <c r="I239" s="26"/>
      <c r="J239" s="26"/>
      <c r="K239" s="31"/>
      <c r="L239" s="31" t="s">
        <v>78</v>
      </c>
    </row>
    <row r="240">
      <c r="A240" s="25" t="s">
        <v>68</v>
      </c>
      <c r="B240" s="26" t="s">
        <v>546</v>
      </c>
      <c r="C240" s="26" t="s">
        <v>550</v>
      </c>
      <c r="D240" s="32"/>
      <c r="E240" s="28" t="s">
        <v>71</v>
      </c>
      <c r="F240" s="33"/>
      <c r="G240" s="32"/>
      <c r="H240" s="31"/>
      <c r="I240" s="26"/>
      <c r="J240" s="26"/>
      <c r="K240" s="31"/>
      <c r="L240" s="31" t="s">
        <v>75</v>
      </c>
    </row>
    <row r="241">
      <c r="A241" s="25" t="s">
        <v>68</v>
      </c>
      <c r="B241" s="26" t="s">
        <v>551</v>
      </c>
      <c r="C241" s="26" t="s">
        <v>552</v>
      </c>
      <c r="D241" s="32"/>
      <c r="E241" s="28" t="s">
        <v>71</v>
      </c>
      <c r="F241" s="33"/>
      <c r="G241" s="32"/>
      <c r="H241" s="31"/>
      <c r="I241" s="26"/>
      <c r="J241" s="26"/>
      <c r="K241" s="31"/>
      <c r="L241" s="31" t="s">
        <v>78</v>
      </c>
    </row>
    <row r="242">
      <c r="A242" s="25" t="s">
        <v>68</v>
      </c>
      <c r="B242" s="26" t="s">
        <v>553</v>
      </c>
      <c r="C242" s="26" t="s">
        <v>554</v>
      </c>
      <c r="D242" s="32"/>
      <c r="E242" s="28" t="s">
        <v>71</v>
      </c>
      <c r="F242" s="33"/>
      <c r="G242" s="32"/>
      <c r="H242" s="31"/>
      <c r="I242" s="26"/>
      <c r="J242" s="26"/>
      <c r="K242" s="31"/>
      <c r="L242" s="31" t="s">
        <v>78</v>
      </c>
    </row>
    <row r="243">
      <c r="A243" s="25" t="s">
        <v>68</v>
      </c>
      <c r="B243" s="26" t="s">
        <v>555</v>
      </c>
      <c r="C243" s="26" t="s">
        <v>556</v>
      </c>
      <c r="D243" s="32"/>
      <c r="E243" s="28" t="s">
        <v>71</v>
      </c>
      <c r="F243" s="33"/>
      <c r="G243" s="32"/>
      <c r="H243" s="31"/>
      <c r="I243" s="26"/>
      <c r="J243" s="26"/>
      <c r="K243" s="31"/>
      <c r="L243" s="31" t="s">
        <v>78</v>
      </c>
    </row>
    <row r="244">
      <c r="A244" s="25" t="s">
        <v>68</v>
      </c>
      <c r="B244" s="26" t="s">
        <v>557</v>
      </c>
      <c r="C244" s="26" t="s">
        <v>558</v>
      </c>
      <c r="D244" s="32"/>
      <c r="E244" s="28" t="s">
        <v>71</v>
      </c>
      <c r="F244" s="33"/>
      <c r="G244" s="32"/>
      <c r="H244" s="31"/>
      <c r="I244" s="26"/>
      <c r="J244" s="26"/>
      <c r="K244" s="31"/>
      <c r="L244" s="31" t="s">
        <v>78</v>
      </c>
    </row>
    <row r="245">
      <c r="A245" s="25" t="s">
        <v>68</v>
      </c>
      <c r="B245" s="26" t="s">
        <v>559</v>
      </c>
      <c r="C245" s="26" t="s">
        <v>560</v>
      </c>
      <c r="D245" s="32"/>
      <c r="E245" s="28" t="s">
        <v>71</v>
      </c>
      <c r="F245" s="33"/>
      <c r="G245" s="32"/>
      <c r="H245" s="31"/>
      <c r="I245" s="26"/>
      <c r="J245" s="26"/>
      <c r="K245" s="31"/>
      <c r="L245" s="31" t="s">
        <v>75</v>
      </c>
    </row>
    <row r="246">
      <c r="A246" s="25" t="s">
        <v>68</v>
      </c>
      <c r="B246" s="26" t="s">
        <v>561</v>
      </c>
      <c r="C246" s="26" t="s">
        <v>562</v>
      </c>
      <c r="D246" s="32"/>
      <c r="E246" s="28" t="s">
        <v>71</v>
      </c>
      <c r="F246" s="33"/>
      <c r="G246" s="32"/>
      <c r="H246" s="31"/>
      <c r="I246" s="26"/>
      <c r="J246" s="26"/>
      <c r="K246" s="31"/>
      <c r="L246" s="31" t="s">
        <v>75</v>
      </c>
    </row>
    <row r="247">
      <c r="A247" s="25" t="s">
        <v>68</v>
      </c>
      <c r="B247" s="26" t="s">
        <v>563</v>
      </c>
      <c r="C247" s="26" t="s">
        <v>564</v>
      </c>
      <c r="D247" s="32"/>
      <c r="E247" s="28" t="s">
        <v>71</v>
      </c>
      <c r="F247" s="33"/>
      <c r="G247" s="32"/>
      <c r="H247" s="31"/>
      <c r="I247" s="26"/>
      <c r="J247" s="26"/>
      <c r="K247" s="31"/>
      <c r="L247" s="31" t="s">
        <v>78</v>
      </c>
    </row>
    <row r="248">
      <c r="A248" s="25" t="s">
        <v>68</v>
      </c>
      <c r="B248" s="26" t="s">
        <v>565</v>
      </c>
      <c r="C248" s="26" t="s">
        <v>566</v>
      </c>
      <c r="D248" s="32"/>
      <c r="E248" s="28" t="s">
        <v>71</v>
      </c>
      <c r="F248" s="33"/>
      <c r="G248" s="32"/>
      <c r="H248" s="31"/>
      <c r="I248" s="26"/>
      <c r="J248" s="26"/>
      <c r="K248" s="31"/>
      <c r="L248" s="31" t="s">
        <v>78</v>
      </c>
    </row>
    <row r="249">
      <c r="A249" s="25" t="s">
        <v>68</v>
      </c>
      <c r="B249" s="26" t="s">
        <v>567</v>
      </c>
      <c r="C249" s="26" t="s">
        <v>568</v>
      </c>
      <c r="D249" s="32"/>
      <c r="E249" s="28" t="s">
        <v>71</v>
      </c>
      <c r="F249" s="33"/>
      <c r="G249" s="32"/>
      <c r="H249" s="31"/>
      <c r="I249" s="26"/>
      <c r="J249" s="26"/>
      <c r="K249" s="31"/>
      <c r="L249" s="31" t="s">
        <v>78</v>
      </c>
    </row>
    <row r="250">
      <c r="A250" s="25" t="s">
        <v>68</v>
      </c>
      <c r="B250" s="26" t="s">
        <v>569</v>
      </c>
      <c r="C250" s="26" t="s">
        <v>570</v>
      </c>
      <c r="D250" s="32"/>
      <c r="E250" s="28" t="s">
        <v>71</v>
      </c>
      <c r="F250" s="33"/>
      <c r="G250" s="32"/>
      <c r="H250" s="31"/>
      <c r="I250" s="26"/>
      <c r="J250" s="26"/>
      <c r="K250" s="31"/>
      <c r="L250" s="31" t="s">
        <v>75</v>
      </c>
    </row>
    <row r="251">
      <c r="A251" s="25" t="s">
        <v>68</v>
      </c>
      <c r="B251" s="26" t="s">
        <v>571</v>
      </c>
      <c r="C251" s="26" t="s">
        <v>572</v>
      </c>
      <c r="D251" s="32"/>
      <c r="E251" s="28" t="s">
        <v>71</v>
      </c>
      <c r="F251" s="33"/>
      <c r="G251" s="32"/>
      <c r="H251" s="31"/>
      <c r="I251" s="26"/>
      <c r="J251" s="26"/>
      <c r="K251" s="31"/>
      <c r="L251" s="31" t="s">
        <v>78</v>
      </c>
    </row>
    <row r="252">
      <c r="A252" s="25" t="s">
        <v>68</v>
      </c>
      <c r="B252" s="26" t="s">
        <v>573</v>
      </c>
      <c r="C252" s="26" t="s">
        <v>574</v>
      </c>
      <c r="D252" s="32"/>
      <c r="E252" s="28" t="s">
        <v>71</v>
      </c>
      <c r="F252" s="33"/>
      <c r="G252" s="32"/>
      <c r="H252" s="31"/>
      <c r="I252" s="26"/>
      <c r="J252" s="26"/>
      <c r="K252" s="31"/>
      <c r="L252" s="31" t="s">
        <v>78</v>
      </c>
    </row>
    <row r="253">
      <c r="A253" s="25" t="s">
        <v>68</v>
      </c>
      <c r="B253" s="26" t="s">
        <v>575</v>
      </c>
      <c r="C253" s="26" t="s">
        <v>576</v>
      </c>
      <c r="D253" s="32"/>
      <c r="E253" s="28" t="s">
        <v>71</v>
      </c>
      <c r="F253" s="33"/>
      <c r="G253" s="32"/>
      <c r="H253" s="31"/>
      <c r="I253" s="26"/>
      <c r="J253" s="26"/>
      <c r="K253" s="31"/>
      <c r="L253" s="31" t="s">
        <v>75</v>
      </c>
    </row>
    <row r="254">
      <c r="A254" s="25" t="s">
        <v>68</v>
      </c>
      <c r="B254" s="26" t="s">
        <v>577</v>
      </c>
      <c r="C254" s="26" t="s">
        <v>578</v>
      </c>
      <c r="D254" s="32"/>
      <c r="E254" s="28" t="s">
        <v>71</v>
      </c>
      <c r="F254" s="33"/>
      <c r="G254" s="32"/>
      <c r="H254" s="31"/>
      <c r="I254" s="26"/>
      <c r="J254" s="26"/>
      <c r="K254" s="31"/>
      <c r="L254" s="31" t="s">
        <v>78</v>
      </c>
    </row>
    <row r="255">
      <c r="A255" s="25" t="s">
        <v>68</v>
      </c>
      <c r="B255" s="26" t="s">
        <v>579</v>
      </c>
      <c r="C255" s="26" t="s">
        <v>580</v>
      </c>
      <c r="D255" s="32"/>
      <c r="E255" s="28" t="s">
        <v>71</v>
      </c>
      <c r="F255" s="33"/>
      <c r="G255" s="32"/>
      <c r="H255" s="31"/>
      <c r="I255" s="26"/>
      <c r="J255" s="26"/>
      <c r="K255" s="31"/>
      <c r="L255" s="31" t="s">
        <v>78</v>
      </c>
    </row>
    <row r="256">
      <c r="A256" s="25" t="s">
        <v>68</v>
      </c>
      <c r="B256" s="26" t="s">
        <v>581</v>
      </c>
      <c r="C256" s="26" t="s">
        <v>582</v>
      </c>
      <c r="D256" s="32"/>
      <c r="E256" s="28" t="s">
        <v>71</v>
      </c>
      <c r="F256" s="33"/>
      <c r="G256" s="32"/>
      <c r="H256" s="31"/>
      <c r="I256" s="26"/>
      <c r="J256" s="26"/>
      <c r="K256" s="31"/>
      <c r="L256" s="31" t="s">
        <v>78</v>
      </c>
    </row>
    <row r="257">
      <c r="A257" s="25" t="s">
        <v>68</v>
      </c>
      <c r="B257" s="26" t="s">
        <v>583</v>
      </c>
      <c r="C257" s="26" t="s">
        <v>584</v>
      </c>
      <c r="D257" s="32"/>
      <c r="E257" s="28" t="s">
        <v>71</v>
      </c>
      <c r="F257" s="33"/>
      <c r="G257" s="32"/>
      <c r="H257" s="31"/>
      <c r="I257" s="26"/>
      <c r="J257" s="26"/>
      <c r="K257" s="31"/>
      <c r="L257" s="31" t="s">
        <v>78</v>
      </c>
    </row>
    <row r="258">
      <c r="A258" s="25" t="s">
        <v>68</v>
      </c>
      <c r="B258" s="26" t="s">
        <v>585</v>
      </c>
      <c r="C258" s="26" t="s">
        <v>586</v>
      </c>
      <c r="D258" s="32"/>
      <c r="E258" s="28" t="s">
        <v>71</v>
      </c>
      <c r="F258" s="33"/>
      <c r="G258" s="32"/>
      <c r="H258" s="31"/>
      <c r="I258" s="26"/>
      <c r="J258" s="26"/>
      <c r="K258" s="31"/>
      <c r="L258" s="31" t="s">
        <v>78</v>
      </c>
    </row>
    <row r="259">
      <c r="A259" s="25" t="s">
        <v>68</v>
      </c>
      <c r="B259" s="26" t="s">
        <v>587</v>
      </c>
      <c r="C259" s="26" t="s">
        <v>588</v>
      </c>
      <c r="D259" s="32"/>
      <c r="E259" s="28" t="s">
        <v>71</v>
      </c>
      <c r="F259" s="33"/>
      <c r="G259" s="32"/>
      <c r="H259" s="31"/>
      <c r="I259" s="26"/>
      <c r="J259" s="26"/>
      <c r="K259" s="31"/>
      <c r="L259" s="31" t="s">
        <v>75</v>
      </c>
    </row>
    <row r="260">
      <c r="A260" s="25" t="s">
        <v>68</v>
      </c>
      <c r="B260" s="26" t="s">
        <v>589</v>
      </c>
      <c r="C260" s="26" t="s">
        <v>590</v>
      </c>
      <c r="D260" s="32"/>
      <c r="E260" s="28" t="s">
        <v>71</v>
      </c>
      <c r="F260" s="33"/>
      <c r="G260" s="32"/>
      <c r="H260" s="31"/>
      <c r="I260" s="26"/>
      <c r="J260" s="26"/>
      <c r="K260" s="31"/>
      <c r="L260" s="31" t="s">
        <v>75</v>
      </c>
    </row>
    <row r="261">
      <c r="A261" s="25" t="s">
        <v>68</v>
      </c>
      <c r="B261" s="26" t="s">
        <v>591</v>
      </c>
      <c r="C261" s="26" t="s">
        <v>592</v>
      </c>
      <c r="D261" s="32"/>
      <c r="E261" s="28" t="s">
        <v>71</v>
      </c>
      <c r="F261" s="33"/>
      <c r="G261" s="32"/>
      <c r="H261" s="31"/>
      <c r="I261" s="26"/>
      <c r="J261" s="26"/>
      <c r="K261" s="31"/>
      <c r="L261" s="31" t="s">
        <v>78</v>
      </c>
    </row>
    <row r="262">
      <c r="A262" s="25" t="s">
        <v>68</v>
      </c>
      <c r="B262" s="26" t="s">
        <v>593</v>
      </c>
      <c r="C262" s="26" t="s">
        <v>594</v>
      </c>
      <c r="D262" s="32"/>
      <c r="E262" s="28" t="s">
        <v>71</v>
      </c>
      <c r="F262" s="33"/>
      <c r="G262" s="32"/>
      <c r="H262" s="31"/>
      <c r="I262" s="26"/>
      <c r="J262" s="26"/>
      <c r="K262" s="31"/>
      <c r="L262" s="31" t="s">
        <v>78</v>
      </c>
    </row>
    <row r="263">
      <c r="A263" s="25" t="s">
        <v>68</v>
      </c>
      <c r="B263" s="26" t="s">
        <v>595</v>
      </c>
      <c r="C263" s="26" t="s">
        <v>596</v>
      </c>
      <c r="D263" s="32"/>
      <c r="E263" s="28" t="s">
        <v>71</v>
      </c>
      <c r="F263" s="33"/>
      <c r="G263" s="32"/>
      <c r="H263" s="31"/>
      <c r="I263" s="26"/>
      <c r="J263" s="26"/>
      <c r="K263" s="31"/>
      <c r="L263" s="31" t="s">
        <v>78</v>
      </c>
    </row>
    <row r="264">
      <c r="A264" s="25" t="s">
        <v>68</v>
      </c>
      <c r="B264" s="26" t="s">
        <v>597</v>
      </c>
      <c r="C264" s="26" t="s">
        <v>598</v>
      </c>
      <c r="D264" s="32"/>
      <c r="E264" s="28" t="s">
        <v>71</v>
      </c>
      <c r="F264" s="33"/>
      <c r="G264" s="32"/>
      <c r="H264" s="31"/>
      <c r="I264" s="26"/>
      <c r="J264" s="26"/>
      <c r="K264" s="31"/>
      <c r="L264" s="31" t="s">
        <v>78</v>
      </c>
    </row>
    <row r="265">
      <c r="A265" s="25" t="s">
        <v>68</v>
      </c>
      <c r="B265" s="26" t="s">
        <v>599</v>
      </c>
      <c r="C265" s="26" t="s">
        <v>600</v>
      </c>
      <c r="D265" s="32"/>
      <c r="E265" s="28" t="s">
        <v>71</v>
      </c>
      <c r="F265" s="33"/>
      <c r="G265" s="32"/>
      <c r="H265" s="31"/>
      <c r="I265" s="26"/>
      <c r="J265" s="26"/>
      <c r="K265" s="31"/>
      <c r="L265" s="31" t="s">
        <v>78</v>
      </c>
    </row>
    <row r="266">
      <c r="A266" s="25" t="s">
        <v>68</v>
      </c>
      <c r="B266" s="26" t="s">
        <v>601</v>
      </c>
      <c r="C266" s="26" t="s">
        <v>602</v>
      </c>
      <c r="D266" s="32"/>
      <c r="E266" s="28" t="s">
        <v>71</v>
      </c>
      <c r="F266" s="33"/>
      <c r="G266" s="32"/>
      <c r="H266" s="31"/>
      <c r="I266" s="26"/>
      <c r="J266" s="26"/>
      <c r="K266" s="31"/>
      <c r="L266" s="31" t="s">
        <v>78</v>
      </c>
    </row>
    <row r="267">
      <c r="A267" s="25" t="s">
        <v>68</v>
      </c>
      <c r="B267" s="26" t="s">
        <v>603</v>
      </c>
      <c r="C267" s="26" t="s">
        <v>604</v>
      </c>
      <c r="D267" s="32"/>
      <c r="E267" s="28" t="s">
        <v>71</v>
      </c>
      <c r="F267" s="33"/>
      <c r="G267" s="32"/>
      <c r="H267" s="31"/>
      <c r="I267" s="26"/>
      <c r="J267" s="26"/>
      <c r="K267" s="31"/>
      <c r="L267" s="31" t="s">
        <v>75</v>
      </c>
    </row>
    <row r="268">
      <c r="A268" s="25" t="s">
        <v>68</v>
      </c>
      <c r="B268" s="26" t="s">
        <v>605</v>
      </c>
      <c r="C268" s="26" t="s">
        <v>606</v>
      </c>
      <c r="D268" s="32"/>
      <c r="E268" s="28" t="s">
        <v>71</v>
      </c>
      <c r="F268" s="33"/>
      <c r="G268" s="32"/>
      <c r="H268" s="31"/>
      <c r="I268" s="26"/>
      <c r="J268" s="26"/>
      <c r="K268" s="31"/>
      <c r="L268" s="31" t="s">
        <v>78</v>
      </c>
    </row>
    <row r="269">
      <c r="A269" s="25" t="s">
        <v>68</v>
      </c>
      <c r="B269" s="26" t="s">
        <v>607</v>
      </c>
      <c r="C269" s="26" t="s">
        <v>608</v>
      </c>
      <c r="D269" s="32"/>
      <c r="E269" s="28" t="s">
        <v>71</v>
      </c>
      <c r="F269" s="33"/>
      <c r="G269" s="32"/>
      <c r="H269" s="31"/>
      <c r="I269" s="26"/>
      <c r="J269" s="26"/>
      <c r="K269" s="31"/>
      <c r="L269" s="31" t="s">
        <v>78</v>
      </c>
    </row>
    <row r="270">
      <c r="A270" s="25" t="s">
        <v>68</v>
      </c>
      <c r="B270" s="26" t="s">
        <v>609</v>
      </c>
      <c r="C270" s="26" t="s">
        <v>610</v>
      </c>
      <c r="D270" s="32"/>
      <c r="E270" s="28" t="s">
        <v>71</v>
      </c>
      <c r="F270" s="33"/>
      <c r="G270" s="32"/>
      <c r="H270" s="31"/>
      <c r="I270" s="26"/>
      <c r="J270" s="26"/>
      <c r="K270" s="31"/>
      <c r="L270" s="31" t="s">
        <v>78</v>
      </c>
    </row>
    <row r="271">
      <c r="A271" s="25" t="s">
        <v>68</v>
      </c>
      <c r="B271" s="26" t="s">
        <v>611</v>
      </c>
      <c r="C271" s="26" t="s">
        <v>612</v>
      </c>
      <c r="D271" s="32"/>
      <c r="E271" s="28" t="s">
        <v>71</v>
      </c>
      <c r="F271" s="33"/>
      <c r="G271" s="32"/>
      <c r="H271" s="31"/>
      <c r="I271" s="26"/>
      <c r="J271" s="26"/>
      <c r="K271" s="31"/>
      <c r="L271" s="31" t="s">
        <v>78</v>
      </c>
    </row>
    <row r="272">
      <c r="A272" s="25" t="s">
        <v>68</v>
      </c>
      <c r="B272" s="26" t="s">
        <v>613</v>
      </c>
      <c r="C272" s="26" t="s">
        <v>614</v>
      </c>
      <c r="D272" s="32"/>
      <c r="E272" s="28" t="s">
        <v>71</v>
      </c>
      <c r="F272" s="33"/>
      <c r="G272" s="32"/>
      <c r="H272" s="31"/>
      <c r="I272" s="26"/>
      <c r="J272" s="26"/>
      <c r="K272" s="31"/>
      <c r="L272" s="31" t="s">
        <v>78</v>
      </c>
    </row>
    <row r="273">
      <c r="A273" s="25" t="s">
        <v>68</v>
      </c>
      <c r="B273" s="26" t="s">
        <v>615</v>
      </c>
      <c r="C273" s="26" t="s">
        <v>616</v>
      </c>
      <c r="D273" s="32"/>
      <c r="E273" s="28" t="s">
        <v>71</v>
      </c>
      <c r="F273" s="33"/>
      <c r="G273" s="32"/>
      <c r="H273" s="31"/>
      <c r="I273" s="26"/>
      <c r="J273" s="26"/>
      <c r="K273" s="31"/>
      <c r="L273" s="31" t="s">
        <v>75</v>
      </c>
    </row>
    <row r="274">
      <c r="A274" s="25" t="s">
        <v>68</v>
      </c>
      <c r="B274" s="26" t="s">
        <v>617</v>
      </c>
      <c r="C274" s="26" t="s">
        <v>618</v>
      </c>
      <c r="D274" s="32"/>
      <c r="E274" s="28" t="s">
        <v>71</v>
      </c>
      <c r="F274" s="33"/>
      <c r="G274" s="32"/>
      <c r="H274" s="31"/>
      <c r="I274" s="26"/>
      <c r="J274" s="26"/>
      <c r="K274" s="31"/>
      <c r="L274" s="31" t="s">
        <v>78</v>
      </c>
    </row>
    <row r="275">
      <c r="A275" s="25" t="s">
        <v>68</v>
      </c>
      <c r="B275" s="26" t="s">
        <v>619</v>
      </c>
      <c r="C275" s="26" t="s">
        <v>620</v>
      </c>
      <c r="D275" s="32"/>
      <c r="E275" s="28" t="s">
        <v>71</v>
      </c>
      <c r="F275" s="33"/>
      <c r="G275" s="32"/>
      <c r="H275" s="31"/>
      <c r="I275" s="26"/>
      <c r="J275" s="26"/>
      <c r="K275" s="31"/>
      <c r="L275" s="31" t="s">
        <v>78</v>
      </c>
    </row>
    <row r="276">
      <c r="A276" s="25" t="s">
        <v>68</v>
      </c>
      <c r="B276" s="26" t="s">
        <v>621</v>
      </c>
      <c r="C276" s="26" t="s">
        <v>622</v>
      </c>
      <c r="D276" s="32"/>
      <c r="E276" s="28" t="s">
        <v>71</v>
      </c>
      <c r="F276" s="33"/>
      <c r="G276" s="32"/>
      <c r="H276" s="31"/>
      <c r="I276" s="26"/>
      <c r="J276" s="26"/>
      <c r="K276" s="31"/>
      <c r="L276" s="31" t="s">
        <v>78</v>
      </c>
    </row>
    <row r="277">
      <c r="A277" s="25" t="s">
        <v>68</v>
      </c>
      <c r="B277" s="26" t="s">
        <v>623</v>
      </c>
      <c r="C277" s="26" t="s">
        <v>624</v>
      </c>
      <c r="D277" s="32"/>
      <c r="E277" s="28" t="s">
        <v>71</v>
      </c>
      <c r="F277" s="33"/>
      <c r="G277" s="32"/>
      <c r="H277" s="31"/>
      <c r="I277" s="26"/>
      <c r="J277" s="26"/>
      <c r="K277" s="31"/>
      <c r="L277" s="31" t="s">
        <v>78</v>
      </c>
    </row>
    <row r="278">
      <c r="A278" s="25" t="s">
        <v>68</v>
      </c>
      <c r="B278" s="26" t="s">
        <v>625</v>
      </c>
      <c r="C278" s="26" t="s">
        <v>626</v>
      </c>
      <c r="D278" s="30" t="s">
        <v>10</v>
      </c>
      <c r="E278" s="28" t="s">
        <v>71</v>
      </c>
      <c r="F278" s="33"/>
      <c r="G278" s="32"/>
      <c r="H278" s="31"/>
      <c r="I278" s="26"/>
      <c r="J278" s="26"/>
      <c r="K278" s="31"/>
      <c r="L278" s="31" t="s">
        <v>75</v>
      </c>
    </row>
    <row r="279">
      <c r="A279" s="25" t="s">
        <v>68</v>
      </c>
      <c r="B279" s="26" t="s">
        <v>627</v>
      </c>
      <c r="C279" s="26" t="s">
        <v>628</v>
      </c>
      <c r="D279" s="32"/>
      <c r="E279" s="28" t="s">
        <v>71</v>
      </c>
      <c r="F279" s="33"/>
      <c r="G279" s="32"/>
      <c r="H279" s="31"/>
      <c r="I279" s="26"/>
      <c r="J279" s="26"/>
      <c r="K279" s="31"/>
      <c r="L279" s="31" t="s">
        <v>78</v>
      </c>
    </row>
    <row r="280">
      <c r="A280" s="25" t="s">
        <v>68</v>
      </c>
      <c r="B280" s="26" t="s">
        <v>629</v>
      </c>
      <c r="C280" s="26" t="s">
        <v>630</v>
      </c>
      <c r="D280" s="32"/>
      <c r="E280" s="28" t="s">
        <v>71</v>
      </c>
      <c r="F280" s="33"/>
      <c r="G280" s="32"/>
      <c r="H280" s="31"/>
      <c r="I280" s="26"/>
      <c r="J280" s="26"/>
      <c r="K280" s="31"/>
      <c r="L280" s="31" t="s">
        <v>78</v>
      </c>
    </row>
    <row r="281">
      <c r="A281" s="25" t="s">
        <v>68</v>
      </c>
      <c r="B281" s="26" t="s">
        <v>631</v>
      </c>
      <c r="C281" s="26" t="s">
        <v>632</v>
      </c>
      <c r="D281" s="32"/>
      <c r="E281" s="28" t="s">
        <v>71</v>
      </c>
      <c r="F281" s="33"/>
      <c r="G281" s="32"/>
      <c r="H281" s="31"/>
      <c r="I281" s="26"/>
      <c r="J281" s="26"/>
      <c r="K281" s="31"/>
      <c r="L281" s="31" t="s">
        <v>78</v>
      </c>
    </row>
    <row r="282">
      <c r="A282" s="25" t="s">
        <v>68</v>
      </c>
      <c r="B282" s="26" t="s">
        <v>633</v>
      </c>
      <c r="C282" s="26" t="s">
        <v>634</v>
      </c>
      <c r="D282" s="32"/>
      <c r="E282" s="28" t="s">
        <v>71</v>
      </c>
      <c r="F282" s="33"/>
      <c r="G282" s="32"/>
      <c r="H282" s="31"/>
      <c r="I282" s="26"/>
      <c r="J282" s="26"/>
      <c r="K282" s="31"/>
      <c r="L282" s="31" t="s">
        <v>78</v>
      </c>
    </row>
    <row r="283">
      <c r="A283" s="25" t="s">
        <v>68</v>
      </c>
      <c r="B283" s="26" t="s">
        <v>635</v>
      </c>
      <c r="C283" s="26" t="s">
        <v>636</v>
      </c>
      <c r="D283" s="32"/>
      <c r="E283" s="28" t="s">
        <v>71</v>
      </c>
      <c r="F283" s="33"/>
      <c r="G283" s="32"/>
      <c r="H283" s="31"/>
      <c r="I283" s="26"/>
      <c r="J283" s="26"/>
      <c r="K283" s="31"/>
      <c r="L283" s="31" t="s">
        <v>78</v>
      </c>
    </row>
    <row r="284">
      <c r="A284" s="25" t="s">
        <v>68</v>
      </c>
      <c r="B284" s="26" t="s">
        <v>637</v>
      </c>
      <c r="C284" s="26" t="s">
        <v>638</v>
      </c>
      <c r="D284" s="32"/>
      <c r="E284" s="28" t="s">
        <v>71</v>
      </c>
      <c r="F284" s="33"/>
      <c r="G284" s="32"/>
      <c r="H284" s="31"/>
      <c r="I284" s="26"/>
      <c r="J284" s="26"/>
      <c r="K284" s="31"/>
      <c r="L284" s="31" t="s">
        <v>78</v>
      </c>
    </row>
    <row r="285">
      <c r="A285" s="25" t="s">
        <v>68</v>
      </c>
      <c r="B285" s="26" t="s">
        <v>639</v>
      </c>
      <c r="C285" s="26" t="s">
        <v>640</v>
      </c>
      <c r="D285" s="32"/>
      <c r="E285" s="28" t="s">
        <v>71</v>
      </c>
      <c r="F285" s="33"/>
      <c r="G285" s="32"/>
      <c r="H285" s="31"/>
      <c r="I285" s="26"/>
      <c r="J285" s="26"/>
      <c r="K285" s="31"/>
      <c r="L285" s="31" t="s">
        <v>78</v>
      </c>
    </row>
    <row r="286">
      <c r="A286" s="25" t="s">
        <v>68</v>
      </c>
      <c r="B286" s="26" t="s">
        <v>641</v>
      </c>
      <c r="C286" s="26" t="s">
        <v>642</v>
      </c>
      <c r="D286" s="32"/>
      <c r="E286" s="28" t="s">
        <v>71</v>
      </c>
      <c r="F286" s="33"/>
      <c r="G286" s="32"/>
      <c r="H286" s="31"/>
      <c r="I286" s="26"/>
      <c r="J286" s="26"/>
      <c r="K286" s="31"/>
      <c r="L286" s="31" t="s">
        <v>78</v>
      </c>
    </row>
    <row r="287">
      <c r="A287" s="25" t="s">
        <v>68</v>
      </c>
      <c r="B287" s="26" t="s">
        <v>643</v>
      </c>
      <c r="C287" s="26" t="s">
        <v>644</v>
      </c>
      <c r="D287" s="32"/>
      <c r="E287" s="28" t="s">
        <v>71</v>
      </c>
      <c r="F287" s="33"/>
      <c r="G287" s="32"/>
      <c r="H287" s="31"/>
      <c r="I287" s="26"/>
      <c r="J287" s="26"/>
      <c r="K287" s="31"/>
      <c r="L287" s="31" t="s">
        <v>78</v>
      </c>
    </row>
    <row r="288">
      <c r="A288" s="25" t="s">
        <v>68</v>
      </c>
      <c r="B288" s="26" t="s">
        <v>645</v>
      </c>
      <c r="C288" s="26" t="s">
        <v>646</v>
      </c>
      <c r="D288" s="32"/>
      <c r="E288" s="28" t="s">
        <v>71</v>
      </c>
      <c r="F288" s="33"/>
      <c r="G288" s="32"/>
      <c r="H288" s="31"/>
      <c r="I288" s="26"/>
      <c r="J288" s="26"/>
      <c r="K288" s="31"/>
      <c r="L288" s="31" t="s">
        <v>78</v>
      </c>
    </row>
    <row r="289">
      <c r="A289" s="25" t="s">
        <v>68</v>
      </c>
      <c r="B289" s="26" t="s">
        <v>647</v>
      </c>
      <c r="C289" s="26" t="s">
        <v>648</v>
      </c>
      <c r="D289" s="32"/>
      <c r="E289" s="28" t="s">
        <v>71</v>
      </c>
      <c r="F289" s="33"/>
      <c r="G289" s="32"/>
      <c r="H289" s="31"/>
      <c r="I289" s="26"/>
      <c r="J289" s="26"/>
      <c r="K289" s="31"/>
      <c r="L289" s="31" t="s">
        <v>75</v>
      </c>
    </row>
    <row r="290">
      <c r="A290" s="25" t="s">
        <v>68</v>
      </c>
      <c r="B290" s="26" t="s">
        <v>649</v>
      </c>
      <c r="C290" s="26" t="s">
        <v>650</v>
      </c>
      <c r="D290" s="32"/>
      <c r="E290" s="28" t="s">
        <v>71</v>
      </c>
      <c r="F290" s="33"/>
      <c r="G290" s="32"/>
      <c r="H290" s="31"/>
      <c r="I290" s="26"/>
      <c r="J290" s="26"/>
      <c r="K290" s="31"/>
      <c r="L290" s="31" t="s">
        <v>75</v>
      </c>
    </row>
    <row r="291">
      <c r="A291" s="25" t="s">
        <v>68</v>
      </c>
      <c r="B291" s="26" t="s">
        <v>651</v>
      </c>
      <c r="C291" s="26" t="s">
        <v>652</v>
      </c>
      <c r="D291" s="32"/>
      <c r="E291" s="28" t="s">
        <v>71</v>
      </c>
      <c r="F291" s="33"/>
      <c r="G291" s="32"/>
      <c r="H291" s="31"/>
      <c r="I291" s="26"/>
      <c r="J291" s="26"/>
      <c r="K291" s="31"/>
      <c r="L291" s="31" t="s">
        <v>78</v>
      </c>
    </row>
    <row r="292">
      <c r="A292" s="25" t="s">
        <v>68</v>
      </c>
      <c r="B292" s="26" t="s">
        <v>653</v>
      </c>
      <c r="C292" s="26" t="s">
        <v>654</v>
      </c>
      <c r="D292" s="32"/>
      <c r="E292" s="28" t="s">
        <v>71</v>
      </c>
      <c r="F292" s="33"/>
      <c r="G292" s="32"/>
      <c r="H292" s="31"/>
      <c r="I292" s="26"/>
      <c r="J292" s="26"/>
      <c r="K292" s="31"/>
      <c r="L292" s="31" t="s">
        <v>75</v>
      </c>
    </row>
    <row r="293">
      <c r="A293" s="25" t="s">
        <v>68</v>
      </c>
      <c r="B293" s="26" t="s">
        <v>655</v>
      </c>
      <c r="C293" s="26" t="s">
        <v>656</v>
      </c>
      <c r="D293" s="32"/>
      <c r="E293" s="28" t="s">
        <v>71</v>
      </c>
      <c r="F293" s="33"/>
      <c r="G293" s="32"/>
      <c r="H293" s="31"/>
      <c r="I293" s="26"/>
      <c r="J293" s="26"/>
      <c r="K293" s="31"/>
      <c r="L293" s="31" t="s">
        <v>78</v>
      </c>
    </row>
    <row r="294">
      <c r="A294" s="25" t="s">
        <v>68</v>
      </c>
      <c r="B294" s="26" t="s">
        <v>657</v>
      </c>
      <c r="C294" s="26" t="s">
        <v>658</v>
      </c>
      <c r="D294" s="32"/>
      <c r="E294" s="28" t="s">
        <v>71</v>
      </c>
      <c r="F294" s="33"/>
      <c r="G294" s="32"/>
      <c r="H294" s="31"/>
      <c r="I294" s="26"/>
      <c r="J294" s="26"/>
      <c r="K294" s="31"/>
      <c r="L294" s="31" t="s">
        <v>78</v>
      </c>
    </row>
    <row r="295">
      <c r="A295" s="25" t="s">
        <v>68</v>
      </c>
      <c r="B295" s="26" t="s">
        <v>659</v>
      </c>
      <c r="C295" s="26" t="s">
        <v>660</v>
      </c>
      <c r="D295" s="32"/>
      <c r="E295" s="28" t="s">
        <v>71</v>
      </c>
      <c r="F295" s="33"/>
      <c r="G295" s="32"/>
      <c r="H295" s="31"/>
      <c r="I295" s="26"/>
      <c r="J295" s="26"/>
      <c r="K295" s="31"/>
      <c r="L295" s="31" t="s">
        <v>75</v>
      </c>
    </row>
    <row r="296">
      <c r="A296" s="25" t="s">
        <v>68</v>
      </c>
      <c r="B296" s="26" t="s">
        <v>661</v>
      </c>
      <c r="C296" s="26" t="s">
        <v>662</v>
      </c>
      <c r="D296" s="32"/>
      <c r="E296" s="28" t="s">
        <v>71</v>
      </c>
      <c r="F296" s="33"/>
      <c r="G296" s="32"/>
      <c r="H296" s="31"/>
      <c r="I296" s="26"/>
      <c r="J296" s="26"/>
      <c r="K296" s="31"/>
      <c r="L296" s="31" t="s">
        <v>78</v>
      </c>
    </row>
    <row r="297">
      <c r="A297" s="25" t="s">
        <v>68</v>
      </c>
      <c r="B297" s="26" t="s">
        <v>663</v>
      </c>
      <c r="C297" s="26" t="s">
        <v>664</v>
      </c>
      <c r="D297" s="32"/>
      <c r="E297" s="28" t="s">
        <v>71</v>
      </c>
      <c r="F297" s="33"/>
      <c r="G297" s="32"/>
      <c r="H297" s="31"/>
      <c r="I297" s="26"/>
      <c r="J297" s="26"/>
      <c r="K297" s="31"/>
      <c r="L297" s="31" t="s">
        <v>78</v>
      </c>
    </row>
    <row r="298">
      <c r="A298" s="25" t="s">
        <v>68</v>
      </c>
      <c r="B298" s="26" t="s">
        <v>665</v>
      </c>
      <c r="C298" s="26" t="s">
        <v>666</v>
      </c>
      <c r="D298" s="32"/>
      <c r="E298" s="28" t="s">
        <v>71</v>
      </c>
      <c r="F298" s="33"/>
      <c r="G298" s="32"/>
      <c r="H298" s="31"/>
      <c r="I298" s="26"/>
      <c r="J298" s="26"/>
      <c r="K298" s="31"/>
      <c r="L298" s="31" t="s">
        <v>78</v>
      </c>
    </row>
    <row r="299">
      <c r="A299" s="25" t="s">
        <v>68</v>
      </c>
      <c r="B299" s="26" t="s">
        <v>667</v>
      </c>
      <c r="C299" s="26" t="s">
        <v>668</v>
      </c>
      <c r="D299" s="32"/>
      <c r="E299" s="28" t="s">
        <v>71</v>
      </c>
      <c r="F299" s="33"/>
      <c r="G299" s="32"/>
      <c r="H299" s="31"/>
      <c r="I299" s="26"/>
      <c r="J299" s="26"/>
      <c r="K299" s="31"/>
      <c r="L299" s="31" t="s">
        <v>75</v>
      </c>
    </row>
    <row r="300">
      <c r="A300" s="25" t="s">
        <v>68</v>
      </c>
      <c r="B300" s="26" t="s">
        <v>669</v>
      </c>
      <c r="C300" s="26" t="s">
        <v>670</v>
      </c>
      <c r="D300" s="32"/>
      <c r="E300" s="28" t="s">
        <v>71</v>
      </c>
      <c r="F300" s="33"/>
      <c r="G300" s="32"/>
      <c r="H300" s="31"/>
      <c r="I300" s="26"/>
      <c r="J300" s="26"/>
      <c r="K300" s="31"/>
      <c r="L300" s="31" t="s">
        <v>78</v>
      </c>
    </row>
    <row r="301">
      <c r="A301" s="25" t="s">
        <v>68</v>
      </c>
      <c r="B301" s="26" t="s">
        <v>671</v>
      </c>
      <c r="C301" s="26" t="s">
        <v>672</v>
      </c>
      <c r="D301" s="32"/>
      <c r="E301" s="28" t="s">
        <v>71</v>
      </c>
      <c r="F301" s="33"/>
      <c r="G301" s="32"/>
      <c r="H301" s="31"/>
      <c r="I301" s="26"/>
      <c r="J301" s="26"/>
      <c r="K301" s="31"/>
      <c r="L301" s="31" t="s">
        <v>78</v>
      </c>
    </row>
    <row r="302">
      <c r="A302" s="25" t="s">
        <v>68</v>
      </c>
      <c r="B302" s="26" t="s">
        <v>673</v>
      </c>
      <c r="C302" s="26" t="s">
        <v>674</v>
      </c>
      <c r="D302" s="32"/>
      <c r="E302" s="28" t="s">
        <v>71</v>
      </c>
      <c r="F302" s="33"/>
      <c r="G302" s="32"/>
      <c r="H302" s="31"/>
      <c r="I302" s="26"/>
      <c r="J302" s="26"/>
      <c r="K302" s="31"/>
      <c r="L302" s="31" t="s">
        <v>78</v>
      </c>
    </row>
    <row r="303">
      <c r="A303" s="25" t="s">
        <v>68</v>
      </c>
      <c r="B303" s="26" t="s">
        <v>675</v>
      </c>
      <c r="C303" s="26" t="s">
        <v>676</v>
      </c>
      <c r="D303" s="32"/>
      <c r="E303" s="28" t="s">
        <v>71</v>
      </c>
      <c r="F303" s="33"/>
      <c r="G303" s="32"/>
      <c r="H303" s="31"/>
      <c r="I303" s="26"/>
      <c r="J303" s="26"/>
      <c r="K303" s="31"/>
      <c r="L303" s="31" t="s">
        <v>78</v>
      </c>
    </row>
    <row r="304">
      <c r="A304" s="25" t="s">
        <v>68</v>
      </c>
      <c r="B304" s="26" t="s">
        <v>677</v>
      </c>
      <c r="C304" s="26" t="s">
        <v>678</v>
      </c>
      <c r="D304" s="32"/>
      <c r="E304" s="28" t="s">
        <v>71</v>
      </c>
      <c r="F304" s="33"/>
      <c r="G304" s="32"/>
      <c r="H304" s="31"/>
      <c r="I304" s="26"/>
      <c r="J304" s="26"/>
      <c r="K304" s="31"/>
      <c r="L304" s="31" t="s">
        <v>78</v>
      </c>
    </row>
    <row r="305">
      <c r="A305" s="25" t="s">
        <v>68</v>
      </c>
      <c r="B305" s="26" t="s">
        <v>679</v>
      </c>
      <c r="C305" s="26" t="s">
        <v>680</v>
      </c>
      <c r="D305" s="32"/>
      <c r="E305" s="28" t="s">
        <v>71</v>
      </c>
      <c r="F305" s="33"/>
      <c r="G305" s="32"/>
      <c r="H305" s="31"/>
      <c r="I305" s="26"/>
      <c r="J305" s="26"/>
      <c r="K305" s="31"/>
      <c r="L305" s="31" t="s">
        <v>78</v>
      </c>
    </row>
    <row r="306">
      <c r="A306" s="25" t="s">
        <v>68</v>
      </c>
      <c r="B306" s="26" t="s">
        <v>681</v>
      </c>
      <c r="C306" s="26" t="s">
        <v>682</v>
      </c>
      <c r="D306" s="32"/>
      <c r="E306" s="28" t="s">
        <v>71</v>
      </c>
      <c r="F306" s="33"/>
      <c r="G306" s="32"/>
      <c r="H306" s="31"/>
      <c r="I306" s="26"/>
      <c r="J306" s="26"/>
      <c r="K306" s="31"/>
      <c r="L306" s="31" t="s">
        <v>78</v>
      </c>
    </row>
    <row r="307">
      <c r="A307" s="25" t="s">
        <v>68</v>
      </c>
      <c r="B307" s="26" t="s">
        <v>683</v>
      </c>
      <c r="C307" s="26" t="s">
        <v>684</v>
      </c>
      <c r="D307" s="32"/>
      <c r="E307" s="28" t="s">
        <v>71</v>
      </c>
      <c r="F307" s="33"/>
      <c r="G307" s="32"/>
      <c r="H307" s="31"/>
      <c r="I307" s="26"/>
      <c r="J307" s="26"/>
      <c r="K307" s="31"/>
      <c r="L307" s="31" t="s">
        <v>78</v>
      </c>
    </row>
    <row r="308">
      <c r="A308" s="25" t="s">
        <v>68</v>
      </c>
      <c r="B308" s="26" t="s">
        <v>685</v>
      </c>
      <c r="C308" s="26" t="s">
        <v>686</v>
      </c>
      <c r="D308" s="32"/>
      <c r="E308" s="28" t="s">
        <v>71</v>
      </c>
      <c r="F308" s="33"/>
      <c r="G308" s="32"/>
      <c r="H308" s="31"/>
      <c r="I308" s="26"/>
      <c r="J308" s="26"/>
      <c r="K308" s="31"/>
      <c r="L308" s="31" t="s">
        <v>78</v>
      </c>
    </row>
    <row r="309">
      <c r="A309" s="25" t="s">
        <v>68</v>
      </c>
      <c r="B309" s="26" t="s">
        <v>687</v>
      </c>
      <c r="C309" s="26" t="s">
        <v>688</v>
      </c>
      <c r="D309" s="32"/>
      <c r="E309" s="28" t="s">
        <v>71</v>
      </c>
      <c r="F309" s="33"/>
      <c r="G309" s="32"/>
      <c r="H309" s="31"/>
      <c r="I309" s="26"/>
      <c r="J309" s="26"/>
      <c r="K309" s="31"/>
      <c r="L309" s="31" t="s">
        <v>78</v>
      </c>
    </row>
    <row r="310">
      <c r="A310" s="25" t="s">
        <v>68</v>
      </c>
      <c r="B310" s="26" t="s">
        <v>689</v>
      </c>
      <c r="C310" s="26" t="s">
        <v>690</v>
      </c>
      <c r="D310" s="32"/>
      <c r="E310" s="28" t="s">
        <v>71</v>
      </c>
      <c r="F310" s="33"/>
      <c r="G310" s="32"/>
      <c r="H310" s="31"/>
      <c r="I310" s="26"/>
      <c r="J310" s="26"/>
      <c r="K310" s="31"/>
      <c r="L310" s="31" t="s">
        <v>78</v>
      </c>
    </row>
    <row r="311">
      <c r="A311" s="25" t="s">
        <v>68</v>
      </c>
      <c r="B311" s="26" t="s">
        <v>691</v>
      </c>
      <c r="C311" s="26" t="s">
        <v>692</v>
      </c>
      <c r="D311" s="32"/>
      <c r="E311" s="28" t="s">
        <v>71</v>
      </c>
      <c r="F311" s="33"/>
      <c r="G311" s="32"/>
      <c r="H311" s="31"/>
      <c r="I311" s="26"/>
      <c r="J311" s="26"/>
      <c r="K311" s="31"/>
      <c r="L311" s="31" t="s">
        <v>78</v>
      </c>
    </row>
    <row r="312">
      <c r="A312" s="25" t="s">
        <v>68</v>
      </c>
      <c r="B312" s="26" t="s">
        <v>693</v>
      </c>
      <c r="C312" s="26" t="s">
        <v>694</v>
      </c>
      <c r="D312" s="32"/>
      <c r="E312" s="28" t="s">
        <v>71</v>
      </c>
      <c r="F312" s="33"/>
      <c r="G312" s="32"/>
      <c r="H312" s="31"/>
      <c r="I312" s="26"/>
      <c r="J312" s="26"/>
      <c r="K312" s="31"/>
      <c r="L312" s="31" t="s">
        <v>78</v>
      </c>
    </row>
    <row r="313">
      <c r="A313" s="25" t="s">
        <v>68</v>
      </c>
      <c r="B313" s="26" t="s">
        <v>695</v>
      </c>
      <c r="C313" s="26" t="s">
        <v>696</v>
      </c>
      <c r="D313" s="32"/>
      <c r="E313" s="28" t="s">
        <v>71</v>
      </c>
      <c r="F313" s="33"/>
      <c r="G313" s="32"/>
      <c r="H313" s="31"/>
      <c r="I313" s="26"/>
      <c r="J313" s="26"/>
      <c r="K313" s="31"/>
      <c r="L313" s="31" t="s">
        <v>78</v>
      </c>
    </row>
    <row r="314">
      <c r="A314" s="25" t="s">
        <v>68</v>
      </c>
      <c r="B314" s="26" t="s">
        <v>697</v>
      </c>
      <c r="C314" s="26" t="s">
        <v>698</v>
      </c>
      <c r="D314" s="32"/>
      <c r="E314" s="28" t="s">
        <v>71</v>
      </c>
      <c r="F314" s="33"/>
      <c r="G314" s="32"/>
      <c r="H314" s="31"/>
      <c r="I314" s="26"/>
      <c r="J314" s="26"/>
      <c r="K314" s="31"/>
      <c r="L314" s="31" t="s">
        <v>78</v>
      </c>
    </row>
    <row r="315">
      <c r="A315" s="25" t="s">
        <v>68</v>
      </c>
      <c r="B315" s="26" t="s">
        <v>699</v>
      </c>
      <c r="C315" s="26" t="s">
        <v>700</v>
      </c>
      <c r="D315" s="32"/>
      <c r="E315" s="28" t="s">
        <v>71</v>
      </c>
      <c r="F315" s="33"/>
      <c r="G315" s="32"/>
      <c r="H315" s="31"/>
      <c r="I315" s="26"/>
      <c r="J315" s="26"/>
      <c r="K315" s="31"/>
      <c r="L315" s="31" t="s">
        <v>78</v>
      </c>
    </row>
    <row r="316">
      <c r="A316" s="25" t="s">
        <v>68</v>
      </c>
      <c r="B316" s="26" t="s">
        <v>701</v>
      </c>
      <c r="C316" s="26" t="s">
        <v>702</v>
      </c>
      <c r="D316" s="32"/>
      <c r="E316" s="28" t="s">
        <v>71</v>
      </c>
      <c r="F316" s="33"/>
      <c r="G316" s="32"/>
      <c r="H316" s="31"/>
      <c r="I316" s="26"/>
      <c r="J316" s="26"/>
      <c r="K316" s="31"/>
      <c r="L316" s="31" t="s">
        <v>78</v>
      </c>
    </row>
    <row r="317">
      <c r="A317" s="25" t="s">
        <v>68</v>
      </c>
      <c r="B317" s="26" t="s">
        <v>703</v>
      </c>
      <c r="C317" s="26" t="s">
        <v>704</v>
      </c>
      <c r="D317" s="32"/>
      <c r="E317" s="28" t="s">
        <v>71</v>
      </c>
      <c r="F317" s="33"/>
      <c r="G317" s="32"/>
      <c r="H317" s="31"/>
      <c r="I317" s="26"/>
      <c r="J317" s="26"/>
      <c r="K317" s="31"/>
      <c r="L317" s="31" t="s">
        <v>78</v>
      </c>
    </row>
    <row r="318">
      <c r="A318" s="25" t="s">
        <v>68</v>
      </c>
      <c r="B318" s="26" t="s">
        <v>705</v>
      </c>
      <c r="C318" s="26" t="s">
        <v>706</v>
      </c>
      <c r="D318" s="32"/>
      <c r="E318" s="28" t="s">
        <v>71</v>
      </c>
      <c r="F318" s="33"/>
      <c r="G318" s="32"/>
      <c r="H318" s="31"/>
      <c r="I318" s="26"/>
      <c r="J318" s="26"/>
      <c r="K318" s="31"/>
      <c r="L318" s="31" t="s">
        <v>78</v>
      </c>
    </row>
    <row r="319">
      <c r="A319" s="25" t="s">
        <v>68</v>
      </c>
      <c r="B319" s="26" t="s">
        <v>707</v>
      </c>
      <c r="C319" s="26" t="s">
        <v>708</v>
      </c>
      <c r="D319" s="32"/>
      <c r="E319" s="28" t="s">
        <v>71</v>
      </c>
      <c r="F319" s="33"/>
      <c r="G319" s="32"/>
      <c r="H319" s="31"/>
      <c r="I319" s="26"/>
      <c r="J319" s="26"/>
      <c r="K319" s="31"/>
      <c r="L319" s="31" t="s">
        <v>75</v>
      </c>
    </row>
    <row r="320">
      <c r="A320" s="25" t="s">
        <v>68</v>
      </c>
      <c r="B320" s="26" t="s">
        <v>709</v>
      </c>
      <c r="C320" s="26" t="s">
        <v>710</v>
      </c>
      <c r="D320" s="32"/>
      <c r="E320" s="28" t="s">
        <v>71</v>
      </c>
      <c r="F320" s="33"/>
      <c r="G320" s="32"/>
      <c r="H320" s="31"/>
      <c r="I320" s="26"/>
      <c r="J320" s="26"/>
      <c r="K320" s="31"/>
      <c r="L320" s="31" t="s">
        <v>78</v>
      </c>
    </row>
    <row r="321">
      <c r="A321" s="25" t="s">
        <v>68</v>
      </c>
      <c r="B321" s="26" t="s">
        <v>711</v>
      </c>
      <c r="C321" s="26" t="s">
        <v>712</v>
      </c>
      <c r="D321" s="32"/>
      <c r="E321" s="28" t="s">
        <v>71</v>
      </c>
      <c r="F321" s="33"/>
      <c r="G321" s="32"/>
      <c r="H321" s="31"/>
      <c r="I321" s="26"/>
      <c r="J321" s="26"/>
      <c r="K321" s="31"/>
      <c r="L321" s="31" t="s">
        <v>75</v>
      </c>
    </row>
    <row r="322">
      <c r="A322" s="25" t="s">
        <v>68</v>
      </c>
      <c r="B322" s="26" t="s">
        <v>713</v>
      </c>
      <c r="C322" s="26" t="s">
        <v>714</v>
      </c>
      <c r="D322" s="32"/>
      <c r="E322" s="28" t="s">
        <v>71</v>
      </c>
      <c r="F322" s="33"/>
      <c r="G322" s="32"/>
      <c r="H322" s="31"/>
      <c r="I322" s="26"/>
      <c r="J322" s="26"/>
      <c r="K322" s="31"/>
      <c r="L322" s="31" t="s">
        <v>78</v>
      </c>
    </row>
    <row r="323">
      <c r="A323" s="25" t="s">
        <v>68</v>
      </c>
      <c r="B323" s="26" t="s">
        <v>715</v>
      </c>
      <c r="C323" s="26" t="s">
        <v>716</v>
      </c>
      <c r="D323" s="32"/>
      <c r="E323" s="28" t="s">
        <v>71</v>
      </c>
      <c r="F323" s="33"/>
      <c r="G323" s="32"/>
      <c r="H323" s="31"/>
      <c r="I323" s="26"/>
      <c r="J323" s="26"/>
      <c r="K323" s="31"/>
      <c r="L323" s="31" t="s">
        <v>78</v>
      </c>
    </row>
    <row r="324">
      <c r="A324" s="25" t="s">
        <v>68</v>
      </c>
      <c r="B324" s="26" t="s">
        <v>717</v>
      </c>
      <c r="C324" s="26" t="s">
        <v>718</v>
      </c>
      <c r="D324" s="32"/>
      <c r="E324" s="28" t="s">
        <v>71</v>
      </c>
      <c r="F324" s="33"/>
      <c r="G324" s="32"/>
      <c r="H324" s="31"/>
      <c r="I324" s="26"/>
      <c r="J324" s="26"/>
      <c r="K324" s="31"/>
      <c r="L324" s="31" t="s">
        <v>78</v>
      </c>
    </row>
    <row r="325">
      <c r="A325" s="25" t="s">
        <v>68</v>
      </c>
      <c r="B325" s="26" t="s">
        <v>719</v>
      </c>
      <c r="C325" s="26" t="s">
        <v>720</v>
      </c>
      <c r="D325" s="32"/>
      <c r="E325" s="28" t="s">
        <v>71</v>
      </c>
      <c r="F325" s="33"/>
      <c r="G325" s="32"/>
      <c r="H325" s="31"/>
      <c r="I325" s="26"/>
      <c r="J325" s="26"/>
      <c r="K325" s="31"/>
      <c r="L325" s="31" t="s">
        <v>78</v>
      </c>
    </row>
    <row r="326">
      <c r="A326" s="25" t="s">
        <v>68</v>
      </c>
      <c r="B326" s="26" t="s">
        <v>721</v>
      </c>
      <c r="C326" s="26" t="s">
        <v>722</v>
      </c>
      <c r="D326" s="32"/>
      <c r="E326" s="28" t="s">
        <v>71</v>
      </c>
      <c r="F326" s="33"/>
      <c r="G326" s="32"/>
      <c r="H326" s="31"/>
      <c r="I326" s="26"/>
      <c r="J326" s="26"/>
      <c r="K326" s="31"/>
      <c r="L326" s="31" t="s">
        <v>78</v>
      </c>
    </row>
    <row r="327">
      <c r="A327" s="25" t="s">
        <v>68</v>
      </c>
      <c r="B327" s="26" t="s">
        <v>723</v>
      </c>
      <c r="C327" s="26" t="s">
        <v>724</v>
      </c>
      <c r="D327" s="32"/>
      <c r="E327" s="28" t="s">
        <v>71</v>
      </c>
      <c r="F327" s="33"/>
      <c r="G327" s="32"/>
      <c r="H327" s="31"/>
      <c r="I327" s="26"/>
      <c r="J327" s="26"/>
      <c r="K327" s="31"/>
      <c r="L327" s="31" t="s">
        <v>78</v>
      </c>
    </row>
    <row r="328">
      <c r="A328" s="25" t="s">
        <v>68</v>
      </c>
      <c r="B328" s="26" t="s">
        <v>725</v>
      </c>
      <c r="C328" s="26" t="s">
        <v>726</v>
      </c>
      <c r="D328" s="32"/>
      <c r="E328" s="28" t="s">
        <v>71</v>
      </c>
      <c r="F328" s="33"/>
      <c r="G328" s="32"/>
      <c r="H328" s="31"/>
      <c r="I328" s="26"/>
      <c r="J328" s="26"/>
      <c r="K328" s="31"/>
      <c r="L328" s="31" t="s">
        <v>75</v>
      </c>
    </row>
    <row r="329">
      <c r="A329" s="25" t="s">
        <v>68</v>
      </c>
      <c r="B329" s="26" t="s">
        <v>727</v>
      </c>
      <c r="C329" s="26" t="s">
        <v>728</v>
      </c>
      <c r="D329" s="32"/>
      <c r="E329" s="28" t="s">
        <v>71</v>
      </c>
      <c r="F329" s="33"/>
      <c r="G329" s="32"/>
      <c r="H329" s="31"/>
      <c r="I329" s="26"/>
      <c r="J329" s="26"/>
      <c r="K329" s="31"/>
      <c r="L329" s="31" t="s">
        <v>78</v>
      </c>
    </row>
    <row r="330">
      <c r="A330" s="25" t="s">
        <v>68</v>
      </c>
      <c r="B330" s="26" t="s">
        <v>729</v>
      </c>
      <c r="C330" s="26" t="s">
        <v>730</v>
      </c>
      <c r="D330" s="32"/>
      <c r="E330" s="28" t="s">
        <v>71</v>
      </c>
      <c r="F330" s="33"/>
      <c r="G330" s="32"/>
      <c r="H330" s="31"/>
      <c r="I330" s="26"/>
      <c r="J330" s="26"/>
      <c r="K330" s="31"/>
      <c r="L330" s="31" t="s">
        <v>75</v>
      </c>
    </row>
    <row r="331">
      <c r="A331" s="25" t="s">
        <v>68</v>
      </c>
      <c r="B331" s="26" t="s">
        <v>731</v>
      </c>
      <c r="C331" s="26" t="s">
        <v>732</v>
      </c>
      <c r="D331" s="32"/>
      <c r="E331" s="28" t="s">
        <v>71</v>
      </c>
      <c r="F331" s="33"/>
      <c r="G331" s="32"/>
      <c r="H331" s="31"/>
      <c r="I331" s="26"/>
      <c r="J331" s="26"/>
      <c r="K331" s="31"/>
      <c r="L331" s="31" t="s">
        <v>78</v>
      </c>
    </row>
    <row r="332">
      <c r="A332" s="25" t="s">
        <v>68</v>
      </c>
      <c r="B332" s="26" t="s">
        <v>733</v>
      </c>
      <c r="C332" s="26" t="s">
        <v>734</v>
      </c>
      <c r="D332" s="32"/>
      <c r="E332" s="28" t="s">
        <v>71</v>
      </c>
      <c r="F332" s="33"/>
      <c r="G332" s="32"/>
      <c r="H332" s="31"/>
      <c r="I332" s="26"/>
      <c r="J332" s="26"/>
      <c r="K332" s="31"/>
      <c r="L332" s="31" t="s">
        <v>78</v>
      </c>
    </row>
    <row r="333">
      <c r="A333" s="25" t="s">
        <v>68</v>
      </c>
      <c r="B333" s="26" t="s">
        <v>735</v>
      </c>
      <c r="C333" s="26" t="s">
        <v>736</v>
      </c>
      <c r="D333" s="32"/>
      <c r="E333" s="28" t="s">
        <v>71</v>
      </c>
      <c r="F333" s="33"/>
      <c r="G333" s="32"/>
      <c r="H333" s="31"/>
      <c r="I333" s="26"/>
      <c r="J333" s="26"/>
      <c r="K333" s="31"/>
      <c r="L333" s="31" t="s">
        <v>78</v>
      </c>
    </row>
    <row r="334">
      <c r="A334" s="25" t="s">
        <v>68</v>
      </c>
      <c r="B334" s="26" t="s">
        <v>737</v>
      </c>
      <c r="C334" s="26" t="s">
        <v>738</v>
      </c>
      <c r="D334" s="32"/>
      <c r="E334" s="28" t="s">
        <v>71</v>
      </c>
      <c r="F334" s="33"/>
      <c r="G334" s="32"/>
      <c r="H334" s="31"/>
      <c r="I334" s="26"/>
      <c r="J334" s="26"/>
      <c r="K334" s="31"/>
      <c r="L334" s="31" t="s">
        <v>78</v>
      </c>
    </row>
    <row r="335">
      <c r="A335" s="25" t="s">
        <v>68</v>
      </c>
      <c r="B335" s="26" t="s">
        <v>739</v>
      </c>
      <c r="C335" s="26" t="s">
        <v>740</v>
      </c>
      <c r="D335" s="32"/>
      <c r="E335" s="28" t="s">
        <v>71</v>
      </c>
      <c r="F335" s="33"/>
      <c r="G335" s="32"/>
      <c r="H335" s="31"/>
      <c r="I335" s="26"/>
      <c r="J335" s="26"/>
      <c r="K335" s="31"/>
      <c r="L335" s="31" t="s">
        <v>78</v>
      </c>
    </row>
    <row r="336">
      <c r="A336" s="25" t="s">
        <v>68</v>
      </c>
      <c r="B336" s="26" t="s">
        <v>741</v>
      </c>
      <c r="C336" s="26" t="s">
        <v>742</v>
      </c>
      <c r="D336" s="32"/>
      <c r="E336" s="28" t="s">
        <v>71</v>
      </c>
      <c r="F336" s="33"/>
      <c r="G336" s="32"/>
      <c r="H336" s="31"/>
      <c r="I336" s="26"/>
      <c r="J336" s="26"/>
      <c r="K336" s="31"/>
      <c r="L336" s="31" t="s">
        <v>78</v>
      </c>
    </row>
    <row r="337">
      <c r="A337" s="25" t="s">
        <v>68</v>
      </c>
      <c r="B337" s="26" t="s">
        <v>743</v>
      </c>
      <c r="C337" s="26" t="s">
        <v>744</v>
      </c>
      <c r="D337" s="32"/>
      <c r="E337" s="28" t="s">
        <v>71</v>
      </c>
      <c r="F337" s="33"/>
      <c r="G337" s="32"/>
      <c r="H337" s="31"/>
      <c r="I337" s="26"/>
      <c r="J337" s="26"/>
      <c r="K337" s="31"/>
      <c r="L337" s="31" t="s">
        <v>78</v>
      </c>
    </row>
    <row r="338">
      <c r="A338" s="25" t="s">
        <v>68</v>
      </c>
      <c r="B338" s="26" t="s">
        <v>745</v>
      </c>
      <c r="C338" s="26" t="s">
        <v>746</v>
      </c>
      <c r="D338" s="32"/>
      <c r="E338" s="28" t="s">
        <v>71</v>
      </c>
      <c r="F338" s="33"/>
      <c r="G338" s="32"/>
      <c r="H338" s="31"/>
      <c r="I338" s="26"/>
      <c r="J338" s="26"/>
      <c r="K338" s="31"/>
      <c r="L338" s="31" t="s">
        <v>78</v>
      </c>
    </row>
    <row r="339">
      <c r="A339" s="25" t="s">
        <v>68</v>
      </c>
      <c r="B339" s="26" t="s">
        <v>747</v>
      </c>
      <c r="C339" s="26" t="s">
        <v>748</v>
      </c>
      <c r="D339" s="32"/>
      <c r="E339" s="28" t="s">
        <v>71</v>
      </c>
      <c r="F339" s="33"/>
      <c r="G339" s="32"/>
      <c r="H339" s="31"/>
      <c r="I339" s="26"/>
      <c r="J339" s="26"/>
      <c r="K339" s="31"/>
      <c r="L339" s="31" t="s">
        <v>75</v>
      </c>
    </row>
    <row r="340">
      <c r="A340" s="25" t="s">
        <v>68</v>
      </c>
      <c r="B340" s="26" t="s">
        <v>749</v>
      </c>
      <c r="C340" s="26" t="s">
        <v>750</v>
      </c>
      <c r="D340" s="32"/>
      <c r="E340" s="28" t="s">
        <v>71</v>
      </c>
      <c r="F340" s="33"/>
      <c r="G340" s="32"/>
      <c r="H340" s="31"/>
      <c r="I340" s="26"/>
      <c r="J340" s="26"/>
      <c r="K340" s="31"/>
      <c r="L340" s="31" t="s">
        <v>78</v>
      </c>
    </row>
    <row r="341">
      <c r="A341" s="25" t="s">
        <v>68</v>
      </c>
      <c r="B341" s="26" t="s">
        <v>751</v>
      </c>
      <c r="C341" s="26" t="s">
        <v>752</v>
      </c>
      <c r="D341" s="32"/>
      <c r="E341" s="28" t="s">
        <v>71</v>
      </c>
      <c r="F341" s="33"/>
      <c r="G341" s="32"/>
      <c r="H341" s="31"/>
      <c r="I341" s="26"/>
      <c r="J341" s="26"/>
      <c r="K341" s="31"/>
      <c r="L341" s="31" t="s">
        <v>78</v>
      </c>
    </row>
    <row r="342">
      <c r="A342" s="25" t="s">
        <v>68</v>
      </c>
      <c r="B342" s="26" t="s">
        <v>753</v>
      </c>
      <c r="C342" s="26" t="s">
        <v>754</v>
      </c>
      <c r="D342" s="32"/>
      <c r="E342" s="28" t="s">
        <v>71</v>
      </c>
      <c r="F342" s="33"/>
      <c r="G342" s="32"/>
      <c r="H342" s="31"/>
      <c r="I342" s="26"/>
      <c r="J342" s="26"/>
      <c r="K342" s="31"/>
      <c r="L342" s="31" t="s">
        <v>75</v>
      </c>
    </row>
    <row r="343">
      <c r="A343" s="25" t="s">
        <v>68</v>
      </c>
      <c r="B343" s="26" t="s">
        <v>755</v>
      </c>
      <c r="C343" s="26" t="s">
        <v>756</v>
      </c>
      <c r="D343" s="32"/>
      <c r="E343" s="28" t="s">
        <v>71</v>
      </c>
      <c r="F343" s="33"/>
      <c r="G343" s="32"/>
      <c r="H343" s="31"/>
      <c r="I343" s="26"/>
      <c r="J343" s="26"/>
      <c r="K343" s="31"/>
      <c r="L343" s="31" t="s">
        <v>75</v>
      </c>
    </row>
    <row r="344">
      <c r="A344" s="25" t="s">
        <v>68</v>
      </c>
      <c r="B344" s="26" t="s">
        <v>757</v>
      </c>
      <c r="C344" s="26" t="s">
        <v>758</v>
      </c>
      <c r="D344" s="32"/>
      <c r="E344" s="28" t="s">
        <v>71</v>
      </c>
      <c r="F344" s="33"/>
      <c r="G344" s="32"/>
      <c r="H344" s="31"/>
      <c r="I344" s="26"/>
      <c r="J344" s="26"/>
      <c r="K344" s="31"/>
      <c r="L344" s="31" t="s">
        <v>78</v>
      </c>
    </row>
    <row r="345">
      <c r="A345" s="25" t="s">
        <v>68</v>
      </c>
      <c r="B345" s="26" t="s">
        <v>759</v>
      </c>
      <c r="C345" s="26" t="s">
        <v>760</v>
      </c>
      <c r="D345" s="32"/>
      <c r="E345" s="28" t="s">
        <v>71</v>
      </c>
      <c r="F345" s="33"/>
      <c r="G345" s="32"/>
      <c r="H345" s="31"/>
      <c r="I345" s="26"/>
      <c r="J345" s="26"/>
      <c r="K345" s="31"/>
      <c r="L345" s="31" t="s">
        <v>78</v>
      </c>
    </row>
    <row r="346">
      <c r="A346" s="25" t="s">
        <v>68</v>
      </c>
      <c r="B346" s="26" t="s">
        <v>761</v>
      </c>
      <c r="C346" s="26" t="s">
        <v>762</v>
      </c>
      <c r="D346" s="32"/>
      <c r="E346" s="28" t="s">
        <v>71</v>
      </c>
      <c r="F346" s="33"/>
      <c r="G346" s="32"/>
      <c r="H346" s="31"/>
      <c r="I346" s="26"/>
      <c r="J346" s="26"/>
      <c r="K346" s="31"/>
      <c r="L346" s="31" t="s">
        <v>78</v>
      </c>
    </row>
    <row r="347">
      <c r="A347" s="25" t="s">
        <v>68</v>
      </c>
      <c r="B347" s="26" t="s">
        <v>763</v>
      </c>
      <c r="C347" s="26" t="s">
        <v>764</v>
      </c>
      <c r="D347" s="32"/>
      <c r="E347" s="28" t="s">
        <v>71</v>
      </c>
      <c r="F347" s="33"/>
      <c r="G347" s="32"/>
      <c r="H347" s="31"/>
      <c r="I347" s="26"/>
      <c r="J347" s="26"/>
      <c r="K347" s="31"/>
      <c r="L347" s="31" t="s">
        <v>78</v>
      </c>
    </row>
    <row r="348">
      <c r="A348" s="25" t="s">
        <v>68</v>
      </c>
      <c r="B348" s="26" t="s">
        <v>765</v>
      </c>
      <c r="C348" s="26" t="s">
        <v>766</v>
      </c>
      <c r="D348" s="32"/>
      <c r="E348" s="28" t="s">
        <v>71</v>
      </c>
      <c r="F348" s="33"/>
      <c r="G348" s="32"/>
      <c r="H348" s="31"/>
      <c r="I348" s="26"/>
      <c r="J348" s="26"/>
      <c r="K348" s="31"/>
      <c r="L348" s="31" t="s">
        <v>78</v>
      </c>
    </row>
    <row r="349">
      <c r="A349" s="25" t="s">
        <v>68</v>
      </c>
      <c r="B349" s="26" t="s">
        <v>767</v>
      </c>
      <c r="C349" s="26" t="s">
        <v>768</v>
      </c>
      <c r="D349" s="32"/>
      <c r="E349" s="28" t="s">
        <v>71</v>
      </c>
      <c r="F349" s="33"/>
      <c r="G349" s="32"/>
      <c r="H349" s="31"/>
      <c r="I349" s="26"/>
      <c r="J349" s="26"/>
      <c r="K349" s="31"/>
      <c r="L349" s="31" t="s">
        <v>78</v>
      </c>
    </row>
    <row r="350">
      <c r="A350" s="25" t="s">
        <v>68</v>
      </c>
      <c r="B350" s="26" t="s">
        <v>769</v>
      </c>
      <c r="C350" s="26" t="s">
        <v>770</v>
      </c>
      <c r="D350" s="32"/>
      <c r="E350" s="28" t="s">
        <v>71</v>
      </c>
      <c r="F350" s="33"/>
      <c r="G350" s="32"/>
      <c r="H350" s="31"/>
      <c r="I350" s="26"/>
      <c r="J350" s="26"/>
      <c r="K350" s="31"/>
      <c r="L350" s="31" t="s">
        <v>78</v>
      </c>
    </row>
    <row r="351">
      <c r="A351" s="25" t="s">
        <v>68</v>
      </c>
      <c r="B351" s="26" t="s">
        <v>771</v>
      </c>
      <c r="C351" s="26" t="s">
        <v>772</v>
      </c>
      <c r="D351" s="32"/>
      <c r="E351" s="28" t="s">
        <v>71</v>
      </c>
      <c r="F351" s="33"/>
      <c r="G351" s="32"/>
      <c r="H351" s="31"/>
      <c r="I351" s="26"/>
      <c r="J351" s="26"/>
      <c r="K351" s="31"/>
      <c r="L351" s="31" t="s">
        <v>75</v>
      </c>
    </row>
    <row r="352">
      <c r="A352" s="25" t="s">
        <v>68</v>
      </c>
      <c r="B352" s="26" t="s">
        <v>773</v>
      </c>
      <c r="C352" s="26" t="s">
        <v>774</v>
      </c>
      <c r="D352" s="32"/>
      <c r="E352" s="28" t="s">
        <v>71</v>
      </c>
      <c r="F352" s="33"/>
      <c r="G352" s="32"/>
      <c r="H352" s="31"/>
      <c r="I352" s="26"/>
      <c r="J352" s="26"/>
      <c r="K352" s="31"/>
      <c r="L352" s="31" t="s">
        <v>78</v>
      </c>
    </row>
    <row r="353">
      <c r="A353" s="25" t="s">
        <v>68</v>
      </c>
      <c r="B353" s="26" t="s">
        <v>775</v>
      </c>
      <c r="C353" s="26" t="s">
        <v>776</v>
      </c>
      <c r="D353" s="32"/>
      <c r="E353" s="28" t="s">
        <v>71</v>
      </c>
      <c r="F353" s="33"/>
      <c r="G353" s="32"/>
      <c r="H353" s="31"/>
      <c r="I353" s="26"/>
      <c r="J353" s="26"/>
      <c r="K353" s="31"/>
      <c r="L353" s="31" t="s">
        <v>78</v>
      </c>
    </row>
    <row r="354">
      <c r="A354" s="25" t="s">
        <v>68</v>
      </c>
      <c r="B354" s="26" t="s">
        <v>777</v>
      </c>
      <c r="C354" s="26" t="s">
        <v>778</v>
      </c>
      <c r="D354" s="32"/>
      <c r="E354" s="28" t="s">
        <v>71</v>
      </c>
      <c r="F354" s="33"/>
      <c r="G354" s="32"/>
      <c r="H354" s="31"/>
      <c r="I354" s="26"/>
      <c r="J354" s="26"/>
      <c r="K354" s="31"/>
      <c r="L354" s="31" t="s">
        <v>78</v>
      </c>
    </row>
    <row r="355">
      <c r="A355" s="25" t="s">
        <v>68</v>
      </c>
      <c r="B355" s="26" t="s">
        <v>779</v>
      </c>
      <c r="C355" s="26" t="s">
        <v>780</v>
      </c>
      <c r="D355" s="32"/>
      <c r="E355" s="28" t="s">
        <v>71</v>
      </c>
      <c r="F355" s="33"/>
      <c r="G355" s="32"/>
      <c r="H355" s="31"/>
      <c r="I355" s="26"/>
      <c r="J355" s="26"/>
      <c r="K355" s="31"/>
      <c r="L355" s="31" t="s">
        <v>78</v>
      </c>
    </row>
    <row r="356">
      <c r="A356" s="25" t="s">
        <v>68</v>
      </c>
      <c r="B356" s="26" t="s">
        <v>781</v>
      </c>
      <c r="C356" s="26" t="s">
        <v>782</v>
      </c>
      <c r="D356" s="32"/>
      <c r="E356" s="28" t="s">
        <v>71</v>
      </c>
      <c r="F356" s="33"/>
      <c r="G356" s="32"/>
      <c r="H356" s="31"/>
      <c r="I356" s="26"/>
      <c r="J356" s="26"/>
      <c r="K356" s="31"/>
      <c r="L356" s="31" t="s">
        <v>78</v>
      </c>
    </row>
    <row r="357">
      <c r="A357" s="25" t="s">
        <v>68</v>
      </c>
      <c r="B357" s="26" t="s">
        <v>783</v>
      </c>
      <c r="C357" s="26" t="s">
        <v>784</v>
      </c>
      <c r="D357" s="32"/>
      <c r="E357" s="28" t="s">
        <v>71</v>
      </c>
      <c r="F357" s="33"/>
      <c r="G357" s="32"/>
      <c r="H357" s="31"/>
      <c r="I357" s="26"/>
      <c r="J357" s="26"/>
      <c r="K357" s="31"/>
      <c r="L357" s="31" t="s">
        <v>75</v>
      </c>
    </row>
    <row r="358">
      <c r="A358" s="25" t="s">
        <v>68</v>
      </c>
      <c r="B358" s="26" t="s">
        <v>785</v>
      </c>
      <c r="C358" s="26" t="s">
        <v>786</v>
      </c>
      <c r="D358" s="32"/>
      <c r="E358" s="28" t="s">
        <v>71</v>
      </c>
      <c r="F358" s="33"/>
      <c r="G358" s="32"/>
      <c r="H358" s="31"/>
      <c r="I358" s="26"/>
      <c r="J358" s="26"/>
      <c r="K358" s="31"/>
      <c r="L358" s="31" t="s">
        <v>78</v>
      </c>
    </row>
    <row r="359">
      <c r="A359" s="25" t="s">
        <v>68</v>
      </c>
      <c r="B359" s="26" t="s">
        <v>787</v>
      </c>
      <c r="C359" s="26" t="s">
        <v>788</v>
      </c>
      <c r="D359" s="32"/>
      <c r="E359" s="28" t="s">
        <v>71</v>
      </c>
      <c r="F359" s="33"/>
      <c r="G359" s="32"/>
      <c r="H359" s="31"/>
      <c r="I359" s="26"/>
      <c r="J359" s="26"/>
      <c r="K359" s="31"/>
      <c r="L359" s="31" t="s">
        <v>78</v>
      </c>
    </row>
    <row r="360">
      <c r="A360" s="25" t="s">
        <v>68</v>
      </c>
      <c r="B360" s="26" t="s">
        <v>789</v>
      </c>
      <c r="C360" s="26" t="s">
        <v>790</v>
      </c>
      <c r="D360" s="32"/>
      <c r="E360" s="28" t="s">
        <v>71</v>
      </c>
      <c r="F360" s="33"/>
      <c r="G360" s="32"/>
      <c r="H360" s="31"/>
      <c r="I360" s="26"/>
      <c r="J360" s="26"/>
      <c r="K360" s="31"/>
      <c r="L360" s="31" t="s">
        <v>78</v>
      </c>
    </row>
    <row r="361">
      <c r="A361" s="25" t="s">
        <v>68</v>
      </c>
      <c r="B361" s="26" t="s">
        <v>791</v>
      </c>
      <c r="C361" s="26" t="s">
        <v>792</v>
      </c>
      <c r="D361" s="32"/>
      <c r="E361" s="28" t="s">
        <v>71</v>
      </c>
      <c r="F361" s="33"/>
      <c r="G361" s="32"/>
      <c r="H361" s="31"/>
      <c r="I361" s="26"/>
      <c r="J361" s="26"/>
      <c r="K361" s="31"/>
      <c r="L361" s="31" t="s">
        <v>75</v>
      </c>
    </row>
    <row r="362">
      <c r="A362" s="25" t="s">
        <v>68</v>
      </c>
      <c r="B362" s="26" t="s">
        <v>793</v>
      </c>
      <c r="C362" s="26" t="s">
        <v>794</v>
      </c>
      <c r="D362" s="32"/>
      <c r="E362" s="28" t="s">
        <v>71</v>
      </c>
      <c r="F362" s="33"/>
      <c r="G362" s="32"/>
      <c r="H362" s="31"/>
      <c r="I362" s="26"/>
      <c r="J362" s="26"/>
      <c r="K362" s="31"/>
      <c r="L362" s="31" t="s">
        <v>78</v>
      </c>
    </row>
    <row r="363">
      <c r="A363" s="25" t="s">
        <v>68</v>
      </c>
      <c r="B363" s="26" t="s">
        <v>795</v>
      </c>
      <c r="C363" s="26" t="s">
        <v>796</v>
      </c>
      <c r="D363" s="32"/>
      <c r="E363" s="28" t="s">
        <v>71</v>
      </c>
      <c r="F363" s="33"/>
      <c r="G363" s="32"/>
      <c r="H363" s="31"/>
      <c r="I363" s="26"/>
      <c r="J363" s="26"/>
      <c r="K363" s="31"/>
      <c r="L363" s="31" t="s">
        <v>78</v>
      </c>
    </row>
    <row r="364">
      <c r="A364" s="25" t="s">
        <v>68</v>
      </c>
      <c r="B364" s="26" t="s">
        <v>797</v>
      </c>
      <c r="C364" s="26" t="s">
        <v>798</v>
      </c>
      <c r="D364" s="32"/>
      <c r="E364" s="28" t="s">
        <v>71</v>
      </c>
      <c r="F364" s="33"/>
      <c r="G364" s="32"/>
      <c r="H364" s="31"/>
      <c r="I364" s="26"/>
      <c r="J364" s="26"/>
      <c r="K364" s="31"/>
      <c r="L364" s="31" t="s">
        <v>78</v>
      </c>
    </row>
    <row r="365">
      <c r="A365" s="25" t="s">
        <v>68</v>
      </c>
      <c r="B365" s="26" t="s">
        <v>799</v>
      </c>
      <c r="C365" s="26" t="s">
        <v>800</v>
      </c>
      <c r="D365" s="32"/>
      <c r="E365" s="28" t="s">
        <v>71</v>
      </c>
      <c r="F365" s="33"/>
      <c r="G365" s="32"/>
      <c r="H365" s="31"/>
      <c r="I365" s="26"/>
      <c r="J365" s="26"/>
      <c r="K365" s="31"/>
      <c r="L365" s="31" t="s">
        <v>78</v>
      </c>
    </row>
    <row r="366">
      <c r="A366" s="25" t="s">
        <v>68</v>
      </c>
      <c r="B366" s="26" t="s">
        <v>801</v>
      </c>
      <c r="C366" s="26" t="s">
        <v>802</v>
      </c>
      <c r="D366" s="32"/>
      <c r="E366" s="28" t="s">
        <v>71</v>
      </c>
      <c r="F366" s="33"/>
      <c r="G366" s="32"/>
      <c r="H366" s="31"/>
      <c r="I366" s="26"/>
      <c r="J366" s="26"/>
      <c r="K366" s="31"/>
      <c r="L366" s="31" t="s">
        <v>78</v>
      </c>
    </row>
    <row r="367">
      <c r="A367" s="25" t="s">
        <v>68</v>
      </c>
      <c r="B367" s="26" t="s">
        <v>803</v>
      </c>
      <c r="C367" s="26" t="s">
        <v>804</v>
      </c>
      <c r="D367" s="32"/>
      <c r="E367" s="28" t="s">
        <v>71</v>
      </c>
      <c r="F367" s="33"/>
      <c r="G367" s="32"/>
      <c r="H367" s="31"/>
      <c r="I367" s="26"/>
      <c r="J367" s="26"/>
      <c r="K367" s="31"/>
      <c r="L367" s="31" t="s">
        <v>78</v>
      </c>
    </row>
    <row r="368">
      <c r="A368" s="25" t="s">
        <v>68</v>
      </c>
      <c r="B368" s="26" t="s">
        <v>805</v>
      </c>
      <c r="C368" s="26" t="s">
        <v>806</v>
      </c>
      <c r="D368" s="32"/>
      <c r="E368" s="28" t="s">
        <v>71</v>
      </c>
      <c r="F368" s="33"/>
      <c r="G368" s="32"/>
      <c r="H368" s="31"/>
      <c r="I368" s="26"/>
      <c r="J368" s="26"/>
      <c r="K368" s="31"/>
      <c r="L368" s="31" t="s">
        <v>78</v>
      </c>
    </row>
    <row r="369">
      <c r="A369" s="25" t="s">
        <v>68</v>
      </c>
      <c r="B369" s="26" t="s">
        <v>807</v>
      </c>
      <c r="C369" s="26" t="s">
        <v>808</v>
      </c>
      <c r="D369" s="32"/>
      <c r="E369" s="28" t="s">
        <v>71</v>
      </c>
      <c r="F369" s="33"/>
      <c r="G369" s="32"/>
      <c r="H369" s="31"/>
      <c r="I369" s="26"/>
      <c r="J369" s="26"/>
      <c r="K369" s="31"/>
      <c r="L369" s="31" t="s">
        <v>78</v>
      </c>
    </row>
    <row r="370">
      <c r="A370" s="25" t="s">
        <v>68</v>
      </c>
      <c r="B370" s="26" t="s">
        <v>809</v>
      </c>
      <c r="C370" s="26" t="s">
        <v>810</v>
      </c>
      <c r="D370" s="32"/>
      <c r="E370" s="28" t="s">
        <v>71</v>
      </c>
      <c r="F370" s="33"/>
      <c r="G370" s="32"/>
      <c r="H370" s="31"/>
      <c r="I370" s="26"/>
      <c r="J370" s="26"/>
      <c r="K370" s="31"/>
      <c r="L370" s="31" t="s">
        <v>78</v>
      </c>
    </row>
    <row r="371">
      <c r="A371" s="25" t="s">
        <v>68</v>
      </c>
      <c r="B371" s="26" t="s">
        <v>811</v>
      </c>
      <c r="C371" s="26" t="s">
        <v>812</v>
      </c>
      <c r="D371" s="32"/>
      <c r="E371" s="28" t="s">
        <v>71</v>
      </c>
      <c r="F371" s="33"/>
      <c r="G371" s="32"/>
      <c r="H371" s="31"/>
      <c r="I371" s="26"/>
      <c r="J371" s="26"/>
      <c r="K371" s="31"/>
      <c r="L371" s="31" t="s">
        <v>78</v>
      </c>
    </row>
    <row r="372">
      <c r="A372" s="25" t="s">
        <v>68</v>
      </c>
      <c r="B372" s="26" t="s">
        <v>813</v>
      </c>
      <c r="C372" s="26" t="s">
        <v>814</v>
      </c>
      <c r="D372" s="32"/>
      <c r="E372" s="28" t="s">
        <v>71</v>
      </c>
      <c r="F372" s="33"/>
      <c r="G372" s="32"/>
      <c r="H372" s="31"/>
      <c r="I372" s="26"/>
      <c r="J372" s="26"/>
      <c r="K372" s="31"/>
      <c r="L372" s="31" t="s">
        <v>75</v>
      </c>
    </row>
    <row r="373">
      <c r="A373" s="25" t="s">
        <v>68</v>
      </c>
      <c r="B373" s="26" t="s">
        <v>815</v>
      </c>
      <c r="C373" s="26" t="s">
        <v>816</v>
      </c>
      <c r="D373" s="32"/>
      <c r="E373" s="28" t="s">
        <v>71</v>
      </c>
      <c r="F373" s="33"/>
      <c r="G373" s="32"/>
      <c r="H373" s="31"/>
      <c r="I373" s="26"/>
      <c r="J373" s="26"/>
      <c r="K373" s="31"/>
      <c r="L373" s="31" t="s">
        <v>78</v>
      </c>
    </row>
    <row r="374">
      <c r="A374" s="25" t="s">
        <v>68</v>
      </c>
      <c r="B374" s="26" t="s">
        <v>817</v>
      </c>
      <c r="C374" s="26" t="s">
        <v>818</v>
      </c>
      <c r="D374" s="32"/>
      <c r="E374" s="28" t="s">
        <v>71</v>
      </c>
      <c r="F374" s="33"/>
      <c r="G374" s="32"/>
      <c r="H374" s="31"/>
      <c r="I374" s="26"/>
      <c r="J374" s="26"/>
      <c r="K374" s="31"/>
      <c r="L374" s="31" t="s">
        <v>78</v>
      </c>
    </row>
    <row r="375">
      <c r="A375" s="25" t="s">
        <v>68</v>
      </c>
      <c r="B375" s="26" t="s">
        <v>819</v>
      </c>
      <c r="C375" s="26" t="s">
        <v>820</v>
      </c>
      <c r="D375" s="32"/>
      <c r="E375" s="28" t="s">
        <v>71</v>
      </c>
      <c r="F375" s="33"/>
      <c r="G375" s="32"/>
      <c r="H375" s="31"/>
      <c r="I375" s="26"/>
      <c r="J375" s="26"/>
      <c r="K375" s="31"/>
      <c r="L375" s="31" t="s">
        <v>78</v>
      </c>
    </row>
    <row r="376">
      <c r="A376" s="25" t="s">
        <v>68</v>
      </c>
      <c r="B376" s="26" t="s">
        <v>821</v>
      </c>
      <c r="C376" s="26" t="s">
        <v>822</v>
      </c>
      <c r="D376" s="32"/>
      <c r="E376" s="28" t="s">
        <v>71</v>
      </c>
      <c r="F376" s="33"/>
      <c r="G376" s="32"/>
      <c r="H376" s="31"/>
      <c r="I376" s="26"/>
      <c r="J376" s="26"/>
      <c r="K376" s="31"/>
      <c r="L376" s="31" t="s">
        <v>75</v>
      </c>
    </row>
    <row r="377">
      <c r="A377" s="25" t="s">
        <v>68</v>
      </c>
      <c r="B377" s="26" t="s">
        <v>823</v>
      </c>
      <c r="C377" s="26" t="s">
        <v>824</v>
      </c>
      <c r="D377" s="32"/>
      <c r="E377" s="28" t="s">
        <v>71</v>
      </c>
      <c r="F377" s="33"/>
      <c r="G377" s="32"/>
      <c r="H377" s="31"/>
      <c r="I377" s="26"/>
      <c r="J377" s="26"/>
      <c r="K377" s="31"/>
      <c r="L377" s="31" t="s">
        <v>78</v>
      </c>
    </row>
    <row r="378">
      <c r="A378" s="25" t="s">
        <v>68</v>
      </c>
      <c r="B378" s="26" t="s">
        <v>825</v>
      </c>
      <c r="C378" s="26" t="s">
        <v>826</v>
      </c>
      <c r="D378" s="32"/>
      <c r="E378" s="28" t="s">
        <v>71</v>
      </c>
      <c r="F378" s="33"/>
      <c r="G378" s="32"/>
      <c r="H378" s="31"/>
      <c r="I378" s="26"/>
      <c r="J378" s="26"/>
      <c r="K378" s="31"/>
      <c r="L378" s="31" t="s">
        <v>75</v>
      </c>
    </row>
    <row r="379">
      <c r="A379" s="25" t="s">
        <v>68</v>
      </c>
      <c r="B379" s="26" t="s">
        <v>827</v>
      </c>
      <c r="C379" s="26" t="s">
        <v>828</v>
      </c>
      <c r="D379" s="32"/>
      <c r="E379" s="28" t="s">
        <v>71</v>
      </c>
      <c r="F379" s="33"/>
      <c r="G379" s="32"/>
      <c r="H379" s="31"/>
      <c r="I379" s="26"/>
      <c r="J379" s="26"/>
      <c r="K379" s="31"/>
      <c r="L379" s="31" t="s">
        <v>75</v>
      </c>
    </row>
    <row r="380">
      <c r="A380" s="25" t="s">
        <v>68</v>
      </c>
      <c r="B380" s="26" t="s">
        <v>829</v>
      </c>
      <c r="C380" s="26" t="s">
        <v>830</v>
      </c>
      <c r="D380" s="32"/>
      <c r="E380" s="28" t="s">
        <v>71</v>
      </c>
      <c r="F380" s="33"/>
      <c r="G380" s="32"/>
      <c r="H380" s="31"/>
      <c r="I380" s="26"/>
      <c r="J380" s="26"/>
      <c r="K380" s="31"/>
      <c r="L380" s="31" t="s">
        <v>78</v>
      </c>
    </row>
    <row r="381">
      <c r="A381" s="25" t="s">
        <v>68</v>
      </c>
      <c r="B381" s="26" t="s">
        <v>831</v>
      </c>
      <c r="C381" s="26" t="s">
        <v>832</v>
      </c>
      <c r="D381" s="32"/>
      <c r="E381" s="28" t="s">
        <v>71</v>
      </c>
      <c r="F381" s="33"/>
      <c r="G381" s="32"/>
      <c r="H381" s="31"/>
      <c r="I381" s="26"/>
      <c r="J381" s="26"/>
      <c r="K381" s="31"/>
      <c r="L381" s="31" t="s">
        <v>78</v>
      </c>
    </row>
    <row r="382">
      <c r="A382" s="25" t="s">
        <v>68</v>
      </c>
      <c r="B382" s="26" t="s">
        <v>833</v>
      </c>
      <c r="C382" s="26" t="s">
        <v>834</v>
      </c>
      <c r="D382" s="32"/>
      <c r="E382" s="28" t="s">
        <v>71</v>
      </c>
      <c r="F382" s="33"/>
      <c r="G382" s="32"/>
      <c r="H382" s="31"/>
      <c r="I382" s="26"/>
      <c r="J382" s="26"/>
      <c r="K382" s="31"/>
      <c r="L382" s="31" t="s">
        <v>78</v>
      </c>
    </row>
    <row r="383">
      <c r="A383" s="25" t="s">
        <v>68</v>
      </c>
      <c r="B383" s="26" t="s">
        <v>835</v>
      </c>
      <c r="C383" s="26" t="s">
        <v>836</v>
      </c>
      <c r="D383" s="32"/>
      <c r="E383" s="28" t="s">
        <v>71</v>
      </c>
      <c r="F383" s="33"/>
      <c r="G383" s="32"/>
      <c r="H383" s="31"/>
      <c r="I383" s="26"/>
      <c r="J383" s="26"/>
      <c r="K383" s="31"/>
      <c r="L383" s="31" t="s">
        <v>75</v>
      </c>
    </row>
    <row r="384">
      <c r="A384" s="25" t="s">
        <v>68</v>
      </c>
      <c r="B384" s="26" t="s">
        <v>837</v>
      </c>
      <c r="C384" s="26" t="s">
        <v>838</v>
      </c>
      <c r="D384" s="32"/>
      <c r="E384" s="28" t="s">
        <v>71</v>
      </c>
      <c r="F384" s="33"/>
      <c r="G384" s="32"/>
      <c r="H384" s="31"/>
      <c r="I384" s="26"/>
      <c r="J384" s="26"/>
      <c r="K384" s="31"/>
      <c r="L384" s="31" t="s">
        <v>75</v>
      </c>
    </row>
    <row r="385">
      <c r="A385" s="25" t="s">
        <v>68</v>
      </c>
      <c r="B385" s="26" t="s">
        <v>839</v>
      </c>
      <c r="C385" s="26" t="s">
        <v>840</v>
      </c>
      <c r="D385" s="32"/>
      <c r="E385" s="28" t="s">
        <v>71</v>
      </c>
      <c r="F385" s="33"/>
      <c r="G385" s="32"/>
      <c r="H385" s="31"/>
      <c r="I385" s="26"/>
      <c r="J385" s="26"/>
      <c r="K385" s="31"/>
      <c r="L385" s="31" t="s">
        <v>78</v>
      </c>
    </row>
    <row r="386">
      <c r="A386" s="25" t="s">
        <v>68</v>
      </c>
      <c r="B386" s="26" t="s">
        <v>841</v>
      </c>
      <c r="C386" s="26" t="s">
        <v>842</v>
      </c>
      <c r="D386" s="32"/>
      <c r="E386" s="28" t="s">
        <v>71</v>
      </c>
      <c r="F386" s="33"/>
      <c r="G386" s="32"/>
      <c r="H386" s="31"/>
      <c r="I386" s="26"/>
      <c r="J386" s="26"/>
      <c r="K386" s="31"/>
      <c r="L386" s="31" t="s">
        <v>78</v>
      </c>
    </row>
    <row r="387">
      <c r="A387" s="25" t="s">
        <v>68</v>
      </c>
      <c r="B387" s="26" t="s">
        <v>843</v>
      </c>
      <c r="C387" s="26" t="s">
        <v>844</v>
      </c>
      <c r="D387" s="32"/>
      <c r="E387" s="28" t="s">
        <v>71</v>
      </c>
      <c r="F387" s="33"/>
      <c r="G387" s="32"/>
      <c r="H387" s="31"/>
      <c r="I387" s="26"/>
      <c r="J387" s="26"/>
      <c r="K387" s="31"/>
      <c r="L387" s="31" t="s">
        <v>78</v>
      </c>
    </row>
    <row r="388">
      <c r="A388" s="25" t="s">
        <v>68</v>
      </c>
      <c r="B388" s="26" t="s">
        <v>845</v>
      </c>
      <c r="C388" s="26" t="s">
        <v>846</v>
      </c>
      <c r="D388" s="32"/>
      <c r="E388" s="28" t="s">
        <v>71</v>
      </c>
      <c r="F388" s="33"/>
      <c r="G388" s="32"/>
      <c r="H388" s="31"/>
      <c r="I388" s="26"/>
      <c r="J388" s="26"/>
      <c r="K388" s="31"/>
      <c r="L388" s="31" t="s">
        <v>75</v>
      </c>
    </row>
    <row r="389">
      <c r="A389" s="25" t="s">
        <v>68</v>
      </c>
      <c r="B389" s="26" t="s">
        <v>847</v>
      </c>
      <c r="C389" s="26" t="s">
        <v>848</v>
      </c>
      <c r="D389" s="32"/>
      <c r="E389" s="28" t="s">
        <v>71</v>
      </c>
      <c r="F389" s="33"/>
      <c r="G389" s="32"/>
      <c r="H389" s="31"/>
      <c r="I389" s="26"/>
      <c r="J389" s="26"/>
      <c r="K389" s="31"/>
      <c r="L389" s="31" t="s">
        <v>78</v>
      </c>
    </row>
    <row r="390">
      <c r="A390" s="25" t="s">
        <v>68</v>
      </c>
      <c r="B390" s="26" t="s">
        <v>849</v>
      </c>
      <c r="C390" s="26" t="s">
        <v>850</v>
      </c>
      <c r="D390" s="32"/>
      <c r="E390" s="28" t="s">
        <v>71</v>
      </c>
      <c r="F390" s="33"/>
      <c r="G390" s="32"/>
      <c r="H390" s="31"/>
      <c r="I390" s="26"/>
      <c r="J390" s="26"/>
      <c r="K390" s="31"/>
      <c r="L390" s="31" t="s">
        <v>75</v>
      </c>
    </row>
    <row r="391">
      <c r="A391" s="25" t="s">
        <v>68</v>
      </c>
      <c r="B391" s="26" t="s">
        <v>851</v>
      </c>
      <c r="C391" s="26" t="s">
        <v>852</v>
      </c>
      <c r="D391" s="32"/>
      <c r="E391" s="28" t="s">
        <v>71</v>
      </c>
      <c r="F391" s="33"/>
      <c r="G391" s="32"/>
      <c r="H391" s="31"/>
      <c r="I391" s="26"/>
      <c r="J391" s="26"/>
      <c r="K391" s="31"/>
      <c r="L391" s="31" t="s">
        <v>78</v>
      </c>
    </row>
    <row r="392">
      <c r="A392" s="25" t="s">
        <v>68</v>
      </c>
      <c r="B392" s="26" t="s">
        <v>853</v>
      </c>
      <c r="C392" s="26" t="s">
        <v>854</v>
      </c>
      <c r="D392" s="32"/>
      <c r="E392" s="28" t="s">
        <v>71</v>
      </c>
      <c r="F392" s="33"/>
      <c r="G392" s="32"/>
      <c r="H392" s="31"/>
      <c r="I392" s="26"/>
      <c r="J392" s="26"/>
      <c r="K392" s="31"/>
      <c r="L392" s="31" t="s">
        <v>78</v>
      </c>
    </row>
    <row r="393">
      <c r="A393" s="25" t="s">
        <v>68</v>
      </c>
      <c r="B393" s="26" t="s">
        <v>855</v>
      </c>
      <c r="C393" s="26" t="s">
        <v>856</v>
      </c>
      <c r="D393" s="32"/>
      <c r="E393" s="28" t="s">
        <v>71</v>
      </c>
      <c r="F393" s="33"/>
      <c r="G393" s="32"/>
      <c r="H393" s="31"/>
      <c r="I393" s="26"/>
      <c r="J393" s="26"/>
      <c r="K393" s="31"/>
      <c r="L393" s="31" t="s">
        <v>78</v>
      </c>
    </row>
    <row r="394">
      <c r="A394" s="25" t="s">
        <v>68</v>
      </c>
      <c r="B394" s="26" t="s">
        <v>857</v>
      </c>
      <c r="C394" s="26" t="s">
        <v>858</v>
      </c>
      <c r="D394" s="32"/>
      <c r="E394" s="28" t="s">
        <v>71</v>
      </c>
      <c r="F394" s="33"/>
      <c r="G394" s="32"/>
      <c r="H394" s="31"/>
      <c r="I394" s="26"/>
      <c r="J394" s="26"/>
      <c r="K394" s="31"/>
      <c r="L394" s="31" t="s">
        <v>78</v>
      </c>
    </row>
    <row r="395">
      <c r="A395" s="25" t="s">
        <v>68</v>
      </c>
      <c r="B395" s="26" t="s">
        <v>859</v>
      </c>
      <c r="C395" s="26" t="s">
        <v>860</v>
      </c>
      <c r="D395" s="32"/>
      <c r="E395" s="28" t="s">
        <v>71</v>
      </c>
      <c r="F395" s="33"/>
      <c r="G395" s="32"/>
      <c r="H395" s="31"/>
      <c r="I395" s="26"/>
      <c r="J395" s="26"/>
      <c r="K395" s="31"/>
      <c r="L395" s="31" t="s">
        <v>78</v>
      </c>
    </row>
    <row r="396">
      <c r="A396" s="25" t="s">
        <v>68</v>
      </c>
      <c r="B396" s="26" t="s">
        <v>861</v>
      </c>
      <c r="C396" s="26" t="s">
        <v>862</v>
      </c>
      <c r="D396" s="32"/>
      <c r="E396" s="28" t="s">
        <v>71</v>
      </c>
      <c r="F396" s="33"/>
      <c r="G396" s="32"/>
      <c r="H396" s="31"/>
      <c r="I396" s="26"/>
      <c r="J396" s="26"/>
      <c r="K396" s="31"/>
      <c r="L396" s="31" t="s">
        <v>78</v>
      </c>
    </row>
    <row r="397">
      <c r="A397" s="25" t="s">
        <v>68</v>
      </c>
      <c r="B397" s="26" t="s">
        <v>863</v>
      </c>
      <c r="C397" s="26" t="s">
        <v>864</v>
      </c>
      <c r="D397" s="32"/>
      <c r="E397" s="28" t="s">
        <v>71</v>
      </c>
      <c r="F397" s="33"/>
      <c r="G397" s="32"/>
      <c r="H397" s="31"/>
      <c r="I397" s="26"/>
      <c r="J397" s="26"/>
      <c r="K397" s="31"/>
      <c r="L397" s="31" t="s">
        <v>75</v>
      </c>
    </row>
    <row r="398">
      <c r="A398" s="25" t="s">
        <v>68</v>
      </c>
      <c r="B398" s="26" t="s">
        <v>865</v>
      </c>
      <c r="C398" s="26" t="s">
        <v>866</v>
      </c>
      <c r="D398" s="32"/>
      <c r="E398" s="28" t="s">
        <v>71</v>
      </c>
      <c r="F398" s="33"/>
      <c r="G398" s="32"/>
      <c r="H398" s="31"/>
      <c r="I398" s="26"/>
      <c r="J398" s="26"/>
      <c r="K398" s="31"/>
      <c r="L398" s="31" t="s">
        <v>75</v>
      </c>
    </row>
    <row r="399">
      <c r="A399" s="25" t="s">
        <v>68</v>
      </c>
      <c r="B399" s="26" t="s">
        <v>867</v>
      </c>
      <c r="C399" s="26" t="s">
        <v>868</v>
      </c>
      <c r="D399" s="32"/>
      <c r="E399" s="28" t="s">
        <v>71</v>
      </c>
      <c r="F399" s="33"/>
      <c r="G399" s="32"/>
      <c r="H399" s="31"/>
      <c r="I399" s="26"/>
      <c r="J399" s="26"/>
      <c r="K399" s="31"/>
      <c r="L399" s="31" t="s">
        <v>75</v>
      </c>
    </row>
    <row r="400">
      <c r="A400" s="25" t="s">
        <v>68</v>
      </c>
      <c r="B400" s="26" t="s">
        <v>869</v>
      </c>
      <c r="C400" s="26" t="s">
        <v>870</v>
      </c>
      <c r="D400" s="32"/>
      <c r="E400" s="28" t="s">
        <v>71</v>
      </c>
      <c r="F400" s="33"/>
      <c r="G400" s="32"/>
      <c r="H400" s="31"/>
      <c r="I400" s="26"/>
      <c r="J400" s="26"/>
      <c r="K400" s="31"/>
      <c r="L400" s="31" t="s">
        <v>75</v>
      </c>
    </row>
    <row r="401">
      <c r="A401" s="25" t="s">
        <v>68</v>
      </c>
      <c r="B401" s="26" t="s">
        <v>871</v>
      </c>
      <c r="C401" s="26" t="s">
        <v>872</v>
      </c>
      <c r="D401" s="32"/>
      <c r="E401" s="28" t="s">
        <v>71</v>
      </c>
      <c r="F401" s="33"/>
      <c r="G401" s="32"/>
      <c r="H401" s="31"/>
      <c r="I401" s="26"/>
      <c r="J401" s="26"/>
      <c r="K401" s="31"/>
      <c r="L401" s="31" t="s">
        <v>78</v>
      </c>
    </row>
    <row r="402">
      <c r="A402" s="25" t="s">
        <v>68</v>
      </c>
      <c r="B402" s="26" t="s">
        <v>873</v>
      </c>
      <c r="C402" s="26" t="s">
        <v>874</v>
      </c>
      <c r="D402" s="32"/>
      <c r="E402" s="28" t="s">
        <v>71</v>
      </c>
      <c r="F402" s="33"/>
      <c r="G402" s="32"/>
      <c r="H402" s="31"/>
      <c r="I402" s="26"/>
      <c r="J402" s="26"/>
      <c r="K402" s="31"/>
      <c r="L402" s="31" t="s">
        <v>78</v>
      </c>
    </row>
    <row r="403">
      <c r="A403" s="25" t="s">
        <v>68</v>
      </c>
      <c r="B403" s="26" t="s">
        <v>875</v>
      </c>
      <c r="C403" s="26" t="s">
        <v>876</v>
      </c>
      <c r="D403" s="32"/>
      <c r="E403" s="28" t="s">
        <v>71</v>
      </c>
      <c r="F403" s="33"/>
      <c r="G403" s="32"/>
      <c r="H403" s="31"/>
      <c r="I403" s="26"/>
      <c r="J403" s="26"/>
      <c r="K403" s="31"/>
      <c r="L403" s="31" t="s">
        <v>78</v>
      </c>
    </row>
    <row r="404">
      <c r="A404" s="25" t="s">
        <v>68</v>
      </c>
      <c r="B404" s="26" t="s">
        <v>877</v>
      </c>
      <c r="C404" s="26" t="s">
        <v>878</v>
      </c>
      <c r="D404" s="32"/>
      <c r="E404" s="28" t="s">
        <v>71</v>
      </c>
      <c r="F404" s="33"/>
      <c r="G404" s="32"/>
      <c r="H404" s="31"/>
      <c r="I404" s="26"/>
      <c r="J404" s="26"/>
      <c r="K404" s="31"/>
      <c r="L404" s="31" t="s">
        <v>78</v>
      </c>
    </row>
    <row r="405">
      <c r="A405" s="25" t="s">
        <v>68</v>
      </c>
      <c r="B405" s="26" t="s">
        <v>879</v>
      </c>
      <c r="C405" s="26" t="s">
        <v>880</v>
      </c>
      <c r="D405" s="32"/>
      <c r="E405" s="28" t="s">
        <v>71</v>
      </c>
      <c r="F405" s="33"/>
      <c r="G405" s="32"/>
      <c r="H405" s="31"/>
      <c r="I405" s="26"/>
      <c r="J405" s="26"/>
      <c r="K405" s="31"/>
      <c r="L405" s="31" t="s">
        <v>78</v>
      </c>
    </row>
    <row r="406">
      <c r="A406" s="25" t="s">
        <v>68</v>
      </c>
      <c r="B406" s="26" t="s">
        <v>881</v>
      </c>
      <c r="C406" s="26" t="s">
        <v>882</v>
      </c>
      <c r="D406" s="32"/>
      <c r="E406" s="28" t="s">
        <v>71</v>
      </c>
      <c r="F406" s="33"/>
      <c r="G406" s="32"/>
      <c r="H406" s="31"/>
      <c r="I406" s="26"/>
      <c r="J406" s="26"/>
      <c r="K406" s="31"/>
      <c r="L406" s="31" t="s">
        <v>78</v>
      </c>
    </row>
    <row r="407">
      <c r="A407" s="25" t="s">
        <v>68</v>
      </c>
      <c r="B407" s="26" t="s">
        <v>883</v>
      </c>
      <c r="C407" s="26" t="s">
        <v>884</v>
      </c>
      <c r="D407" s="32"/>
      <c r="E407" s="28" t="s">
        <v>71</v>
      </c>
      <c r="F407" s="33"/>
      <c r="G407" s="32"/>
      <c r="H407" s="31"/>
      <c r="I407" s="26"/>
      <c r="J407" s="26"/>
      <c r="K407" s="31"/>
      <c r="L407" s="31" t="s">
        <v>78</v>
      </c>
    </row>
    <row r="408">
      <c r="A408" s="25" t="s">
        <v>68</v>
      </c>
      <c r="B408" s="26" t="s">
        <v>885</v>
      </c>
      <c r="C408" s="26" t="s">
        <v>886</v>
      </c>
      <c r="D408" s="32"/>
      <c r="E408" s="28" t="s">
        <v>71</v>
      </c>
      <c r="F408" s="33"/>
      <c r="G408" s="32"/>
      <c r="H408" s="31"/>
      <c r="I408" s="26"/>
      <c r="J408" s="26"/>
      <c r="K408" s="31"/>
      <c r="L408" s="31" t="s">
        <v>78</v>
      </c>
    </row>
    <row r="409">
      <c r="A409" s="25" t="s">
        <v>68</v>
      </c>
      <c r="B409" s="26" t="s">
        <v>887</v>
      </c>
      <c r="C409" s="26" t="s">
        <v>888</v>
      </c>
      <c r="D409" s="32"/>
      <c r="E409" s="28" t="s">
        <v>71</v>
      </c>
      <c r="F409" s="33"/>
      <c r="G409" s="32"/>
      <c r="H409" s="31"/>
      <c r="I409" s="26"/>
      <c r="J409" s="26"/>
      <c r="K409" s="31"/>
      <c r="L409" s="31" t="s">
        <v>78</v>
      </c>
    </row>
    <row r="410">
      <c r="A410" s="25" t="s">
        <v>68</v>
      </c>
      <c r="B410" s="26" t="s">
        <v>889</v>
      </c>
      <c r="C410" s="26" t="s">
        <v>890</v>
      </c>
      <c r="D410" s="32"/>
      <c r="E410" s="28" t="s">
        <v>71</v>
      </c>
      <c r="F410" s="33"/>
      <c r="G410" s="32"/>
      <c r="H410" s="31"/>
      <c r="I410" s="26"/>
      <c r="J410" s="26"/>
      <c r="K410" s="31"/>
      <c r="L410" s="31" t="s">
        <v>78</v>
      </c>
    </row>
    <row r="411">
      <c r="A411" s="25" t="s">
        <v>68</v>
      </c>
      <c r="B411" s="26" t="s">
        <v>891</v>
      </c>
      <c r="C411" s="26" t="s">
        <v>892</v>
      </c>
      <c r="D411" s="32"/>
      <c r="E411" s="28" t="s">
        <v>71</v>
      </c>
      <c r="F411" s="33"/>
      <c r="G411" s="32"/>
      <c r="H411" s="31"/>
      <c r="I411" s="26"/>
      <c r="J411" s="26"/>
      <c r="K411" s="31"/>
      <c r="L411" s="31" t="s">
        <v>75</v>
      </c>
    </row>
    <row r="412">
      <c r="A412" s="25" t="s">
        <v>68</v>
      </c>
      <c r="B412" s="26" t="s">
        <v>891</v>
      </c>
      <c r="C412" s="26" t="s">
        <v>893</v>
      </c>
      <c r="D412" s="32"/>
      <c r="E412" s="28" t="s">
        <v>71</v>
      </c>
      <c r="F412" s="33"/>
      <c r="G412" s="32"/>
      <c r="H412" s="31"/>
      <c r="I412" s="26"/>
      <c r="J412" s="26"/>
      <c r="K412" s="31"/>
      <c r="L412" s="31" t="s">
        <v>78</v>
      </c>
    </row>
    <row r="413">
      <c r="A413" s="25" t="s">
        <v>68</v>
      </c>
      <c r="B413" s="26" t="s">
        <v>894</v>
      </c>
      <c r="C413" s="26" t="s">
        <v>895</v>
      </c>
      <c r="D413" s="32"/>
      <c r="E413" s="28" t="s">
        <v>71</v>
      </c>
      <c r="F413" s="33"/>
      <c r="G413" s="32"/>
      <c r="H413" s="31"/>
      <c r="I413" s="26"/>
      <c r="J413" s="26"/>
      <c r="K413" s="31"/>
      <c r="L413" s="31" t="s">
        <v>75</v>
      </c>
    </row>
    <row r="414">
      <c r="A414" s="25" t="s">
        <v>68</v>
      </c>
      <c r="B414" s="26" t="s">
        <v>896</v>
      </c>
      <c r="C414" s="26" t="s">
        <v>897</v>
      </c>
      <c r="D414" s="32"/>
      <c r="E414" s="28" t="s">
        <v>71</v>
      </c>
      <c r="F414" s="33"/>
      <c r="G414" s="32"/>
      <c r="H414" s="31"/>
      <c r="I414" s="26"/>
      <c r="J414" s="26"/>
      <c r="K414" s="31"/>
      <c r="L414" s="31" t="s">
        <v>78</v>
      </c>
    </row>
    <row r="415">
      <c r="A415" s="25" t="s">
        <v>68</v>
      </c>
      <c r="B415" s="26" t="s">
        <v>898</v>
      </c>
      <c r="C415" s="26" t="s">
        <v>899</v>
      </c>
      <c r="D415" s="32"/>
      <c r="E415" s="28" t="s">
        <v>71</v>
      </c>
      <c r="F415" s="33"/>
      <c r="G415" s="32"/>
      <c r="H415" s="31"/>
      <c r="I415" s="26"/>
      <c r="J415" s="26"/>
      <c r="K415" s="31"/>
      <c r="L415" s="31" t="s">
        <v>78</v>
      </c>
    </row>
    <row r="416">
      <c r="A416" s="25" t="s">
        <v>68</v>
      </c>
      <c r="B416" s="26" t="s">
        <v>900</v>
      </c>
      <c r="C416" s="26" t="s">
        <v>901</v>
      </c>
      <c r="D416" s="32"/>
      <c r="E416" s="28" t="s">
        <v>71</v>
      </c>
      <c r="F416" s="33"/>
      <c r="G416" s="32"/>
      <c r="H416" s="31"/>
      <c r="I416" s="26"/>
      <c r="J416" s="26"/>
      <c r="K416" s="31"/>
      <c r="L416" s="31" t="s">
        <v>78</v>
      </c>
    </row>
    <row r="417">
      <c r="A417" s="25" t="s">
        <v>68</v>
      </c>
      <c r="B417" s="26" t="s">
        <v>902</v>
      </c>
      <c r="C417" s="26" t="s">
        <v>903</v>
      </c>
      <c r="D417" s="32"/>
      <c r="E417" s="28" t="s">
        <v>71</v>
      </c>
      <c r="F417" s="33"/>
      <c r="G417" s="32"/>
      <c r="H417" s="31"/>
      <c r="I417" s="26"/>
      <c r="J417" s="26"/>
      <c r="K417" s="31"/>
      <c r="L417" s="31" t="s">
        <v>75</v>
      </c>
    </row>
    <row r="418">
      <c r="A418" s="25" t="s">
        <v>68</v>
      </c>
      <c r="B418" s="26" t="s">
        <v>904</v>
      </c>
      <c r="C418" s="26" t="s">
        <v>905</v>
      </c>
      <c r="D418" s="32"/>
      <c r="E418" s="28" t="s">
        <v>71</v>
      </c>
      <c r="F418" s="33"/>
      <c r="G418" s="32"/>
      <c r="H418" s="31"/>
      <c r="I418" s="26"/>
      <c r="J418" s="26"/>
      <c r="K418" s="31"/>
      <c r="L418" s="31" t="s">
        <v>78</v>
      </c>
    </row>
    <row r="419">
      <c r="A419" s="25" t="s">
        <v>68</v>
      </c>
      <c r="B419" s="26" t="s">
        <v>906</v>
      </c>
      <c r="C419" s="26" t="s">
        <v>907</v>
      </c>
      <c r="D419" s="32"/>
      <c r="E419" s="28" t="s">
        <v>71</v>
      </c>
      <c r="F419" s="33"/>
      <c r="G419" s="32"/>
      <c r="H419" s="31"/>
      <c r="I419" s="26"/>
      <c r="J419" s="26"/>
      <c r="K419" s="31"/>
      <c r="L419" s="31" t="s">
        <v>78</v>
      </c>
    </row>
    <row r="420">
      <c r="A420" s="25" t="s">
        <v>68</v>
      </c>
      <c r="B420" s="26" t="s">
        <v>908</v>
      </c>
      <c r="C420" s="26" t="s">
        <v>909</v>
      </c>
      <c r="D420" s="32"/>
      <c r="E420" s="28" t="s">
        <v>71</v>
      </c>
      <c r="F420" s="33"/>
      <c r="G420" s="32"/>
      <c r="H420" s="31"/>
      <c r="I420" s="26"/>
      <c r="J420" s="26"/>
      <c r="K420" s="31"/>
      <c r="L420" s="31" t="s">
        <v>78</v>
      </c>
    </row>
    <row r="421">
      <c r="A421" s="25" t="s">
        <v>68</v>
      </c>
      <c r="B421" s="26" t="s">
        <v>910</v>
      </c>
      <c r="C421" s="26" t="s">
        <v>911</v>
      </c>
      <c r="D421" s="32"/>
      <c r="E421" s="28" t="s">
        <v>71</v>
      </c>
      <c r="F421" s="33"/>
      <c r="G421" s="32"/>
      <c r="H421" s="31"/>
      <c r="I421" s="26"/>
      <c r="J421" s="26"/>
      <c r="K421" s="31"/>
      <c r="L421" s="31" t="s">
        <v>78</v>
      </c>
    </row>
    <row r="422">
      <c r="A422" s="25" t="s">
        <v>68</v>
      </c>
      <c r="B422" s="26" t="s">
        <v>912</v>
      </c>
      <c r="C422" s="26" t="s">
        <v>913</v>
      </c>
      <c r="D422" s="32"/>
      <c r="E422" s="28" t="s">
        <v>71</v>
      </c>
      <c r="F422" s="33"/>
      <c r="G422" s="32"/>
      <c r="H422" s="31"/>
      <c r="I422" s="26"/>
      <c r="J422" s="26"/>
      <c r="K422" s="31"/>
      <c r="L422" s="31" t="s">
        <v>75</v>
      </c>
    </row>
    <row r="423">
      <c r="A423" s="25" t="s">
        <v>68</v>
      </c>
      <c r="B423" s="26" t="s">
        <v>914</v>
      </c>
      <c r="C423" s="26" t="s">
        <v>915</v>
      </c>
      <c r="D423" s="32"/>
      <c r="E423" s="28" t="s">
        <v>71</v>
      </c>
      <c r="F423" s="33"/>
      <c r="G423" s="32"/>
      <c r="H423" s="31"/>
      <c r="I423" s="26"/>
      <c r="J423" s="26"/>
      <c r="K423" s="31"/>
      <c r="L423" s="31" t="s">
        <v>78</v>
      </c>
    </row>
    <row r="424">
      <c r="A424" s="25" t="s">
        <v>68</v>
      </c>
      <c r="B424" s="26" t="s">
        <v>916</v>
      </c>
      <c r="C424" s="26" t="s">
        <v>917</v>
      </c>
      <c r="D424" s="32"/>
      <c r="E424" s="28" t="s">
        <v>71</v>
      </c>
      <c r="F424" s="33"/>
      <c r="G424" s="32"/>
      <c r="H424" s="31"/>
      <c r="I424" s="26"/>
      <c r="J424" s="26"/>
      <c r="K424" s="31"/>
      <c r="L424" s="31" t="s">
        <v>75</v>
      </c>
    </row>
    <row r="425">
      <c r="A425" s="25" t="s">
        <v>68</v>
      </c>
      <c r="B425" s="26" t="s">
        <v>918</v>
      </c>
      <c r="C425" s="26" t="s">
        <v>919</v>
      </c>
      <c r="D425" s="32"/>
      <c r="E425" s="28" t="s">
        <v>71</v>
      </c>
      <c r="F425" s="33"/>
      <c r="G425" s="32"/>
      <c r="H425" s="31"/>
      <c r="I425" s="26"/>
      <c r="J425" s="26"/>
      <c r="K425" s="31"/>
      <c r="L425" s="31" t="s">
        <v>78</v>
      </c>
    </row>
    <row r="426">
      <c r="A426" s="25" t="s">
        <v>68</v>
      </c>
      <c r="B426" s="26" t="s">
        <v>920</v>
      </c>
      <c r="C426" s="26" t="s">
        <v>921</v>
      </c>
      <c r="D426" s="32"/>
      <c r="E426" s="28" t="s">
        <v>71</v>
      </c>
      <c r="F426" s="33"/>
      <c r="G426" s="32"/>
      <c r="H426" s="31"/>
      <c r="I426" s="26"/>
      <c r="J426" s="26"/>
      <c r="K426" s="31"/>
      <c r="L426" s="31" t="s">
        <v>78</v>
      </c>
    </row>
    <row r="427">
      <c r="A427" s="25" t="s">
        <v>68</v>
      </c>
      <c r="B427" s="26" t="s">
        <v>922</v>
      </c>
      <c r="C427" s="26" t="s">
        <v>923</v>
      </c>
      <c r="D427" s="32"/>
      <c r="E427" s="28" t="s">
        <v>71</v>
      </c>
      <c r="F427" s="33"/>
      <c r="G427" s="32"/>
      <c r="H427" s="31"/>
      <c r="I427" s="26"/>
      <c r="J427" s="26"/>
      <c r="K427" s="31"/>
      <c r="L427" s="31" t="s">
        <v>75</v>
      </c>
    </row>
    <row r="428">
      <c r="A428" s="25" t="s">
        <v>68</v>
      </c>
      <c r="B428" s="26" t="s">
        <v>924</v>
      </c>
      <c r="C428" s="26" t="s">
        <v>925</v>
      </c>
      <c r="D428" s="32"/>
      <c r="E428" s="28" t="s">
        <v>71</v>
      </c>
      <c r="F428" s="33"/>
      <c r="G428" s="32"/>
      <c r="H428" s="31"/>
      <c r="I428" s="26"/>
      <c r="J428" s="26"/>
      <c r="K428" s="31"/>
      <c r="L428" s="31" t="s">
        <v>75</v>
      </c>
    </row>
    <row r="429">
      <c r="A429" s="25" t="s">
        <v>68</v>
      </c>
      <c r="B429" s="26" t="s">
        <v>926</v>
      </c>
      <c r="C429" s="26" t="s">
        <v>927</v>
      </c>
      <c r="D429" s="32"/>
      <c r="E429" s="28" t="s">
        <v>71</v>
      </c>
      <c r="F429" s="33"/>
      <c r="G429" s="32"/>
      <c r="H429" s="31"/>
      <c r="I429" s="26"/>
      <c r="J429" s="26"/>
      <c r="K429" s="31"/>
      <c r="L429" s="31" t="s">
        <v>78</v>
      </c>
    </row>
    <row r="430">
      <c r="A430" s="25" t="s">
        <v>68</v>
      </c>
      <c r="B430" s="26" t="s">
        <v>928</v>
      </c>
      <c r="C430" s="26" t="s">
        <v>929</v>
      </c>
      <c r="D430" s="32"/>
      <c r="E430" s="28" t="s">
        <v>71</v>
      </c>
      <c r="F430" s="33"/>
      <c r="G430" s="32"/>
      <c r="H430" s="31"/>
      <c r="I430" s="26"/>
      <c r="J430" s="26"/>
      <c r="K430" s="31"/>
      <c r="L430" s="31" t="s">
        <v>78</v>
      </c>
    </row>
    <row r="431">
      <c r="A431" s="25" t="s">
        <v>68</v>
      </c>
      <c r="B431" s="26" t="s">
        <v>930</v>
      </c>
      <c r="C431" s="26" t="s">
        <v>931</v>
      </c>
      <c r="D431" s="32"/>
      <c r="E431" s="28" t="s">
        <v>71</v>
      </c>
      <c r="F431" s="33"/>
      <c r="G431" s="32"/>
      <c r="H431" s="31"/>
      <c r="I431" s="26"/>
      <c r="J431" s="26"/>
      <c r="K431" s="31"/>
      <c r="L431" s="31" t="s">
        <v>78</v>
      </c>
    </row>
    <row r="432">
      <c r="A432" s="25" t="s">
        <v>68</v>
      </c>
      <c r="B432" s="26" t="s">
        <v>932</v>
      </c>
      <c r="C432" s="26" t="s">
        <v>933</v>
      </c>
      <c r="D432" s="32"/>
      <c r="E432" s="28" t="s">
        <v>71</v>
      </c>
      <c r="F432" s="33"/>
      <c r="G432" s="32"/>
      <c r="H432" s="31"/>
      <c r="I432" s="26"/>
      <c r="J432" s="26"/>
      <c r="K432" s="31"/>
      <c r="L432" s="31" t="s">
        <v>78</v>
      </c>
    </row>
    <row r="433">
      <c r="A433" s="25" t="s">
        <v>68</v>
      </c>
      <c r="B433" s="26" t="s">
        <v>934</v>
      </c>
      <c r="C433" s="26" t="s">
        <v>935</v>
      </c>
      <c r="D433" s="32"/>
      <c r="E433" s="28" t="s">
        <v>71</v>
      </c>
      <c r="F433" s="33"/>
      <c r="G433" s="32"/>
      <c r="H433" s="31"/>
      <c r="I433" s="26"/>
      <c r="J433" s="26"/>
      <c r="K433" s="31"/>
      <c r="L433" s="31" t="s">
        <v>78</v>
      </c>
    </row>
    <row r="434">
      <c r="A434" s="25" t="s">
        <v>68</v>
      </c>
      <c r="B434" s="26" t="s">
        <v>936</v>
      </c>
      <c r="C434" s="26" t="s">
        <v>937</v>
      </c>
      <c r="D434" s="32"/>
      <c r="E434" s="28" t="s">
        <v>71</v>
      </c>
      <c r="F434" s="33"/>
      <c r="G434" s="32"/>
      <c r="H434" s="31"/>
      <c r="I434" s="26"/>
      <c r="J434" s="26"/>
      <c r="K434" s="31"/>
      <c r="L434" s="31" t="s">
        <v>78</v>
      </c>
    </row>
    <row r="435">
      <c r="A435" s="25" t="s">
        <v>68</v>
      </c>
      <c r="B435" s="26" t="s">
        <v>938</v>
      </c>
      <c r="C435" s="26" t="s">
        <v>939</v>
      </c>
      <c r="D435" s="32"/>
      <c r="E435" s="28" t="s">
        <v>71</v>
      </c>
      <c r="F435" s="33"/>
      <c r="G435" s="32"/>
      <c r="H435" s="31"/>
      <c r="I435" s="26"/>
      <c r="J435" s="26"/>
      <c r="K435" s="31"/>
      <c r="L435" s="31" t="s">
        <v>78</v>
      </c>
    </row>
    <row r="436">
      <c r="A436" s="25" t="s">
        <v>68</v>
      </c>
      <c r="B436" s="26" t="s">
        <v>940</v>
      </c>
      <c r="C436" s="26" t="s">
        <v>941</v>
      </c>
      <c r="D436" s="32"/>
      <c r="E436" s="28" t="s">
        <v>71</v>
      </c>
      <c r="F436" s="33"/>
      <c r="G436" s="32"/>
      <c r="H436" s="31"/>
      <c r="I436" s="26"/>
      <c r="J436" s="26"/>
      <c r="K436" s="31"/>
      <c r="L436" s="31" t="s">
        <v>78</v>
      </c>
    </row>
    <row r="437">
      <c r="A437" s="25" t="s">
        <v>68</v>
      </c>
      <c r="B437" s="26" t="s">
        <v>942</v>
      </c>
      <c r="C437" s="26" t="s">
        <v>943</v>
      </c>
      <c r="D437" s="32"/>
      <c r="E437" s="28" t="s">
        <v>71</v>
      </c>
      <c r="F437" s="33"/>
      <c r="G437" s="32"/>
      <c r="H437" s="31"/>
      <c r="I437" s="26"/>
      <c r="J437" s="26"/>
      <c r="K437" s="31"/>
      <c r="L437" s="31" t="s">
        <v>78</v>
      </c>
    </row>
    <row r="438">
      <c r="A438" s="25" t="s">
        <v>68</v>
      </c>
      <c r="B438" s="26" t="s">
        <v>944</v>
      </c>
      <c r="C438" s="26" t="s">
        <v>945</v>
      </c>
      <c r="D438" s="32"/>
      <c r="E438" s="28" t="s">
        <v>71</v>
      </c>
      <c r="F438" s="33"/>
      <c r="G438" s="32"/>
      <c r="H438" s="31"/>
      <c r="I438" s="26"/>
      <c r="J438" s="26"/>
      <c r="K438" s="31"/>
      <c r="L438" s="31" t="s">
        <v>75</v>
      </c>
    </row>
    <row r="439">
      <c r="A439" s="25" t="s">
        <v>68</v>
      </c>
      <c r="B439" s="26" t="s">
        <v>946</v>
      </c>
      <c r="C439" s="26" t="s">
        <v>947</v>
      </c>
      <c r="D439" s="32"/>
      <c r="E439" s="28" t="s">
        <v>71</v>
      </c>
      <c r="F439" s="33"/>
      <c r="G439" s="32"/>
      <c r="H439" s="31"/>
      <c r="I439" s="26"/>
      <c r="J439" s="26"/>
      <c r="K439" s="31"/>
      <c r="L439" s="31" t="s">
        <v>75</v>
      </c>
    </row>
    <row r="440">
      <c r="A440" s="25" t="s">
        <v>68</v>
      </c>
      <c r="B440" s="26" t="s">
        <v>948</v>
      </c>
      <c r="C440" s="26" t="s">
        <v>949</v>
      </c>
      <c r="D440" s="32"/>
      <c r="E440" s="28" t="s">
        <v>71</v>
      </c>
      <c r="F440" s="33"/>
      <c r="G440" s="32"/>
      <c r="H440" s="31"/>
      <c r="I440" s="26"/>
      <c r="J440" s="26"/>
      <c r="K440" s="31"/>
      <c r="L440" s="31" t="s">
        <v>78</v>
      </c>
    </row>
    <row r="441">
      <c r="A441" s="25" t="s">
        <v>68</v>
      </c>
      <c r="B441" s="26" t="s">
        <v>950</v>
      </c>
      <c r="C441" s="26" t="s">
        <v>951</v>
      </c>
      <c r="D441" s="32"/>
      <c r="E441" s="28" t="s">
        <v>71</v>
      </c>
      <c r="F441" s="33"/>
      <c r="G441" s="32"/>
      <c r="H441" s="31"/>
      <c r="I441" s="26"/>
      <c r="J441" s="26"/>
      <c r="K441" s="31"/>
      <c r="L441" s="31" t="s">
        <v>78</v>
      </c>
    </row>
    <row r="442">
      <c r="A442" s="25" t="s">
        <v>68</v>
      </c>
      <c r="B442" s="26" t="s">
        <v>952</v>
      </c>
      <c r="C442" s="26" t="s">
        <v>953</v>
      </c>
      <c r="D442" s="32"/>
      <c r="E442" s="28" t="s">
        <v>71</v>
      </c>
      <c r="F442" s="33"/>
      <c r="G442" s="32"/>
      <c r="H442" s="31"/>
      <c r="I442" s="26"/>
      <c r="J442" s="26"/>
      <c r="K442" s="31"/>
      <c r="L442" s="31" t="s">
        <v>75</v>
      </c>
    </row>
    <row r="443">
      <c r="A443" s="25" t="s">
        <v>68</v>
      </c>
      <c r="B443" s="26" t="s">
        <v>954</v>
      </c>
      <c r="C443" s="26" t="s">
        <v>955</v>
      </c>
      <c r="D443" s="32"/>
      <c r="E443" s="28" t="s">
        <v>71</v>
      </c>
      <c r="F443" s="33"/>
      <c r="G443" s="32"/>
      <c r="H443" s="31"/>
      <c r="I443" s="26"/>
      <c r="J443" s="26"/>
      <c r="K443" s="31"/>
      <c r="L443" s="31" t="s">
        <v>78</v>
      </c>
    </row>
    <row r="444">
      <c r="A444" s="25" t="s">
        <v>68</v>
      </c>
      <c r="B444" s="26" t="s">
        <v>956</v>
      </c>
      <c r="C444" s="26" t="s">
        <v>957</v>
      </c>
      <c r="D444" s="32"/>
      <c r="E444" s="28" t="s">
        <v>71</v>
      </c>
      <c r="F444" s="33"/>
      <c r="G444" s="32"/>
      <c r="H444" s="31"/>
      <c r="I444" s="26"/>
      <c r="J444" s="26"/>
      <c r="K444" s="31"/>
      <c r="L444" s="31" t="s">
        <v>75</v>
      </c>
    </row>
    <row r="445">
      <c r="A445" s="25" t="s">
        <v>68</v>
      </c>
      <c r="B445" s="26" t="s">
        <v>958</v>
      </c>
      <c r="C445" s="26" t="s">
        <v>959</v>
      </c>
      <c r="D445" s="32"/>
      <c r="E445" s="28" t="s">
        <v>71</v>
      </c>
      <c r="F445" s="33"/>
      <c r="G445" s="32"/>
      <c r="H445" s="31"/>
      <c r="I445" s="26"/>
      <c r="J445" s="26"/>
      <c r="K445" s="31"/>
      <c r="L445" s="31" t="s">
        <v>78</v>
      </c>
    </row>
    <row r="446">
      <c r="A446" s="25" t="s">
        <v>68</v>
      </c>
      <c r="B446" s="26" t="s">
        <v>960</v>
      </c>
      <c r="C446" s="26" t="s">
        <v>961</v>
      </c>
      <c r="D446" s="32"/>
      <c r="E446" s="28" t="s">
        <v>71</v>
      </c>
      <c r="F446" s="33"/>
      <c r="G446" s="32"/>
      <c r="H446" s="31"/>
      <c r="I446" s="26"/>
      <c r="J446" s="26"/>
      <c r="K446" s="31"/>
      <c r="L446" s="31" t="s">
        <v>78</v>
      </c>
    </row>
    <row r="447">
      <c r="A447" s="25" t="s">
        <v>68</v>
      </c>
      <c r="B447" s="26" t="s">
        <v>962</v>
      </c>
      <c r="C447" s="26" t="s">
        <v>963</v>
      </c>
      <c r="D447" s="32"/>
      <c r="E447" s="28" t="s">
        <v>71</v>
      </c>
      <c r="F447" s="33"/>
      <c r="G447" s="32"/>
      <c r="H447" s="31"/>
      <c r="I447" s="26"/>
      <c r="J447" s="26"/>
      <c r="K447" s="31"/>
      <c r="L447" s="31" t="s">
        <v>78</v>
      </c>
    </row>
    <row r="448">
      <c r="A448" s="25" t="s">
        <v>68</v>
      </c>
      <c r="B448" s="26" t="s">
        <v>964</v>
      </c>
      <c r="C448" s="26" t="s">
        <v>965</v>
      </c>
      <c r="D448" s="32"/>
      <c r="E448" s="28" t="s">
        <v>71</v>
      </c>
      <c r="F448" s="33"/>
      <c r="G448" s="32"/>
      <c r="H448" s="31"/>
      <c r="I448" s="26"/>
      <c r="J448" s="26"/>
      <c r="K448" s="31"/>
      <c r="L448" s="31" t="s">
        <v>78</v>
      </c>
    </row>
    <row r="449">
      <c r="A449" s="25" t="s">
        <v>68</v>
      </c>
      <c r="B449" s="26" t="s">
        <v>966</v>
      </c>
      <c r="C449" s="26" t="s">
        <v>967</v>
      </c>
      <c r="D449" s="32"/>
      <c r="E449" s="28" t="s">
        <v>71</v>
      </c>
      <c r="F449" s="33"/>
      <c r="G449" s="32"/>
      <c r="H449" s="31"/>
      <c r="I449" s="26"/>
      <c r="J449" s="26"/>
      <c r="K449" s="31"/>
      <c r="L449" s="31" t="s">
        <v>78</v>
      </c>
    </row>
    <row r="450">
      <c r="A450" s="25" t="s">
        <v>68</v>
      </c>
      <c r="B450" s="26" t="s">
        <v>968</v>
      </c>
      <c r="C450" s="26" t="s">
        <v>969</v>
      </c>
      <c r="D450" s="32"/>
      <c r="E450" s="28" t="s">
        <v>71</v>
      </c>
      <c r="F450" s="33"/>
      <c r="G450" s="32"/>
      <c r="H450" s="31"/>
      <c r="I450" s="26"/>
      <c r="J450" s="26"/>
      <c r="K450" s="31"/>
      <c r="L450" s="31" t="s">
        <v>78</v>
      </c>
    </row>
    <row r="451">
      <c r="A451" s="25" t="s">
        <v>68</v>
      </c>
      <c r="B451" s="26" t="s">
        <v>970</v>
      </c>
      <c r="C451" s="26" t="s">
        <v>971</v>
      </c>
      <c r="D451" s="32"/>
      <c r="E451" s="28" t="s">
        <v>71</v>
      </c>
      <c r="F451" s="33"/>
      <c r="G451" s="32"/>
      <c r="H451" s="31"/>
      <c r="I451" s="26"/>
      <c r="J451" s="26"/>
      <c r="K451" s="31"/>
      <c r="L451" s="31" t="s">
        <v>78</v>
      </c>
    </row>
    <row r="452">
      <c r="A452" s="25" t="s">
        <v>68</v>
      </c>
      <c r="B452" s="26" t="s">
        <v>972</v>
      </c>
      <c r="C452" s="26" t="s">
        <v>973</v>
      </c>
      <c r="D452" s="32"/>
      <c r="E452" s="28" t="s">
        <v>71</v>
      </c>
      <c r="F452" s="33"/>
      <c r="G452" s="32"/>
      <c r="H452" s="31"/>
      <c r="I452" s="26"/>
      <c r="J452" s="26"/>
      <c r="K452" s="31"/>
      <c r="L452" s="31" t="s">
        <v>78</v>
      </c>
    </row>
    <row r="453">
      <c r="A453" s="25" t="s">
        <v>68</v>
      </c>
      <c r="B453" s="26" t="s">
        <v>974</v>
      </c>
      <c r="C453" s="26" t="s">
        <v>975</v>
      </c>
      <c r="D453" s="32"/>
      <c r="E453" s="28" t="s">
        <v>71</v>
      </c>
      <c r="F453" s="33"/>
      <c r="G453" s="32"/>
      <c r="H453" s="31"/>
      <c r="I453" s="26"/>
      <c r="J453" s="26"/>
      <c r="K453" s="31"/>
      <c r="L453" s="31" t="s">
        <v>75</v>
      </c>
    </row>
    <row r="454">
      <c r="A454" s="25" t="s">
        <v>68</v>
      </c>
      <c r="B454" s="26" t="s">
        <v>976</v>
      </c>
      <c r="C454" s="26" t="s">
        <v>977</v>
      </c>
      <c r="D454" s="32"/>
      <c r="E454" s="28" t="s">
        <v>71</v>
      </c>
      <c r="F454" s="33"/>
      <c r="G454" s="32"/>
      <c r="H454" s="31"/>
      <c r="I454" s="26"/>
      <c r="J454" s="26"/>
      <c r="K454" s="31"/>
      <c r="L454" s="31" t="s">
        <v>78</v>
      </c>
    </row>
    <row r="455">
      <c r="A455" s="25" t="s">
        <v>68</v>
      </c>
      <c r="B455" s="26" t="s">
        <v>978</v>
      </c>
      <c r="C455" s="26" t="s">
        <v>979</v>
      </c>
      <c r="D455" s="32"/>
      <c r="E455" s="28" t="s">
        <v>71</v>
      </c>
      <c r="F455" s="33"/>
      <c r="G455" s="32"/>
      <c r="H455" s="31"/>
      <c r="I455" s="26"/>
      <c r="J455" s="26"/>
      <c r="K455" s="31"/>
      <c r="L455" s="31" t="s">
        <v>75</v>
      </c>
    </row>
    <row r="456">
      <c r="A456" s="25" t="s">
        <v>68</v>
      </c>
      <c r="B456" s="26" t="s">
        <v>980</v>
      </c>
      <c r="C456" s="26" t="s">
        <v>981</v>
      </c>
      <c r="D456" s="32"/>
      <c r="E456" s="28" t="s">
        <v>71</v>
      </c>
      <c r="F456" s="33"/>
      <c r="G456" s="32"/>
      <c r="H456" s="31"/>
      <c r="I456" s="26"/>
      <c r="J456" s="26"/>
      <c r="K456" s="31"/>
      <c r="L456" s="31" t="s">
        <v>78</v>
      </c>
    </row>
    <row r="457">
      <c r="A457" s="25" t="s">
        <v>68</v>
      </c>
      <c r="B457" s="26" t="s">
        <v>982</v>
      </c>
      <c r="C457" s="26" t="s">
        <v>983</v>
      </c>
      <c r="D457" s="32"/>
      <c r="E457" s="28" t="s">
        <v>71</v>
      </c>
      <c r="F457" s="33"/>
      <c r="G457" s="32"/>
      <c r="H457" s="31"/>
      <c r="I457" s="26"/>
      <c r="J457" s="26"/>
      <c r="K457" s="31"/>
      <c r="L457" s="31" t="s">
        <v>78</v>
      </c>
    </row>
    <row r="458">
      <c r="A458" s="25" t="s">
        <v>68</v>
      </c>
      <c r="B458" s="26" t="s">
        <v>984</v>
      </c>
      <c r="C458" s="26" t="s">
        <v>985</v>
      </c>
      <c r="D458" s="32"/>
      <c r="E458" s="28" t="s">
        <v>71</v>
      </c>
      <c r="F458" s="33"/>
      <c r="G458" s="32"/>
      <c r="H458" s="31"/>
      <c r="I458" s="26"/>
      <c r="J458" s="26"/>
      <c r="K458" s="31"/>
      <c r="L458" s="31" t="s">
        <v>78</v>
      </c>
    </row>
    <row r="459">
      <c r="A459" s="25" t="s">
        <v>68</v>
      </c>
      <c r="B459" s="26" t="s">
        <v>986</v>
      </c>
      <c r="C459" s="26" t="s">
        <v>987</v>
      </c>
      <c r="D459" s="32"/>
      <c r="E459" s="28" t="s">
        <v>71</v>
      </c>
      <c r="F459" s="33"/>
      <c r="G459" s="32"/>
      <c r="H459" s="31"/>
      <c r="I459" s="26"/>
      <c r="J459" s="26"/>
      <c r="K459" s="31"/>
      <c r="L459" s="31" t="s">
        <v>78</v>
      </c>
    </row>
    <row r="460">
      <c r="A460" s="25" t="s">
        <v>68</v>
      </c>
      <c r="B460" s="26" t="s">
        <v>988</v>
      </c>
      <c r="C460" s="26" t="s">
        <v>989</v>
      </c>
      <c r="D460" s="32"/>
      <c r="E460" s="28" t="s">
        <v>71</v>
      </c>
      <c r="F460" s="33"/>
      <c r="G460" s="32"/>
      <c r="H460" s="31"/>
      <c r="I460" s="26"/>
      <c r="J460" s="26"/>
      <c r="K460" s="31"/>
      <c r="L460" s="31" t="s">
        <v>78</v>
      </c>
    </row>
    <row r="461">
      <c r="A461" s="25" t="s">
        <v>68</v>
      </c>
      <c r="B461" s="26" t="s">
        <v>990</v>
      </c>
      <c r="C461" s="26" t="s">
        <v>991</v>
      </c>
      <c r="D461" s="32"/>
      <c r="E461" s="28" t="s">
        <v>71</v>
      </c>
      <c r="F461" s="33"/>
      <c r="G461" s="32"/>
      <c r="H461" s="31"/>
      <c r="I461" s="26"/>
      <c r="J461" s="26"/>
      <c r="K461" s="31"/>
      <c r="L461" s="31" t="s">
        <v>78</v>
      </c>
    </row>
    <row r="462">
      <c r="A462" s="25" t="s">
        <v>68</v>
      </c>
      <c r="B462" s="26" t="s">
        <v>992</v>
      </c>
      <c r="C462" s="26" t="s">
        <v>993</v>
      </c>
      <c r="D462" s="32"/>
      <c r="E462" s="28" t="s">
        <v>71</v>
      </c>
      <c r="F462" s="33"/>
      <c r="G462" s="32"/>
      <c r="H462" s="31"/>
      <c r="I462" s="26"/>
      <c r="J462" s="26"/>
      <c r="K462" s="31"/>
      <c r="L462" s="31" t="s">
        <v>75</v>
      </c>
    </row>
    <row r="463">
      <c r="A463" s="25" t="s">
        <v>68</v>
      </c>
      <c r="B463" s="26" t="s">
        <v>994</v>
      </c>
      <c r="C463" s="26" t="s">
        <v>995</v>
      </c>
      <c r="D463" s="32"/>
      <c r="E463" s="28" t="s">
        <v>71</v>
      </c>
      <c r="F463" s="33"/>
      <c r="G463" s="32"/>
      <c r="H463" s="31"/>
      <c r="I463" s="26"/>
      <c r="J463" s="26"/>
      <c r="K463" s="31"/>
      <c r="L463" s="31" t="s">
        <v>75</v>
      </c>
    </row>
    <row r="464">
      <c r="A464" s="25" t="s">
        <v>68</v>
      </c>
      <c r="B464" s="26" t="s">
        <v>996</v>
      </c>
      <c r="C464" s="26" t="s">
        <v>997</v>
      </c>
      <c r="D464" s="32"/>
      <c r="E464" s="28" t="s">
        <v>71</v>
      </c>
      <c r="F464" s="33"/>
      <c r="G464" s="32"/>
      <c r="H464" s="31"/>
      <c r="I464" s="26"/>
      <c r="J464" s="26"/>
      <c r="K464" s="31"/>
      <c r="L464" s="31" t="s">
        <v>78</v>
      </c>
    </row>
    <row r="465">
      <c r="A465" s="25" t="s">
        <v>68</v>
      </c>
      <c r="B465" s="26" t="s">
        <v>998</v>
      </c>
      <c r="C465" s="26" t="s">
        <v>999</v>
      </c>
      <c r="D465" s="32"/>
      <c r="E465" s="28" t="s">
        <v>71</v>
      </c>
      <c r="F465" s="33"/>
      <c r="G465" s="32"/>
      <c r="H465" s="31"/>
      <c r="I465" s="26"/>
      <c r="J465" s="26"/>
      <c r="K465" s="31"/>
      <c r="L465" s="31" t="s">
        <v>78</v>
      </c>
    </row>
    <row r="466">
      <c r="A466" s="25" t="s">
        <v>68</v>
      </c>
      <c r="B466" s="26" t="s">
        <v>1000</v>
      </c>
      <c r="C466" s="26" t="s">
        <v>1001</v>
      </c>
      <c r="D466" s="32"/>
      <c r="E466" s="28" t="s">
        <v>71</v>
      </c>
      <c r="F466" s="33"/>
      <c r="G466" s="32"/>
      <c r="H466" s="31"/>
      <c r="I466" s="26"/>
      <c r="J466" s="26"/>
      <c r="K466" s="31"/>
      <c r="L466" s="31" t="s">
        <v>75</v>
      </c>
    </row>
    <row r="467">
      <c r="A467" s="25" t="s">
        <v>68</v>
      </c>
      <c r="B467" s="26" t="s">
        <v>1002</v>
      </c>
      <c r="C467" s="26" t="s">
        <v>1003</v>
      </c>
      <c r="D467" s="32"/>
      <c r="E467" s="28" t="s">
        <v>71</v>
      </c>
      <c r="F467" s="33"/>
      <c r="G467" s="32"/>
      <c r="H467" s="31"/>
      <c r="I467" s="26"/>
      <c r="J467" s="26"/>
      <c r="K467" s="31"/>
      <c r="L467" s="31" t="s">
        <v>78</v>
      </c>
    </row>
    <row r="468">
      <c r="A468" s="25" t="s">
        <v>68</v>
      </c>
      <c r="B468" s="26" t="s">
        <v>1004</v>
      </c>
      <c r="C468" s="26" t="s">
        <v>1005</v>
      </c>
      <c r="D468" s="32"/>
      <c r="E468" s="28" t="s">
        <v>71</v>
      </c>
      <c r="F468" s="33"/>
      <c r="G468" s="32"/>
      <c r="H468" s="31"/>
      <c r="I468" s="26"/>
      <c r="J468" s="26"/>
      <c r="K468" s="31"/>
      <c r="L468" s="31" t="s">
        <v>78</v>
      </c>
    </row>
    <row r="469">
      <c r="A469" s="25" t="s">
        <v>68</v>
      </c>
      <c r="B469" s="26" t="s">
        <v>1006</v>
      </c>
      <c r="C469" s="26" t="s">
        <v>1007</v>
      </c>
      <c r="D469" s="32"/>
      <c r="E469" s="28" t="s">
        <v>71</v>
      </c>
      <c r="F469" s="33"/>
      <c r="G469" s="32"/>
      <c r="H469" s="31"/>
      <c r="I469" s="26"/>
      <c r="J469" s="26"/>
      <c r="K469" s="31"/>
      <c r="L469" s="31" t="s">
        <v>75</v>
      </c>
    </row>
    <row r="470">
      <c r="A470" s="25" t="s">
        <v>68</v>
      </c>
      <c r="B470" s="26" t="s">
        <v>1008</v>
      </c>
      <c r="C470" s="26" t="s">
        <v>1009</v>
      </c>
      <c r="D470" s="32"/>
      <c r="E470" s="28" t="s">
        <v>71</v>
      </c>
      <c r="F470" s="33"/>
      <c r="G470" s="32"/>
      <c r="H470" s="31"/>
      <c r="I470" s="26"/>
      <c r="J470" s="26"/>
      <c r="K470" s="31"/>
      <c r="L470" s="31" t="s">
        <v>78</v>
      </c>
    </row>
    <row r="471">
      <c r="A471" s="25" t="s">
        <v>68</v>
      </c>
      <c r="B471" s="26" t="s">
        <v>1010</v>
      </c>
      <c r="C471" s="26" t="s">
        <v>1011</v>
      </c>
      <c r="D471" s="32"/>
      <c r="E471" s="28" t="s">
        <v>71</v>
      </c>
      <c r="F471" s="33"/>
      <c r="G471" s="32"/>
      <c r="H471" s="31"/>
      <c r="I471" s="26"/>
      <c r="J471" s="26"/>
      <c r="K471" s="31"/>
      <c r="L471" s="31" t="s">
        <v>78</v>
      </c>
    </row>
    <row r="472">
      <c r="A472" s="25" t="s">
        <v>68</v>
      </c>
      <c r="B472" s="26" t="s">
        <v>1012</v>
      </c>
      <c r="C472" s="26" t="s">
        <v>1013</v>
      </c>
      <c r="D472" s="32"/>
      <c r="E472" s="28" t="s">
        <v>71</v>
      </c>
      <c r="F472" s="33"/>
      <c r="G472" s="32"/>
      <c r="H472" s="31"/>
      <c r="I472" s="26"/>
      <c r="J472" s="26"/>
      <c r="K472" s="31"/>
      <c r="L472" s="31" t="s">
        <v>78</v>
      </c>
    </row>
    <row r="473">
      <c r="A473" s="25" t="s">
        <v>68</v>
      </c>
      <c r="B473" s="31" t="s">
        <v>1014</v>
      </c>
      <c r="C473" s="31" t="s">
        <v>1015</v>
      </c>
      <c r="D473" s="32" t="s">
        <v>16</v>
      </c>
      <c r="E473" s="28" t="s">
        <v>71</v>
      </c>
      <c r="F473" s="33"/>
      <c r="G473" s="32" t="s">
        <v>72</v>
      </c>
      <c r="H473" s="31" t="s">
        <v>1016</v>
      </c>
      <c r="I473" s="31" t="s">
        <v>1017</v>
      </c>
      <c r="J473" s="31"/>
      <c r="K473" s="31"/>
      <c r="L473" s="31" t="s">
        <v>75</v>
      </c>
    </row>
    <row r="474">
      <c r="A474" s="25" t="s">
        <v>68</v>
      </c>
      <c r="B474" s="31" t="s">
        <v>1018</v>
      </c>
      <c r="C474" s="31" t="s">
        <v>1019</v>
      </c>
      <c r="D474" s="32" t="s">
        <v>14</v>
      </c>
      <c r="E474" s="28" t="s">
        <v>71</v>
      </c>
      <c r="F474" s="33"/>
      <c r="G474" s="32" t="s">
        <v>72</v>
      </c>
      <c r="H474" s="31" t="s">
        <v>1020</v>
      </c>
      <c r="I474" s="31" t="s">
        <v>1021</v>
      </c>
      <c r="J474" s="31"/>
      <c r="K474" s="31"/>
      <c r="L474" s="31" t="s">
        <v>75</v>
      </c>
    </row>
    <row r="475">
      <c r="A475" s="25" t="s">
        <v>68</v>
      </c>
      <c r="B475" s="31" t="s">
        <v>1022</v>
      </c>
      <c r="C475" s="31" t="s">
        <v>1023</v>
      </c>
      <c r="D475" s="32" t="s">
        <v>14</v>
      </c>
      <c r="E475" s="28" t="s">
        <v>71</v>
      </c>
      <c r="F475" s="33" t="s">
        <v>1024</v>
      </c>
      <c r="G475" s="32" t="s">
        <v>72</v>
      </c>
      <c r="H475" s="31" t="s">
        <v>1025</v>
      </c>
      <c r="I475" s="31" t="s">
        <v>1026</v>
      </c>
      <c r="J475" s="31"/>
      <c r="K475" s="31"/>
      <c r="L475" s="31" t="s">
        <v>75</v>
      </c>
    </row>
    <row r="476">
      <c r="A476" s="25" t="s">
        <v>68</v>
      </c>
      <c r="B476" s="31" t="s">
        <v>1027</v>
      </c>
      <c r="C476" s="31" t="s">
        <v>1028</v>
      </c>
      <c r="D476" s="32" t="s">
        <v>14</v>
      </c>
      <c r="E476" s="28" t="s">
        <v>71</v>
      </c>
      <c r="F476" s="33"/>
      <c r="G476" s="32" t="s">
        <v>72</v>
      </c>
      <c r="H476" s="31" t="s">
        <v>1020</v>
      </c>
      <c r="I476" s="31" t="s">
        <v>1029</v>
      </c>
      <c r="J476" s="31"/>
      <c r="K476" s="31"/>
      <c r="L476" s="31" t="s">
        <v>75</v>
      </c>
    </row>
    <row r="477">
      <c r="A477" s="25" t="s">
        <v>68</v>
      </c>
      <c r="B477" s="31" t="s">
        <v>1030</v>
      </c>
      <c r="C477" s="31" t="s">
        <v>1031</v>
      </c>
      <c r="D477" s="32" t="s">
        <v>14</v>
      </c>
      <c r="E477" s="28" t="s">
        <v>71</v>
      </c>
      <c r="F477" s="33"/>
      <c r="G477" s="32" t="s">
        <v>72</v>
      </c>
      <c r="H477" s="31" t="s">
        <v>1032</v>
      </c>
      <c r="I477" s="31" t="s">
        <v>1033</v>
      </c>
      <c r="J477" s="31"/>
      <c r="K477" s="31"/>
      <c r="L477" s="31" t="s">
        <v>75</v>
      </c>
    </row>
    <row r="478">
      <c r="A478" s="25" t="s">
        <v>68</v>
      </c>
      <c r="B478" s="31" t="s">
        <v>1034</v>
      </c>
      <c r="C478" s="31" t="s">
        <v>1035</v>
      </c>
      <c r="D478" s="32" t="s">
        <v>14</v>
      </c>
      <c r="E478" s="28" t="s">
        <v>71</v>
      </c>
      <c r="F478" s="33"/>
      <c r="G478" s="32" t="s">
        <v>72</v>
      </c>
      <c r="H478" s="31" t="s">
        <v>1020</v>
      </c>
      <c r="I478" s="31" t="s">
        <v>1036</v>
      </c>
      <c r="J478" s="31"/>
      <c r="K478" s="31"/>
      <c r="L478" s="31" t="s">
        <v>75</v>
      </c>
    </row>
    <row r="479">
      <c r="A479" s="25" t="s">
        <v>68</v>
      </c>
      <c r="B479" s="31" t="s">
        <v>1037</v>
      </c>
      <c r="C479" s="31" t="s">
        <v>1038</v>
      </c>
      <c r="D479" s="32" t="s">
        <v>30</v>
      </c>
      <c r="E479" s="28" t="s">
        <v>71</v>
      </c>
      <c r="F479" s="33"/>
      <c r="G479" s="32" t="s">
        <v>72</v>
      </c>
      <c r="H479" s="31" t="s">
        <v>1039</v>
      </c>
      <c r="I479" s="31" t="s">
        <v>1040</v>
      </c>
      <c r="J479" s="31"/>
      <c r="K479" s="31"/>
      <c r="L479" s="31" t="s">
        <v>75</v>
      </c>
    </row>
    <row r="480">
      <c r="A480" s="25" t="s">
        <v>68</v>
      </c>
      <c r="B480" s="31" t="s">
        <v>1041</v>
      </c>
      <c r="C480" s="31" t="s">
        <v>1042</v>
      </c>
      <c r="D480" s="32" t="s">
        <v>14</v>
      </c>
      <c r="E480" s="28" t="s">
        <v>71</v>
      </c>
      <c r="F480" s="33"/>
      <c r="G480" s="32" t="s">
        <v>1043</v>
      </c>
      <c r="H480" s="31" t="s">
        <v>1043</v>
      </c>
      <c r="I480" s="31" t="s">
        <v>1044</v>
      </c>
      <c r="J480" s="31"/>
      <c r="K480" s="31"/>
      <c r="L480" s="31" t="s">
        <v>75</v>
      </c>
    </row>
    <row r="481">
      <c r="A481" s="25" t="s">
        <v>68</v>
      </c>
      <c r="B481" s="31" t="s">
        <v>1045</v>
      </c>
      <c r="C481" s="31" t="s">
        <v>1046</v>
      </c>
      <c r="D481" s="32" t="s">
        <v>14</v>
      </c>
      <c r="E481" s="28" t="s">
        <v>71</v>
      </c>
      <c r="F481" s="33"/>
      <c r="G481" s="32" t="s">
        <v>72</v>
      </c>
      <c r="H481" s="31" t="s">
        <v>1047</v>
      </c>
      <c r="I481" s="31" t="s">
        <v>1048</v>
      </c>
      <c r="J481" s="31"/>
      <c r="K481" s="31"/>
      <c r="L481" s="31" t="s">
        <v>75</v>
      </c>
    </row>
    <row r="482">
      <c r="A482" s="25" t="s">
        <v>68</v>
      </c>
      <c r="B482" s="31" t="s">
        <v>97</v>
      </c>
      <c r="C482" s="31" t="s">
        <v>1049</v>
      </c>
      <c r="D482" s="32" t="s">
        <v>14</v>
      </c>
      <c r="E482" s="28" t="s">
        <v>71</v>
      </c>
      <c r="F482" s="33"/>
      <c r="G482" s="32" t="s">
        <v>1043</v>
      </c>
      <c r="H482" s="31" t="s">
        <v>1050</v>
      </c>
      <c r="I482" s="31" t="s">
        <v>1044</v>
      </c>
      <c r="J482" s="31"/>
      <c r="K482" s="31"/>
      <c r="L482" s="31" t="s">
        <v>75</v>
      </c>
    </row>
    <row r="483">
      <c r="A483" s="25" t="s">
        <v>68</v>
      </c>
      <c r="B483" s="31" t="s">
        <v>97</v>
      </c>
      <c r="C483" s="31" t="s">
        <v>1051</v>
      </c>
      <c r="D483" s="32" t="s">
        <v>21</v>
      </c>
      <c r="E483" s="28" t="s">
        <v>71</v>
      </c>
      <c r="F483" s="33"/>
      <c r="G483" s="32" t="s">
        <v>72</v>
      </c>
      <c r="H483" s="31" t="s">
        <v>1052</v>
      </c>
      <c r="I483" s="31" t="s">
        <v>1053</v>
      </c>
      <c r="J483" s="31"/>
      <c r="K483" s="31"/>
      <c r="L483" s="31" t="s">
        <v>75</v>
      </c>
    </row>
    <row r="484">
      <c r="A484" s="25" t="s">
        <v>68</v>
      </c>
      <c r="B484" s="31" t="s">
        <v>1034</v>
      </c>
      <c r="C484" s="31" t="s">
        <v>1054</v>
      </c>
      <c r="D484" s="32" t="s">
        <v>14</v>
      </c>
      <c r="E484" s="28" t="s">
        <v>71</v>
      </c>
      <c r="F484" s="33">
        <v>9.999913305E9</v>
      </c>
      <c r="G484" s="32" t="s">
        <v>72</v>
      </c>
      <c r="H484" s="31" t="s">
        <v>1055</v>
      </c>
      <c r="I484" s="31" t="s">
        <v>1056</v>
      </c>
      <c r="J484" s="31"/>
      <c r="K484" s="31"/>
      <c r="L484" s="31" t="s">
        <v>75</v>
      </c>
    </row>
    <row r="485">
      <c r="A485" s="25" t="s">
        <v>68</v>
      </c>
      <c r="B485" s="31" t="s">
        <v>1057</v>
      </c>
      <c r="C485" s="31" t="s">
        <v>1058</v>
      </c>
      <c r="D485" s="32" t="s">
        <v>14</v>
      </c>
      <c r="E485" s="28" t="s">
        <v>71</v>
      </c>
      <c r="F485" s="33" t="s">
        <v>1059</v>
      </c>
      <c r="G485" s="32" t="s">
        <v>72</v>
      </c>
      <c r="H485" s="31" t="s">
        <v>1060</v>
      </c>
      <c r="I485" s="31" t="s">
        <v>1061</v>
      </c>
      <c r="J485" s="31"/>
      <c r="K485" s="31"/>
      <c r="L485" s="31" t="s">
        <v>75</v>
      </c>
    </row>
    <row r="486">
      <c r="A486" s="25" t="s">
        <v>68</v>
      </c>
      <c r="B486" s="31" t="s">
        <v>1062</v>
      </c>
      <c r="C486" s="31" t="s">
        <v>1063</v>
      </c>
      <c r="D486" s="32" t="s">
        <v>21</v>
      </c>
      <c r="E486" s="28" t="s">
        <v>71</v>
      </c>
      <c r="F486" s="33" t="s">
        <v>1064</v>
      </c>
      <c r="G486" s="32" t="s">
        <v>72</v>
      </c>
      <c r="H486" s="31" t="s">
        <v>1065</v>
      </c>
      <c r="I486" s="31" t="s">
        <v>1066</v>
      </c>
      <c r="J486" s="31"/>
      <c r="K486" s="31"/>
      <c r="L486" s="31" t="s">
        <v>75</v>
      </c>
    </row>
    <row r="487">
      <c r="A487" s="25" t="s">
        <v>68</v>
      </c>
      <c r="B487" s="31" t="s">
        <v>1067</v>
      </c>
      <c r="C487" s="31" t="s">
        <v>1068</v>
      </c>
      <c r="D487" s="32" t="s">
        <v>21</v>
      </c>
      <c r="E487" s="28" t="s">
        <v>71</v>
      </c>
      <c r="F487" s="33"/>
      <c r="G487" s="32" t="s">
        <v>72</v>
      </c>
      <c r="H487" s="31" t="s">
        <v>1052</v>
      </c>
      <c r="I487" s="31" t="s">
        <v>1053</v>
      </c>
      <c r="J487" s="31"/>
      <c r="K487" s="31"/>
      <c r="L487" s="31" t="s">
        <v>75</v>
      </c>
    </row>
    <row r="488">
      <c r="A488" s="25" t="s">
        <v>68</v>
      </c>
      <c r="B488" s="31" t="s">
        <v>1069</v>
      </c>
      <c r="C488" s="31" t="s">
        <v>1070</v>
      </c>
      <c r="D488" s="32" t="s">
        <v>28</v>
      </c>
      <c r="E488" s="28" t="s">
        <v>71</v>
      </c>
      <c r="F488" s="33" t="s">
        <v>1071</v>
      </c>
      <c r="G488" s="32" t="s">
        <v>72</v>
      </c>
      <c r="H488" s="31" t="s">
        <v>1072</v>
      </c>
      <c r="I488" s="31" t="s">
        <v>1073</v>
      </c>
      <c r="J488" s="31"/>
      <c r="K488" s="31"/>
      <c r="L488" s="31" t="s">
        <v>75</v>
      </c>
    </row>
    <row r="489">
      <c r="A489" s="25" t="s">
        <v>68</v>
      </c>
      <c r="B489" s="31" t="s">
        <v>1074</v>
      </c>
      <c r="C489" s="31" t="s">
        <v>1075</v>
      </c>
      <c r="D489" s="32" t="s">
        <v>28</v>
      </c>
      <c r="E489" s="28" t="s">
        <v>71</v>
      </c>
      <c r="F489" s="33"/>
      <c r="G489" s="32" t="s">
        <v>72</v>
      </c>
      <c r="H489" s="31" t="s">
        <v>1076</v>
      </c>
      <c r="I489" s="31" t="s">
        <v>1077</v>
      </c>
      <c r="J489" s="31"/>
      <c r="K489" s="31"/>
      <c r="L489" s="31" t="s">
        <v>75</v>
      </c>
    </row>
    <row r="490">
      <c r="A490" s="25" t="s">
        <v>68</v>
      </c>
      <c r="B490" s="31" t="s">
        <v>1078</v>
      </c>
      <c r="C490" s="31" t="s">
        <v>1079</v>
      </c>
      <c r="D490" s="32" t="s">
        <v>28</v>
      </c>
      <c r="E490" s="28" t="s">
        <v>71</v>
      </c>
      <c r="F490" s="33" t="s">
        <v>1080</v>
      </c>
      <c r="G490" s="32" t="s">
        <v>72</v>
      </c>
      <c r="H490" s="31" t="s">
        <v>1081</v>
      </c>
      <c r="I490" s="31" t="s">
        <v>1082</v>
      </c>
      <c r="J490" s="31"/>
      <c r="K490" s="31"/>
      <c r="L490" s="31" t="s">
        <v>75</v>
      </c>
    </row>
    <row r="491">
      <c r="A491" s="25" t="s">
        <v>68</v>
      </c>
      <c r="B491" s="31" t="s">
        <v>1083</v>
      </c>
      <c r="C491" s="31" t="s">
        <v>1084</v>
      </c>
      <c r="D491" s="32" t="s">
        <v>22</v>
      </c>
      <c r="E491" s="28" t="s">
        <v>71</v>
      </c>
      <c r="F491" s="33"/>
      <c r="G491" s="32" t="s">
        <v>1043</v>
      </c>
      <c r="H491" s="31" t="s">
        <v>1043</v>
      </c>
      <c r="I491" s="31" t="s">
        <v>1085</v>
      </c>
      <c r="J491" s="31"/>
      <c r="K491" s="31"/>
      <c r="L491" s="31" t="s">
        <v>75</v>
      </c>
    </row>
    <row r="492">
      <c r="A492" s="25" t="s">
        <v>68</v>
      </c>
      <c r="B492" s="31" t="s">
        <v>1086</v>
      </c>
      <c r="C492" s="31" t="s">
        <v>1087</v>
      </c>
      <c r="D492" s="32" t="s">
        <v>30</v>
      </c>
      <c r="E492" s="28" t="s">
        <v>71</v>
      </c>
      <c r="F492" s="33"/>
      <c r="G492" s="32" t="s">
        <v>72</v>
      </c>
      <c r="H492" s="31" t="s">
        <v>1088</v>
      </c>
      <c r="I492" s="31" t="s">
        <v>1089</v>
      </c>
      <c r="J492" s="31"/>
      <c r="K492" s="31"/>
      <c r="L492" s="31" t="s">
        <v>75</v>
      </c>
    </row>
    <row r="493">
      <c r="A493" s="25" t="s">
        <v>68</v>
      </c>
      <c r="B493" s="31" t="s">
        <v>1090</v>
      </c>
      <c r="C493" s="31" t="s">
        <v>1091</v>
      </c>
      <c r="D493" s="32" t="s">
        <v>14</v>
      </c>
      <c r="E493" s="28" t="s">
        <v>71</v>
      </c>
      <c r="F493" s="33" t="s">
        <v>1092</v>
      </c>
      <c r="G493" s="32" t="s">
        <v>1043</v>
      </c>
      <c r="H493" s="31" t="s">
        <v>1093</v>
      </c>
      <c r="I493" s="31" t="s">
        <v>1094</v>
      </c>
      <c r="J493" s="31"/>
      <c r="K493" s="31"/>
      <c r="L493" s="31" t="s">
        <v>75</v>
      </c>
    </row>
    <row r="494">
      <c r="A494" s="25" t="s">
        <v>68</v>
      </c>
      <c r="B494" s="31" t="s">
        <v>1095</v>
      </c>
      <c r="C494" s="31" t="s">
        <v>1096</v>
      </c>
      <c r="D494" s="32" t="s">
        <v>21</v>
      </c>
      <c r="E494" s="28" t="s">
        <v>71</v>
      </c>
      <c r="F494" s="33"/>
      <c r="G494" s="32" t="s">
        <v>72</v>
      </c>
      <c r="H494" s="31" t="s">
        <v>1097</v>
      </c>
      <c r="I494" s="31" t="s">
        <v>1053</v>
      </c>
      <c r="J494" s="31"/>
      <c r="K494" s="31"/>
      <c r="L494" s="31" t="s">
        <v>75</v>
      </c>
    </row>
    <row r="495">
      <c r="A495" s="25" t="s">
        <v>68</v>
      </c>
      <c r="B495" s="31" t="s">
        <v>1098</v>
      </c>
      <c r="C495" s="31" t="s">
        <v>1099</v>
      </c>
      <c r="D495" s="32" t="s">
        <v>25</v>
      </c>
      <c r="E495" s="28" t="s">
        <v>71</v>
      </c>
      <c r="F495" s="33"/>
      <c r="G495" s="32" t="s">
        <v>1043</v>
      </c>
      <c r="H495" s="31" t="s">
        <v>1043</v>
      </c>
      <c r="I495" s="31" t="s">
        <v>1100</v>
      </c>
      <c r="J495" s="31"/>
      <c r="K495" s="31"/>
      <c r="L495" s="31" t="s">
        <v>75</v>
      </c>
    </row>
    <row r="496">
      <c r="A496" s="25" t="s">
        <v>68</v>
      </c>
      <c r="B496" s="31" t="s">
        <v>1101</v>
      </c>
      <c r="C496" s="31" t="s">
        <v>1066</v>
      </c>
      <c r="D496" s="32" t="s">
        <v>21</v>
      </c>
      <c r="E496" s="28" t="s">
        <v>71</v>
      </c>
      <c r="F496" s="33"/>
      <c r="G496" s="32" t="s">
        <v>72</v>
      </c>
      <c r="H496" s="31" t="s">
        <v>1102</v>
      </c>
      <c r="I496" s="31" t="s">
        <v>1103</v>
      </c>
      <c r="J496" s="31"/>
      <c r="K496" s="31"/>
      <c r="L496" s="31" t="s">
        <v>75</v>
      </c>
    </row>
    <row r="497">
      <c r="A497" s="25" t="s">
        <v>68</v>
      </c>
      <c r="B497" s="31" t="s">
        <v>1104</v>
      </c>
      <c r="C497" s="31" t="s">
        <v>1105</v>
      </c>
      <c r="D497" s="32" t="s">
        <v>14</v>
      </c>
      <c r="E497" s="28" t="s">
        <v>71</v>
      </c>
      <c r="F497" s="33" t="s">
        <v>1106</v>
      </c>
      <c r="G497" s="32" t="s">
        <v>72</v>
      </c>
      <c r="H497" s="31" t="s">
        <v>1107</v>
      </c>
      <c r="I497" s="34" t="s">
        <v>1108</v>
      </c>
      <c r="J497" s="34"/>
      <c r="K497" s="31"/>
      <c r="L497" s="31" t="s">
        <v>75</v>
      </c>
    </row>
    <row r="498">
      <c r="A498" s="25" t="s">
        <v>68</v>
      </c>
      <c r="B498" s="31" t="s">
        <v>1109</v>
      </c>
      <c r="C498" s="31" t="s">
        <v>1110</v>
      </c>
      <c r="D498" s="32" t="s">
        <v>17</v>
      </c>
      <c r="E498" s="28" t="s">
        <v>71</v>
      </c>
      <c r="F498" s="33"/>
      <c r="G498" s="32" t="s">
        <v>72</v>
      </c>
      <c r="H498" s="31" t="s">
        <v>1111</v>
      </c>
      <c r="I498" s="31" t="s">
        <v>1112</v>
      </c>
      <c r="J498" s="31"/>
      <c r="K498" s="31"/>
      <c r="L498" s="31" t="s">
        <v>75</v>
      </c>
    </row>
    <row r="499">
      <c r="A499" s="25" t="s">
        <v>68</v>
      </c>
      <c r="B499" s="31" t="s">
        <v>1113</v>
      </c>
      <c r="C499" s="31" t="s">
        <v>1114</v>
      </c>
      <c r="D499" s="32" t="s">
        <v>14</v>
      </c>
      <c r="E499" s="28" t="s">
        <v>71</v>
      </c>
      <c r="F499" s="33"/>
      <c r="G499" s="32" t="s">
        <v>72</v>
      </c>
      <c r="H499" s="31" t="s">
        <v>1115</v>
      </c>
      <c r="I499" s="31" t="s">
        <v>1116</v>
      </c>
      <c r="J499" s="31"/>
      <c r="K499" s="31"/>
      <c r="L499" s="31" t="s">
        <v>75</v>
      </c>
    </row>
    <row r="500">
      <c r="A500" s="25" t="s">
        <v>68</v>
      </c>
      <c r="B500" s="31" t="s">
        <v>1117</v>
      </c>
      <c r="C500" s="31" t="s">
        <v>1118</v>
      </c>
      <c r="D500" s="32" t="s">
        <v>22</v>
      </c>
      <c r="E500" s="28" t="s">
        <v>71</v>
      </c>
      <c r="F500" s="33" t="s">
        <v>1119</v>
      </c>
      <c r="G500" s="32" t="s">
        <v>72</v>
      </c>
      <c r="H500" s="31" t="s">
        <v>1120</v>
      </c>
      <c r="I500" s="31" t="s">
        <v>1121</v>
      </c>
      <c r="J500" s="31"/>
      <c r="K500" s="31"/>
      <c r="L500" s="31" t="s">
        <v>75</v>
      </c>
    </row>
    <row r="501">
      <c r="A501" s="25" t="s">
        <v>68</v>
      </c>
      <c r="B501" s="31" t="s">
        <v>1122</v>
      </c>
      <c r="C501" s="31" t="s">
        <v>1123</v>
      </c>
      <c r="D501" s="32" t="s">
        <v>17</v>
      </c>
      <c r="E501" s="28" t="s">
        <v>71</v>
      </c>
      <c r="F501" s="33"/>
      <c r="G501" s="32" t="s">
        <v>72</v>
      </c>
      <c r="H501" s="31" t="s">
        <v>1124</v>
      </c>
      <c r="I501" s="31" t="s">
        <v>1125</v>
      </c>
      <c r="J501" s="31"/>
      <c r="K501" s="31"/>
      <c r="L501" s="31" t="s">
        <v>75</v>
      </c>
    </row>
    <row r="502">
      <c r="A502" s="25" t="s">
        <v>68</v>
      </c>
      <c r="B502" s="31" t="s">
        <v>1126</v>
      </c>
      <c r="C502" s="31" t="s">
        <v>1127</v>
      </c>
      <c r="D502" s="32" t="s">
        <v>33</v>
      </c>
      <c r="E502" s="28" t="s">
        <v>71</v>
      </c>
      <c r="F502" s="33"/>
      <c r="G502" s="32" t="s">
        <v>72</v>
      </c>
      <c r="H502" s="31" t="s">
        <v>1128</v>
      </c>
      <c r="I502" s="31" t="s">
        <v>1129</v>
      </c>
      <c r="J502" s="31"/>
      <c r="K502" s="31"/>
      <c r="L502" s="31" t="s">
        <v>75</v>
      </c>
    </row>
    <row r="503">
      <c r="A503" s="25" t="s">
        <v>68</v>
      </c>
      <c r="B503" s="31" t="s">
        <v>1130</v>
      </c>
      <c r="C503" s="31" t="s">
        <v>1131</v>
      </c>
      <c r="D503" s="32" t="s">
        <v>28</v>
      </c>
      <c r="E503" s="28" t="s">
        <v>71</v>
      </c>
      <c r="F503" s="33"/>
      <c r="G503" s="32" t="s">
        <v>72</v>
      </c>
      <c r="H503" s="31" t="s">
        <v>1132</v>
      </c>
      <c r="I503" s="31" t="s">
        <v>1077</v>
      </c>
      <c r="J503" s="31"/>
      <c r="K503" s="31"/>
      <c r="L503" s="31" t="s">
        <v>75</v>
      </c>
    </row>
    <row r="504">
      <c r="A504" s="25" t="s">
        <v>68</v>
      </c>
      <c r="B504" s="31" t="s">
        <v>183</v>
      </c>
      <c r="C504" s="31" t="s">
        <v>1133</v>
      </c>
      <c r="D504" s="32" t="s">
        <v>33</v>
      </c>
      <c r="E504" s="28" t="s">
        <v>71</v>
      </c>
      <c r="F504" s="33"/>
      <c r="G504" s="32" t="s">
        <v>72</v>
      </c>
      <c r="H504" s="31" t="s">
        <v>1134</v>
      </c>
      <c r="I504" s="31" t="s">
        <v>1135</v>
      </c>
      <c r="J504" s="31"/>
      <c r="K504" s="31"/>
      <c r="L504" s="31" t="s">
        <v>75</v>
      </c>
    </row>
    <row r="505">
      <c r="A505" s="25" t="s">
        <v>68</v>
      </c>
      <c r="B505" s="31" t="s">
        <v>1136</v>
      </c>
      <c r="C505" s="31" t="s">
        <v>1137</v>
      </c>
      <c r="D505" s="32" t="s">
        <v>22</v>
      </c>
      <c r="E505" s="28" t="s">
        <v>71</v>
      </c>
      <c r="F505" s="33"/>
      <c r="G505" s="32" t="s">
        <v>72</v>
      </c>
      <c r="H505" s="31" t="s">
        <v>1120</v>
      </c>
      <c r="I505" s="31" t="s">
        <v>1138</v>
      </c>
      <c r="J505" s="31"/>
      <c r="K505" s="31"/>
      <c r="L505" s="31" t="s">
        <v>75</v>
      </c>
    </row>
    <row r="506">
      <c r="A506" s="25" t="s">
        <v>68</v>
      </c>
      <c r="B506" s="31" t="s">
        <v>1139</v>
      </c>
      <c r="C506" s="31" t="s">
        <v>1140</v>
      </c>
      <c r="D506" s="32" t="s">
        <v>21</v>
      </c>
      <c r="E506" s="28" t="s">
        <v>71</v>
      </c>
      <c r="F506" s="33" t="s">
        <v>1141</v>
      </c>
      <c r="G506" s="32" t="s">
        <v>72</v>
      </c>
      <c r="H506" s="31" t="s">
        <v>1142</v>
      </c>
      <c r="I506" s="31" t="s">
        <v>1066</v>
      </c>
      <c r="J506" s="31"/>
      <c r="K506" s="31"/>
      <c r="L506" s="31" t="s">
        <v>75</v>
      </c>
    </row>
    <row r="507">
      <c r="A507" s="25" t="s">
        <v>68</v>
      </c>
      <c r="B507" s="31" t="s">
        <v>1143</v>
      </c>
      <c r="C507" s="31" t="s">
        <v>1144</v>
      </c>
      <c r="D507" s="32" t="s">
        <v>14</v>
      </c>
      <c r="E507" s="28" t="s">
        <v>71</v>
      </c>
      <c r="F507" s="33" t="s">
        <v>1145</v>
      </c>
      <c r="G507" s="32" t="s">
        <v>72</v>
      </c>
      <c r="H507" s="31" t="s">
        <v>1146</v>
      </c>
      <c r="I507" s="31" t="s">
        <v>1147</v>
      </c>
      <c r="J507" s="31"/>
      <c r="K507" s="31"/>
      <c r="L507" s="31" t="s">
        <v>75</v>
      </c>
    </row>
    <row r="508">
      <c r="A508" s="25" t="s">
        <v>68</v>
      </c>
      <c r="B508" s="31" t="s">
        <v>1148</v>
      </c>
      <c r="C508" s="31" t="s">
        <v>1149</v>
      </c>
      <c r="D508" s="32" t="s">
        <v>21</v>
      </c>
      <c r="E508" s="28" t="s">
        <v>71</v>
      </c>
      <c r="F508" s="33"/>
      <c r="G508" s="32" t="s">
        <v>1043</v>
      </c>
      <c r="H508" s="31" t="s">
        <v>1150</v>
      </c>
      <c r="I508" s="31" t="s">
        <v>1151</v>
      </c>
      <c r="J508" s="31"/>
      <c r="K508" s="31"/>
      <c r="L508" s="31" t="s">
        <v>75</v>
      </c>
    </row>
    <row r="509">
      <c r="A509" s="25" t="s">
        <v>68</v>
      </c>
      <c r="B509" s="31" t="s">
        <v>1152</v>
      </c>
      <c r="C509" s="31" t="s">
        <v>1153</v>
      </c>
      <c r="D509" s="32" t="s">
        <v>21</v>
      </c>
      <c r="E509" s="28" t="s">
        <v>71</v>
      </c>
      <c r="F509" s="33"/>
      <c r="G509" s="32" t="s">
        <v>72</v>
      </c>
      <c r="H509" s="31" t="s">
        <v>1065</v>
      </c>
      <c r="I509" s="31" t="s">
        <v>1066</v>
      </c>
      <c r="J509" s="31"/>
      <c r="K509" s="31"/>
      <c r="L509" s="31" t="s">
        <v>75</v>
      </c>
    </row>
    <row r="510">
      <c r="A510" s="25" t="s">
        <v>68</v>
      </c>
      <c r="B510" s="31" t="s">
        <v>1154</v>
      </c>
      <c r="C510" s="31" t="s">
        <v>1155</v>
      </c>
      <c r="D510" s="32" t="s">
        <v>14</v>
      </c>
      <c r="E510" s="28" t="s">
        <v>71</v>
      </c>
      <c r="F510" s="33"/>
      <c r="G510" s="32" t="s">
        <v>1043</v>
      </c>
      <c r="H510" s="31" t="s">
        <v>1156</v>
      </c>
      <c r="I510" s="31" t="s">
        <v>1044</v>
      </c>
      <c r="J510" s="31"/>
      <c r="K510" s="31"/>
      <c r="L510" s="31" t="s">
        <v>75</v>
      </c>
    </row>
    <row r="511">
      <c r="A511" s="25" t="s">
        <v>68</v>
      </c>
      <c r="B511" s="31" t="s">
        <v>1157</v>
      </c>
      <c r="C511" s="31" t="s">
        <v>1158</v>
      </c>
      <c r="D511" s="32" t="s">
        <v>22</v>
      </c>
      <c r="E511" s="28" t="s">
        <v>71</v>
      </c>
      <c r="F511" s="33" t="s">
        <v>1159</v>
      </c>
      <c r="G511" s="32" t="s">
        <v>72</v>
      </c>
      <c r="H511" s="31" t="s">
        <v>1160</v>
      </c>
      <c r="I511" s="31" t="s">
        <v>1085</v>
      </c>
      <c r="J511" s="31"/>
      <c r="K511" s="31"/>
      <c r="L511" s="31" t="s">
        <v>75</v>
      </c>
    </row>
    <row r="512">
      <c r="A512" s="25" t="s">
        <v>68</v>
      </c>
      <c r="B512" s="31" t="s">
        <v>1161</v>
      </c>
      <c r="C512" s="31" t="s">
        <v>1162</v>
      </c>
      <c r="D512" s="32" t="s">
        <v>21</v>
      </c>
      <c r="E512" s="28" t="s">
        <v>71</v>
      </c>
      <c r="F512" s="33">
        <v>9.234192854E9</v>
      </c>
      <c r="G512" s="32" t="s">
        <v>1043</v>
      </c>
      <c r="H512" s="31" t="s">
        <v>1163</v>
      </c>
      <c r="I512" s="31" t="s">
        <v>1164</v>
      </c>
      <c r="J512" s="31"/>
      <c r="K512" s="31"/>
      <c r="L512" s="31" t="s">
        <v>75</v>
      </c>
    </row>
    <row r="513">
      <c r="A513" s="25" t="s">
        <v>68</v>
      </c>
      <c r="B513" s="31" t="s">
        <v>1165</v>
      </c>
      <c r="C513" s="31" t="s">
        <v>1166</v>
      </c>
      <c r="D513" s="32" t="s">
        <v>21</v>
      </c>
      <c r="E513" s="28" t="s">
        <v>71</v>
      </c>
      <c r="F513" s="33">
        <v>8.188883E9</v>
      </c>
      <c r="G513" s="32" t="s">
        <v>72</v>
      </c>
      <c r="H513" s="31" t="s">
        <v>1167</v>
      </c>
      <c r="I513" s="31" t="s">
        <v>1168</v>
      </c>
      <c r="J513" s="31"/>
      <c r="K513" s="31"/>
      <c r="L513" s="31" t="s">
        <v>75</v>
      </c>
    </row>
    <row r="514">
      <c r="A514" s="25" t="s">
        <v>68</v>
      </c>
      <c r="B514" s="31" t="s">
        <v>1169</v>
      </c>
      <c r="C514" s="31" t="s">
        <v>1170</v>
      </c>
      <c r="D514" s="32" t="s">
        <v>30</v>
      </c>
      <c r="E514" s="28" t="s">
        <v>71</v>
      </c>
      <c r="F514" s="33"/>
      <c r="G514" s="32" t="s">
        <v>72</v>
      </c>
      <c r="H514" s="31" t="s">
        <v>1171</v>
      </c>
      <c r="I514" s="31" t="s">
        <v>1040</v>
      </c>
      <c r="J514" s="31"/>
      <c r="K514" s="31"/>
      <c r="L514" s="31" t="s">
        <v>75</v>
      </c>
    </row>
    <row r="515">
      <c r="A515" s="25" t="s">
        <v>68</v>
      </c>
      <c r="B515" s="31" t="s">
        <v>1172</v>
      </c>
      <c r="C515" s="31" t="s">
        <v>1173</v>
      </c>
      <c r="D515" s="32" t="s">
        <v>33</v>
      </c>
      <c r="E515" s="28" t="s">
        <v>71</v>
      </c>
      <c r="F515" s="33"/>
      <c r="G515" s="32" t="s">
        <v>72</v>
      </c>
      <c r="H515" s="31" t="s">
        <v>1174</v>
      </c>
      <c r="I515" s="31" t="s">
        <v>1175</v>
      </c>
      <c r="J515" s="31"/>
      <c r="K515" s="31"/>
      <c r="L515" s="31" t="s">
        <v>75</v>
      </c>
    </row>
    <row r="516">
      <c r="A516" s="25" t="s">
        <v>68</v>
      </c>
      <c r="B516" s="31" t="s">
        <v>1176</v>
      </c>
      <c r="C516" s="31" t="s">
        <v>1177</v>
      </c>
      <c r="D516" s="32" t="s">
        <v>16</v>
      </c>
      <c r="E516" s="28" t="s">
        <v>71</v>
      </c>
      <c r="F516" s="33"/>
      <c r="G516" s="32" t="s">
        <v>72</v>
      </c>
      <c r="H516" s="31" t="s">
        <v>1178</v>
      </c>
      <c r="I516" s="31" t="s">
        <v>1017</v>
      </c>
      <c r="J516" s="31"/>
      <c r="K516" s="31"/>
      <c r="L516" s="31" t="s">
        <v>75</v>
      </c>
    </row>
    <row r="517">
      <c r="A517" s="25" t="s">
        <v>68</v>
      </c>
      <c r="B517" s="31" t="s">
        <v>1179</v>
      </c>
      <c r="C517" s="31" t="s">
        <v>1180</v>
      </c>
      <c r="D517" s="32" t="s">
        <v>14</v>
      </c>
      <c r="E517" s="28" t="s">
        <v>71</v>
      </c>
      <c r="F517" s="33"/>
      <c r="G517" s="32" t="s">
        <v>1043</v>
      </c>
      <c r="H517" s="31" t="s">
        <v>1050</v>
      </c>
      <c r="I517" s="31" t="s">
        <v>1044</v>
      </c>
      <c r="J517" s="31"/>
      <c r="K517" s="31"/>
      <c r="L517" s="31" t="s">
        <v>75</v>
      </c>
    </row>
    <row r="518">
      <c r="A518" s="25" t="s">
        <v>68</v>
      </c>
      <c r="B518" s="31" t="s">
        <v>1181</v>
      </c>
      <c r="C518" s="31" t="s">
        <v>1182</v>
      </c>
      <c r="D518" s="32" t="s">
        <v>21</v>
      </c>
      <c r="E518" s="28" t="s">
        <v>71</v>
      </c>
      <c r="F518" s="33"/>
      <c r="G518" s="32" t="s">
        <v>72</v>
      </c>
      <c r="H518" s="31" t="s">
        <v>1183</v>
      </c>
      <c r="I518" s="31" t="s">
        <v>1066</v>
      </c>
      <c r="J518" s="31"/>
      <c r="K518" s="31"/>
      <c r="L518" s="31" t="s">
        <v>75</v>
      </c>
    </row>
    <row r="519">
      <c r="A519" s="25" t="s">
        <v>68</v>
      </c>
      <c r="B519" s="31" t="s">
        <v>1184</v>
      </c>
      <c r="C519" s="31" t="s">
        <v>1185</v>
      </c>
      <c r="D519" s="32" t="s">
        <v>21</v>
      </c>
      <c r="E519" s="28" t="s">
        <v>71</v>
      </c>
      <c r="F519" s="33">
        <v>8.510901001E9</v>
      </c>
      <c r="G519" s="32" t="s">
        <v>72</v>
      </c>
      <c r="H519" s="31" t="s">
        <v>1186</v>
      </c>
      <c r="I519" s="31" t="s">
        <v>1187</v>
      </c>
      <c r="J519" s="31"/>
      <c r="K519" s="34" t="s">
        <v>1188</v>
      </c>
      <c r="L519" s="34" t="s">
        <v>75</v>
      </c>
    </row>
    <row r="520">
      <c r="A520" s="25" t="s">
        <v>68</v>
      </c>
      <c r="B520" s="31" t="s">
        <v>1189</v>
      </c>
      <c r="C520" s="31" t="s">
        <v>1190</v>
      </c>
      <c r="D520" s="32" t="s">
        <v>21</v>
      </c>
      <c r="E520" s="28" t="s">
        <v>71</v>
      </c>
      <c r="F520" s="33">
        <v>6.399881057E9</v>
      </c>
      <c r="G520" s="32" t="s">
        <v>1043</v>
      </c>
      <c r="H520" s="31" t="s">
        <v>1191</v>
      </c>
      <c r="I520" s="31" t="s">
        <v>1192</v>
      </c>
      <c r="J520" s="31"/>
      <c r="K520" s="31"/>
      <c r="L520" s="31" t="s">
        <v>75</v>
      </c>
    </row>
    <row r="521">
      <c r="A521" s="25" t="s">
        <v>68</v>
      </c>
      <c r="B521" s="31" t="s">
        <v>1193</v>
      </c>
      <c r="C521" s="31" t="s">
        <v>1194</v>
      </c>
      <c r="D521" s="32" t="s">
        <v>14</v>
      </c>
      <c r="E521" s="28" t="s">
        <v>71</v>
      </c>
      <c r="F521" s="33" t="s">
        <v>1195</v>
      </c>
      <c r="G521" s="32" t="s">
        <v>72</v>
      </c>
      <c r="H521" s="31" t="s">
        <v>1196</v>
      </c>
      <c r="I521" s="31" t="s">
        <v>1197</v>
      </c>
      <c r="J521" s="31"/>
      <c r="K521" s="31"/>
      <c r="L521" s="31" t="s">
        <v>75</v>
      </c>
    </row>
    <row r="522">
      <c r="A522" s="25" t="s">
        <v>68</v>
      </c>
      <c r="B522" s="31" t="s">
        <v>275</v>
      </c>
      <c r="C522" s="31" t="s">
        <v>1198</v>
      </c>
      <c r="D522" s="32" t="s">
        <v>14</v>
      </c>
      <c r="E522" s="28" t="s">
        <v>71</v>
      </c>
      <c r="F522" s="33"/>
      <c r="G522" s="32" t="s">
        <v>72</v>
      </c>
      <c r="H522" s="31" t="s">
        <v>1199</v>
      </c>
      <c r="I522" s="31" t="s">
        <v>1200</v>
      </c>
      <c r="J522" s="31"/>
      <c r="K522" s="31"/>
      <c r="L522" s="31" t="s">
        <v>75</v>
      </c>
    </row>
    <row r="523">
      <c r="A523" s="25" t="s">
        <v>68</v>
      </c>
      <c r="B523" s="31" t="s">
        <v>1201</v>
      </c>
      <c r="C523" s="31" t="s">
        <v>1202</v>
      </c>
      <c r="D523" s="32" t="s">
        <v>14</v>
      </c>
      <c r="E523" s="28" t="s">
        <v>71</v>
      </c>
      <c r="F523" s="33" t="s">
        <v>1203</v>
      </c>
      <c r="G523" s="32" t="s">
        <v>72</v>
      </c>
      <c r="H523" s="31" t="s">
        <v>1107</v>
      </c>
      <c r="I523" s="31" t="s">
        <v>1116</v>
      </c>
      <c r="J523" s="31"/>
      <c r="K523" s="31"/>
      <c r="L523" s="31" t="s">
        <v>75</v>
      </c>
    </row>
    <row r="524">
      <c r="A524" s="25" t="s">
        <v>68</v>
      </c>
      <c r="B524" s="31" t="s">
        <v>1204</v>
      </c>
      <c r="C524" s="31" t="s">
        <v>1036</v>
      </c>
      <c r="D524" s="32" t="s">
        <v>14</v>
      </c>
      <c r="E524" s="28" t="s">
        <v>71</v>
      </c>
      <c r="F524" s="33"/>
      <c r="G524" s="32" t="s">
        <v>72</v>
      </c>
      <c r="H524" s="31" t="s">
        <v>1205</v>
      </c>
      <c r="I524" s="31" t="s">
        <v>1206</v>
      </c>
      <c r="J524" s="31"/>
      <c r="K524" s="31"/>
      <c r="L524" s="31" t="s">
        <v>75</v>
      </c>
    </row>
    <row r="525">
      <c r="A525" s="25" t="s">
        <v>68</v>
      </c>
      <c r="B525" s="31" t="s">
        <v>1207</v>
      </c>
      <c r="C525" s="31" t="s">
        <v>1208</v>
      </c>
      <c r="D525" s="32" t="s">
        <v>47</v>
      </c>
      <c r="E525" s="28" t="s">
        <v>71</v>
      </c>
      <c r="F525" s="33"/>
      <c r="G525" s="32" t="s">
        <v>72</v>
      </c>
      <c r="H525" s="31" t="s">
        <v>1209</v>
      </c>
      <c r="I525" s="31" t="s">
        <v>1210</v>
      </c>
      <c r="J525" s="31"/>
      <c r="K525" s="31"/>
      <c r="L525" s="31" t="s">
        <v>75</v>
      </c>
    </row>
    <row r="526">
      <c r="A526" s="25" t="s">
        <v>68</v>
      </c>
      <c r="B526" s="31" t="s">
        <v>1211</v>
      </c>
      <c r="C526" s="31" t="s">
        <v>1212</v>
      </c>
      <c r="D526" s="32" t="s">
        <v>21</v>
      </c>
      <c r="E526" s="28" t="s">
        <v>71</v>
      </c>
      <c r="F526" s="33">
        <v>9.855699522E9</v>
      </c>
      <c r="G526" s="32" t="s">
        <v>72</v>
      </c>
      <c r="H526" s="31" t="s">
        <v>1213</v>
      </c>
      <c r="I526" s="31" t="s">
        <v>1214</v>
      </c>
      <c r="J526" s="31"/>
      <c r="K526" s="31"/>
      <c r="L526" s="31" t="s">
        <v>75</v>
      </c>
    </row>
    <row r="527">
      <c r="A527" s="25" t="s">
        <v>68</v>
      </c>
      <c r="B527" s="31" t="s">
        <v>1215</v>
      </c>
      <c r="C527" s="31" t="s">
        <v>1216</v>
      </c>
      <c r="D527" s="32" t="s">
        <v>21</v>
      </c>
      <c r="E527" s="28" t="s">
        <v>71</v>
      </c>
      <c r="F527" s="33">
        <v>9.582028236E9</v>
      </c>
      <c r="G527" s="32" t="s">
        <v>1043</v>
      </c>
      <c r="H527" s="31" t="s">
        <v>1150</v>
      </c>
      <c r="I527" s="31" t="s">
        <v>1164</v>
      </c>
      <c r="J527" s="31"/>
      <c r="K527" s="31"/>
      <c r="L527" s="31" t="s">
        <v>75</v>
      </c>
    </row>
    <row r="528">
      <c r="A528" s="25" t="s">
        <v>68</v>
      </c>
      <c r="B528" s="31" t="s">
        <v>1217</v>
      </c>
      <c r="C528" s="31" t="s">
        <v>1218</v>
      </c>
      <c r="D528" s="32" t="s">
        <v>21</v>
      </c>
      <c r="E528" s="28" t="s">
        <v>71</v>
      </c>
      <c r="F528" s="33"/>
      <c r="G528" s="32" t="s">
        <v>72</v>
      </c>
      <c r="H528" s="31" t="s">
        <v>1065</v>
      </c>
      <c r="I528" s="31" t="s">
        <v>1053</v>
      </c>
      <c r="J528" s="31"/>
      <c r="K528" s="31"/>
      <c r="L528" s="31" t="s">
        <v>75</v>
      </c>
    </row>
    <row r="529">
      <c r="A529" s="25" t="s">
        <v>68</v>
      </c>
      <c r="B529" s="31" t="s">
        <v>1219</v>
      </c>
      <c r="C529" s="31" t="s">
        <v>1220</v>
      </c>
      <c r="D529" s="32" t="s">
        <v>21</v>
      </c>
      <c r="E529" s="28" t="s">
        <v>71</v>
      </c>
      <c r="F529" s="33"/>
      <c r="G529" s="32" t="s">
        <v>72</v>
      </c>
      <c r="H529" s="31" t="s">
        <v>1052</v>
      </c>
      <c r="I529" s="31" t="s">
        <v>1192</v>
      </c>
      <c r="J529" s="31"/>
      <c r="K529" s="31"/>
      <c r="L529" s="31" t="s">
        <v>75</v>
      </c>
    </row>
    <row r="530">
      <c r="A530" s="25" t="s">
        <v>68</v>
      </c>
      <c r="B530" s="31" t="s">
        <v>1221</v>
      </c>
      <c r="C530" s="31" t="s">
        <v>1222</v>
      </c>
      <c r="D530" s="32" t="s">
        <v>14</v>
      </c>
      <c r="E530" s="28" t="s">
        <v>71</v>
      </c>
      <c r="F530" s="33"/>
      <c r="G530" s="32" t="s">
        <v>1043</v>
      </c>
      <c r="H530" s="31" t="s">
        <v>1093</v>
      </c>
      <c r="I530" s="31" t="s">
        <v>1044</v>
      </c>
      <c r="J530" s="31"/>
      <c r="K530" s="31"/>
      <c r="L530" s="31" t="s">
        <v>75</v>
      </c>
    </row>
    <row r="531">
      <c r="A531" s="25" t="s">
        <v>68</v>
      </c>
      <c r="B531" s="31" t="s">
        <v>1223</v>
      </c>
      <c r="C531" s="31" t="s">
        <v>1224</v>
      </c>
      <c r="D531" s="32" t="s">
        <v>22</v>
      </c>
      <c r="E531" s="28" t="s">
        <v>71</v>
      </c>
      <c r="F531" s="33"/>
      <c r="G531" s="32" t="s">
        <v>72</v>
      </c>
      <c r="H531" s="31" t="s">
        <v>1225</v>
      </c>
      <c r="I531" s="31" t="s">
        <v>1226</v>
      </c>
      <c r="J531" s="31"/>
      <c r="K531" s="31"/>
      <c r="L531" s="31" t="s">
        <v>75</v>
      </c>
    </row>
    <row r="532">
      <c r="A532" s="25" t="s">
        <v>68</v>
      </c>
      <c r="B532" s="31" t="s">
        <v>1227</v>
      </c>
      <c r="C532" s="31" t="s">
        <v>1228</v>
      </c>
      <c r="D532" s="32" t="s">
        <v>16</v>
      </c>
      <c r="E532" s="28" t="s">
        <v>71</v>
      </c>
      <c r="F532" s="33" t="s">
        <v>1229</v>
      </c>
      <c r="G532" s="32" t="s">
        <v>72</v>
      </c>
      <c r="H532" s="31" t="s">
        <v>1230</v>
      </c>
      <c r="I532" s="31" t="s">
        <v>1231</v>
      </c>
      <c r="J532" s="31"/>
      <c r="K532" s="31"/>
      <c r="L532" s="31" t="s">
        <v>75</v>
      </c>
    </row>
    <row r="533">
      <c r="A533" s="25" t="s">
        <v>68</v>
      </c>
      <c r="B533" s="31" t="s">
        <v>1232</v>
      </c>
      <c r="C533" s="31" t="s">
        <v>1233</v>
      </c>
      <c r="D533" s="32" t="s">
        <v>22</v>
      </c>
      <c r="E533" s="28" t="s">
        <v>71</v>
      </c>
      <c r="F533" s="33"/>
      <c r="G533" s="32" t="s">
        <v>72</v>
      </c>
      <c r="H533" s="31" t="s">
        <v>1234</v>
      </c>
      <c r="I533" s="31" t="s">
        <v>1226</v>
      </c>
      <c r="J533" s="31"/>
      <c r="K533" s="31"/>
      <c r="L533" s="31" t="s">
        <v>75</v>
      </c>
    </row>
    <row r="534">
      <c r="A534" s="25" t="s">
        <v>68</v>
      </c>
      <c r="B534" s="31" t="s">
        <v>1235</v>
      </c>
      <c r="C534" s="31" t="s">
        <v>1236</v>
      </c>
      <c r="D534" s="32" t="s">
        <v>39</v>
      </c>
      <c r="E534" s="28" t="s">
        <v>71</v>
      </c>
      <c r="F534" s="33"/>
      <c r="G534" s="32" t="s">
        <v>72</v>
      </c>
      <c r="H534" s="31" t="s">
        <v>1237</v>
      </c>
      <c r="I534" s="31" t="s">
        <v>1238</v>
      </c>
      <c r="J534" s="31"/>
      <c r="K534" s="31"/>
      <c r="L534" s="31" t="s">
        <v>75</v>
      </c>
    </row>
    <row r="535">
      <c r="A535" s="25" t="s">
        <v>68</v>
      </c>
      <c r="B535" s="31" t="s">
        <v>1239</v>
      </c>
      <c r="C535" s="31" t="s">
        <v>1240</v>
      </c>
      <c r="D535" s="32" t="s">
        <v>22</v>
      </c>
      <c r="E535" s="28" t="s">
        <v>71</v>
      </c>
      <c r="F535" s="33" t="s">
        <v>1241</v>
      </c>
      <c r="G535" s="32" t="s">
        <v>72</v>
      </c>
      <c r="H535" s="31" t="s">
        <v>1242</v>
      </c>
      <c r="I535" s="31" t="s">
        <v>1243</v>
      </c>
      <c r="J535" s="31"/>
      <c r="K535" s="31"/>
      <c r="L535" s="31" t="s">
        <v>75</v>
      </c>
    </row>
    <row r="536">
      <c r="A536" s="25" t="s">
        <v>68</v>
      </c>
      <c r="B536" s="31" t="s">
        <v>1244</v>
      </c>
      <c r="C536" s="31" t="s">
        <v>1245</v>
      </c>
      <c r="D536" s="32" t="s">
        <v>21</v>
      </c>
      <c r="E536" s="28" t="s">
        <v>71</v>
      </c>
      <c r="F536" s="33"/>
      <c r="G536" s="32" t="s">
        <v>72</v>
      </c>
      <c r="H536" s="31" t="s">
        <v>1246</v>
      </c>
      <c r="I536" s="31" t="s">
        <v>1192</v>
      </c>
      <c r="J536" s="31"/>
      <c r="K536" s="31"/>
      <c r="L536" s="31" t="s">
        <v>75</v>
      </c>
    </row>
    <row r="537">
      <c r="A537" s="25" t="s">
        <v>68</v>
      </c>
      <c r="B537" s="31" t="s">
        <v>1247</v>
      </c>
      <c r="C537" s="31" t="s">
        <v>1248</v>
      </c>
      <c r="D537" s="32" t="s">
        <v>21</v>
      </c>
      <c r="E537" s="28" t="s">
        <v>71</v>
      </c>
      <c r="F537" s="33"/>
      <c r="G537" s="32" t="s">
        <v>72</v>
      </c>
      <c r="H537" s="31" t="s">
        <v>1249</v>
      </c>
      <c r="I537" s="31" t="s">
        <v>1053</v>
      </c>
      <c r="J537" s="31"/>
      <c r="K537" s="31"/>
      <c r="L537" s="31" t="s">
        <v>75</v>
      </c>
    </row>
    <row r="538">
      <c r="A538" s="25" t="s">
        <v>68</v>
      </c>
      <c r="B538" s="31" t="s">
        <v>1250</v>
      </c>
      <c r="C538" s="31" t="s">
        <v>1251</v>
      </c>
      <c r="D538" s="32" t="s">
        <v>14</v>
      </c>
      <c r="E538" s="28" t="s">
        <v>71</v>
      </c>
      <c r="F538" s="33"/>
      <c r="G538" s="32" t="s">
        <v>72</v>
      </c>
      <c r="H538" s="31" t="s">
        <v>1199</v>
      </c>
      <c r="I538" s="31" t="s">
        <v>1029</v>
      </c>
      <c r="J538" s="31"/>
      <c r="K538" s="31"/>
      <c r="L538" s="31" t="s">
        <v>75</v>
      </c>
    </row>
    <row r="539">
      <c r="A539" s="25" t="s">
        <v>68</v>
      </c>
      <c r="B539" s="31" t="s">
        <v>1252</v>
      </c>
      <c r="C539" s="31" t="s">
        <v>1253</v>
      </c>
      <c r="D539" s="32" t="s">
        <v>21</v>
      </c>
      <c r="E539" s="28" t="s">
        <v>71</v>
      </c>
      <c r="F539" s="33"/>
      <c r="G539" s="32" t="s">
        <v>72</v>
      </c>
      <c r="H539" s="31" t="s">
        <v>1052</v>
      </c>
      <c r="I539" s="31" t="s">
        <v>1053</v>
      </c>
      <c r="J539" s="31"/>
      <c r="K539" s="31"/>
      <c r="L539" s="31" t="s">
        <v>75</v>
      </c>
    </row>
    <row r="540">
      <c r="A540" s="25" t="s">
        <v>68</v>
      </c>
      <c r="B540" s="31" t="s">
        <v>1254</v>
      </c>
      <c r="C540" s="31" t="s">
        <v>1255</v>
      </c>
      <c r="D540" s="32" t="s">
        <v>14</v>
      </c>
      <c r="E540" s="28" t="s">
        <v>71</v>
      </c>
      <c r="F540" s="33"/>
      <c r="G540" s="32" t="s">
        <v>72</v>
      </c>
      <c r="H540" s="31" t="s">
        <v>1256</v>
      </c>
      <c r="I540" s="31" t="s">
        <v>1029</v>
      </c>
      <c r="J540" s="31"/>
      <c r="K540" s="31"/>
      <c r="L540" s="31" t="s">
        <v>75</v>
      </c>
    </row>
    <row r="541">
      <c r="A541" s="25" t="s">
        <v>68</v>
      </c>
      <c r="B541" s="31" t="s">
        <v>1257</v>
      </c>
      <c r="C541" s="31" t="s">
        <v>1258</v>
      </c>
      <c r="D541" s="32" t="s">
        <v>21</v>
      </c>
      <c r="E541" s="28" t="s">
        <v>71</v>
      </c>
      <c r="F541" s="33"/>
      <c r="G541" s="32" t="s">
        <v>72</v>
      </c>
      <c r="H541" s="31" t="s">
        <v>1097</v>
      </c>
      <c r="I541" s="31" t="s">
        <v>1053</v>
      </c>
      <c r="J541" s="31"/>
      <c r="K541" s="31"/>
      <c r="L541" s="31" t="s">
        <v>75</v>
      </c>
    </row>
    <row r="542">
      <c r="A542" s="25" t="s">
        <v>68</v>
      </c>
      <c r="B542" s="31" t="s">
        <v>1259</v>
      </c>
      <c r="C542" s="31" t="s">
        <v>1260</v>
      </c>
      <c r="D542" s="32" t="s">
        <v>21</v>
      </c>
      <c r="E542" s="28" t="s">
        <v>71</v>
      </c>
      <c r="F542" s="33">
        <v>8.28747296E9</v>
      </c>
      <c r="G542" s="32" t="s">
        <v>72</v>
      </c>
      <c r="H542" s="31" t="s">
        <v>1186</v>
      </c>
      <c r="I542" s="31" t="s">
        <v>1187</v>
      </c>
      <c r="J542" s="31"/>
      <c r="K542" s="31"/>
      <c r="L542" s="31" t="s">
        <v>75</v>
      </c>
    </row>
    <row r="543">
      <c r="A543" s="25" t="s">
        <v>68</v>
      </c>
      <c r="B543" s="31" t="s">
        <v>1261</v>
      </c>
      <c r="C543" s="31" t="s">
        <v>1262</v>
      </c>
      <c r="D543" s="32" t="s">
        <v>14</v>
      </c>
      <c r="E543" s="28" t="s">
        <v>71</v>
      </c>
      <c r="F543" s="33"/>
      <c r="G543" s="32" t="s">
        <v>72</v>
      </c>
      <c r="H543" s="31" t="s">
        <v>1263</v>
      </c>
      <c r="I543" s="31" t="s">
        <v>1264</v>
      </c>
      <c r="J543" s="31"/>
      <c r="K543" s="31"/>
      <c r="L543" s="31" t="s">
        <v>75</v>
      </c>
    </row>
    <row r="544">
      <c r="A544" s="25" t="s">
        <v>68</v>
      </c>
      <c r="B544" s="31" t="s">
        <v>1265</v>
      </c>
      <c r="C544" s="31" t="s">
        <v>1266</v>
      </c>
      <c r="D544" s="32" t="s">
        <v>21</v>
      </c>
      <c r="E544" s="28" t="s">
        <v>71</v>
      </c>
      <c r="F544" s="33"/>
      <c r="G544" s="32" t="s">
        <v>72</v>
      </c>
      <c r="H544" s="31" t="s">
        <v>1267</v>
      </c>
      <c r="I544" s="31" t="s">
        <v>1214</v>
      </c>
      <c r="J544" s="31"/>
      <c r="K544" s="31"/>
      <c r="L544" s="31" t="s">
        <v>75</v>
      </c>
    </row>
    <row r="545">
      <c r="A545" s="25" t="s">
        <v>68</v>
      </c>
      <c r="B545" s="31" t="s">
        <v>1268</v>
      </c>
      <c r="C545" s="31" t="s">
        <v>1269</v>
      </c>
      <c r="D545" s="32" t="s">
        <v>14</v>
      </c>
      <c r="E545" s="28" t="s">
        <v>71</v>
      </c>
      <c r="F545" s="33"/>
      <c r="G545" s="32" t="s">
        <v>72</v>
      </c>
      <c r="H545" s="31" t="s">
        <v>1270</v>
      </c>
      <c r="I545" s="31" t="s">
        <v>648</v>
      </c>
      <c r="J545" s="31"/>
      <c r="K545" s="31"/>
      <c r="L545" s="31" t="s">
        <v>75</v>
      </c>
    </row>
    <row r="546">
      <c r="A546" s="25" t="s">
        <v>68</v>
      </c>
      <c r="B546" s="31" t="s">
        <v>1271</v>
      </c>
      <c r="C546" s="31" t="s">
        <v>1272</v>
      </c>
      <c r="D546" s="32" t="s">
        <v>16</v>
      </c>
      <c r="E546" s="28" t="s">
        <v>71</v>
      </c>
      <c r="F546" s="33"/>
      <c r="G546" s="32" t="s">
        <v>1273</v>
      </c>
      <c r="H546" s="31" t="s">
        <v>1274</v>
      </c>
      <c r="I546" s="31" t="s">
        <v>1017</v>
      </c>
      <c r="J546" s="31"/>
      <c r="K546" s="31"/>
      <c r="L546" s="31" t="s">
        <v>75</v>
      </c>
    </row>
    <row r="547">
      <c r="A547" s="25" t="s">
        <v>68</v>
      </c>
      <c r="B547" s="31" t="s">
        <v>1275</v>
      </c>
      <c r="C547" s="31" t="s">
        <v>1276</v>
      </c>
      <c r="D547" s="32" t="s">
        <v>22</v>
      </c>
      <c r="E547" s="28" t="s">
        <v>71</v>
      </c>
      <c r="F547" s="33"/>
      <c r="G547" s="32" t="s">
        <v>72</v>
      </c>
      <c r="H547" s="31" t="s">
        <v>1120</v>
      </c>
      <c r="I547" s="31" t="s">
        <v>1224</v>
      </c>
      <c r="J547" s="31"/>
      <c r="K547" s="31"/>
      <c r="L547" s="31" t="s">
        <v>75</v>
      </c>
    </row>
    <row r="548">
      <c r="A548" s="25" t="s">
        <v>68</v>
      </c>
      <c r="B548" s="31" t="s">
        <v>1277</v>
      </c>
      <c r="C548" s="31" t="s">
        <v>1278</v>
      </c>
      <c r="D548" s="32" t="s">
        <v>21</v>
      </c>
      <c r="E548" s="28" t="s">
        <v>71</v>
      </c>
      <c r="F548" s="33"/>
      <c r="G548" s="32" t="s">
        <v>72</v>
      </c>
      <c r="H548" s="31" t="s">
        <v>1279</v>
      </c>
      <c r="I548" s="31" t="s">
        <v>1053</v>
      </c>
      <c r="J548" s="31"/>
      <c r="K548" s="31"/>
      <c r="L548" s="31" t="s">
        <v>75</v>
      </c>
    </row>
    <row r="549">
      <c r="A549" s="25" t="s">
        <v>68</v>
      </c>
      <c r="B549" s="31" t="s">
        <v>1280</v>
      </c>
      <c r="C549" s="31" t="s">
        <v>1281</v>
      </c>
      <c r="D549" s="32" t="s">
        <v>14</v>
      </c>
      <c r="E549" s="28" t="s">
        <v>71</v>
      </c>
      <c r="F549" s="33"/>
      <c r="G549" s="32" t="s">
        <v>72</v>
      </c>
      <c r="H549" s="31" t="s">
        <v>1020</v>
      </c>
      <c r="I549" s="31" t="s">
        <v>1054</v>
      </c>
      <c r="J549" s="31"/>
      <c r="K549" s="31"/>
      <c r="L549" s="31" t="s">
        <v>75</v>
      </c>
    </row>
    <row r="550">
      <c r="A550" s="25" t="s">
        <v>68</v>
      </c>
      <c r="B550" s="31" t="s">
        <v>1282</v>
      </c>
      <c r="C550" s="31" t="s">
        <v>1283</v>
      </c>
      <c r="D550" s="32" t="s">
        <v>14</v>
      </c>
      <c r="E550" s="28" t="s">
        <v>71</v>
      </c>
      <c r="F550" s="33"/>
      <c r="G550" s="32" t="s">
        <v>1043</v>
      </c>
      <c r="H550" s="31" t="s">
        <v>1093</v>
      </c>
      <c r="I550" s="31" t="s">
        <v>1044</v>
      </c>
      <c r="J550" s="31"/>
      <c r="K550" s="31"/>
      <c r="L550" s="31" t="s">
        <v>75</v>
      </c>
    </row>
    <row r="551">
      <c r="A551" s="25" t="s">
        <v>68</v>
      </c>
      <c r="B551" s="31" t="s">
        <v>1284</v>
      </c>
      <c r="C551" s="31" t="s">
        <v>1285</v>
      </c>
      <c r="D551" s="32" t="s">
        <v>33</v>
      </c>
      <c r="E551" s="28" t="s">
        <v>71</v>
      </c>
      <c r="F551" s="33"/>
      <c r="G551" s="32" t="s">
        <v>1273</v>
      </c>
      <c r="H551" s="31" t="s">
        <v>1286</v>
      </c>
      <c r="I551" s="31" t="s">
        <v>1287</v>
      </c>
      <c r="J551" s="31"/>
      <c r="K551" s="31"/>
      <c r="L551" s="31" t="s">
        <v>75</v>
      </c>
    </row>
    <row r="552">
      <c r="A552" s="25" t="s">
        <v>68</v>
      </c>
      <c r="B552" s="31" t="s">
        <v>1288</v>
      </c>
      <c r="C552" s="31" t="s">
        <v>1289</v>
      </c>
      <c r="D552" s="32" t="s">
        <v>22</v>
      </c>
      <c r="E552" s="28" t="s">
        <v>71</v>
      </c>
      <c r="F552" s="33"/>
      <c r="G552" s="32" t="s">
        <v>72</v>
      </c>
      <c r="H552" s="31" t="s">
        <v>1290</v>
      </c>
      <c r="I552" s="31" t="s">
        <v>1240</v>
      </c>
      <c r="J552" s="31"/>
      <c r="K552" s="31"/>
      <c r="L552" s="31" t="s">
        <v>75</v>
      </c>
    </row>
    <row r="553">
      <c r="A553" s="25" t="s">
        <v>68</v>
      </c>
      <c r="B553" s="31" t="s">
        <v>1291</v>
      </c>
      <c r="C553" s="31" t="s">
        <v>1292</v>
      </c>
      <c r="D553" s="32" t="s">
        <v>14</v>
      </c>
      <c r="E553" s="28" t="s">
        <v>71</v>
      </c>
      <c r="F553" s="33" t="s">
        <v>1293</v>
      </c>
      <c r="G553" s="32" t="s">
        <v>72</v>
      </c>
      <c r="H553" s="31" t="s">
        <v>1270</v>
      </c>
      <c r="I553" s="31" t="s">
        <v>1026</v>
      </c>
      <c r="J553" s="31"/>
      <c r="K553" s="31"/>
      <c r="L553" s="31" t="s">
        <v>75</v>
      </c>
    </row>
    <row r="554">
      <c r="A554" s="25" t="s">
        <v>68</v>
      </c>
      <c r="B554" s="31" t="s">
        <v>1294</v>
      </c>
      <c r="C554" s="31" t="s">
        <v>1295</v>
      </c>
      <c r="D554" s="32" t="s">
        <v>14</v>
      </c>
      <c r="E554" s="28" t="s">
        <v>71</v>
      </c>
      <c r="F554" s="33" t="s">
        <v>1296</v>
      </c>
      <c r="G554" s="32" t="s">
        <v>72</v>
      </c>
      <c r="H554" s="31" t="s">
        <v>1199</v>
      </c>
      <c r="I554" s="31" t="s">
        <v>1297</v>
      </c>
      <c r="J554" s="31"/>
      <c r="K554" s="31"/>
      <c r="L554" s="31" t="s">
        <v>75</v>
      </c>
    </row>
    <row r="555">
      <c r="A555" s="25" t="s">
        <v>68</v>
      </c>
      <c r="B555" s="31" t="s">
        <v>1298</v>
      </c>
      <c r="C555" s="31" t="s">
        <v>1299</v>
      </c>
      <c r="D555" s="32" t="s">
        <v>22</v>
      </c>
      <c r="E555" s="28" t="s">
        <v>71</v>
      </c>
      <c r="F555" s="33" t="s">
        <v>1300</v>
      </c>
      <c r="G555" s="32" t="s">
        <v>72</v>
      </c>
      <c r="H555" s="31" t="s">
        <v>1301</v>
      </c>
      <c r="I555" s="31" t="s">
        <v>1240</v>
      </c>
      <c r="J555" s="31"/>
      <c r="K555" s="31"/>
      <c r="L555" s="31" t="s">
        <v>75</v>
      </c>
    </row>
    <row r="556">
      <c r="A556" s="25" t="s">
        <v>68</v>
      </c>
      <c r="B556" s="31" t="s">
        <v>1302</v>
      </c>
      <c r="C556" s="31" t="s">
        <v>1303</v>
      </c>
      <c r="D556" s="32" t="s">
        <v>14</v>
      </c>
      <c r="E556" s="28" t="s">
        <v>71</v>
      </c>
      <c r="F556" s="33"/>
      <c r="G556" s="32" t="s">
        <v>1043</v>
      </c>
      <c r="H556" s="31" t="s">
        <v>1093</v>
      </c>
      <c r="I556" s="31" t="s">
        <v>1044</v>
      </c>
      <c r="J556" s="31"/>
      <c r="K556" s="31"/>
      <c r="L556" s="31" t="s">
        <v>75</v>
      </c>
    </row>
    <row r="557">
      <c r="A557" s="25" t="s">
        <v>68</v>
      </c>
      <c r="B557" s="31" t="s">
        <v>1304</v>
      </c>
      <c r="C557" s="31" t="s">
        <v>1305</v>
      </c>
      <c r="D557" s="32" t="s">
        <v>21</v>
      </c>
      <c r="E557" s="28" t="s">
        <v>71</v>
      </c>
      <c r="F557" s="33">
        <v>9.310753386E9</v>
      </c>
      <c r="G557" s="32" t="s">
        <v>1043</v>
      </c>
      <c r="H557" s="31" t="s">
        <v>1267</v>
      </c>
      <c r="I557" s="31" t="s">
        <v>1164</v>
      </c>
      <c r="J557" s="31"/>
      <c r="K557" s="31"/>
      <c r="L557" s="31" t="s">
        <v>75</v>
      </c>
    </row>
    <row r="558">
      <c r="A558" s="25" t="s">
        <v>68</v>
      </c>
      <c r="B558" s="31" t="s">
        <v>1306</v>
      </c>
      <c r="C558" s="31" t="s">
        <v>1307</v>
      </c>
      <c r="D558" s="32" t="s">
        <v>21</v>
      </c>
      <c r="E558" s="28" t="s">
        <v>71</v>
      </c>
      <c r="F558" s="33">
        <v>8.800515119E9</v>
      </c>
      <c r="G558" s="32" t="s">
        <v>1043</v>
      </c>
      <c r="H558" s="31" t="s">
        <v>1163</v>
      </c>
      <c r="I558" s="31" t="s">
        <v>1164</v>
      </c>
      <c r="J558" s="31"/>
      <c r="K558" s="34" t="s">
        <v>1308</v>
      </c>
      <c r="L558" s="34" t="s">
        <v>75</v>
      </c>
    </row>
    <row r="559">
      <c r="A559" s="25" t="s">
        <v>68</v>
      </c>
      <c r="B559" s="31" t="s">
        <v>1309</v>
      </c>
      <c r="C559" s="31" t="s">
        <v>1310</v>
      </c>
      <c r="D559" s="32" t="s">
        <v>21</v>
      </c>
      <c r="E559" s="28" t="s">
        <v>71</v>
      </c>
      <c r="F559" s="33">
        <v>9.990483291E9</v>
      </c>
      <c r="G559" s="32" t="s">
        <v>1043</v>
      </c>
      <c r="H559" s="31" t="s">
        <v>1191</v>
      </c>
      <c r="I559" s="31" t="s">
        <v>1192</v>
      </c>
      <c r="J559" s="31"/>
      <c r="K559" s="31"/>
      <c r="L559" s="31" t="s">
        <v>75</v>
      </c>
    </row>
    <row r="560">
      <c r="A560" s="25" t="s">
        <v>68</v>
      </c>
      <c r="B560" s="31" t="s">
        <v>1311</v>
      </c>
      <c r="C560" s="31" t="s">
        <v>1312</v>
      </c>
      <c r="D560" s="32" t="s">
        <v>25</v>
      </c>
      <c r="E560" s="28" t="s">
        <v>71</v>
      </c>
      <c r="F560" s="33" t="s">
        <v>1313</v>
      </c>
      <c r="G560" s="32" t="s">
        <v>72</v>
      </c>
      <c r="H560" s="31" t="s">
        <v>1314</v>
      </c>
      <c r="I560" s="31" t="s">
        <v>1315</v>
      </c>
      <c r="J560" s="31"/>
      <c r="K560" s="31"/>
      <c r="L560" s="31" t="s">
        <v>75</v>
      </c>
    </row>
    <row r="561">
      <c r="A561" s="25" t="s">
        <v>68</v>
      </c>
      <c r="B561" s="31" t="s">
        <v>1316</v>
      </c>
      <c r="C561" s="31" t="s">
        <v>1317</v>
      </c>
      <c r="D561" s="32" t="s">
        <v>17</v>
      </c>
      <c r="E561" s="28" t="s">
        <v>71</v>
      </c>
      <c r="F561" s="33" t="s">
        <v>1318</v>
      </c>
      <c r="G561" s="32" t="s">
        <v>72</v>
      </c>
      <c r="H561" s="31" t="s">
        <v>1319</v>
      </c>
      <c r="I561" s="31" t="s">
        <v>1112</v>
      </c>
      <c r="J561" s="31"/>
      <c r="K561" s="31"/>
      <c r="L561" s="31" t="s">
        <v>75</v>
      </c>
    </row>
    <row r="562">
      <c r="A562" s="25" t="s">
        <v>68</v>
      </c>
      <c r="B562" s="31" t="s">
        <v>1320</v>
      </c>
      <c r="C562" s="31" t="s">
        <v>1321</v>
      </c>
      <c r="D562" s="32" t="s">
        <v>30</v>
      </c>
      <c r="E562" s="28" t="s">
        <v>71</v>
      </c>
      <c r="F562" s="33"/>
      <c r="G562" s="32" t="s">
        <v>72</v>
      </c>
      <c r="H562" s="31" t="s">
        <v>1322</v>
      </c>
      <c r="I562" s="31" t="s">
        <v>1323</v>
      </c>
      <c r="J562" s="31"/>
      <c r="K562" s="31"/>
      <c r="L562" s="31" t="s">
        <v>75</v>
      </c>
    </row>
    <row r="563">
      <c r="A563" s="25" t="s">
        <v>68</v>
      </c>
      <c r="B563" s="31" t="s">
        <v>1324</v>
      </c>
      <c r="C563" s="31" t="s">
        <v>1325</v>
      </c>
      <c r="D563" s="32" t="s">
        <v>17</v>
      </c>
      <c r="E563" s="28" t="s">
        <v>71</v>
      </c>
      <c r="F563" s="33" t="s">
        <v>1326</v>
      </c>
      <c r="G563" s="32" t="s">
        <v>72</v>
      </c>
      <c r="H563" s="31" t="s">
        <v>1327</v>
      </c>
      <c r="I563" s="31" t="s">
        <v>1328</v>
      </c>
      <c r="J563" s="31"/>
      <c r="K563" s="31"/>
      <c r="L563" s="31" t="s">
        <v>75</v>
      </c>
    </row>
    <row r="564">
      <c r="A564" s="25" t="s">
        <v>68</v>
      </c>
      <c r="B564" s="31" t="s">
        <v>1329</v>
      </c>
      <c r="C564" s="31" t="s">
        <v>1330</v>
      </c>
      <c r="D564" s="32" t="s">
        <v>14</v>
      </c>
      <c r="E564" s="28" t="s">
        <v>71</v>
      </c>
      <c r="F564" s="33"/>
      <c r="G564" s="32" t="s">
        <v>72</v>
      </c>
      <c r="H564" s="31" t="s">
        <v>1107</v>
      </c>
      <c r="I564" s="31" t="s">
        <v>1331</v>
      </c>
      <c r="J564" s="31"/>
      <c r="K564" s="31"/>
      <c r="L564" s="31" t="s">
        <v>75</v>
      </c>
    </row>
    <row r="565">
      <c r="A565" s="25" t="s">
        <v>68</v>
      </c>
      <c r="B565" s="31" t="s">
        <v>1332</v>
      </c>
      <c r="C565" s="31" t="s">
        <v>1333</v>
      </c>
      <c r="D565" s="32" t="s">
        <v>22</v>
      </c>
      <c r="E565" s="28" t="s">
        <v>71</v>
      </c>
      <c r="F565" s="33"/>
      <c r="G565" s="32" t="s">
        <v>72</v>
      </c>
      <c r="H565" s="31" t="s">
        <v>1334</v>
      </c>
      <c r="I565" s="31" t="s">
        <v>1226</v>
      </c>
      <c r="J565" s="31"/>
      <c r="K565" s="31"/>
      <c r="L565" s="31" t="s">
        <v>75</v>
      </c>
    </row>
    <row r="566">
      <c r="A566" s="25" t="s">
        <v>68</v>
      </c>
      <c r="B566" s="31" t="s">
        <v>1335</v>
      </c>
      <c r="C566" s="31" t="s">
        <v>1336</v>
      </c>
      <c r="D566" s="32" t="s">
        <v>21</v>
      </c>
      <c r="E566" s="28" t="s">
        <v>71</v>
      </c>
      <c r="F566" s="33">
        <v>9.690255071E9</v>
      </c>
      <c r="G566" s="32" t="s">
        <v>72</v>
      </c>
      <c r="H566" s="31" t="s">
        <v>1213</v>
      </c>
      <c r="I566" s="31" t="s">
        <v>1187</v>
      </c>
      <c r="J566" s="31"/>
      <c r="K566" s="31"/>
      <c r="L566" s="31" t="s">
        <v>75</v>
      </c>
    </row>
    <row r="567">
      <c r="A567" s="25" t="s">
        <v>68</v>
      </c>
      <c r="B567" s="31" t="s">
        <v>1337</v>
      </c>
      <c r="C567" s="31" t="s">
        <v>1338</v>
      </c>
      <c r="D567" s="32" t="s">
        <v>21</v>
      </c>
      <c r="E567" s="28" t="s">
        <v>71</v>
      </c>
      <c r="F567" s="33"/>
      <c r="G567" s="32" t="s">
        <v>72</v>
      </c>
      <c r="H567" s="31" t="s">
        <v>1186</v>
      </c>
      <c r="I567" s="31" t="s">
        <v>1187</v>
      </c>
      <c r="J567" s="31"/>
      <c r="K567" s="31"/>
      <c r="L567" s="31" t="s">
        <v>75</v>
      </c>
    </row>
    <row r="568">
      <c r="A568" s="25" t="s">
        <v>68</v>
      </c>
      <c r="B568" s="31" t="s">
        <v>1339</v>
      </c>
      <c r="C568" s="31" t="s">
        <v>1340</v>
      </c>
      <c r="D568" s="32" t="s">
        <v>21</v>
      </c>
      <c r="E568" s="28" t="s">
        <v>71</v>
      </c>
      <c r="F568" s="33"/>
      <c r="G568" s="32" t="s">
        <v>72</v>
      </c>
      <c r="H568" s="31" t="s">
        <v>1097</v>
      </c>
      <c r="I568" s="31" t="s">
        <v>1053</v>
      </c>
      <c r="J568" s="31"/>
      <c r="K568" s="31"/>
      <c r="L568" s="31" t="s">
        <v>75</v>
      </c>
    </row>
    <row r="569">
      <c r="A569" s="25" t="s">
        <v>68</v>
      </c>
      <c r="B569" s="31" t="s">
        <v>1341</v>
      </c>
      <c r="C569" s="31" t="s">
        <v>1342</v>
      </c>
      <c r="D569" s="32" t="s">
        <v>21</v>
      </c>
      <c r="E569" s="28" t="s">
        <v>71</v>
      </c>
      <c r="F569" s="33"/>
      <c r="G569" s="32" t="s">
        <v>72</v>
      </c>
      <c r="H569" s="31" t="s">
        <v>1052</v>
      </c>
      <c r="I569" s="31" t="s">
        <v>1053</v>
      </c>
      <c r="J569" s="31"/>
      <c r="K569" s="31"/>
      <c r="L569" s="31" t="s">
        <v>75</v>
      </c>
    </row>
    <row r="570">
      <c r="A570" s="25" t="s">
        <v>68</v>
      </c>
      <c r="B570" s="31" t="s">
        <v>1343</v>
      </c>
      <c r="C570" s="31" t="s">
        <v>1344</v>
      </c>
      <c r="D570" s="32" t="s">
        <v>21</v>
      </c>
      <c r="E570" s="28" t="s">
        <v>71</v>
      </c>
      <c r="F570" s="33">
        <v>8.700184178E9</v>
      </c>
      <c r="G570" s="32" t="s">
        <v>1043</v>
      </c>
      <c r="H570" s="31" t="s">
        <v>1163</v>
      </c>
      <c r="I570" s="31" t="s">
        <v>1164</v>
      </c>
      <c r="J570" s="31"/>
      <c r="K570" s="31"/>
      <c r="L570" s="31" t="s">
        <v>75</v>
      </c>
    </row>
    <row r="571">
      <c r="A571" s="25" t="s">
        <v>68</v>
      </c>
      <c r="B571" s="31" t="s">
        <v>1345</v>
      </c>
      <c r="C571" s="31" t="s">
        <v>1346</v>
      </c>
      <c r="D571" s="32" t="s">
        <v>14</v>
      </c>
      <c r="E571" s="28" t="s">
        <v>71</v>
      </c>
      <c r="F571" s="33"/>
      <c r="G571" s="32" t="s">
        <v>72</v>
      </c>
      <c r="H571" s="31" t="s">
        <v>1347</v>
      </c>
      <c r="I571" s="31" t="s">
        <v>1061</v>
      </c>
      <c r="J571" s="31"/>
      <c r="K571" s="31"/>
      <c r="L571" s="31" t="s">
        <v>75</v>
      </c>
    </row>
    <row r="572">
      <c r="A572" s="25" t="s">
        <v>68</v>
      </c>
      <c r="B572" s="31" t="s">
        <v>1348</v>
      </c>
      <c r="C572" s="31" t="s">
        <v>1349</v>
      </c>
      <c r="D572" s="32" t="s">
        <v>30</v>
      </c>
      <c r="E572" s="28" t="s">
        <v>71</v>
      </c>
      <c r="F572" s="33"/>
      <c r="G572" s="32" t="s">
        <v>72</v>
      </c>
      <c r="H572" s="31" t="s">
        <v>1350</v>
      </c>
      <c r="I572" s="31" t="s">
        <v>1351</v>
      </c>
      <c r="J572" s="31"/>
      <c r="K572" s="31"/>
      <c r="L572" s="31" t="s">
        <v>75</v>
      </c>
    </row>
    <row r="573">
      <c r="A573" s="25" t="s">
        <v>68</v>
      </c>
      <c r="B573" s="31" t="s">
        <v>1352</v>
      </c>
      <c r="C573" s="31" t="s">
        <v>1353</v>
      </c>
      <c r="D573" s="32" t="s">
        <v>33</v>
      </c>
      <c r="E573" s="28" t="s">
        <v>71</v>
      </c>
      <c r="F573" s="33" t="s">
        <v>1354</v>
      </c>
      <c r="G573" s="32" t="s">
        <v>72</v>
      </c>
      <c r="H573" s="31" t="s">
        <v>1355</v>
      </c>
      <c r="I573" s="31" t="s">
        <v>1356</v>
      </c>
      <c r="J573" s="31"/>
      <c r="K573" s="31"/>
      <c r="L573" s="31" t="s">
        <v>75</v>
      </c>
    </row>
    <row r="574">
      <c r="A574" s="25" t="s">
        <v>68</v>
      </c>
      <c r="B574" s="31" t="s">
        <v>1357</v>
      </c>
      <c r="C574" s="31" t="s">
        <v>1358</v>
      </c>
      <c r="D574" s="32" t="s">
        <v>14</v>
      </c>
      <c r="E574" s="28" t="s">
        <v>71</v>
      </c>
      <c r="F574" s="33"/>
      <c r="G574" s="32" t="s">
        <v>72</v>
      </c>
      <c r="H574" s="31" t="s">
        <v>1146</v>
      </c>
      <c r="I574" s="31" t="s">
        <v>1044</v>
      </c>
      <c r="J574" s="31"/>
      <c r="K574" s="31"/>
      <c r="L574" s="31" t="s">
        <v>75</v>
      </c>
    </row>
    <row r="575">
      <c r="A575" s="25" t="s">
        <v>68</v>
      </c>
      <c r="B575" s="31" t="s">
        <v>1359</v>
      </c>
      <c r="C575" s="31" t="s">
        <v>1360</v>
      </c>
      <c r="D575" s="32" t="s">
        <v>21</v>
      </c>
      <c r="E575" s="28" t="s">
        <v>71</v>
      </c>
      <c r="F575" s="33" t="s">
        <v>1361</v>
      </c>
      <c r="G575" s="32" t="s">
        <v>72</v>
      </c>
      <c r="H575" s="31" t="s">
        <v>1052</v>
      </c>
      <c r="I575" s="31" t="s">
        <v>1053</v>
      </c>
      <c r="J575" s="31"/>
      <c r="K575" s="31"/>
      <c r="L575" s="31" t="s">
        <v>75</v>
      </c>
    </row>
    <row r="576">
      <c r="A576" s="25" t="s">
        <v>68</v>
      </c>
      <c r="B576" s="31" t="s">
        <v>1362</v>
      </c>
      <c r="C576" s="31" t="s">
        <v>1363</v>
      </c>
      <c r="D576" s="32" t="s">
        <v>33</v>
      </c>
      <c r="E576" s="28" t="s">
        <v>71</v>
      </c>
      <c r="F576" s="33"/>
      <c r="G576" s="32" t="s">
        <v>72</v>
      </c>
      <c r="H576" s="31" t="s">
        <v>1364</v>
      </c>
      <c r="I576" s="31" t="s">
        <v>588</v>
      </c>
      <c r="J576" s="31"/>
      <c r="K576" s="31"/>
      <c r="L576" s="31" t="s">
        <v>75</v>
      </c>
    </row>
    <row r="577">
      <c r="A577" s="25" t="s">
        <v>68</v>
      </c>
      <c r="B577" s="31" t="s">
        <v>1365</v>
      </c>
      <c r="C577" s="31" t="s">
        <v>1366</v>
      </c>
      <c r="D577" s="32" t="s">
        <v>47</v>
      </c>
      <c r="E577" s="28" t="s">
        <v>71</v>
      </c>
      <c r="F577" s="33">
        <v>9.46319427E9</v>
      </c>
      <c r="G577" s="32" t="s">
        <v>1273</v>
      </c>
      <c r="H577" s="31" t="s">
        <v>1367</v>
      </c>
      <c r="I577" s="31" t="s">
        <v>1368</v>
      </c>
      <c r="J577" s="31"/>
      <c r="K577" s="31"/>
      <c r="L577" s="31" t="s">
        <v>75</v>
      </c>
    </row>
    <row r="578">
      <c r="A578" s="25" t="s">
        <v>68</v>
      </c>
      <c r="B578" s="31" t="s">
        <v>1369</v>
      </c>
      <c r="C578" s="31" t="s">
        <v>1073</v>
      </c>
      <c r="D578" s="32" t="s">
        <v>28</v>
      </c>
      <c r="E578" s="28" t="s">
        <v>71</v>
      </c>
      <c r="F578" s="33"/>
      <c r="G578" s="32" t="s">
        <v>72</v>
      </c>
      <c r="H578" s="31" t="s">
        <v>1370</v>
      </c>
      <c r="I578" s="31" t="s">
        <v>1056</v>
      </c>
      <c r="J578" s="31"/>
      <c r="K578" s="31"/>
      <c r="L578" s="31" t="s">
        <v>75</v>
      </c>
    </row>
    <row r="579">
      <c r="A579" s="25" t="s">
        <v>68</v>
      </c>
      <c r="B579" s="31" t="s">
        <v>1371</v>
      </c>
      <c r="C579" s="31" t="s">
        <v>1372</v>
      </c>
      <c r="D579" s="32" t="s">
        <v>21</v>
      </c>
      <c r="E579" s="28" t="s">
        <v>71</v>
      </c>
      <c r="F579" s="33">
        <v>8.571061946E9</v>
      </c>
      <c r="G579" s="32" t="s">
        <v>1043</v>
      </c>
      <c r="H579" s="31" t="s">
        <v>1373</v>
      </c>
      <c r="I579" s="31" t="s">
        <v>1164</v>
      </c>
      <c r="J579" s="31"/>
      <c r="K579" s="31"/>
      <c r="L579" s="31" t="s">
        <v>75</v>
      </c>
    </row>
    <row r="580">
      <c r="A580" s="25" t="s">
        <v>68</v>
      </c>
      <c r="B580" s="31" t="s">
        <v>1374</v>
      </c>
      <c r="C580" s="31" t="s">
        <v>1375</v>
      </c>
      <c r="D580" s="32" t="s">
        <v>22</v>
      </c>
      <c r="E580" s="28" t="s">
        <v>71</v>
      </c>
      <c r="F580" s="33"/>
      <c r="G580" s="32" t="s">
        <v>72</v>
      </c>
      <c r="H580" s="31" t="s">
        <v>1120</v>
      </c>
      <c r="I580" s="31" t="s">
        <v>1121</v>
      </c>
      <c r="J580" s="31"/>
      <c r="K580" s="31"/>
      <c r="L580" s="31" t="s">
        <v>75</v>
      </c>
    </row>
    <row r="581">
      <c r="A581" s="25" t="s">
        <v>68</v>
      </c>
      <c r="B581" s="31" t="s">
        <v>1376</v>
      </c>
      <c r="C581" s="31" t="s">
        <v>1377</v>
      </c>
      <c r="D581" s="32" t="s">
        <v>33</v>
      </c>
      <c r="E581" s="28" t="s">
        <v>71</v>
      </c>
      <c r="F581" s="33" t="s">
        <v>1378</v>
      </c>
      <c r="G581" s="32" t="s">
        <v>72</v>
      </c>
      <c r="H581" s="31" t="s">
        <v>1379</v>
      </c>
      <c r="I581" s="31" t="s">
        <v>1380</v>
      </c>
      <c r="J581" s="31"/>
      <c r="K581" s="31"/>
      <c r="L581" s="31" t="s">
        <v>75</v>
      </c>
    </row>
    <row r="582">
      <c r="A582" s="25" t="s">
        <v>68</v>
      </c>
      <c r="B582" s="31" t="s">
        <v>1381</v>
      </c>
      <c r="C582" s="31" t="s">
        <v>1382</v>
      </c>
      <c r="D582" s="32" t="s">
        <v>16</v>
      </c>
      <c r="E582" s="28" t="s">
        <v>71</v>
      </c>
      <c r="F582" s="33"/>
      <c r="G582" s="32" t="s">
        <v>72</v>
      </c>
      <c r="H582" s="31" t="s">
        <v>1383</v>
      </c>
      <c r="I582" s="31" t="s">
        <v>1017</v>
      </c>
      <c r="J582" s="31"/>
      <c r="K582" s="31"/>
      <c r="L582" s="31" t="s">
        <v>75</v>
      </c>
    </row>
    <row r="583">
      <c r="A583" s="25" t="s">
        <v>68</v>
      </c>
      <c r="B583" s="31" t="s">
        <v>1384</v>
      </c>
      <c r="C583" s="31" t="s">
        <v>1385</v>
      </c>
      <c r="D583" s="32" t="s">
        <v>21</v>
      </c>
      <c r="E583" s="28" t="s">
        <v>71</v>
      </c>
      <c r="F583" s="33">
        <v>9.560155064E9</v>
      </c>
      <c r="G583" s="32" t="s">
        <v>1043</v>
      </c>
      <c r="H583" s="31" t="s">
        <v>1151</v>
      </c>
      <c r="I583" s="31" t="s">
        <v>1164</v>
      </c>
      <c r="J583" s="31"/>
      <c r="K583" s="31"/>
      <c r="L583" s="31" t="s">
        <v>75</v>
      </c>
    </row>
    <row r="584">
      <c r="A584" s="25" t="s">
        <v>68</v>
      </c>
      <c r="B584" s="31" t="s">
        <v>1386</v>
      </c>
      <c r="C584" s="31" t="s">
        <v>1387</v>
      </c>
      <c r="D584" s="32" t="s">
        <v>14</v>
      </c>
      <c r="E584" s="28" t="s">
        <v>71</v>
      </c>
      <c r="F584" s="33"/>
      <c r="G584" s="32" t="s">
        <v>1043</v>
      </c>
      <c r="H584" s="31" t="s">
        <v>1388</v>
      </c>
      <c r="I584" s="31" t="s">
        <v>1044</v>
      </c>
      <c r="J584" s="31"/>
      <c r="K584" s="31"/>
      <c r="L584" s="31" t="s">
        <v>75</v>
      </c>
    </row>
    <row r="585">
      <c r="A585" s="25" t="s">
        <v>68</v>
      </c>
      <c r="B585" s="31" t="s">
        <v>1389</v>
      </c>
      <c r="C585" s="31" t="s">
        <v>1390</v>
      </c>
      <c r="D585" s="32" t="s">
        <v>21</v>
      </c>
      <c r="E585" s="28" t="s">
        <v>71</v>
      </c>
      <c r="F585" s="33">
        <v>9.319013247E9</v>
      </c>
      <c r="G585" s="32" t="s">
        <v>1043</v>
      </c>
      <c r="H585" s="31" t="s">
        <v>1163</v>
      </c>
      <c r="I585" s="31" t="s">
        <v>1164</v>
      </c>
      <c r="J585" s="31"/>
      <c r="K585" s="31"/>
      <c r="L585" s="31" t="s">
        <v>75</v>
      </c>
    </row>
    <row r="586">
      <c r="A586" s="25" t="s">
        <v>68</v>
      </c>
      <c r="B586" s="31" t="s">
        <v>1391</v>
      </c>
      <c r="C586" s="31" t="s">
        <v>1392</v>
      </c>
      <c r="D586" s="32" t="s">
        <v>14</v>
      </c>
      <c r="E586" s="28" t="s">
        <v>71</v>
      </c>
      <c r="F586" s="33" t="s">
        <v>1393</v>
      </c>
      <c r="G586" s="32" t="s">
        <v>1043</v>
      </c>
      <c r="H586" s="31" t="s">
        <v>1043</v>
      </c>
      <c r="I586" s="31" t="s">
        <v>1044</v>
      </c>
      <c r="J586" s="31"/>
      <c r="K586" s="31"/>
      <c r="L586" s="31" t="s">
        <v>75</v>
      </c>
    </row>
    <row r="587">
      <c r="A587" s="25" t="s">
        <v>68</v>
      </c>
      <c r="B587" s="31" t="s">
        <v>1394</v>
      </c>
      <c r="C587" s="31" t="s">
        <v>1395</v>
      </c>
      <c r="D587" s="32" t="s">
        <v>47</v>
      </c>
      <c r="E587" s="28" t="s">
        <v>71</v>
      </c>
      <c r="F587" s="33" t="s">
        <v>1396</v>
      </c>
      <c r="G587" s="32" t="s">
        <v>1273</v>
      </c>
      <c r="H587" s="31" t="s">
        <v>1367</v>
      </c>
      <c r="I587" s="31" t="s">
        <v>1397</v>
      </c>
      <c r="J587" s="31"/>
      <c r="K587" s="31"/>
      <c r="L587" s="31" t="s">
        <v>75</v>
      </c>
    </row>
    <row r="588">
      <c r="A588" s="25" t="s">
        <v>68</v>
      </c>
      <c r="B588" s="31" t="s">
        <v>1398</v>
      </c>
      <c r="C588" s="31" t="s">
        <v>1399</v>
      </c>
      <c r="D588" s="32" t="s">
        <v>21</v>
      </c>
      <c r="E588" s="28" t="s">
        <v>71</v>
      </c>
      <c r="F588" s="33"/>
      <c r="G588" s="32" t="s">
        <v>1043</v>
      </c>
      <c r="H588" s="31" t="s">
        <v>1150</v>
      </c>
      <c r="I588" s="31" t="s">
        <v>1400</v>
      </c>
      <c r="J588" s="31"/>
      <c r="K588" s="31"/>
      <c r="L588" s="31" t="s">
        <v>75</v>
      </c>
    </row>
    <row r="589">
      <c r="A589" s="25" t="s">
        <v>68</v>
      </c>
      <c r="B589" s="31" t="s">
        <v>1401</v>
      </c>
      <c r="C589" s="31" t="s">
        <v>1402</v>
      </c>
      <c r="D589" s="32" t="s">
        <v>14</v>
      </c>
      <c r="E589" s="28" t="s">
        <v>71</v>
      </c>
      <c r="F589" s="33" t="s">
        <v>1403</v>
      </c>
      <c r="G589" s="32" t="s">
        <v>72</v>
      </c>
      <c r="H589" s="31" t="s">
        <v>1047</v>
      </c>
      <c r="I589" s="31" t="s">
        <v>1048</v>
      </c>
      <c r="J589" s="31"/>
      <c r="K589" s="31"/>
      <c r="L589" s="31" t="s">
        <v>75</v>
      </c>
    </row>
    <row r="590">
      <c r="A590" s="25" t="s">
        <v>68</v>
      </c>
      <c r="B590" s="31" t="s">
        <v>1404</v>
      </c>
      <c r="C590" s="31" t="s">
        <v>1405</v>
      </c>
      <c r="D590" s="32" t="s">
        <v>21</v>
      </c>
      <c r="E590" s="28" t="s">
        <v>71</v>
      </c>
      <c r="F590" s="33">
        <v>8.17855371E9</v>
      </c>
      <c r="G590" s="32" t="s">
        <v>1043</v>
      </c>
      <c r="H590" s="31" t="s">
        <v>1191</v>
      </c>
      <c r="I590" s="31" t="s">
        <v>1192</v>
      </c>
      <c r="J590" s="31"/>
      <c r="K590" s="31"/>
      <c r="L590" s="31" t="s">
        <v>75</v>
      </c>
    </row>
    <row r="591">
      <c r="A591" s="25" t="s">
        <v>68</v>
      </c>
      <c r="B591" s="31" t="s">
        <v>1406</v>
      </c>
      <c r="C591" s="31" t="s">
        <v>1407</v>
      </c>
      <c r="D591" s="32" t="s">
        <v>14</v>
      </c>
      <c r="E591" s="28" t="s">
        <v>71</v>
      </c>
      <c r="F591" s="33"/>
      <c r="G591" s="32" t="s">
        <v>1043</v>
      </c>
      <c r="H591" s="31" t="s">
        <v>1050</v>
      </c>
      <c r="I591" s="31" t="s">
        <v>1044</v>
      </c>
      <c r="J591" s="31"/>
      <c r="K591" s="31"/>
      <c r="L591" s="31" t="s">
        <v>75</v>
      </c>
    </row>
    <row r="592">
      <c r="A592" s="25" t="s">
        <v>68</v>
      </c>
      <c r="B592" s="31" t="s">
        <v>1408</v>
      </c>
      <c r="C592" s="31" t="s">
        <v>1409</v>
      </c>
      <c r="D592" s="32" t="s">
        <v>25</v>
      </c>
      <c r="E592" s="28" t="s">
        <v>71</v>
      </c>
      <c r="F592" s="33"/>
      <c r="G592" s="32" t="s">
        <v>72</v>
      </c>
      <c r="H592" s="31" t="s">
        <v>1410</v>
      </c>
      <c r="I592" s="31" t="s">
        <v>1411</v>
      </c>
      <c r="J592" s="31"/>
      <c r="K592" s="31"/>
      <c r="L592" s="31" t="s">
        <v>75</v>
      </c>
    </row>
    <row r="593">
      <c r="A593" s="25" t="s">
        <v>68</v>
      </c>
      <c r="B593" s="31" t="s">
        <v>1412</v>
      </c>
      <c r="C593" s="31" t="s">
        <v>1413</v>
      </c>
      <c r="D593" s="32" t="s">
        <v>14</v>
      </c>
      <c r="E593" s="28" t="s">
        <v>71</v>
      </c>
      <c r="F593" s="33"/>
      <c r="G593" s="32" t="s">
        <v>72</v>
      </c>
      <c r="H593" s="31" t="s">
        <v>1020</v>
      </c>
      <c r="I593" s="31" t="s">
        <v>1054</v>
      </c>
      <c r="J593" s="31"/>
      <c r="K593" s="31"/>
      <c r="L593" s="31" t="s">
        <v>75</v>
      </c>
    </row>
    <row r="594">
      <c r="A594" s="25" t="s">
        <v>68</v>
      </c>
      <c r="B594" s="31" t="s">
        <v>1414</v>
      </c>
      <c r="C594" s="31" t="s">
        <v>1415</v>
      </c>
      <c r="D594" s="32" t="s">
        <v>16</v>
      </c>
      <c r="E594" s="28" t="s">
        <v>71</v>
      </c>
      <c r="F594" s="33"/>
      <c r="G594" s="32" t="s">
        <v>72</v>
      </c>
      <c r="H594" s="31" t="s">
        <v>1416</v>
      </c>
      <c r="I594" s="31" t="s">
        <v>1017</v>
      </c>
      <c r="J594" s="31"/>
      <c r="K594" s="31"/>
      <c r="L594" s="31" t="s">
        <v>75</v>
      </c>
    </row>
    <row r="595">
      <c r="A595" s="25" t="s">
        <v>68</v>
      </c>
      <c r="B595" s="31" t="s">
        <v>1417</v>
      </c>
      <c r="C595" s="31" t="s">
        <v>1418</v>
      </c>
      <c r="D595" s="32" t="s">
        <v>14</v>
      </c>
      <c r="E595" s="28" t="s">
        <v>71</v>
      </c>
      <c r="F595" s="33"/>
      <c r="G595" s="32" t="s">
        <v>1043</v>
      </c>
      <c r="H595" s="31" t="s">
        <v>1050</v>
      </c>
      <c r="I595" s="31" t="s">
        <v>1044</v>
      </c>
      <c r="J595" s="31"/>
      <c r="K595" s="31"/>
      <c r="L595" s="31" t="s">
        <v>75</v>
      </c>
    </row>
    <row r="596">
      <c r="A596" s="25" t="s">
        <v>68</v>
      </c>
      <c r="B596" s="31" t="s">
        <v>1419</v>
      </c>
      <c r="C596" s="31" t="s">
        <v>1420</v>
      </c>
      <c r="D596" s="32" t="s">
        <v>33</v>
      </c>
      <c r="E596" s="28" t="s">
        <v>71</v>
      </c>
      <c r="F596" s="33"/>
      <c r="G596" s="32" t="s">
        <v>72</v>
      </c>
      <c r="H596" s="31" t="s">
        <v>1421</v>
      </c>
      <c r="I596" s="31" t="s">
        <v>1175</v>
      </c>
      <c r="J596" s="31"/>
      <c r="K596" s="31"/>
      <c r="L596" s="31" t="s">
        <v>75</v>
      </c>
    </row>
    <row r="597">
      <c r="A597" s="25" t="s">
        <v>68</v>
      </c>
      <c r="B597" s="31" t="s">
        <v>1422</v>
      </c>
      <c r="C597" s="31" t="s">
        <v>1423</v>
      </c>
      <c r="D597" s="32" t="s">
        <v>14</v>
      </c>
      <c r="E597" s="28" t="s">
        <v>71</v>
      </c>
      <c r="F597" s="33" t="s">
        <v>1424</v>
      </c>
      <c r="G597" s="32" t="s">
        <v>72</v>
      </c>
      <c r="H597" s="31" t="s">
        <v>1425</v>
      </c>
      <c r="I597" s="31" t="s">
        <v>1206</v>
      </c>
      <c r="J597" s="31"/>
      <c r="K597" s="31"/>
      <c r="L597" s="31" t="s">
        <v>75</v>
      </c>
    </row>
    <row r="598">
      <c r="A598" s="25" t="s">
        <v>68</v>
      </c>
      <c r="B598" s="31" t="s">
        <v>1426</v>
      </c>
      <c r="C598" s="31" t="s">
        <v>1427</v>
      </c>
      <c r="D598" s="32" t="s">
        <v>14</v>
      </c>
      <c r="E598" s="28" t="s">
        <v>71</v>
      </c>
      <c r="F598" s="33"/>
      <c r="G598" s="32" t="s">
        <v>72</v>
      </c>
      <c r="H598" s="31" t="s">
        <v>1428</v>
      </c>
      <c r="I598" s="31" t="s">
        <v>1429</v>
      </c>
      <c r="J598" s="31"/>
      <c r="K598" s="31"/>
      <c r="L598" s="31" t="s">
        <v>75</v>
      </c>
    </row>
    <row r="599">
      <c r="A599" s="25" t="s">
        <v>68</v>
      </c>
      <c r="B599" s="31" t="s">
        <v>1430</v>
      </c>
      <c r="C599" s="31" t="s">
        <v>1431</v>
      </c>
      <c r="D599" s="32" t="s">
        <v>14</v>
      </c>
      <c r="E599" s="28" t="s">
        <v>71</v>
      </c>
      <c r="F599" s="33" t="s">
        <v>1432</v>
      </c>
      <c r="G599" s="32" t="s">
        <v>1043</v>
      </c>
      <c r="H599" s="31" t="s">
        <v>1156</v>
      </c>
      <c r="I599" s="31" t="s">
        <v>1044</v>
      </c>
      <c r="J599" s="31"/>
      <c r="K599" s="31"/>
      <c r="L599" s="31" t="s">
        <v>75</v>
      </c>
    </row>
    <row r="600">
      <c r="A600" s="25" t="s">
        <v>68</v>
      </c>
      <c r="B600" s="31" t="s">
        <v>1433</v>
      </c>
      <c r="C600" s="31" t="s">
        <v>1434</v>
      </c>
      <c r="D600" s="32" t="s">
        <v>14</v>
      </c>
      <c r="E600" s="28" t="s">
        <v>71</v>
      </c>
      <c r="F600" s="33"/>
      <c r="G600" s="32" t="s">
        <v>72</v>
      </c>
      <c r="H600" s="31" t="s">
        <v>1020</v>
      </c>
      <c r="I600" s="31" t="s">
        <v>1029</v>
      </c>
      <c r="J600" s="31"/>
      <c r="K600" s="31"/>
      <c r="L600" s="31" t="s">
        <v>75</v>
      </c>
    </row>
    <row r="601">
      <c r="A601" s="25" t="s">
        <v>68</v>
      </c>
      <c r="B601" s="31" t="s">
        <v>1435</v>
      </c>
      <c r="C601" s="31" t="s">
        <v>1436</v>
      </c>
      <c r="D601" s="32" t="s">
        <v>14</v>
      </c>
      <c r="E601" s="28" t="s">
        <v>71</v>
      </c>
      <c r="F601" s="33"/>
      <c r="G601" s="32" t="s">
        <v>1043</v>
      </c>
      <c r="H601" s="31" t="s">
        <v>1050</v>
      </c>
      <c r="I601" s="31" t="s">
        <v>1044</v>
      </c>
      <c r="J601" s="31"/>
      <c r="K601" s="31"/>
      <c r="L601" s="31" t="s">
        <v>75</v>
      </c>
    </row>
    <row r="602">
      <c r="A602" s="25" t="s">
        <v>68</v>
      </c>
      <c r="B602" s="31" t="s">
        <v>1437</v>
      </c>
      <c r="C602" s="31" t="s">
        <v>1438</v>
      </c>
      <c r="D602" s="32" t="s">
        <v>16</v>
      </c>
      <c r="E602" s="28" t="s">
        <v>71</v>
      </c>
      <c r="F602" s="33"/>
      <c r="G602" s="32" t="s">
        <v>72</v>
      </c>
      <c r="H602" s="31" t="s">
        <v>1439</v>
      </c>
      <c r="I602" s="31" t="s">
        <v>1017</v>
      </c>
      <c r="J602" s="31"/>
      <c r="K602" s="31"/>
      <c r="L602" s="31" t="s">
        <v>75</v>
      </c>
    </row>
    <row r="603">
      <c r="A603" s="25" t="s">
        <v>68</v>
      </c>
      <c r="B603" s="31" t="s">
        <v>1440</v>
      </c>
      <c r="C603" s="31" t="s">
        <v>1441</v>
      </c>
      <c r="D603" s="32" t="s">
        <v>14</v>
      </c>
      <c r="E603" s="28" t="s">
        <v>71</v>
      </c>
      <c r="F603" s="33"/>
      <c r="G603" s="32" t="s">
        <v>1043</v>
      </c>
      <c r="H603" s="31" t="s">
        <v>1050</v>
      </c>
      <c r="I603" s="31" t="s">
        <v>1044</v>
      </c>
      <c r="J603" s="31"/>
      <c r="K603" s="31"/>
      <c r="L603" s="31" t="s">
        <v>75</v>
      </c>
    </row>
    <row r="604">
      <c r="A604" s="25" t="s">
        <v>68</v>
      </c>
      <c r="B604" s="31" t="s">
        <v>1442</v>
      </c>
      <c r="C604" s="31" t="s">
        <v>1443</v>
      </c>
      <c r="D604" s="32" t="s">
        <v>22</v>
      </c>
      <c r="E604" s="28" t="s">
        <v>71</v>
      </c>
      <c r="F604" s="33"/>
      <c r="G604" s="32" t="s">
        <v>72</v>
      </c>
      <c r="H604" s="31" t="s">
        <v>1444</v>
      </c>
      <c r="I604" s="31" t="s">
        <v>1445</v>
      </c>
      <c r="J604" s="31"/>
      <c r="K604" s="31"/>
      <c r="L604" s="31" t="s">
        <v>75</v>
      </c>
    </row>
    <row r="605">
      <c r="A605" s="25" t="s">
        <v>68</v>
      </c>
      <c r="B605" s="31" t="s">
        <v>1446</v>
      </c>
      <c r="C605" s="31" t="s">
        <v>1447</v>
      </c>
      <c r="D605" s="32" t="s">
        <v>14</v>
      </c>
      <c r="E605" s="28" t="s">
        <v>71</v>
      </c>
      <c r="F605" s="33"/>
      <c r="G605" s="32" t="s">
        <v>1043</v>
      </c>
      <c r="H605" s="31" t="s">
        <v>1448</v>
      </c>
      <c r="I605" s="31" t="s">
        <v>1206</v>
      </c>
      <c r="J605" s="31"/>
      <c r="K605" s="31"/>
      <c r="L605" s="31" t="s">
        <v>75</v>
      </c>
    </row>
    <row r="606">
      <c r="A606" s="25" t="s">
        <v>68</v>
      </c>
      <c r="B606" s="31" t="s">
        <v>1449</v>
      </c>
      <c r="C606" s="31" t="s">
        <v>1192</v>
      </c>
      <c r="D606" s="32" t="s">
        <v>21</v>
      </c>
      <c r="E606" s="28" t="s">
        <v>71</v>
      </c>
      <c r="F606" s="33"/>
      <c r="G606" s="32" t="s">
        <v>72</v>
      </c>
      <c r="H606" s="31" t="s">
        <v>1450</v>
      </c>
      <c r="I606" s="31" t="s">
        <v>1103</v>
      </c>
      <c r="J606" s="31"/>
      <c r="K606" s="31"/>
      <c r="L606" s="31" t="s">
        <v>75</v>
      </c>
    </row>
    <row r="607">
      <c r="A607" s="25" t="s">
        <v>68</v>
      </c>
      <c r="B607" s="31" t="s">
        <v>1451</v>
      </c>
      <c r="C607" s="31" t="s">
        <v>1452</v>
      </c>
      <c r="D607" s="32" t="s">
        <v>14</v>
      </c>
      <c r="E607" s="28" t="s">
        <v>71</v>
      </c>
      <c r="F607" s="33"/>
      <c r="G607" s="32" t="s">
        <v>72</v>
      </c>
      <c r="H607" s="31" t="s">
        <v>1199</v>
      </c>
      <c r="I607" s="31" t="s">
        <v>1029</v>
      </c>
      <c r="J607" s="31"/>
      <c r="K607" s="31"/>
      <c r="L607" s="31" t="s">
        <v>75</v>
      </c>
    </row>
    <row r="608">
      <c r="A608" s="25" t="s">
        <v>68</v>
      </c>
      <c r="B608" s="31" t="s">
        <v>1453</v>
      </c>
      <c r="C608" s="31" t="s">
        <v>1454</v>
      </c>
      <c r="D608" s="32" t="s">
        <v>22</v>
      </c>
      <c r="E608" s="28" t="s">
        <v>71</v>
      </c>
      <c r="F608" s="33"/>
      <c r="G608" s="32" t="s">
        <v>72</v>
      </c>
      <c r="H608" s="31" t="s">
        <v>1120</v>
      </c>
      <c r="I608" s="31" t="s">
        <v>1121</v>
      </c>
      <c r="J608" s="31"/>
      <c r="K608" s="31"/>
      <c r="L608" s="31" t="s">
        <v>75</v>
      </c>
    </row>
    <row r="609">
      <c r="A609" s="25" t="s">
        <v>68</v>
      </c>
      <c r="B609" s="31" t="s">
        <v>1455</v>
      </c>
      <c r="C609" s="31" t="s">
        <v>1456</v>
      </c>
      <c r="D609" s="32" t="s">
        <v>14</v>
      </c>
      <c r="E609" s="28" t="s">
        <v>71</v>
      </c>
      <c r="F609" s="33" t="s">
        <v>1457</v>
      </c>
      <c r="G609" s="32" t="s">
        <v>1043</v>
      </c>
      <c r="H609" s="31" t="s">
        <v>1448</v>
      </c>
      <c r="I609" s="31" t="s">
        <v>1044</v>
      </c>
      <c r="J609" s="31"/>
      <c r="K609" s="31"/>
      <c r="L609" s="31" t="s">
        <v>75</v>
      </c>
    </row>
    <row r="610">
      <c r="A610" s="25" t="s">
        <v>68</v>
      </c>
      <c r="B610" s="31" t="s">
        <v>1458</v>
      </c>
      <c r="C610" s="31" t="s">
        <v>1053</v>
      </c>
      <c r="D610" s="32" t="s">
        <v>21</v>
      </c>
      <c r="E610" s="28" t="s">
        <v>71</v>
      </c>
      <c r="F610" s="33" t="s">
        <v>1459</v>
      </c>
      <c r="G610" s="32" t="s">
        <v>72</v>
      </c>
      <c r="H610" s="31" t="s">
        <v>1460</v>
      </c>
      <c r="I610" s="31" t="s">
        <v>1187</v>
      </c>
      <c r="J610" s="31"/>
      <c r="K610" s="31"/>
      <c r="L610" s="31" t="s">
        <v>75</v>
      </c>
    </row>
    <row r="611">
      <c r="A611" s="25" t="s">
        <v>68</v>
      </c>
      <c r="B611" s="31" t="s">
        <v>1461</v>
      </c>
      <c r="C611" s="31" t="s">
        <v>1462</v>
      </c>
      <c r="D611" s="32" t="s">
        <v>14</v>
      </c>
      <c r="E611" s="28" t="s">
        <v>71</v>
      </c>
      <c r="F611" s="33"/>
      <c r="G611" s="32" t="s">
        <v>72</v>
      </c>
      <c r="H611" s="31" t="s">
        <v>1270</v>
      </c>
      <c r="I611" s="31" t="s">
        <v>1026</v>
      </c>
      <c r="J611" s="31"/>
      <c r="K611" s="31"/>
      <c r="L611" s="31" t="s">
        <v>75</v>
      </c>
    </row>
    <row r="612">
      <c r="A612" s="25" t="s">
        <v>68</v>
      </c>
      <c r="B612" s="31" t="s">
        <v>1463</v>
      </c>
      <c r="C612" s="31" t="s">
        <v>1464</v>
      </c>
      <c r="D612" s="32" t="s">
        <v>16</v>
      </c>
      <c r="E612" s="28" t="s">
        <v>71</v>
      </c>
      <c r="F612" s="33"/>
      <c r="G612" s="32" t="s">
        <v>72</v>
      </c>
      <c r="H612" s="31" t="s">
        <v>1465</v>
      </c>
      <c r="I612" s="31" t="s">
        <v>1017</v>
      </c>
      <c r="J612" s="31"/>
      <c r="K612" s="31"/>
      <c r="L612" s="31" t="s">
        <v>75</v>
      </c>
    </row>
    <row r="613">
      <c r="A613" s="25" t="s">
        <v>68</v>
      </c>
      <c r="B613" s="31" t="s">
        <v>1466</v>
      </c>
      <c r="C613" s="31" t="s">
        <v>1467</v>
      </c>
      <c r="D613" s="32" t="s">
        <v>14</v>
      </c>
      <c r="E613" s="28" t="s">
        <v>71</v>
      </c>
      <c r="F613" s="33"/>
      <c r="G613" s="32" t="s">
        <v>72</v>
      </c>
      <c r="H613" s="31" t="s">
        <v>1468</v>
      </c>
      <c r="I613" s="31" t="s">
        <v>1331</v>
      </c>
      <c r="J613" s="31"/>
      <c r="K613" s="31"/>
      <c r="L613" s="31" t="s">
        <v>75</v>
      </c>
    </row>
    <row r="614">
      <c r="A614" s="25" t="s">
        <v>68</v>
      </c>
      <c r="B614" s="31" t="s">
        <v>1469</v>
      </c>
      <c r="C614" s="31" t="s">
        <v>1470</v>
      </c>
      <c r="D614" s="32" t="s">
        <v>21</v>
      </c>
      <c r="E614" s="28" t="s">
        <v>71</v>
      </c>
      <c r="F614" s="33">
        <v>8.745939266E9</v>
      </c>
      <c r="G614" s="32" t="s">
        <v>1043</v>
      </c>
      <c r="H614" s="31" t="s">
        <v>1471</v>
      </c>
      <c r="I614" s="31" t="s">
        <v>1192</v>
      </c>
      <c r="J614" s="31"/>
      <c r="K614" s="31"/>
      <c r="L614" s="31" t="s">
        <v>75</v>
      </c>
    </row>
    <row r="615">
      <c r="A615" s="25" t="s">
        <v>68</v>
      </c>
      <c r="B615" s="31" t="s">
        <v>1472</v>
      </c>
      <c r="C615" s="31" t="s">
        <v>1473</v>
      </c>
      <c r="D615" s="32" t="s">
        <v>33</v>
      </c>
      <c r="E615" s="28" t="s">
        <v>71</v>
      </c>
      <c r="F615" s="33" t="s">
        <v>1474</v>
      </c>
      <c r="G615" s="32" t="s">
        <v>72</v>
      </c>
      <c r="H615" s="31" t="s">
        <v>1128</v>
      </c>
      <c r="I615" s="31" t="s">
        <v>1356</v>
      </c>
      <c r="J615" s="31"/>
      <c r="K615" s="31"/>
      <c r="L615" s="31" t="s">
        <v>75</v>
      </c>
    </row>
    <row r="616">
      <c r="A616" s="25" t="s">
        <v>68</v>
      </c>
      <c r="B616" s="31" t="s">
        <v>1475</v>
      </c>
      <c r="C616" s="31" t="s">
        <v>1476</v>
      </c>
      <c r="D616" s="32" t="s">
        <v>14</v>
      </c>
      <c r="E616" s="28" t="s">
        <v>71</v>
      </c>
      <c r="F616" s="33"/>
      <c r="G616" s="32" t="s">
        <v>72</v>
      </c>
      <c r="H616" s="31" t="s">
        <v>1256</v>
      </c>
      <c r="I616" s="31" t="s">
        <v>1429</v>
      </c>
      <c r="J616" s="31"/>
      <c r="K616" s="31"/>
      <c r="L616" s="31" t="s">
        <v>75</v>
      </c>
    </row>
    <row r="617">
      <c r="A617" s="25" t="s">
        <v>68</v>
      </c>
      <c r="B617" s="31" t="s">
        <v>1477</v>
      </c>
      <c r="C617" s="31" t="s">
        <v>1478</v>
      </c>
      <c r="D617" s="32" t="s">
        <v>14</v>
      </c>
      <c r="E617" s="28" t="s">
        <v>71</v>
      </c>
      <c r="F617" s="33"/>
      <c r="G617" s="32" t="s">
        <v>72</v>
      </c>
      <c r="H617" s="31" t="s">
        <v>1020</v>
      </c>
      <c r="I617" s="31" t="s">
        <v>1479</v>
      </c>
      <c r="J617" s="31"/>
      <c r="K617" s="31"/>
      <c r="L617" s="31" t="s">
        <v>75</v>
      </c>
    </row>
    <row r="618">
      <c r="A618" s="25" t="s">
        <v>68</v>
      </c>
      <c r="B618" s="31" t="s">
        <v>1480</v>
      </c>
      <c r="C618" s="31" t="s">
        <v>1481</v>
      </c>
      <c r="D618" s="32" t="s">
        <v>22</v>
      </c>
      <c r="E618" s="28" t="s">
        <v>71</v>
      </c>
      <c r="F618" s="33" t="s">
        <v>1482</v>
      </c>
      <c r="G618" s="32" t="s">
        <v>72</v>
      </c>
      <c r="H618" s="31" t="s">
        <v>1120</v>
      </c>
      <c r="I618" s="31" t="s">
        <v>1121</v>
      </c>
      <c r="J618" s="31"/>
      <c r="K618" s="31"/>
      <c r="L618" s="31" t="s">
        <v>75</v>
      </c>
    </row>
    <row r="619">
      <c r="A619" s="25" t="s">
        <v>68</v>
      </c>
      <c r="B619" s="31" t="s">
        <v>1483</v>
      </c>
      <c r="C619" s="31" t="s">
        <v>1484</v>
      </c>
      <c r="D619" s="32" t="s">
        <v>14</v>
      </c>
      <c r="E619" s="28" t="s">
        <v>71</v>
      </c>
      <c r="F619" s="33" t="s">
        <v>1485</v>
      </c>
      <c r="G619" s="32" t="s">
        <v>72</v>
      </c>
      <c r="H619" s="31" t="s">
        <v>1020</v>
      </c>
      <c r="I619" s="31" t="s">
        <v>1486</v>
      </c>
      <c r="J619" s="31"/>
      <c r="K619" s="31"/>
      <c r="L619" s="31" t="s">
        <v>75</v>
      </c>
    </row>
    <row r="620">
      <c r="A620" s="25" t="s">
        <v>68</v>
      </c>
      <c r="B620" s="31" t="s">
        <v>1487</v>
      </c>
      <c r="C620" s="31" t="s">
        <v>1488</v>
      </c>
      <c r="D620" s="32" t="s">
        <v>36</v>
      </c>
      <c r="E620" s="28" t="s">
        <v>71</v>
      </c>
      <c r="F620" s="33" t="s">
        <v>1489</v>
      </c>
      <c r="G620" s="32" t="s">
        <v>72</v>
      </c>
      <c r="H620" s="31" t="s">
        <v>1490</v>
      </c>
      <c r="I620" s="31" t="s">
        <v>1491</v>
      </c>
      <c r="J620" s="31"/>
      <c r="K620" s="31"/>
      <c r="L620" s="31" t="s">
        <v>75</v>
      </c>
    </row>
    <row r="621">
      <c r="A621" s="25" t="s">
        <v>68</v>
      </c>
      <c r="B621" s="31" t="s">
        <v>1492</v>
      </c>
      <c r="C621" s="31" t="s">
        <v>1493</v>
      </c>
      <c r="D621" s="32" t="s">
        <v>14</v>
      </c>
      <c r="E621" s="28" t="s">
        <v>71</v>
      </c>
      <c r="F621" s="33" t="s">
        <v>1494</v>
      </c>
      <c r="G621" s="32" t="s">
        <v>1043</v>
      </c>
      <c r="H621" s="31" t="s">
        <v>1448</v>
      </c>
      <c r="I621" s="31" t="s">
        <v>1206</v>
      </c>
      <c r="J621" s="31"/>
      <c r="K621" s="31"/>
      <c r="L621" s="31" t="s">
        <v>75</v>
      </c>
    </row>
    <row r="622">
      <c r="A622" s="25" t="s">
        <v>68</v>
      </c>
      <c r="B622" s="31" t="s">
        <v>1495</v>
      </c>
      <c r="C622" s="31" t="s">
        <v>1496</v>
      </c>
      <c r="D622" s="32" t="s">
        <v>25</v>
      </c>
      <c r="E622" s="28" t="s">
        <v>71</v>
      </c>
      <c r="F622" s="33"/>
      <c r="G622" s="32" t="s">
        <v>72</v>
      </c>
      <c r="H622" s="31" t="s">
        <v>1497</v>
      </c>
      <c r="I622" s="31"/>
      <c r="J622" s="31"/>
      <c r="K622" s="31"/>
      <c r="L622" s="31" t="s">
        <v>75</v>
      </c>
    </row>
    <row r="623">
      <c r="A623" s="25" t="s">
        <v>68</v>
      </c>
      <c r="B623" s="31" t="s">
        <v>1498</v>
      </c>
      <c r="C623" s="31" t="s">
        <v>1499</v>
      </c>
      <c r="D623" s="32" t="s">
        <v>22</v>
      </c>
      <c r="E623" s="28" t="s">
        <v>71</v>
      </c>
      <c r="F623" s="33"/>
      <c r="G623" s="32" t="s">
        <v>72</v>
      </c>
      <c r="H623" s="31" t="s">
        <v>1120</v>
      </c>
      <c r="I623" s="31" t="s">
        <v>1226</v>
      </c>
      <c r="J623" s="31"/>
      <c r="K623" s="31"/>
      <c r="L623" s="31" t="s">
        <v>75</v>
      </c>
    </row>
    <row r="624">
      <c r="A624" s="25" t="s">
        <v>68</v>
      </c>
      <c r="B624" s="31" t="s">
        <v>1500</v>
      </c>
      <c r="C624" s="31" t="s">
        <v>1501</v>
      </c>
      <c r="D624" s="32" t="s">
        <v>14</v>
      </c>
      <c r="E624" s="28" t="s">
        <v>71</v>
      </c>
      <c r="F624" s="33"/>
      <c r="G624" s="32" t="s">
        <v>72</v>
      </c>
      <c r="H624" s="31" t="s">
        <v>1199</v>
      </c>
      <c r="I624" s="31" t="s">
        <v>1479</v>
      </c>
      <c r="J624" s="31"/>
      <c r="K624" s="31"/>
      <c r="L624" s="31" t="s">
        <v>75</v>
      </c>
    </row>
    <row r="625">
      <c r="A625" s="25" t="s">
        <v>68</v>
      </c>
      <c r="B625" s="31" t="s">
        <v>1502</v>
      </c>
      <c r="C625" s="31" t="s">
        <v>1503</v>
      </c>
      <c r="D625" s="32" t="s">
        <v>21</v>
      </c>
      <c r="E625" s="28" t="s">
        <v>71</v>
      </c>
      <c r="F625" s="33"/>
      <c r="G625" s="32" t="s">
        <v>72</v>
      </c>
      <c r="H625" s="31" t="s">
        <v>1186</v>
      </c>
      <c r="I625" s="31" t="s">
        <v>1187</v>
      </c>
      <c r="J625" s="31"/>
      <c r="K625" s="31"/>
      <c r="L625" s="31" t="s">
        <v>75</v>
      </c>
    </row>
    <row r="626">
      <c r="A626" s="25" t="s">
        <v>68</v>
      </c>
      <c r="B626" s="31" t="s">
        <v>1504</v>
      </c>
      <c r="C626" s="31" t="s">
        <v>1505</v>
      </c>
      <c r="D626" s="32" t="s">
        <v>16</v>
      </c>
      <c r="E626" s="28" t="s">
        <v>71</v>
      </c>
      <c r="F626" s="33"/>
      <c r="G626" s="32" t="s">
        <v>72</v>
      </c>
      <c r="H626" s="31" t="s">
        <v>1506</v>
      </c>
      <c r="I626" s="31" t="s">
        <v>1017</v>
      </c>
      <c r="J626" s="31"/>
      <c r="K626" s="31"/>
      <c r="L626" s="31" t="s">
        <v>75</v>
      </c>
    </row>
    <row r="627">
      <c r="A627" s="25" t="s">
        <v>68</v>
      </c>
      <c r="B627" s="31" t="s">
        <v>1507</v>
      </c>
      <c r="C627" s="31" t="s">
        <v>1508</v>
      </c>
      <c r="D627" s="32" t="s">
        <v>10</v>
      </c>
      <c r="E627" s="28" t="s">
        <v>71</v>
      </c>
      <c r="F627" s="33"/>
      <c r="G627" s="32" t="s">
        <v>72</v>
      </c>
      <c r="H627" s="31" t="s">
        <v>1509</v>
      </c>
      <c r="I627" s="31" t="s">
        <v>1510</v>
      </c>
      <c r="J627" s="31"/>
      <c r="K627" s="31"/>
      <c r="L627" s="31" t="s">
        <v>75</v>
      </c>
    </row>
    <row r="628">
      <c r="A628" s="25" t="s">
        <v>68</v>
      </c>
      <c r="B628" s="31" t="s">
        <v>1511</v>
      </c>
      <c r="C628" s="31" t="s">
        <v>1512</v>
      </c>
      <c r="D628" s="32" t="s">
        <v>14</v>
      </c>
      <c r="E628" s="28" t="s">
        <v>71</v>
      </c>
      <c r="F628" s="33"/>
      <c r="G628" s="32" t="s">
        <v>72</v>
      </c>
      <c r="H628" s="31" t="s">
        <v>1020</v>
      </c>
      <c r="I628" s="31" t="s">
        <v>1054</v>
      </c>
      <c r="J628" s="31"/>
      <c r="K628" s="31"/>
      <c r="L628" s="31" t="s">
        <v>75</v>
      </c>
    </row>
    <row r="629">
      <c r="A629" s="25" t="s">
        <v>68</v>
      </c>
      <c r="B629" s="31" t="s">
        <v>1513</v>
      </c>
      <c r="C629" s="31" t="s">
        <v>1514</v>
      </c>
      <c r="D629" s="32" t="s">
        <v>14</v>
      </c>
      <c r="E629" s="28" t="s">
        <v>71</v>
      </c>
      <c r="F629" s="33"/>
      <c r="G629" s="32" t="s">
        <v>1273</v>
      </c>
      <c r="H629" s="31" t="s">
        <v>1199</v>
      </c>
      <c r="I629" s="31" t="s">
        <v>1085</v>
      </c>
      <c r="J629" s="31"/>
      <c r="K629" s="31"/>
      <c r="L629" s="31" t="s">
        <v>75</v>
      </c>
    </row>
    <row r="630">
      <c r="A630" s="25" t="s">
        <v>68</v>
      </c>
      <c r="B630" s="31" t="s">
        <v>1515</v>
      </c>
      <c r="C630" s="31" t="s">
        <v>1516</v>
      </c>
      <c r="D630" s="32" t="s">
        <v>14</v>
      </c>
      <c r="E630" s="28" t="s">
        <v>71</v>
      </c>
      <c r="F630" s="33"/>
      <c r="G630" s="32" t="s">
        <v>1043</v>
      </c>
      <c r="H630" s="31" t="s">
        <v>1043</v>
      </c>
      <c r="I630" s="31" t="s">
        <v>1206</v>
      </c>
      <c r="J630" s="31"/>
      <c r="K630" s="31"/>
      <c r="L630" s="31" t="s">
        <v>75</v>
      </c>
    </row>
    <row r="631">
      <c r="A631" s="25" t="s">
        <v>68</v>
      </c>
      <c r="B631" s="31" t="s">
        <v>1517</v>
      </c>
      <c r="C631" s="31" t="s">
        <v>1518</v>
      </c>
      <c r="D631" s="32" t="s">
        <v>22</v>
      </c>
      <c r="E631" s="28" t="s">
        <v>71</v>
      </c>
      <c r="F631" s="33"/>
      <c r="G631" s="32" t="s">
        <v>72</v>
      </c>
      <c r="H631" s="31" t="s">
        <v>1120</v>
      </c>
      <c r="I631" s="31" t="s">
        <v>1138</v>
      </c>
      <c r="J631" s="31"/>
      <c r="K631" s="31"/>
      <c r="L631" s="31" t="s">
        <v>75</v>
      </c>
    </row>
    <row r="632">
      <c r="A632" s="25" t="s">
        <v>68</v>
      </c>
      <c r="B632" s="31" t="s">
        <v>1519</v>
      </c>
      <c r="C632" s="31" t="s">
        <v>1520</v>
      </c>
      <c r="D632" s="32" t="s">
        <v>21</v>
      </c>
      <c r="E632" s="28" t="s">
        <v>71</v>
      </c>
      <c r="F632" s="33"/>
      <c r="G632" s="32" t="s">
        <v>72</v>
      </c>
      <c r="H632" s="31" t="s">
        <v>1052</v>
      </c>
      <c r="I632" s="31" t="s">
        <v>1066</v>
      </c>
      <c r="J632" s="31"/>
      <c r="K632" s="31"/>
      <c r="L632" s="31" t="s">
        <v>75</v>
      </c>
    </row>
    <row r="633">
      <c r="A633" s="25" t="s">
        <v>68</v>
      </c>
      <c r="B633" s="31" t="s">
        <v>1521</v>
      </c>
      <c r="C633" s="31" t="s">
        <v>1522</v>
      </c>
      <c r="D633" s="32" t="s">
        <v>14</v>
      </c>
      <c r="E633" s="28" t="s">
        <v>71</v>
      </c>
      <c r="F633" s="33"/>
      <c r="G633" s="32" t="s">
        <v>72</v>
      </c>
      <c r="H633" s="31" t="s">
        <v>1428</v>
      </c>
      <c r="I633" s="31" t="s">
        <v>1331</v>
      </c>
      <c r="J633" s="31"/>
      <c r="K633" s="31"/>
      <c r="L633" s="31" t="s">
        <v>75</v>
      </c>
    </row>
    <row r="634">
      <c r="A634" s="25" t="s">
        <v>68</v>
      </c>
      <c r="B634" s="31" t="s">
        <v>589</v>
      </c>
      <c r="C634" s="31" t="s">
        <v>1523</v>
      </c>
      <c r="D634" s="32" t="s">
        <v>14</v>
      </c>
      <c r="E634" s="28" t="s">
        <v>71</v>
      </c>
      <c r="F634" s="33"/>
      <c r="G634" s="32" t="s">
        <v>72</v>
      </c>
      <c r="H634" s="31" t="s">
        <v>1199</v>
      </c>
      <c r="I634" s="31" t="s">
        <v>1479</v>
      </c>
      <c r="J634" s="31"/>
      <c r="K634" s="31"/>
      <c r="L634" s="31" t="s">
        <v>75</v>
      </c>
    </row>
    <row r="635">
      <c r="A635" s="25" t="s">
        <v>68</v>
      </c>
      <c r="B635" s="31" t="s">
        <v>1524</v>
      </c>
      <c r="C635" s="31" t="s">
        <v>1525</v>
      </c>
      <c r="D635" s="32" t="s">
        <v>16</v>
      </c>
      <c r="E635" s="28" t="s">
        <v>71</v>
      </c>
      <c r="F635" s="33"/>
      <c r="G635" s="32" t="s">
        <v>72</v>
      </c>
      <c r="H635" s="31" t="s">
        <v>1526</v>
      </c>
      <c r="I635" s="31" t="s">
        <v>1017</v>
      </c>
      <c r="J635" s="31"/>
      <c r="K635" s="31"/>
      <c r="L635" s="31" t="s">
        <v>75</v>
      </c>
    </row>
    <row r="636">
      <c r="A636" s="25" t="s">
        <v>68</v>
      </c>
      <c r="B636" s="31" t="s">
        <v>1527</v>
      </c>
      <c r="C636" s="31" t="s">
        <v>1528</v>
      </c>
      <c r="D636" s="32" t="s">
        <v>21</v>
      </c>
      <c r="E636" s="28" t="s">
        <v>71</v>
      </c>
      <c r="F636" s="33"/>
      <c r="G636" s="32" t="s">
        <v>1043</v>
      </c>
      <c r="H636" s="31" t="s">
        <v>1150</v>
      </c>
      <c r="I636" s="31" t="s">
        <v>1151</v>
      </c>
      <c r="J636" s="31"/>
      <c r="K636" s="31"/>
      <c r="L636" s="31" t="s">
        <v>75</v>
      </c>
    </row>
    <row r="637">
      <c r="A637" s="25" t="s">
        <v>68</v>
      </c>
      <c r="B637" s="31" t="s">
        <v>1529</v>
      </c>
      <c r="C637" s="31" t="s">
        <v>1530</v>
      </c>
      <c r="D637" s="30" t="s">
        <v>1531</v>
      </c>
      <c r="E637" s="28" t="s">
        <v>71</v>
      </c>
      <c r="F637" s="33" t="s">
        <v>1532</v>
      </c>
      <c r="G637" s="32" t="s">
        <v>72</v>
      </c>
      <c r="H637" s="31" t="s">
        <v>1533</v>
      </c>
      <c r="I637" s="31" t="s">
        <v>1534</v>
      </c>
      <c r="J637" s="31"/>
      <c r="K637" s="31"/>
      <c r="L637" s="31" t="s">
        <v>75</v>
      </c>
    </row>
    <row r="638">
      <c r="A638" s="25" t="s">
        <v>68</v>
      </c>
      <c r="B638" s="31" t="s">
        <v>1535</v>
      </c>
      <c r="C638" s="31" t="s">
        <v>1536</v>
      </c>
      <c r="D638" s="32" t="s">
        <v>14</v>
      </c>
      <c r="E638" s="28" t="s">
        <v>71</v>
      </c>
      <c r="F638" s="33" t="s">
        <v>1537</v>
      </c>
      <c r="G638" s="32" t="s">
        <v>1043</v>
      </c>
      <c r="H638" s="31" t="s">
        <v>1448</v>
      </c>
      <c r="I638" s="31" t="s">
        <v>1206</v>
      </c>
      <c r="J638" s="31"/>
      <c r="K638" s="31"/>
      <c r="L638" s="31" t="s">
        <v>75</v>
      </c>
    </row>
    <row r="639">
      <c r="A639" s="25" t="s">
        <v>68</v>
      </c>
      <c r="B639" s="31" t="s">
        <v>1538</v>
      </c>
      <c r="C639" s="31" t="s">
        <v>1539</v>
      </c>
      <c r="D639" s="32" t="s">
        <v>14</v>
      </c>
      <c r="E639" s="28" t="s">
        <v>71</v>
      </c>
      <c r="F639" s="33" t="s">
        <v>1540</v>
      </c>
      <c r="G639" s="32" t="s">
        <v>72</v>
      </c>
      <c r="H639" s="31" t="s">
        <v>1107</v>
      </c>
      <c r="I639" s="31" t="s">
        <v>262</v>
      </c>
      <c r="J639" s="31"/>
      <c r="K639" s="31"/>
      <c r="L639" s="31" t="s">
        <v>75</v>
      </c>
    </row>
    <row r="640">
      <c r="A640" s="25" t="s">
        <v>68</v>
      </c>
      <c r="B640" s="31" t="s">
        <v>1541</v>
      </c>
      <c r="C640" s="31" t="s">
        <v>1542</v>
      </c>
      <c r="D640" s="32" t="s">
        <v>22</v>
      </c>
      <c r="E640" s="28" t="s">
        <v>71</v>
      </c>
      <c r="F640" s="33"/>
      <c r="G640" s="32" t="s">
        <v>72</v>
      </c>
      <c r="H640" s="31" t="s">
        <v>1120</v>
      </c>
      <c r="I640" s="31" t="s">
        <v>1226</v>
      </c>
      <c r="J640" s="31"/>
      <c r="K640" s="31"/>
      <c r="L640" s="31" t="s">
        <v>75</v>
      </c>
    </row>
    <row r="641">
      <c r="A641" s="25" t="s">
        <v>68</v>
      </c>
      <c r="B641" s="31" t="s">
        <v>1543</v>
      </c>
      <c r="C641" s="31" t="s">
        <v>1544</v>
      </c>
      <c r="D641" s="32" t="s">
        <v>14</v>
      </c>
      <c r="E641" s="28" t="s">
        <v>71</v>
      </c>
      <c r="F641" s="33"/>
      <c r="G641" s="32" t="s">
        <v>72</v>
      </c>
      <c r="H641" s="31" t="s">
        <v>1047</v>
      </c>
      <c r="I641" s="31" t="s">
        <v>1048</v>
      </c>
      <c r="J641" s="31"/>
      <c r="K641" s="31"/>
      <c r="L641" s="31" t="s">
        <v>75</v>
      </c>
    </row>
    <row r="642">
      <c r="A642" s="25" t="s">
        <v>68</v>
      </c>
      <c r="B642" s="31" t="s">
        <v>1545</v>
      </c>
      <c r="C642" s="31" t="s">
        <v>1546</v>
      </c>
      <c r="D642" s="32" t="s">
        <v>42</v>
      </c>
      <c r="E642" s="28" t="s">
        <v>71</v>
      </c>
      <c r="F642" s="33" t="s">
        <v>1547</v>
      </c>
      <c r="G642" s="32" t="s">
        <v>72</v>
      </c>
      <c r="H642" s="31" t="s">
        <v>1548</v>
      </c>
      <c r="I642" s="31" t="s">
        <v>1549</v>
      </c>
      <c r="J642" s="31"/>
      <c r="K642" s="34" t="s">
        <v>1550</v>
      </c>
      <c r="L642" s="34" t="s">
        <v>75</v>
      </c>
    </row>
    <row r="643">
      <c r="A643" s="25" t="s">
        <v>68</v>
      </c>
      <c r="B643" s="31" t="s">
        <v>1551</v>
      </c>
      <c r="C643" s="31" t="s">
        <v>1552</v>
      </c>
      <c r="D643" s="32" t="s">
        <v>33</v>
      </c>
      <c r="E643" s="28" t="s">
        <v>71</v>
      </c>
      <c r="F643" s="33"/>
      <c r="G643" s="32" t="s">
        <v>72</v>
      </c>
      <c r="H643" s="31" t="s">
        <v>1364</v>
      </c>
      <c r="I643" s="31" t="s">
        <v>1553</v>
      </c>
      <c r="J643" s="31"/>
      <c r="K643" s="31"/>
      <c r="L643" s="31" t="s">
        <v>75</v>
      </c>
    </row>
    <row r="644">
      <c r="A644" s="25" t="s">
        <v>68</v>
      </c>
      <c r="B644" s="31" t="s">
        <v>1554</v>
      </c>
      <c r="C644" s="31" t="s">
        <v>1555</v>
      </c>
      <c r="D644" s="32" t="s">
        <v>14</v>
      </c>
      <c r="E644" s="28" t="s">
        <v>71</v>
      </c>
      <c r="F644" s="33">
        <v>7.50050833E9</v>
      </c>
      <c r="G644" s="32" t="s">
        <v>1043</v>
      </c>
      <c r="H644" s="31" t="s">
        <v>1156</v>
      </c>
      <c r="I644" s="31" t="s">
        <v>1054</v>
      </c>
      <c r="J644" s="31"/>
      <c r="K644" s="31"/>
      <c r="L644" s="31" t="s">
        <v>75</v>
      </c>
    </row>
    <row r="645">
      <c r="A645" s="25" t="s">
        <v>68</v>
      </c>
      <c r="B645" s="31" t="s">
        <v>1556</v>
      </c>
      <c r="C645" s="31" t="s">
        <v>1557</v>
      </c>
      <c r="D645" s="32" t="s">
        <v>21</v>
      </c>
      <c r="E645" s="28" t="s">
        <v>71</v>
      </c>
      <c r="F645" s="33">
        <v>6.306383796E9</v>
      </c>
      <c r="G645" s="32" t="s">
        <v>1043</v>
      </c>
      <c r="H645" s="31" t="s">
        <v>1191</v>
      </c>
      <c r="I645" s="31" t="s">
        <v>1192</v>
      </c>
      <c r="J645" s="31"/>
      <c r="K645" s="31"/>
      <c r="L645" s="31" t="s">
        <v>75</v>
      </c>
    </row>
    <row r="646">
      <c r="A646" s="25" t="s">
        <v>68</v>
      </c>
      <c r="B646" s="31" t="s">
        <v>1558</v>
      </c>
      <c r="C646" s="31" t="s">
        <v>1559</v>
      </c>
      <c r="D646" s="32" t="s">
        <v>14</v>
      </c>
      <c r="E646" s="28" t="s">
        <v>71</v>
      </c>
      <c r="F646" s="33" t="s">
        <v>1560</v>
      </c>
      <c r="G646" s="32" t="s">
        <v>72</v>
      </c>
      <c r="H646" s="31" t="s">
        <v>1020</v>
      </c>
      <c r="I646" s="31" t="s">
        <v>1026</v>
      </c>
      <c r="J646" s="31"/>
      <c r="K646" s="31"/>
      <c r="L646" s="31" t="s">
        <v>75</v>
      </c>
    </row>
    <row r="647">
      <c r="A647" s="25" t="s">
        <v>68</v>
      </c>
      <c r="B647" s="31" t="s">
        <v>1561</v>
      </c>
      <c r="C647" s="31" t="s">
        <v>1129</v>
      </c>
      <c r="D647" s="32" t="s">
        <v>33</v>
      </c>
      <c r="E647" s="28" t="s">
        <v>71</v>
      </c>
      <c r="F647" s="33" t="s">
        <v>1562</v>
      </c>
      <c r="G647" s="32" t="s">
        <v>72</v>
      </c>
      <c r="H647" s="31" t="s">
        <v>1128</v>
      </c>
      <c r="I647" s="31" t="s">
        <v>1380</v>
      </c>
      <c r="J647" s="31"/>
      <c r="K647" s="31"/>
      <c r="L647" s="31" t="s">
        <v>75</v>
      </c>
    </row>
    <row r="648">
      <c r="A648" s="25" t="s">
        <v>68</v>
      </c>
      <c r="B648" s="31" t="s">
        <v>1563</v>
      </c>
      <c r="C648" s="31" t="s">
        <v>1564</v>
      </c>
      <c r="D648" s="32" t="s">
        <v>33</v>
      </c>
      <c r="E648" s="28" t="s">
        <v>71</v>
      </c>
      <c r="F648" s="33" t="s">
        <v>1565</v>
      </c>
      <c r="G648" s="32" t="s">
        <v>72</v>
      </c>
      <c r="H648" s="31" t="s">
        <v>1566</v>
      </c>
      <c r="I648" s="31" t="s">
        <v>1175</v>
      </c>
      <c r="J648" s="31"/>
      <c r="K648" s="31"/>
      <c r="L648" s="31" t="s">
        <v>78</v>
      </c>
    </row>
    <row r="649">
      <c r="A649" s="25" t="s">
        <v>68</v>
      </c>
      <c r="B649" s="31" t="s">
        <v>1567</v>
      </c>
      <c r="C649" s="31" t="s">
        <v>1568</v>
      </c>
      <c r="D649" s="32" t="s">
        <v>28</v>
      </c>
      <c r="E649" s="28" t="s">
        <v>71</v>
      </c>
      <c r="F649" s="33" t="s">
        <v>1569</v>
      </c>
      <c r="G649" s="32" t="s">
        <v>72</v>
      </c>
      <c r="H649" s="31" t="s">
        <v>1570</v>
      </c>
      <c r="I649" s="31" t="s">
        <v>1073</v>
      </c>
      <c r="J649" s="31"/>
      <c r="K649" s="31"/>
      <c r="L649" s="31" t="s">
        <v>75</v>
      </c>
    </row>
    <row r="650">
      <c r="A650" s="25" t="s">
        <v>68</v>
      </c>
      <c r="B650" s="31" t="s">
        <v>1571</v>
      </c>
      <c r="C650" s="31" t="s">
        <v>1572</v>
      </c>
      <c r="D650" s="32" t="s">
        <v>35</v>
      </c>
      <c r="E650" s="28" t="s">
        <v>71</v>
      </c>
      <c r="F650" s="33"/>
      <c r="G650" s="32" t="s">
        <v>1273</v>
      </c>
      <c r="H650" s="31" t="s">
        <v>1573</v>
      </c>
      <c r="I650" s="31" t="s">
        <v>1510</v>
      </c>
      <c r="J650" s="31"/>
      <c r="K650" s="31"/>
      <c r="L650" s="31" t="s">
        <v>75</v>
      </c>
    </row>
    <row r="651">
      <c r="A651" s="25" t="s">
        <v>68</v>
      </c>
      <c r="B651" s="31" t="s">
        <v>1574</v>
      </c>
      <c r="C651" s="31" t="s">
        <v>1575</v>
      </c>
      <c r="D651" s="32" t="s">
        <v>21</v>
      </c>
      <c r="E651" s="28" t="s">
        <v>71</v>
      </c>
      <c r="F651" s="33">
        <v>9.310815667E9</v>
      </c>
      <c r="G651" s="32" t="s">
        <v>1043</v>
      </c>
      <c r="H651" s="31" t="s">
        <v>1191</v>
      </c>
      <c r="I651" s="31" t="s">
        <v>1192</v>
      </c>
      <c r="J651" s="31"/>
      <c r="K651" s="31"/>
      <c r="L651" s="31" t="s">
        <v>75</v>
      </c>
    </row>
    <row r="652">
      <c r="A652" s="25" t="s">
        <v>68</v>
      </c>
      <c r="B652" s="31" t="s">
        <v>1576</v>
      </c>
      <c r="C652" s="31" t="s">
        <v>1577</v>
      </c>
      <c r="D652" s="32" t="s">
        <v>14</v>
      </c>
      <c r="E652" s="28" t="s">
        <v>71</v>
      </c>
      <c r="F652" s="33"/>
      <c r="G652" s="32" t="s">
        <v>1043</v>
      </c>
      <c r="H652" s="31" t="s">
        <v>1050</v>
      </c>
      <c r="I652" s="31" t="s">
        <v>1044</v>
      </c>
      <c r="J652" s="31"/>
      <c r="K652" s="31"/>
      <c r="L652" s="31" t="s">
        <v>75</v>
      </c>
    </row>
    <row r="653">
      <c r="A653" s="25" t="s">
        <v>68</v>
      </c>
      <c r="B653" s="31" t="s">
        <v>1578</v>
      </c>
      <c r="C653" s="31" t="s">
        <v>1579</v>
      </c>
      <c r="D653" s="32" t="s">
        <v>14</v>
      </c>
      <c r="E653" s="28" t="s">
        <v>71</v>
      </c>
      <c r="F653" s="33"/>
      <c r="G653" s="32" t="s">
        <v>1043</v>
      </c>
      <c r="H653" s="34" t="s">
        <v>1043</v>
      </c>
      <c r="I653" s="31" t="s">
        <v>1206</v>
      </c>
      <c r="J653" s="31"/>
      <c r="K653" s="34" t="s">
        <v>1580</v>
      </c>
      <c r="L653" s="34" t="s">
        <v>75</v>
      </c>
    </row>
    <row r="654">
      <c r="A654" s="25" t="s">
        <v>68</v>
      </c>
      <c r="B654" s="31" t="s">
        <v>1581</v>
      </c>
      <c r="C654" s="31" t="s">
        <v>1582</v>
      </c>
      <c r="D654" s="32" t="s">
        <v>36</v>
      </c>
      <c r="E654" s="28" t="s">
        <v>71</v>
      </c>
      <c r="F654" s="33">
        <v>7.532923636E9</v>
      </c>
      <c r="G654" s="32" t="s">
        <v>72</v>
      </c>
      <c r="H654" s="31" t="s">
        <v>1583</v>
      </c>
      <c r="I654" s="31" t="s">
        <v>1491</v>
      </c>
      <c r="J654" s="31"/>
      <c r="K654" s="31"/>
      <c r="L654" s="31" t="s">
        <v>75</v>
      </c>
    </row>
    <row r="655">
      <c r="A655" s="25" t="s">
        <v>68</v>
      </c>
      <c r="B655" s="31" t="s">
        <v>1584</v>
      </c>
      <c r="C655" s="31" t="s">
        <v>1585</v>
      </c>
      <c r="D655" s="32" t="s">
        <v>25</v>
      </c>
      <c r="E655" s="28" t="s">
        <v>71</v>
      </c>
      <c r="F655" s="33" t="s">
        <v>1586</v>
      </c>
      <c r="G655" s="32" t="s">
        <v>72</v>
      </c>
      <c r="H655" s="31" t="s">
        <v>1587</v>
      </c>
      <c r="I655" s="31" t="s">
        <v>1100</v>
      </c>
      <c r="J655" s="31"/>
      <c r="K655" s="31"/>
      <c r="L655" s="31" t="s">
        <v>75</v>
      </c>
    </row>
    <row r="656">
      <c r="A656" s="25" t="s">
        <v>68</v>
      </c>
      <c r="B656" s="31" t="s">
        <v>1588</v>
      </c>
      <c r="C656" s="31" t="s">
        <v>1589</v>
      </c>
      <c r="D656" s="32" t="s">
        <v>21</v>
      </c>
      <c r="E656" s="28" t="s">
        <v>71</v>
      </c>
      <c r="F656" s="33"/>
      <c r="G656" s="32" t="s">
        <v>72</v>
      </c>
      <c r="H656" s="31" t="s">
        <v>1097</v>
      </c>
      <c r="I656" s="31" t="s">
        <v>1053</v>
      </c>
      <c r="J656" s="31"/>
      <c r="K656" s="31"/>
      <c r="L656" s="31" t="s">
        <v>75</v>
      </c>
    </row>
    <row r="657">
      <c r="A657" s="25" t="s">
        <v>68</v>
      </c>
      <c r="B657" s="31" t="s">
        <v>1590</v>
      </c>
      <c r="C657" s="31" t="s">
        <v>1591</v>
      </c>
      <c r="D657" s="32" t="s">
        <v>21</v>
      </c>
      <c r="E657" s="28" t="s">
        <v>71</v>
      </c>
      <c r="F657" s="33" t="s">
        <v>1592</v>
      </c>
      <c r="G657" s="32" t="s">
        <v>72</v>
      </c>
      <c r="H657" s="31" t="s">
        <v>1052</v>
      </c>
      <c r="I657" s="31" t="s">
        <v>1053</v>
      </c>
      <c r="J657" s="31"/>
      <c r="K657" s="31"/>
      <c r="L657" s="31" t="s">
        <v>75</v>
      </c>
    </row>
    <row r="658">
      <c r="A658" s="25" t="s">
        <v>68</v>
      </c>
      <c r="B658" s="31" t="s">
        <v>1593</v>
      </c>
      <c r="C658" s="31" t="s">
        <v>1594</v>
      </c>
      <c r="D658" s="32" t="s">
        <v>21</v>
      </c>
      <c r="E658" s="28" t="s">
        <v>71</v>
      </c>
      <c r="F658" s="33"/>
      <c r="G658" s="32" t="s">
        <v>72</v>
      </c>
      <c r="H658" s="31" t="s">
        <v>1595</v>
      </c>
      <c r="I658" s="31" t="s">
        <v>1168</v>
      </c>
      <c r="J658" s="31"/>
      <c r="K658" s="31"/>
      <c r="L658" s="31" t="s">
        <v>75</v>
      </c>
    </row>
    <row r="659">
      <c r="A659" s="25" t="s">
        <v>68</v>
      </c>
      <c r="B659" s="31" t="s">
        <v>1596</v>
      </c>
      <c r="C659" s="31" t="s">
        <v>1597</v>
      </c>
      <c r="D659" s="32" t="s">
        <v>21</v>
      </c>
      <c r="E659" s="28" t="s">
        <v>71</v>
      </c>
      <c r="F659" s="33"/>
      <c r="G659" s="32" t="s">
        <v>72</v>
      </c>
      <c r="H659" s="31" t="s">
        <v>1598</v>
      </c>
      <c r="I659" s="31" t="s">
        <v>1053</v>
      </c>
      <c r="J659" s="31"/>
      <c r="K659" s="31"/>
      <c r="L659" s="31" t="s">
        <v>75</v>
      </c>
    </row>
    <row r="660">
      <c r="A660" s="25" t="s">
        <v>68</v>
      </c>
      <c r="B660" s="31" t="s">
        <v>1599</v>
      </c>
      <c r="C660" s="31" t="s">
        <v>1600</v>
      </c>
      <c r="D660" s="32" t="s">
        <v>14</v>
      </c>
      <c r="E660" s="28" t="s">
        <v>71</v>
      </c>
      <c r="F660" s="33"/>
      <c r="G660" s="32" t="s">
        <v>1043</v>
      </c>
      <c r="H660" s="31" t="s">
        <v>1093</v>
      </c>
      <c r="I660" s="31" t="s">
        <v>1044</v>
      </c>
      <c r="J660" s="31"/>
      <c r="K660" s="31"/>
      <c r="L660" s="31" t="s">
        <v>75</v>
      </c>
    </row>
    <row r="661">
      <c r="A661" s="25" t="s">
        <v>68</v>
      </c>
      <c r="B661" s="31" t="s">
        <v>1601</v>
      </c>
      <c r="C661" s="31" t="s">
        <v>1602</v>
      </c>
      <c r="D661" s="32" t="s">
        <v>14</v>
      </c>
      <c r="E661" s="28" t="s">
        <v>71</v>
      </c>
      <c r="F661" s="33"/>
      <c r="G661" s="32" t="s">
        <v>72</v>
      </c>
      <c r="H661" s="31" t="s">
        <v>1603</v>
      </c>
      <c r="I661" s="31" t="s">
        <v>1604</v>
      </c>
      <c r="J661" s="31"/>
      <c r="K661" s="31"/>
      <c r="L661" s="31" t="s">
        <v>75</v>
      </c>
    </row>
    <row r="662">
      <c r="A662" s="25" t="s">
        <v>68</v>
      </c>
      <c r="B662" s="31" t="s">
        <v>1605</v>
      </c>
      <c r="C662" s="31" t="s">
        <v>1606</v>
      </c>
      <c r="D662" s="32" t="s">
        <v>21</v>
      </c>
      <c r="E662" s="28" t="s">
        <v>71</v>
      </c>
      <c r="F662" s="33">
        <v>8.287738829E9</v>
      </c>
      <c r="G662" s="32" t="s">
        <v>72</v>
      </c>
      <c r="H662" s="31" t="s">
        <v>1186</v>
      </c>
      <c r="I662" s="31" t="s">
        <v>1187</v>
      </c>
      <c r="J662" s="31"/>
      <c r="K662" s="31"/>
      <c r="L662" s="31" t="s">
        <v>75</v>
      </c>
    </row>
    <row r="663">
      <c r="A663" s="25" t="s">
        <v>68</v>
      </c>
      <c r="B663" s="31" t="s">
        <v>1607</v>
      </c>
      <c r="C663" s="31" t="s">
        <v>1608</v>
      </c>
      <c r="D663" s="32" t="s">
        <v>14</v>
      </c>
      <c r="E663" s="28" t="s">
        <v>71</v>
      </c>
      <c r="F663" s="33"/>
      <c r="G663" s="32" t="s">
        <v>1043</v>
      </c>
      <c r="H663" s="31" t="s">
        <v>1043</v>
      </c>
      <c r="I663" s="31" t="s">
        <v>1044</v>
      </c>
      <c r="J663" s="31"/>
      <c r="K663" s="31"/>
      <c r="L663" s="31" t="s">
        <v>75</v>
      </c>
    </row>
    <row r="664">
      <c r="A664" s="25" t="s">
        <v>68</v>
      </c>
      <c r="B664" s="31" t="s">
        <v>1609</v>
      </c>
      <c r="C664" s="31" t="s">
        <v>1610</v>
      </c>
      <c r="D664" s="32" t="s">
        <v>14</v>
      </c>
      <c r="E664" s="28" t="s">
        <v>71</v>
      </c>
      <c r="F664" s="33" t="s">
        <v>1611</v>
      </c>
      <c r="G664" s="32" t="s">
        <v>72</v>
      </c>
      <c r="H664" s="31" t="s">
        <v>1047</v>
      </c>
      <c r="I664" s="31" t="s">
        <v>1048</v>
      </c>
      <c r="J664" s="31"/>
      <c r="K664" s="31"/>
      <c r="L664" s="31" t="s">
        <v>75</v>
      </c>
    </row>
    <row r="665">
      <c r="A665" s="25" t="s">
        <v>68</v>
      </c>
      <c r="B665" s="31" t="s">
        <v>1612</v>
      </c>
      <c r="C665" s="31" t="s">
        <v>1613</v>
      </c>
      <c r="D665" s="32" t="s">
        <v>14</v>
      </c>
      <c r="E665" s="28" t="s">
        <v>71</v>
      </c>
      <c r="F665" s="33"/>
      <c r="G665" s="32" t="s">
        <v>72</v>
      </c>
      <c r="H665" s="31" t="s">
        <v>1020</v>
      </c>
      <c r="I665" s="31" t="s">
        <v>1429</v>
      </c>
      <c r="J665" s="31"/>
      <c r="K665" s="31"/>
      <c r="L665" s="31" t="s">
        <v>75</v>
      </c>
    </row>
    <row r="666">
      <c r="A666" s="25" t="s">
        <v>68</v>
      </c>
      <c r="B666" s="31" t="s">
        <v>1614</v>
      </c>
      <c r="C666" s="31" t="s">
        <v>1615</v>
      </c>
      <c r="D666" s="32" t="s">
        <v>21</v>
      </c>
      <c r="E666" s="28" t="s">
        <v>71</v>
      </c>
      <c r="F666" s="33"/>
      <c r="G666" s="32" t="s">
        <v>72</v>
      </c>
      <c r="H666" s="31" t="s">
        <v>1595</v>
      </c>
      <c r="I666" s="31" t="s">
        <v>1616</v>
      </c>
      <c r="J666" s="31"/>
      <c r="K666" s="31"/>
      <c r="L666" s="31" t="s">
        <v>75</v>
      </c>
    </row>
    <row r="667">
      <c r="A667" s="25" t="s">
        <v>68</v>
      </c>
      <c r="B667" s="31" t="s">
        <v>1617</v>
      </c>
      <c r="C667" s="31" t="s">
        <v>1618</v>
      </c>
      <c r="D667" s="32" t="s">
        <v>21</v>
      </c>
      <c r="E667" s="28" t="s">
        <v>71</v>
      </c>
      <c r="F667" s="33">
        <v>9.582234571E9</v>
      </c>
      <c r="G667" s="32" t="s">
        <v>1043</v>
      </c>
      <c r="H667" s="31" t="s">
        <v>1373</v>
      </c>
      <c r="I667" s="31" t="s">
        <v>1164</v>
      </c>
      <c r="J667" s="31"/>
      <c r="K667" s="31"/>
      <c r="L667" s="31" t="s">
        <v>75</v>
      </c>
    </row>
    <row r="668">
      <c r="A668" s="25" t="s">
        <v>68</v>
      </c>
      <c r="B668" s="31" t="s">
        <v>1619</v>
      </c>
      <c r="C668" s="31" t="s">
        <v>1620</v>
      </c>
      <c r="D668" s="32" t="s">
        <v>21</v>
      </c>
      <c r="E668" s="28" t="s">
        <v>71</v>
      </c>
      <c r="F668" s="33">
        <v>9.559280127E9</v>
      </c>
      <c r="G668" s="32" t="s">
        <v>1043</v>
      </c>
      <c r="H668" s="31" t="s">
        <v>1163</v>
      </c>
      <c r="I668" s="31" t="s">
        <v>1164</v>
      </c>
      <c r="J668" s="31"/>
      <c r="K668" s="31"/>
      <c r="L668" s="31" t="s">
        <v>75</v>
      </c>
    </row>
    <row r="669">
      <c r="A669" s="25" t="s">
        <v>68</v>
      </c>
      <c r="B669" s="31" t="s">
        <v>1621</v>
      </c>
      <c r="C669" s="31" t="s">
        <v>1622</v>
      </c>
      <c r="D669" s="32" t="s">
        <v>17</v>
      </c>
      <c r="E669" s="28" t="s">
        <v>71</v>
      </c>
      <c r="F669" s="33" t="s">
        <v>1623</v>
      </c>
      <c r="G669" s="32" t="s">
        <v>72</v>
      </c>
      <c r="H669" s="31" t="s">
        <v>1624</v>
      </c>
      <c r="I669" s="31" t="s">
        <v>1017</v>
      </c>
      <c r="J669" s="31"/>
      <c r="K669" s="31"/>
      <c r="L669" s="31" t="s">
        <v>75</v>
      </c>
    </row>
    <row r="670">
      <c r="A670" s="25" t="s">
        <v>68</v>
      </c>
      <c r="B670" s="31" t="s">
        <v>1625</v>
      </c>
      <c r="C670" s="31" t="s">
        <v>1626</v>
      </c>
      <c r="D670" s="32" t="s">
        <v>21</v>
      </c>
      <c r="E670" s="28" t="s">
        <v>71</v>
      </c>
      <c r="F670" s="33"/>
      <c r="G670" s="32" t="s">
        <v>72</v>
      </c>
      <c r="H670" s="31" t="s">
        <v>1249</v>
      </c>
      <c r="I670" s="31" t="s">
        <v>1053</v>
      </c>
      <c r="J670" s="31"/>
      <c r="K670" s="34" t="s">
        <v>1627</v>
      </c>
      <c r="L670" s="34" t="s">
        <v>75</v>
      </c>
    </row>
    <row r="671">
      <c r="A671" s="25" t="s">
        <v>68</v>
      </c>
      <c r="B671" s="31" t="s">
        <v>1628</v>
      </c>
      <c r="C671" s="31" t="s">
        <v>1629</v>
      </c>
      <c r="D671" s="32" t="s">
        <v>14</v>
      </c>
      <c r="E671" s="28" t="s">
        <v>71</v>
      </c>
      <c r="F671" s="33"/>
      <c r="G671" s="32" t="s">
        <v>1043</v>
      </c>
      <c r="H671" s="31" t="s">
        <v>1043</v>
      </c>
      <c r="I671" s="31" t="s">
        <v>1151</v>
      </c>
      <c r="J671" s="31"/>
      <c r="K671" s="31"/>
      <c r="L671" s="31" t="s">
        <v>75</v>
      </c>
    </row>
    <row r="672">
      <c r="A672" s="25" t="s">
        <v>68</v>
      </c>
      <c r="B672" s="31" t="s">
        <v>1630</v>
      </c>
      <c r="C672" s="31" t="s">
        <v>1631</v>
      </c>
      <c r="D672" s="32" t="s">
        <v>21</v>
      </c>
      <c r="E672" s="28" t="s">
        <v>71</v>
      </c>
      <c r="F672" s="33" t="s">
        <v>1632</v>
      </c>
      <c r="G672" s="32" t="s">
        <v>1043</v>
      </c>
      <c r="H672" s="31" t="s">
        <v>1150</v>
      </c>
      <c r="I672" s="31" t="s">
        <v>1400</v>
      </c>
      <c r="J672" s="31"/>
      <c r="K672" s="31"/>
      <c r="L672" s="31" t="s">
        <v>75</v>
      </c>
    </row>
    <row r="673">
      <c r="A673" s="25" t="s">
        <v>68</v>
      </c>
      <c r="B673" s="31" t="s">
        <v>1633</v>
      </c>
      <c r="C673" s="31" t="s">
        <v>1040</v>
      </c>
      <c r="D673" s="32" t="s">
        <v>30</v>
      </c>
      <c r="E673" s="28" t="s">
        <v>71</v>
      </c>
      <c r="F673" s="33"/>
      <c r="G673" s="32" t="s">
        <v>72</v>
      </c>
      <c r="H673" s="31" t="s">
        <v>1634</v>
      </c>
      <c r="I673" s="31" t="s">
        <v>1351</v>
      </c>
      <c r="J673" s="31"/>
      <c r="K673" s="31"/>
      <c r="L673" s="31" t="s">
        <v>75</v>
      </c>
    </row>
    <row r="674">
      <c r="A674" s="25" t="s">
        <v>68</v>
      </c>
      <c r="B674" s="31" t="s">
        <v>1635</v>
      </c>
      <c r="C674" s="31" t="s">
        <v>1323</v>
      </c>
      <c r="D674" s="32" t="s">
        <v>30</v>
      </c>
      <c r="E674" s="28" t="s">
        <v>71</v>
      </c>
      <c r="F674" s="33" t="s">
        <v>1636</v>
      </c>
      <c r="G674" s="32" t="s">
        <v>72</v>
      </c>
      <c r="H674" s="31" t="s">
        <v>1460</v>
      </c>
      <c r="I674" s="31" t="s">
        <v>1351</v>
      </c>
      <c r="J674" s="31"/>
      <c r="K674" s="31"/>
      <c r="L674" s="31" t="s">
        <v>75</v>
      </c>
    </row>
    <row r="675">
      <c r="A675" s="25" t="s">
        <v>68</v>
      </c>
      <c r="B675" s="31" t="s">
        <v>1637</v>
      </c>
      <c r="C675" s="31" t="s">
        <v>1638</v>
      </c>
      <c r="D675" s="32" t="s">
        <v>21</v>
      </c>
      <c r="E675" s="28" t="s">
        <v>71</v>
      </c>
      <c r="F675" s="33">
        <v>9.711929192E9</v>
      </c>
      <c r="G675" s="32" t="s">
        <v>72</v>
      </c>
      <c r="H675" s="31" t="s">
        <v>1186</v>
      </c>
      <c r="I675" s="31" t="s">
        <v>1187</v>
      </c>
      <c r="J675" s="31"/>
      <c r="K675" s="31"/>
      <c r="L675" s="31" t="s">
        <v>75</v>
      </c>
    </row>
    <row r="676">
      <c r="A676" s="25" t="s">
        <v>68</v>
      </c>
      <c r="B676" s="31" t="s">
        <v>1639</v>
      </c>
      <c r="C676" s="31" t="s">
        <v>1640</v>
      </c>
      <c r="D676" s="32" t="s">
        <v>33</v>
      </c>
      <c r="E676" s="28" t="s">
        <v>71</v>
      </c>
      <c r="F676" s="33" t="s">
        <v>1641</v>
      </c>
      <c r="G676" s="32" t="s">
        <v>72</v>
      </c>
      <c r="H676" s="31" t="s">
        <v>1151</v>
      </c>
      <c r="I676" s="31" t="s">
        <v>1380</v>
      </c>
      <c r="J676" s="31"/>
      <c r="K676" s="26" t="s">
        <v>1642</v>
      </c>
      <c r="L676" s="31" t="s">
        <v>75</v>
      </c>
    </row>
    <row r="677">
      <c r="A677" s="25" t="s">
        <v>68</v>
      </c>
      <c r="B677" s="31" t="s">
        <v>1643</v>
      </c>
      <c r="C677" s="31" t="s">
        <v>1644</v>
      </c>
      <c r="D677" s="32" t="s">
        <v>14</v>
      </c>
      <c r="E677" s="28" t="s">
        <v>71</v>
      </c>
      <c r="F677" s="33"/>
      <c r="G677" s="32" t="s">
        <v>72</v>
      </c>
      <c r="H677" s="31" t="s">
        <v>1199</v>
      </c>
      <c r="I677" s="31" t="s">
        <v>1029</v>
      </c>
      <c r="J677" s="31"/>
      <c r="K677" s="31"/>
      <c r="L677" s="31" t="s">
        <v>75</v>
      </c>
    </row>
    <row r="678">
      <c r="A678" s="25" t="s">
        <v>68</v>
      </c>
      <c r="B678" s="31" t="s">
        <v>1645</v>
      </c>
      <c r="C678" s="31" t="s">
        <v>1646</v>
      </c>
      <c r="D678" s="35" t="s">
        <v>36</v>
      </c>
      <c r="E678" s="28" t="s">
        <v>71</v>
      </c>
      <c r="F678" s="33">
        <v>9.717781317E9</v>
      </c>
      <c r="G678" s="32" t="s">
        <v>72</v>
      </c>
      <c r="H678" s="31" t="s">
        <v>1647</v>
      </c>
      <c r="I678" s="31" t="s">
        <v>1491</v>
      </c>
      <c r="J678" s="31"/>
      <c r="K678" s="31"/>
      <c r="L678" s="31" t="s">
        <v>75</v>
      </c>
    </row>
    <row r="679">
      <c r="A679" s="25" t="s">
        <v>68</v>
      </c>
      <c r="B679" s="31" t="s">
        <v>1648</v>
      </c>
      <c r="C679" s="31" t="s">
        <v>1649</v>
      </c>
      <c r="D679" s="32" t="s">
        <v>47</v>
      </c>
      <c r="E679" s="28" t="s">
        <v>71</v>
      </c>
      <c r="F679" s="33"/>
      <c r="G679" s="32" t="s">
        <v>72</v>
      </c>
      <c r="H679" s="31" t="s">
        <v>1650</v>
      </c>
      <c r="I679" s="31" t="s">
        <v>1210</v>
      </c>
      <c r="J679" s="31"/>
      <c r="K679" s="31"/>
      <c r="L679" s="31" t="s">
        <v>75</v>
      </c>
    </row>
    <row r="680">
      <c r="A680" s="25" t="s">
        <v>68</v>
      </c>
      <c r="B680" s="31" t="s">
        <v>1651</v>
      </c>
      <c r="C680" s="31" t="s">
        <v>1652</v>
      </c>
      <c r="D680" s="32" t="s">
        <v>21</v>
      </c>
      <c r="E680" s="28" t="s">
        <v>71</v>
      </c>
      <c r="F680" s="33"/>
      <c r="G680" s="32" t="s">
        <v>1043</v>
      </c>
      <c r="H680" s="31" t="s">
        <v>1043</v>
      </c>
      <c r="I680" s="31" t="s">
        <v>1400</v>
      </c>
      <c r="J680" s="31"/>
      <c r="K680" s="31"/>
      <c r="L680" s="31" t="s">
        <v>75</v>
      </c>
    </row>
    <row r="681">
      <c r="A681" s="25" t="s">
        <v>68</v>
      </c>
      <c r="B681" s="31" t="s">
        <v>1653</v>
      </c>
      <c r="C681" s="31" t="s">
        <v>1654</v>
      </c>
      <c r="D681" s="32" t="s">
        <v>21</v>
      </c>
      <c r="E681" s="28" t="s">
        <v>71</v>
      </c>
      <c r="F681" s="33"/>
      <c r="G681" s="32" t="s">
        <v>1043</v>
      </c>
      <c r="H681" s="31" t="s">
        <v>1191</v>
      </c>
      <c r="I681" s="31" t="s">
        <v>1400</v>
      </c>
      <c r="J681" s="31"/>
      <c r="K681" s="31"/>
      <c r="L681" s="31" t="s">
        <v>75</v>
      </c>
    </row>
    <row r="682">
      <c r="A682" s="25" t="s">
        <v>68</v>
      </c>
      <c r="B682" s="31" t="s">
        <v>1655</v>
      </c>
      <c r="C682" s="31" t="s">
        <v>1656</v>
      </c>
      <c r="D682" s="32" t="s">
        <v>14</v>
      </c>
      <c r="E682" s="28" t="s">
        <v>71</v>
      </c>
      <c r="F682" s="33"/>
      <c r="G682" s="32" t="s">
        <v>1043</v>
      </c>
      <c r="H682" s="31" t="s">
        <v>1657</v>
      </c>
      <c r="I682" s="31" t="s">
        <v>1658</v>
      </c>
      <c r="J682" s="31"/>
      <c r="K682" s="31"/>
      <c r="L682" s="31" t="s">
        <v>75</v>
      </c>
    </row>
    <row r="683">
      <c r="A683" s="25" t="s">
        <v>68</v>
      </c>
      <c r="B683" s="31" t="s">
        <v>1659</v>
      </c>
      <c r="C683" s="31" t="s">
        <v>1660</v>
      </c>
      <c r="D683" s="32" t="s">
        <v>36</v>
      </c>
      <c r="E683" s="28" t="s">
        <v>71</v>
      </c>
      <c r="F683" s="33"/>
      <c r="G683" s="32" t="s">
        <v>1043</v>
      </c>
      <c r="H683" s="31" t="s">
        <v>1661</v>
      </c>
      <c r="I683" s="31" t="s">
        <v>1491</v>
      </c>
      <c r="J683" s="31"/>
      <c r="K683" s="31"/>
      <c r="L683" s="31" t="s">
        <v>75</v>
      </c>
    </row>
    <row r="684">
      <c r="A684" s="25" t="s">
        <v>68</v>
      </c>
      <c r="B684" s="31" t="s">
        <v>1662</v>
      </c>
      <c r="C684" s="31" t="s">
        <v>1663</v>
      </c>
      <c r="D684" s="32" t="s">
        <v>21</v>
      </c>
      <c r="E684" s="28" t="s">
        <v>71</v>
      </c>
      <c r="F684" s="33"/>
      <c r="G684" s="32" t="s">
        <v>1043</v>
      </c>
      <c r="H684" s="31" t="s">
        <v>1150</v>
      </c>
      <c r="I684" s="31" t="s">
        <v>1400</v>
      </c>
      <c r="J684" s="31"/>
      <c r="K684" s="31"/>
      <c r="L684" s="31" t="s">
        <v>75</v>
      </c>
    </row>
    <row r="685">
      <c r="A685" s="25" t="s">
        <v>68</v>
      </c>
      <c r="B685" s="31" t="s">
        <v>1664</v>
      </c>
      <c r="C685" s="31" t="s">
        <v>1665</v>
      </c>
      <c r="D685" s="32" t="s">
        <v>30</v>
      </c>
      <c r="E685" s="28" t="s">
        <v>71</v>
      </c>
      <c r="F685" s="33">
        <v>8.800929377E9</v>
      </c>
      <c r="G685" s="32" t="s">
        <v>1043</v>
      </c>
      <c r="H685" s="31" t="s">
        <v>1043</v>
      </c>
      <c r="I685" s="31" t="s">
        <v>1351</v>
      </c>
      <c r="J685" s="31"/>
      <c r="K685" s="31"/>
      <c r="L685" s="31" t="s">
        <v>75</v>
      </c>
    </row>
    <row r="686">
      <c r="A686" s="25" t="s">
        <v>68</v>
      </c>
      <c r="B686" s="31" t="s">
        <v>1666</v>
      </c>
      <c r="C686" s="31" t="s">
        <v>1667</v>
      </c>
      <c r="D686" s="32" t="s">
        <v>21</v>
      </c>
      <c r="E686" s="28" t="s">
        <v>71</v>
      </c>
      <c r="F686" s="33">
        <v>9.871297068E9</v>
      </c>
      <c r="G686" s="32" t="s">
        <v>1043</v>
      </c>
      <c r="H686" s="31" t="s">
        <v>1163</v>
      </c>
      <c r="I686" s="31" t="s">
        <v>1164</v>
      </c>
      <c r="J686" s="31"/>
      <c r="K686" s="31"/>
      <c r="L686" s="31" t="s">
        <v>75</v>
      </c>
    </row>
    <row r="687">
      <c r="A687" s="25" t="s">
        <v>68</v>
      </c>
      <c r="B687" s="31" t="s">
        <v>1668</v>
      </c>
      <c r="C687" s="31" t="s">
        <v>1400</v>
      </c>
      <c r="D687" s="32" t="s">
        <v>21</v>
      </c>
      <c r="E687" s="28" t="s">
        <v>71</v>
      </c>
      <c r="F687" s="33" t="s">
        <v>1669</v>
      </c>
      <c r="G687" s="32" t="s">
        <v>72</v>
      </c>
      <c r="H687" s="31" t="s">
        <v>1670</v>
      </c>
      <c r="I687" s="31" t="s">
        <v>1164</v>
      </c>
      <c r="J687" s="31"/>
      <c r="K687" s="31"/>
      <c r="L687" s="31" t="s">
        <v>75</v>
      </c>
    </row>
    <row r="688">
      <c r="A688" s="25" t="s">
        <v>68</v>
      </c>
      <c r="B688" s="31" t="s">
        <v>1671</v>
      </c>
      <c r="C688" s="31" t="s">
        <v>1672</v>
      </c>
      <c r="D688" s="32" t="s">
        <v>28</v>
      </c>
      <c r="E688" s="28" t="s">
        <v>71</v>
      </c>
      <c r="F688" s="33"/>
      <c r="G688" s="32" t="s">
        <v>72</v>
      </c>
      <c r="H688" s="31" t="s">
        <v>1673</v>
      </c>
      <c r="I688" s="31" t="s">
        <v>1077</v>
      </c>
      <c r="J688" s="31"/>
      <c r="K688" s="31"/>
      <c r="L688" s="31" t="s">
        <v>75</v>
      </c>
    </row>
    <row r="689">
      <c r="A689" s="25" t="s">
        <v>68</v>
      </c>
      <c r="B689" s="31" t="s">
        <v>1674</v>
      </c>
      <c r="C689" s="31" t="s">
        <v>1675</v>
      </c>
      <c r="D689" s="32" t="s">
        <v>47</v>
      </c>
      <c r="E689" s="28" t="s">
        <v>71</v>
      </c>
      <c r="F689" s="33"/>
      <c r="G689" s="32" t="s">
        <v>72</v>
      </c>
      <c r="H689" s="31" t="s">
        <v>1676</v>
      </c>
      <c r="I689" s="31" t="s">
        <v>1210</v>
      </c>
      <c r="J689" s="31"/>
      <c r="K689" s="31"/>
      <c r="L689" s="31" t="s">
        <v>75</v>
      </c>
    </row>
    <row r="690">
      <c r="A690" s="25" t="s">
        <v>68</v>
      </c>
      <c r="B690" s="31" t="s">
        <v>1677</v>
      </c>
      <c r="C690" s="31" t="s">
        <v>1678</v>
      </c>
      <c r="D690" s="32" t="s">
        <v>33</v>
      </c>
      <c r="E690" s="28" t="s">
        <v>71</v>
      </c>
      <c r="F690" s="33"/>
      <c r="G690" s="32" t="s">
        <v>72</v>
      </c>
      <c r="H690" s="31" t="s">
        <v>1679</v>
      </c>
      <c r="I690" s="31" t="s">
        <v>1135</v>
      </c>
      <c r="J690" s="31"/>
      <c r="K690" s="31"/>
      <c r="L690" s="31" t="s">
        <v>75</v>
      </c>
    </row>
    <row r="691">
      <c r="A691" s="25" t="s">
        <v>68</v>
      </c>
      <c r="B691" s="31" t="s">
        <v>1680</v>
      </c>
      <c r="C691" s="31" t="s">
        <v>1681</v>
      </c>
      <c r="D691" s="32" t="s">
        <v>14</v>
      </c>
      <c r="E691" s="28" t="s">
        <v>71</v>
      </c>
      <c r="F691" s="33" t="s">
        <v>1682</v>
      </c>
      <c r="G691" s="32" t="s">
        <v>1043</v>
      </c>
      <c r="H691" s="31" t="s">
        <v>1683</v>
      </c>
      <c r="I691" s="31" t="s">
        <v>1044</v>
      </c>
      <c r="J691" s="31"/>
      <c r="K691" s="31"/>
      <c r="L691" s="31" t="s">
        <v>75</v>
      </c>
    </row>
    <row r="692">
      <c r="A692" s="25" t="s">
        <v>68</v>
      </c>
      <c r="B692" s="31" t="s">
        <v>1684</v>
      </c>
      <c r="C692" s="31" t="s">
        <v>1297</v>
      </c>
      <c r="D692" s="32" t="s">
        <v>14</v>
      </c>
      <c r="E692" s="28" t="s">
        <v>71</v>
      </c>
      <c r="F692" s="33"/>
      <c r="G692" s="32" t="s">
        <v>72</v>
      </c>
      <c r="H692" s="31" t="s">
        <v>1256</v>
      </c>
      <c r="I692" s="31" t="s">
        <v>1331</v>
      </c>
      <c r="J692" s="31"/>
      <c r="K692" s="31"/>
      <c r="L692" s="31" t="s">
        <v>75</v>
      </c>
    </row>
    <row r="693">
      <c r="A693" s="25" t="s">
        <v>68</v>
      </c>
      <c r="B693" s="31" t="s">
        <v>1685</v>
      </c>
      <c r="C693" s="31" t="s">
        <v>1686</v>
      </c>
      <c r="D693" s="32" t="s">
        <v>14</v>
      </c>
      <c r="E693" s="28" t="s">
        <v>71</v>
      </c>
      <c r="F693" s="33"/>
      <c r="G693" s="32" t="s">
        <v>1043</v>
      </c>
      <c r="H693" s="31" t="s">
        <v>1156</v>
      </c>
      <c r="I693" s="31" t="s">
        <v>1044</v>
      </c>
      <c r="J693" s="31"/>
      <c r="K693" s="31"/>
      <c r="L693" s="31" t="s">
        <v>75</v>
      </c>
    </row>
    <row r="694">
      <c r="A694" s="25" t="s">
        <v>68</v>
      </c>
      <c r="B694" s="31" t="s">
        <v>1687</v>
      </c>
      <c r="C694" s="31" t="s">
        <v>1688</v>
      </c>
      <c r="D694" s="32" t="s">
        <v>14</v>
      </c>
      <c r="E694" s="28" t="s">
        <v>71</v>
      </c>
      <c r="F694" s="33"/>
      <c r="G694" s="32" t="s">
        <v>1043</v>
      </c>
      <c r="H694" s="31" t="s">
        <v>1043</v>
      </c>
      <c r="I694" s="31" t="s">
        <v>1044</v>
      </c>
      <c r="J694" s="31"/>
      <c r="K694" s="31"/>
      <c r="L694" s="31" t="s">
        <v>75</v>
      </c>
    </row>
    <row r="695">
      <c r="A695" s="25" t="s">
        <v>68</v>
      </c>
      <c r="B695" s="31" t="s">
        <v>1689</v>
      </c>
      <c r="C695" s="31" t="s">
        <v>1690</v>
      </c>
      <c r="D695" s="32" t="s">
        <v>14</v>
      </c>
      <c r="E695" s="28" t="s">
        <v>71</v>
      </c>
      <c r="F695" s="33"/>
      <c r="G695" s="32" t="s">
        <v>1043</v>
      </c>
      <c r="H695" s="31" t="s">
        <v>1050</v>
      </c>
      <c r="I695" s="31" t="s">
        <v>1044</v>
      </c>
      <c r="J695" s="31"/>
      <c r="K695" s="31"/>
      <c r="L695" s="31" t="s">
        <v>75</v>
      </c>
    </row>
    <row r="696">
      <c r="A696" s="25" t="s">
        <v>68</v>
      </c>
      <c r="B696" s="31" t="s">
        <v>1691</v>
      </c>
      <c r="C696" s="31" t="s">
        <v>1692</v>
      </c>
      <c r="D696" s="32" t="s">
        <v>14</v>
      </c>
      <c r="E696" s="28" t="s">
        <v>71</v>
      </c>
      <c r="F696" s="33"/>
      <c r="G696" s="32" t="s">
        <v>72</v>
      </c>
      <c r="H696" s="31" t="s">
        <v>1020</v>
      </c>
      <c r="I696" s="31" t="s">
        <v>1114</v>
      </c>
      <c r="J696" s="31"/>
      <c r="K696" s="31"/>
      <c r="L696" s="31" t="s">
        <v>75</v>
      </c>
    </row>
    <row r="697">
      <c r="A697" s="25" t="s">
        <v>68</v>
      </c>
      <c r="B697" s="31" t="s">
        <v>1693</v>
      </c>
      <c r="C697" s="31" t="s">
        <v>1694</v>
      </c>
      <c r="D697" s="32" t="s">
        <v>14</v>
      </c>
      <c r="E697" s="28" t="s">
        <v>71</v>
      </c>
      <c r="F697" s="33"/>
      <c r="G697" s="32" t="s">
        <v>72</v>
      </c>
      <c r="H697" s="31" t="s">
        <v>1256</v>
      </c>
      <c r="I697" s="31" t="s">
        <v>1695</v>
      </c>
      <c r="J697" s="31"/>
      <c r="K697" s="31"/>
      <c r="L697" s="31" t="s">
        <v>75</v>
      </c>
    </row>
    <row r="698">
      <c r="A698" s="25" t="s">
        <v>68</v>
      </c>
      <c r="B698" s="31" t="s">
        <v>1696</v>
      </c>
      <c r="C698" s="31" t="s">
        <v>1697</v>
      </c>
      <c r="D698" s="32" t="s">
        <v>33</v>
      </c>
      <c r="E698" s="28" t="s">
        <v>71</v>
      </c>
      <c r="F698" s="33" t="s">
        <v>1698</v>
      </c>
      <c r="G698" s="32" t="s">
        <v>72</v>
      </c>
      <c r="H698" s="31" t="s">
        <v>1699</v>
      </c>
      <c r="I698" s="31" t="s">
        <v>1175</v>
      </c>
      <c r="J698" s="31"/>
      <c r="K698" s="31"/>
      <c r="L698" s="31" t="s">
        <v>75</v>
      </c>
    </row>
    <row r="699">
      <c r="A699" s="25" t="s">
        <v>68</v>
      </c>
      <c r="B699" s="31" t="s">
        <v>1700</v>
      </c>
      <c r="C699" s="31" t="s">
        <v>1701</v>
      </c>
      <c r="D699" s="32" t="s">
        <v>36</v>
      </c>
      <c r="E699" s="28" t="s">
        <v>71</v>
      </c>
      <c r="F699" s="33"/>
      <c r="G699" s="32" t="s">
        <v>1043</v>
      </c>
      <c r="H699" s="31" t="s">
        <v>1702</v>
      </c>
      <c r="I699" s="31" t="s">
        <v>1491</v>
      </c>
      <c r="J699" s="31"/>
      <c r="K699" s="31"/>
      <c r="L699" s="31" t="s">
        <v>75</v>
      </c>
    </row>
    <row r="700">
      <c r="A700" s="25" t="s">
        <v>68</v>
      </c>
      <c r="B700" s="31" t="s">
        <v>1703</v>
      </c>
      <c r="C700" s="31" t="s">
        <v>1704</v>
      </c>
      <c r="D700" s="32" t="s">
        <v>14</v>
      </c>
      <c r="E700" s="28" t="s">
        <v>71</v>
      </c>
      <c r="F700" s="33" t="s">
        <v>1705</v>
      </c>
      <c r="G700" s="32" t="s">
        <v>72</v>
      </c>
      <c r="H700" s="31" t="s">
        <v>1020</v>
      </c>
      <c r="I700" s="31" t="s">
        <v>1331</v>
      </c>
      <c r="J700" s="31"/>
      <c r="K700" s="31"/>
      <c r="L700" s="31" t="s">
        <v>75</v>
      </c>
    </row>
    <row r="701">
      <c r="A701" s="25" t="s">
        <v>68</v>
      </c>
      <c r="B701" s="31" t="s">
        <v>1706</v>
      </c>
      <c r="C701" s="31" t="s">
        <v>1187</v>
      </c>
      <c r="D701" s="32" t="s">
        <v>21</v>
      </c>
      <c r="E701" s="28" t="s">
        <v>71</v>
      </c>
      <c r="F701" s="33" t="s">
        <v>1707</v>
      </c>
      <c r="G701" s="32" t="s">
        <v>72</v>
      </c>
      <c r="H701" s="31" t="s">
        <v>1673</v>
      </c>
      <c r="I701" s="31" t="s">
        <v>1103</v>
      </c>
      <c r="J701" s="31"/>
      <c r="K701" s="31"/>
      <c r="L701" s="31" t="s">
        <v>75</v>
      </c>
    </row>
    <row r="702">
      <c r="A702" s="25" t="s">
        <v>68</v>
      </c>
      <c r="B702" s="31" t="s">
        <v>1708</v>
      </c>
      <c r="C702" s="31" t="s">
        <v>1709</v>
      </c>
      <c r="D702" s="32" t="s">
        <v>33</v>
      </c>
      <c r="E702" s="28" t="s">
        <v>71</v>
      </c>
      <c r="F702" s="33" t="s">
        <v>1710</v>
      </c>
      <c r="G702" s="32" t="s">
        <v>72</v>
      </c>
      <c r="H702" s="31" t="s">
        <v>1711</v>
      </c>
      <c r="I702" s="31" t="s">
        <v>1135</v>
      </c>
      <c r="J702" s="31"/>
      <c r="K702" s="31"/>
      <c r="L702" s="31" t="s">
        <v>75</v>
      </c>
    </row>
    <row r="703">
      <c r="A703" s="25" t="s">
        <v>68</v>
      </c>
      <c r="B703" s="31" t="s">
        <v>1712</v>
      </c>
      <c r="C703" s="31" t="s">
        <v>1713</v>
      </c>
      <c r="D703" s="32" t="s">
        <v>14</v>
      </c>
      <c r="E703" s="28" t="s">
        <v>71</v>
      </c>
      <c r="F703" s="33"/>
      <c r="G703" s="32" t="s">
        <v>1043</v>
      </c>
      <c r="H703" s="31" t="s">
        <v>1093</v>
      </c>
      <c r="I703" s="31" t="s">
        <v>1044</v>
      </c>
      <c r="J703" s="31"/>
      <c r="K703" s="31"/>
      <c r="L703" s="31" t="s">
        <v>75</v>
      </c>
    </row>
    <row r="704">
      <c r="A704" s="25" t="s">
        <v>68</v>
      </c>
      <c r="B704" s="31" t="s">
        <v>1714</v>
      </c>
      <c r="C704" s="31" t="s">
        <v>1715</v>
      </c>
      <c r="D704" s="32" t="s">
        <v>21</v>
      </c>
      <c r="E704" s="28" t="s">
        <v>71</v>
      </c>
      <c r="F704" s="33" t="s">
        <v>1716</v>
      </c>
      <c r="G704" s="32" t="s">
        <v>72</v>
      </c>
      <c r="H704" s="31" t="s">
        <v>1183</v>
      </c>
      <c r="I704" s="31" t="s">
        <v>410</v>
      </c>
      <c r="J704" s="31"/>
      <c r="K704" s="31"/>
      <c r="L704" s="31" t="s">
        <v>75</v>
      </c>
    </row>
    <row r="705">
      <c r="A705" s="25" t="s">
        <v>68</v>
      </c>
      <c r="B705" s="31" t="s">
        <v>1717</v>
      </c>
      <c r="C705" s="31" t="s">
        <v>1718</v>
      </c>
      <c r="D705" s="32" t="s">
        <v>21</v>
      </c>
      <c r="E705" s="28" t="s">
        <v>71</v>
      </c>
      <c r="F705" s="33">
        <v>9.520464896E9</v>
      </c>
      <c r="G705" s="32" t="s">
        <v>72</v>
      </c>
      <c r="H705" s="31" t="s">
        <v>1186</v>
      </c>
      <c r="I705" s="31" t="s">
        <v>1187</v>
      </c>
      <c r="J705" s="31"/>
      <c r="K705" s="31"/>
      <c r="L705" s="31" t="s">
        <v>75</v>
      </c>
    </row>
    <row r="706">
      <c r="A706" s="25" t="s">
        <v>68</v>
      </c>
      <c r="B706" s="31" t="s">
        <v>1719</v>
      </c>
      <c r="C706" s="31" t="s">
        <v>1720</v>
      </c>
      <c r="D706" s="32" t="s">
        <v>14</v>
      </c>
      <c r="E706" s="28" t="s">
        <v>71</v>
      </c>
      <c r="F706" s="33"/>
      <c r="G706" s="32" t="s">
        <v>1043</v>
      </c>
      <c r="H706" s="31" t="s">
        <v>1093</v>
      </c>
      <c r="I706" s="31" t="s">
        <v>1044</v>
      </c>
      <c r="J706" s="31"/>
      <c r="K706" s="31"/>
      <c r="L706" s="31" t="s">
        <v>75</v>
      </c>
    </row>
    <row r="707">
      <c r="A707" s="25" t="s">
        <v>68</v>
      </c>
      <c r="B707" s="31" t="s">
        <v>1721</v>
      </c>
      <c r="C707" s="31" t="s">
        <v>1722</v>
      </c>
      <c r="D707" s="32" t="s">
        <v>33</v>
      </c>
      <c r="E707" s="28" t="s">
        <v>71</v>
      </c>
      <c r="F707" s="33"/>
      <c r="G707" s="32" t="s">
        <v>72</v>
      </c>
      <c r="H707" s="31" t="s">
        <v>1509</v>
      </c>
      <c r="I707" s="31" t="s">
        <v>1380</v>
      </c>
      <c r="J707" s="31"/>
      <c r="K707" s="31"/>
      <c r="L707" s="31" t="s">
        <v>75</v>
      </c>
    </row>
    <row r="708">
      <c r="A708" s="25" t="s">
        <v>68</v>
      </c>
      <c r="B708" s="31" t="s">
        <v>1723</v>
      </c>
      <c r="C708" s="31" t="s">
        <v>1724</v>
      </c>
      <c r="D708" s="32" t="s">
        <v>14</v>
      </c>
      <c r="E708" s="28" t="s">
        <v>71</v>
      </c>
      <c r="F708" s="33"/>
      <c r="G708" s="32" t="s">
        <v>72</v>
      </c>
      <c r="H708" s="31" t="s">
        <v>1256</v>
      </c>
      <c r="I708" s="31" t="s">
        <v>1725</v>
      </c>
      <c r="J708" s="31"/>
      <c r="K708" s="31"/>
      <c r="L708" s="31" t="s">
        <v>75</v>
      </c>
    </row>
    <row r="709">
      <c r="A709" s="25" t="s">
        <v>68</v>
      </c>
      <c r="B709" s="31" t="s">
        <v>1726</v>
      </c>
      <c r="C709" s="31" t="s">
        <v>1727</v>
      </c>
      <c r="D709" s="32" t="s">
        <v>14</v>
      </c>
      <c r="E709" s="28" t="s">
        <v>71</v>
      </c>
      <c r="F709" s="33"/>
      <c r="G709" s="32" t="s">
        <v>1043</v>
      </c>
      <c r="H709" s="31" t="s">
        <v>1050</v>
      </c>
      <c r="I709" s="31" t="s">
        <v>1044</v>
      </c>
      <c r="J709" s="31"/>
      <c r="K709" s="31"/>
      <c r="L709" s="31" t="s">
        <v>75</v>
      </c>
    </row>
    <row r="710">
      <c r="A710" s="25" t="s">
        <v>68</v>
      </c>
      <c r="B710" s="31" t="s">
        <v>1728</v>
      </c>
      <c r="C710" s="31" t="s">
        <v>1729</v>
      </c>
      <c r="D710" s="32" t="s">
        <v>21</v>
      </c>
      <c r="E710" s="28" t="s">
        <v>71</v>
      </c>
      <c r="F710" s="33"/>
      <c r="G710" s="32" t="s">
        <v>72</v>
      </c>
      <c r="H710" s="31" t="s">
        <v>1730</v>
      </c>
      <c r="I710" s="31" t="s">
        <v>1053</v>
      </c>
      <c r="J710" s="31"/>
      <c r="K710" s="31"/>
      <c r="L710" s="31" t="s">
        <v>75</v>
      </c>
    </row>
    <row r="711">
      <c r="A711" s="25" t="s">
        <v>68</v>
      </c>
      <c r="B711" s="31" t="s">
        <v>1731</v>
      </c>
      <c r="C711" s="31" t="s">
        <v>1732</v>
      </c>
      <c r="D711" s="32" t="s">
        <v>14</v>
      </c>
      <c r="E711" s="28" t="s">
        <v>71</v>
      </c>
      <c r="F711" s="33" t="s">
        <v>1733</v>
      </c>
      <c r="G711" s="32" t="s">
        <v>72</v>
      </c>
      <c r="H711" s="31" t="s">
        <v>1428</v>
      </c>
      <c r="I711" s="31" t="s">
        <v>1330</v>
      </c>
      <c r="J711" s="31"/>
      <c r="K711" s="31"/>
      <c r="L711" s="31" t="s">
        <v>75</v>
      </c>
    </row>
    <row r="712">
      <c r="A712" s="25" t="s">
        <v>68</v>
      </c>
      <c r="B712" s="31" t="s">
        <v>1734</v>
      </c>
      <c r="C712" s="31" t="s">
        <v>1735</v>
      </c>
      <c r="D712" s="32" t="s">
        <v>14</v>
      </c>
      <c r="E712" s="28" t="s">
        <v>71</v>
      </c>
      <c r="F712" s="33"/>
      <c r="G712" s="32" t="s">
        <v>72</v>
      </c>
      <c r="H712" s="31" t="s">
        <v>1020</v>
      </c>
      <c r="I712" s="31" t="s">
        <v>1695</v>
      </c>
      <c r="J712" s="31"/>
      <c r="K712" s="31"/>
      <c r="L712" s="31" t="s">
        <v>75</v>
      </c>
    </row>
    <row r="713">
      <c r="A713" s="25" t="s">
        <v>68</v>
      </c>
      <c r="B713" s="31" t="s">
        <v>1736</v>
      </c>
      <c r="C713" s="31" t="s">
        <v>1287</v>
      </c>
      <c r="D713" s="32" t="s">
        <v>33</v>
      </c>
      <c r="E713" s="28" t="s">
        <v>71</v>
      </c>
      <c r="F713" s="33"/>
      <c r="G713" s="32" t="s">
        <v>72</v>
      </c>
      <c r="H713" s="31" t="s">
        <v>1737</v>
      </c>
      <c r="I713" s="31" t="s">
        <v>1135</v>
      </c>
      <c r="J713" s="31"/>
      <c r="K713" s="31"/>
      <c r="L713" s="31" t="s">
        <v>75</v>
      </c>
    </row>
    <row r="714">
      <c r="A714" s="25" t="s">
        <v>68</v>
      </c>
      <c r="B714" s="31" t="s">
        <v>1738</v>
      </c>
      <c r="C714" s="31" t="s">
        <v>1739</v>
      </c>
      <c r="D714" s="32" t="s">
        <v>14</v>
      </c>
      <c r="E714" s="28" t="s">
        <v>71</v>
      </c>
      <c r="F714" s="33"/>
      <c r="G714" s="32" t="s">
        <v>72</v>
      </c>
      <c r="H714" s="31" t="s">
        <v>1020</v>
      </c>
      <c r="I714" s="31" t="s">
        <v>1331</v>
      </c>
      <c r="J714" s="31"/>
      <c r="K714" s="31"/>
      <c r="L714" s="31" t="s">
        <v>75</v>
      </c>
    </row>
    <row r="715">
      <c r="A715" s="25" t="s">
        <v>68</v>
      </c>
      <c r="B715" s="31" t="s">
        <v>1740</v>
      </c>
      <c r="C715" s="31" t="s">
        <v>1741</v>
      </c>
      <c r="D715" s="32" t="s">
        <v>21</v>
      </c>
      <c r="E715" s="28" t="s">
        <v>71</v>
      </c>
      <c r="F715" s="33"/>
      <c r="G715" s="32" t="s">
        <v>1043</v>
      </c>
      <c r="H715" s="31" t="s">
        <v>1150</v>
      </c>
      <c r="I715" s="31" t="s">
        <v>1103</v>
      </c>
      <c r="J715" s="31"/>
      <c r="K715" s="31"/>
      <c r="L715" s="31" t="s">
        <v>75</v>
      </c>
    </row>
    <row r="716">
      <c r="A716" s="25" t="s">
        <v>68</v>
      </c>
      <c r="B716" s="31" t="s">
        <v>1740</v>
      </c>
      <c r="C716" s="31" t="s">
        <v>1742</v>
      </c>
      <c r="D716" s="32" t="s">
        <v>21</v>
      </c>
      <c r="E716" s="28" t="s">
        <v>71</v>
      </c>
      <c r="F716" s="33">
        <v>9.589522192E9</v>
      </c>
      <c r="G716" s="32" t="s">
        <v>72</v>
      </c>
      <c r="H716" s="31" t="s">
        <v>1743</v>
      </c>
      <c r="I716" s="31" t="s">
        <v>1616</v>
      </c>
      <c r="J716" s="31"/>
      <c r="K716" s="31"/>
      <c r="L716" s="31" t="s">
        <v>75</v>
      </c>
    </row>
    <row r="717">
      <c r="A717" s="25" t="s">
        <v>68</v>
      </c>
      <c r="B717" s="31" t="s">
        <v>1744</v>
      </c>
      <c r="C717" s="31" t="s">
        <v>1745</v>
      </c>
      <c r="D717" s="32" t="s">
        <v>21</v>
      </c>
      <c r="E717" s="28" t="s">
        <v>71</v>
      </c>
      <c r="F717" s="33">
        <v>8.448463623E9</v>
      </c>
      <c r="G717" s="32" t="s">
        <v>1043</v>
      </c>
      <c r="H717" s="31" t="s">
        <v>1163</v>
      </c>
      <c r="I717" s="31" t="s">
        <v>1164</v>
      </c>
      <c r="J717" s="31"/>
      <c r="K717" s="31"/>
      <c r="L717" s="31" t="s">
        <v>75</v>
      </c>
    </row>
    <row r="718">
      <c r="A718" s="25" t="s">
        <v>68</v>
      </c>
      <c r="B718" s="31" t="s">
        <v>1746</v>
      </c>
      <c r="C718" s="31" t="s">
        <v>1747</v>
      </c>
      <c r="D718" s="32" t="s">
        <v>14</v>
      </c>
      <c r="E718" s="28" t="s">
        <v>71</v>
      </c>
      <c r="F718" s="33"/>
      <c r="G718" s="32" t="s">
        <v>72</v>
      </c>
      <c r="H718" s="31" t="s">
        <v>1060</v>
      </c>
      <c r="I718" s="31" t="s">
        <v>1061</v>
      </c>
      <c r="J718" s="31"/>
      <c r="K718" s="31"/>
      <c r="L718" s="31" t="s">
        <v>75</v>
      </c>
    </row>
    <row r="719">
      <c r="A719" s="25" t="s">
        <v>68</v>
      </c>
      <c r="B719" s="31" t="s">
        <v>1748</v>
      </c>
      <c r="C719" s="31" t="s">
        <v>1749</v>
      </c>
      <c r="D719" s="32" t="s">
        <v>14</v>
      </c>
      <c r="E719" s="28" t="s">
        <v>71</v>
      </c>
      <c r="F719" s="33"/>
      <c r="G719" s="32" t="s">
        <v>72</v>
      </c>
      <c r="H719" s="31" t="s">
        <v>1107</v>
      </c>
      <c r="I719" s="31" t="s">
        <v>1331</v>
      </c>
      <c r="J719" s="31"/>
      <c r="K719" s="31"/>
      <c r="L719" s="31" t="s">
        <v>75</v>
      </c>
    </row>
    <row r="720">
      <c r="A720" s="25" t="s">
        <v>68</v>
      </c>
      <c r="B720" s="31" t="s">
        <v>1750</v>
      </c>
      <c r="C720" s="31" t="s">
        <v>1751</v>
      </c>
      <c r="D720" s="32" t="s">
        <v>14</v>
      </c>
      <c r="E720" s="28" t="s">
        <v>71</v>
      </c>
      <c r="F720" s="33"/>
      <c r="G720" s="32" t="s">
        <v>72</v>
      </c>
      <c r="H720" s="31" t="s">
        <v>1020</v>
      </c>
      <c r="I720" s="31" t="s">
        <v>1725</v>
      </c>
      <c r="J720" s="31"/>
      <c r="K720" s="31"/>
      <c r="L720" s="31" t="s">
        <v>75</v>
      </c>
    </row>
    <row r="721">
      <c r="A721" s="25" t="s">
        <v>68</v>
      </c>
      <c r="B721" s="31" t="s">
        <v>1752</v>
      </c>
      <c r="C721" s="31" t="s">
        <v>1753</v>
      </c>
      <c r="D721" s="32" t="s">
        <v>21</v>
      </c>
      <c r="E721" s="28" t="s">
        <v>71</v>
      </c>
      <c r="F721" s="33"/>
      <c r="G721" s="32" t="s">
        <v>72</v>
      </c>
      <c r="H721" s="31" t="s">
        <v>1097</v>
      </c>
      <c r="I721" s="31" t="s">
        <v>1053</v>
      </c>
      <c r="J721" s="31"/>
      <c r="K721" s="31"/>
      <c r="L721" s="31" t="s">
        <v>75</v>
      </c>
    </row>
    <row r="722">
      <c r="A722" s="25" t="s">
        <v>68</v>
      </c>
      <c r="B722" s="31" t="s">
        <v>1754</v>
      </c>
      <c r="C722" s="31" t="s">
        <v>1755</v>
      </c>
      <c r="D722" s="32" t="s">
        <v>21</v>
      </c>
      <c r="E722" s="28" t="s">
        <v>71</v>
      </c>
      <c r="F722" s="33"/>
      <c r="G722" s="32" t="s">
        <v>72</v>
      </c>
      <c r="H722" s="31" t="s">
        <v>1249</v>
      </c>
      <c r="I722" s="31" t="s">
        <v>1053</v>
      </c>
      <c r="J722" s="31"/>
      <c r="K722" s="31"/>
      <c r="L722" s="31" t="s">
        <v>75</v>
      </c>
    </row>
    <row r="723">
      <c r="A723" s="25" t="s">
        <v>68</v>
      </c>
      <c r="B723" s="31" t="s">
        <v>1756</v>
      </c>
      <c r="C723" s="31" t="s">
        <v>1757</v>
      </c>
      <c r="D723" s="32" t="s">
        <v>21</v>
      </c>
      <c r="E723" s="28" t="s">
        <v>71</v>
      </c>
      <c r="F723" s="33"/>
      <c r="G723" s="32" t="s">
        <v>72</v>
      </c>
      <c r="H723" s="31" t="s">
        <v>1097</v>
      </c>
      <c r="I723" s="31" t="s">
        <v>1053</v>
      </c>
      <c r="J723" s="31"/>
      <c r="K723" s="31"/>
      <c r="L723" s="31" t="s">
        <v>75</v>
      </c>
    </row>
    <row r="724">
      <c r="A724" s="25" t="s">
        <v>68</v>
      </c>
      <c r="B724" s="31" t="s">
        <v>1758</v>
      </c>
      <c r="C724" s="31" t="s">
        <v>1759</v>
      </c>
      <c r="D724" s="32" t="s">
        <v>14</v>
      </c>
      <c r="E724" s="28" t="s">
        <v>71</v>
      </c>
      <c r="F724" s="33"/>
      <c r="G724" s="32" t="s">
        <v>1043</v>
      </c>
      <c r="H724" s="31" t="s">
        <v>1156</v>
      </c>
      <c r="I724" s="31" t="s">
        <v>1206</v>
      </c>
      <c r="J724" s="31"/>
      <c r="K724" s="31"/>
      <c r="L724" s="31" t="s">
        <v>75</v>
      </c>
    </row>
    <row r="725">
      <c r="A725" s="25" t="s">
        <v>68</v>
      </c>
      <c r="B725" s="31" t="s">
        <v>1760</v>
      </c>
      <c r="C725" s="31" t="s">
        <v>1761</v>
      </c>
      <c r="D725" s="32" t="s">
        <v>22</v>
      </c>
      <c r="E725" s="28" t="s">
        <v>71</v>
      </c>
      <c r="F725" s="33" t="s">
        <v>1762</v>
      </c>
      <c r="G725" s="32" t="s">
        <v>72</v>
      </c>
      <c r="H725" s="31" t="s">
        <v>1290</v>
      </c>
      <c r="I725" s="31" t="s">
        <v>1763</v>
      </c>
      <c r="J725" s="31"/>
      <c r="K725" s="31"/>
      <c r="L725" s="31" t="s">
        <v>75</v>
      </c>
    </row>
    <row r="726">
      <c r="A726" s="25" t="s">
        <v>68</v>
      </c>
      <c r="B726" s="31" t="s">
        <v>1764</v>
      </c>
      <c r="C726" s="31" t="s">
        <v>1765</v>
      </c>
      <c r="D726" s="32" t="s">
        <v>14</v>
      </c>
      <c r="E726" s="28" t="s">
        <v>71</v>
      </c>
      <c r="F726" s="33" t="s">
        <v>1766</v>
      </c>
      <c r="G726" s="32" t="s">
        <v>1043</v>
      </c>
      <c r="H726" s="31" t="s">
        <v>1156</v>
      </c>
      <c r="I726" s="31" t="s">
        <v>1044</v>
      </c>
      <c r="J726" s="31"/>
      <c r="K726" s="31"/>
      <c r="L726" s="31" t="s">
        <v>75</v>
      </c>
    </row>
    <row r="727">
      <c r="A727" s="25" t="s">
        <v>68</v>
      </c>
      <c r="B727" s="31" t="s">
        <v>1767</v>
      </c>
      <c r="C727" s="31" t="s">
        <v>1616</v>
      </c>
      <c r="D727" s="32" t="s">
        <v>21</v>
      </c>
      <c r="E727" s="28" t="s">
        <v>71</v>
      </c>
      <c r="F727" s="33" t="s">
        <v>1768</v>
      </c>
      <c r="G727" s="32" t="s">
        <v>72</v>
      </c>
      <c r="H727" s="31" t="s">
        <v>1743</v>
      </c>
      <c r="I727" s="31" t="s">
        <v>1769</v>
      </c>
      <c r="J727" s="31"/>
      <c r="K727" s="31"/>
      <c r="L727" s="31" t="s">
        <v>75</v>
      </c>
    </row>
    <row r="728">
      <c r="A728" s="25" t="s">
        <v>68</v>
      </c>
      <c r="B728" s="31" t="s">
        <v>1770</v>
      </c>
      <c r="C728" s="31" t="s">
        <v>1771</v>
      </c>
      <c r="D728" s="32" t="s">
        <v>14</v>
      </c>
      <c r="E728" s="28" t="s">
        <v>71</v>
      </c>
      <c r="F728" s="33"/>
      <c r="G728" s="32" t="s">
        <v>1043</v>
      </c>
      <c r="H728" s="31" t="s">
        <v>1043</v>
      </c>
      <c r="I728" s="31" t="s">
        <v>1044</v>
      </c>
      <c r="J728" s="31"/>
      <c r="K728" s="31"/>
      <c r="L728" s="31" t="s">
        <v>75</v>
      </c>
    </row>
    <row r="729">
      <c r="A729" s="25" t="s">
        <v>68</v>
      </c>
      <c r="B729" s="31" t="s">
        <v>1772</v>
      </c>
      <c r="C729" s="31" t="s">
        <v>1773</v>
      </c>
      <c r="D729" s="32" t="s">
        <v>14</v>
      </c>
      <c r="E729" s="28" t="s">
        <v>71</v>
      </c>
      <c r="F729" s="33"/>
      <c r="G729" s="32" t="s">
        <v>72</v>
      </c>
      <c r="H729" s="31" t="s">
        <v>1107</v>
      </c>
      <c r="I729" s="31" t="s">
        <v>1061</v>
      </c>
      <c r="J729" s="31"/>
      <c r="K729" s="31"/>
      <c r="L729" s="31" t="s">
        <v>75</v>
      </c>
    </row>
    <row r="730">
      <c r="A730" s="25" t="s">
        <v>68</v>
      </c>
      <c r="B730" s="31" t="s">
        <v>1774</v>
      </c>
      <c r="C730" s="31" t="s">
        <v>1769</v>
      </c>
      <c r="D730" s="32" t="s">
        <v>21</v>
      </c>
      <c r="E730" s="28" t="s">
        <v>71</v>
      </c>
      <c r="F730" s="33"/>
      <c r="G730" s="32" t="s">
        <v>72</v>
      </c>
      <c r="H730" s="31" t="s">
        <v>1775</v>
      </c>
      <c r="I730" s="31" t="s">
        <v>1103</v>
      </c>
      <c r="J730" s="31"/>
      <c r="K730" s="31"/>
      <c r="L730" s="31" t="s">
        <v>75</v>
      </c>
    </row>
    <row r="731">
      <c r="A731" s="25" t="s">
        <v>68</v>
      </c>
      <c r="B731" s="31" t="s">
        <v>1776</v>
      </c>
      <c r="C731" s="31" t="s">
        <v>1777</v>
      </c>
      <c r="D731" s="32" t="s">
        <v>21</v>
      </c>
      <c r="E731" s="28" t="s">
        <v>71</v>
      </c>
      <c r="F731" s="33"/>
      <c r="G731" s="32" t="s">
        <v>72</v>
      </c>
      <c r="H731" s="31" t="s">
        <v>1097</v>
      </c>
      <c r="I731" s="31" t="s">
        <v>1053</v>
      </c>
      <c r="J731" s="31"/>
      <c r="K731" s="31"/>
      <c r="L731" s="31" t="s">
        <v>75</v>
      </c>
    </row>
    <row r="732">
      <c r="A732" s="25" t="s">
        <v>68</v>
      </c>
      <c r="B732" s="31" t="s">
        <v>1778</v>
      </c>
      <c r="C732" s="31" t="s">
        <v>1779</v>
      </c>
      <c r="D732" s="32" t="s">
        <v>21</v>
      </c>
      <c r="E732" s="28" t="s">
        <v>71</v>
      </c>
      <c r="F732" s="33"/>
      <c r="G732" s="32" t="s">
        <v>72</v>
      </c>
      <c r="H732" s="31" t="s">
        <v>1097</v>
      </c>
      <c r="I732" s="31" t="s">
        <v>1053</v>
      </c>
      <c r="J732" s="31"/>
      <c r="K732" s="31"/>
      <c r="L732" s="31" t="s">
        <v>75</v>
      </c>
    </row>
    <row r="733">
      <c r="A733" s="25" t="s">
        <v>68</v>
      </c>
      <c r="B733" s="31" t="s">
        <v>1780</v>
      </c>
      <c r="C733" s="31" t="s">
        <v>1781</v>
      </c>
      <c r="D733" s="32" t="s">
        <v>21</v>
      </c>
      <c r="E733" s="28" t="s">
        <v>71</v>
      </c>
      <c r="F733" s="33">
        <v>9.643987425E9</v>
      </c>
      <c r="G733" s="32" t="s">
        <v>72</v>
      </c>
      <c r="H733" s="31" t="s">
        <v>1279</v>
      </c>
      <c r="I733" s="31" t="s">
        <v>1616</v>
      </c>
      <c r="J733" s="31"/>
      <c r="K733" s="31"/>
      <c r="L733" s="31" t="s">
        <v>75</v>
      </c>
    </row>
    <row r="734">
      <c r="A734" s="25" t="s">
        <v>68</v>
      </c>
      <c r="B734" s="31" t="s">
        <v>1782</v>
      </c>
      <c r="C734" s="31" t="s">
        <v>1783</v>
      </c>
      <c r="D734" s="32" t="s">
        <v>33</v>
      </c>
      <c r="E734" s="28" t="s">
        <v>71</v>
      </c>
      <c r="F734" s="33"/>
      <c r="G734" s="32" t="s">
        <v>72</v>
      </c>
      <c r="H734" s="31" t="s">
        <v>1497</v>
      </c>
      <c r="I734" s="31" t="s">
        <v>1784</v>
      </c>
      <c r="J734" s="31"/>
      <c r="K734" s="31"/>
      <c r="L734" s="31" t="s">
        <v>75</v>
      </c>
    </row>
    <row r="735">
      <c r="A735" s="25" t="s">
        <v>68</v>
      </c>
      <c r="B735" s="31" t="s">
        <v>1785</v>
      </c>
      <c r="C735" s="31" t="s">
        <v>1786</v>
      </c>
      <c r="D735" s="32" t="s">
        <v>33</v>
      </c>
      <c r="E735" s="28" t="s">
        <v>71</v>
      </c>
      <c r="F735" s="33"/>
      <c r="G735" s="32" t="s">
        <v>72</v>
      </c>
      <c r="H735" s="31" t="s">
        <v>1787</v>
      </c>
      <c r="I735" s="31" t="s">
        <v>1380</v>
      </c>
      <c r="J735" s="31"/>
      <c r="K735" s="31"/>
      <c r="L735" s="31" t="s">
        <v>75</v>
      </c>
    </row>
    <row r="736">
      <c r="A736" s="25" t="s">
        <v>68</v>
      </c>
      <c r="B736" s="31" t="s">
        <v>1788</v>
      </c>
      <c r="C736" s="31" t="s">
        <v>1789</v>
      </c>
      <c r="D736" s="32" t="s">
        <v>21</v>
      </c>
      <c r="E736" s="28" t="s">
        <v>71</v>
      </c>
      <c r="F736" s="33">
        <v>8.708492778E9</v>
      </c>
      <c r="G736" s="32" t="s">
        <v>72</v>
      </c>
      <c r="H736" s="31" t="s">
        <v>1790</v>
      </c>
      <c r="I736" s="31" t="s">
        <v>1187</v>
      </c>
      <c r="J736" s="31"/>
      <c r="K736" s="31"/>
      <c r="L736" s="31" t="s">
        <v>75</v>
      </c>
    </row>
    <row r="737">
      <c r="A737" s="25" t="s">
        <v>68</v>
      </c>
      <c r="B737" s="31" t="s">
        <v>1791</v>
      </c>
      <c r="C737" s="31" t="s">
        <v>1792</v>
      </c>
      <c r="D737" s="32" t="s">
        <v>21</v>
      </c>
      <c r="E737" s="28" t="s">
        <v>71</v>
      </c>
      <c r="F737" s="33"/>
      <c r="G737" s="32" t="s">
        <v>72</v>
      </c>
      <c r="H737" s="31" t="s">
        <v>1097</v>
      </c>
      <c r="I737" s="31" t="s">
        <v>1053</v>
      </c>
      <c r="J737" s="31"/>
      <c r="K737" s="31"/>
      <c r="L737" s="31" t="s">
        <v>75</v>
      </c>
    </row>
    <row r="738">
      <c r="A738" s="25" t="s">
        <v>68</v>
      </c>
      <c r="B738" s="31" t="s">
        <v>1793</v>
      </c>
      <c r="C738" s="31" t="s">
        <v>1794</v>
      </c>
      <c r="D738" s="32" t="s">
        <v>21</v>
      </c>
      <c r="E738" s="28" t="s">
        <v>71</v>
      </c>
      <c r="F738" s="33">
        <v>7.900755805E9</v>
      </c>
      <c r="G738" s="32" t="s">
        <v>1043</v>
      </c>
      <c r="H738" s="31" t="s">
        <v>1191</v>
      </c>
      <c r="I738" s="31" t="s">
        <v>1192</v>
      </c>
      <c r="J738" s="31"/>
      <c r="K738" s="31"/>
      <c r="L738" s="31" t="s">
        <v>75</v>
      </c>
    </row>
    <row r="739">
      <c r="A739" s="25" t="s">
        <v>68</v>
      </c>
      <c r="B739" s="31" t="s">
        <v>1795</v>
      </c>
      <c r="C739" s="31" t="s">
        <v>1796</v>
      </c>
      <c r="D739" s="32" t="s">
        <v>22</v>
      </c>
      <c r="E739" s="28" t="s">
        <v>71</v>
      </c>
      <c r="F739" s="33"/>
      <c r="G739" s="32" t="s">
        <v>72</v>
      </c>
      <c r="H739" s="31" t="s">
        <v>1120</v>
      </c>
      <c r="I739" s="31" t="s">
        <v>1224</v>
      </c>
      <c r="J739" s="31"/>
      <c r="K739" s="31"/>
      <c r="L739" s="31" t="s">
        <v>75</v>
      </c>
    </row>
    <row r="740">
      <c r="A740" s="25" t="s">
        <v>68</v>
      </c>
      <c r="B740" s="31" t="s">
        <v>1797</v>
      </c>
      <c r="C740" s="31" t="s">
        <v>1798</v>
      </c>
      <c r="D740" s="32" t="s">
        <v>30</v>
      </c>
      <c r="E740" s="28" t="s">
        <v>71</v>
      </c>
      <c r="F740" s="33" t="s">
        <v>1799</v>
      </c>
      <c r="G740" s="32" t="s">
        <v>72</v>
      </c>
      <c r="H740" s="31" t="s">
        <v>1800</v>
      </c>
      <c r="I740" s="31" t="s">
        <v>1089</v>
      </c>
      <c r="J740" s="31"/>
      <c r="K740" s="31"/>
      <c r="L740" s="31" t="s">
        <v>75</v>
      </c>
    </row>
    <row r="741">
      <c r="A741" s="25" t="s">
        <v>68</v>
      </c>
      <c r="B741" s="31" t="s">
        <v>1801</v>
      </c>
      <c r="C741" s="31" t="s">
        <v>1802</v>
      </c>
      <c r="D741" s="32" t="s">
        <v>14</v>
      </c>
      <c r="E741" s="28" t="s">
        <v>71</v>
      </c>
      <c r="F741" s="33"/>
      <c r="G741" s="32" t="s">
        <v>72</v>
      </c>
      <c r="H741" s="31" t="s">
        <v>1107</v>
      </c>
      <c r="I741" s="31" t="s">
        <v>1114</v>
      </c>
      <c r="J741" s="31"/>
      <c r="K741" s="31"/>
      <c r="L741" s="31" t="s">
        <v>75</v>
      </c>
    </row>
    <row r="742">
      <c r="A742" s="25" t="s">
        <v>68</v>
      </c>
      <c r="B742" s="31" t="s">
        <v>1803</v>
      </c>
      <c r="C742" s="31" t="s">
        <v>1804</v>
      </c>
      <c r="D742" s="32" t="s">
        <v>14</v>
      </c>
      <c r="E742" s="28" t="s">
        <v>71</v>
      </c>
      <c r="F742" s="33"/>
      <c r="G742" s="32" t="s">
        <v>1043</v>
      </c>
      <c r="H742" s="31" t="s">
        <v>1050</v>
      </c>
      <c r="I742" s="31" t="s">
        <v>1044</v>
      </c>
      <c r="J742" s="31"/>
      <c r="K742" s="31"/>
      <c r="L742" s="31" t="s">
        <v>75</v>
      </c>
    </row>
    <row r="743">
      <c r="A743" s="25" t="s">
        <v>68</v>
      </c>
      <c r="B743" s="31" t="s">
        <v>1805</v>
      </c>
      <c r="C743" s="31" t="s">
        <v>1806</v>
      </c>
      <c r="D743" s="32" t="s">
        <v>14</v>
      </c>
      <c r="E743" s="28" t="s">
        <v>71</v>
      </c>
      <c r="F743" s="33"/>
      <c r="G743" s="32" t="s">
        <v>72</v>
      </c>
      <c r="H743" s="31" t="s">
        <v>1199</v>
      </c>
      <c r="I743" s="31" t="s">
        <v>1486</v>
      </c>
      <c r="J743" s="31"/>
      <c r="K743" s="31"/>
      <c r="L743" s="31" t="s">
        <v>75</v>
      </c>
    </row>
    <row r="744">
      <c r="A744" s="25" t="s">
        <v>68</v>
      </c>
      <c r="B744" s="31" t="s">
        <v>1807</v>
      </c>
      <c r="C744" s="31" t="s">
        <v>1808</v>
      </c>
      <c r="D744" s="32" t="s">
        <v>16</v>
      </c>
      <c r="E744" s="28" t="s">
        <v>71</v>
      </c>
      <c r="F744" s="33" t="s">
        <v>1809</v>
      </c>
      <c r="G744" s="32" t="s">
        <v>72</v>
      </c>
      <c r="H744" s="31" t="s">
        <v>1460</v>
      </c>
      <c r="I744" s="31" t="s">
        <v>1505</v>
      </c>
      <c r="J744" s="31"/>
      <c r="K744" s="31"/>
      <c r="L744" s="31" t="s">
        <v>75</v>
      </c>
    </row>
    <row r="745">
      <c r="A745" s="25" t="s">
        <v>68</v>
      </c>
      <c r="B745" s="31" t="s">
        <v>1810</v>
      </c>
      <c r="C745" s="31" t="s">
        <v>1811</v>
      </c>
      <c r="D745" s="32" t="s">
        <v>17</v>
      </c>
      <c r="E745" s="28" t="s">
        <v>71</v>
      </c>
      <c r="F745" s="33"/>
      <c r="G745" s="32" t="s">
        <v>72</v>
      </c>
      <c r="H745" s="31" t="s">
        <v>1812</v>
      </c>
      <c r="I745" s="31" t="s">
        <v>1813</v>
      </c>
      <c r="J745" s="31"/>
      <c r="K745" s="31"/>
      <c r="L745" s="31" t="s">
        <v>75</v>
      </c>
    </row>
    <row r="746">
      <c r="A746" s="25" t="s">
        <v>68</v>
      </c>
      <c r="B746" s="31" t="s">
        <v>1814</v>
      </c>
      <c r="C746" s="31" t="s">
        <v>1815</v>
      </c>
      <c r="D746" s="32" t="s">
        <v>33</v>
      </c>
      <c r="E746" s="28" t="s">
        <v>71</v>
      </c>
      <c r="F746" s="33" t="s">
        <v>1816</v>
      </c>
      <c r="G746" s="32" t="s">
        <v>72</v>
      </c>
      <c r="H746" s="31" t="s">
        <v>1817</v>
      </c>
      <c r="I746" s="31" t="s">
        <v>1380</v>
      </c>
      <c r="J746" s="31"/>
      <c r="K746" s="31"/>
      <c r="L746" s="31" t="s">
        <v>75</v>
      </c>
    </row>
    <row r="747">
      <c r="A747" s="25" t="s">
        <v>68</v>
      </c>
      <c r="B747" s="31" t="s">
        <v>1818</v>
      </c>
      <c r="C747" s="31" t="s">
        <v>1819</v>
      </c>
      <c r="D747" s="32" t="s">
        <v>21</v>
      </c>
      <c r="E747" s="28" t="s">
        <v>71</v>
      </c>
      <c r="F747" s="33" t="s">
        <v>1820</v>
      </c>
      <c r="G747" s="32" t="s">
        <v>72</v>
      </c>
      <c r="H747" s="31" t="s">
        <v>1730</v>
      </c>
      <c r="I747" s="31" t="s">
        <v>1187</v>
      </c>
      <c r="J747" s="31"/>
      <c r="K747" s="31"/>
      <c r="L747" s="31" t="s">
        <v>75</v>
      </c>
    </row>
    <row r="748">
      <c r="A748" s="25" t="s">
        <v>68</v>
      </c>
      <c r="B748" s="31" t="s">
        <v>1821</v>
      </c>
      <c r="C748" s="31" t="s">
        <v>1822</v>
      </c>
      <c r="D748" s="32" t="s">
        <v>22</v>
      </c>
      <c r="E748" s="28" t="s">
        <v>71</v>
      </c>
      <c r="F748" s="33"/>
      <c r="G748" s="32" t="s">
        <v>72</v>
      </c>
      <c r="H748" s="31" t="s">
        <v>1234</v>
      </c>
      <c r="I748" s="31" t="s">
        <v>1121</v>
      </c>
      <c r="J748" s="31"/>
      <c r="K748" s="31"/>
      <c r="L748" s="31" t="s">
        <v>75</v>
      </c>
    </row>
    <row r="749">
      <c r="A749" s="25" t="s">
        <v>68</v>
      </c>
      <c r="B749" s="31" t="s">
        <v>1823</v>
      </c>
      <c r="C749" s="31" t="s">
        <v>1824</v>
      </c>
      <c r="D749" s="32" t="s">
        <v>36</v>
      </c>
      <c r="E749" s="28" t="s">
        <v>71</v>
      </c>
      <c r="F749" s="33"/>
      <c r="G749" s="32" t="s">
        <v>1043</v>
      </c>
      <c r="H749" s="31" t="s">
        <v>1825</v>
      </c>
      <c r="I749" s="31" t="s">
        <v>1491</v>
      </c>
      <c r="J749" s="31"/>
      <c r="K749" s="31"/>
      <c r="L749" s="31" t="s">
        <v>75</v>
      </c>
    </row>
    <row r="750">
      <c r="A750" s="25" t="s">
        <v>68</v>
      </c>
      <c r="B750" s="31" t="s">
        <v>1826</v>
      </c>
      <c r="C750" s="31" t="s">
        <v>1827</v>
      </c>
      <c r="D750" s="32" t="s">
        <v>14</v>
      </c>
      <c r="E750" s="28" t="s">
        <v>71</v>
      </c>
      <c r="F750" s="33"/>
      <c r="G750" s="32" t="s">
        <v>1043</v>
      </c>
      <c r="H750" s="31" t="s">
        <v>1043</v>
      </c>
      <c r="I750" s="31" t="s">
        <v>1206</v>
      </c>
      <c r="J750" s="31"/>
      <c r="K750" s="31"/>
      <c r="L750" s="31" t="s">
        <v>75</v>
      </c>
    </row>
    <row r="751">
      <c r="A751" s="25" t="s">
        <v>68</v>
      </c>
      <c r="B751" s="31" t="s">
        <v>1828</v>
      </c>
      <c r="C751" s="31" t="s">
        <v>1829</v>
      </c>
      <c r="D751" s="32" t="s">
        <v>22</v>
      </c>
      <c r="E751" s="28" t="s">
        <v>71</v>
      </c>
      <c r="F751" s="33"/>
      <c r="G751" s="32" t="s">
        <v>1273</v>
      </c>
      <c r="H751" s="31" t="s">
        <v>1830</v>
      </c>
      <c r="I751" s="31" t="s">
        <v>1240</v>
      </c>
      <c r="J751" s="31"/>
      <c r="K751" s="31"/>
      <c r="L751" s="31" t="s">
        <v>75</v>
      </c>
    </row>
    <row r="752">
      <c r="A752" s="25" t="s">
        <v>68</v>
      </c>
      <c r="B752" s="31" t="s">
        <v>1831</v>
      </c>
      <c r="C752" s="31" t="s">
        <v>1100</v>
      </c>
      <c r="D752" s="32" t="s">
        <v>25</v>
      </c>
      <c r="E752" s="28" t="s">
        <v>71</v>
      </c>
      <c r="F752" s="33" t="s">
        <v>1832</v>
      </c>
      <c r="G752" s="32" t="s">
        <v>72</v>
      </c>
      <c r="H752" s="31" t="s">
        <v>1673</v>
      </c>
      <c r="I752" s="31" t="s">
        <v>1833</v>
      </c>
      <c r="J752" s="31"/>
      <c r="K752" s="31"/>
      <c r="L752" s="31" t="s">
        <v>75</v>
      </c>
    </row>
    <row r="753">
      <c r="A753" s="25" t="s">
        <v>68</v>
      </c>
      <c r="B753" s="31" t="s">
        <v>1834</v>
      </c>
      <c r="C753" s="31" t="s">
        <v>1835</v>
      </c>
      <c r="D753" s="32" t="s">
        <v>14</v>
      </c>
      <c r="E753" s="28" t="s">
        <v>71</v>
      </c>
      <c r="F753" s="33"/>
      <c r="G753" s="32" t="s">
        <v>1043</v>
      </c>
      <c r="H753" s="31" t="s">
        <v>1156</v>
      </c>
      <c r="I753" s="31" t="s">
        <v>1044</v>
      </c>
      <c r="J753" s="31"/>
      <c r="K753" s="31"/>
      <c r="L753" s="31" t="s">
        <v>75</v>
      </c>
    </row>
    <row r="754">
      <c r="A754" s="25" t="s">
        <v>68</v>
      </c>
      <c r="B754" s="31" t="s">
        <v>1836</v>
      </c>
      <c r="C754" s="31" t="s">
        <v>1837</v>
      </c>
      <c r="D754" s="32" t="s">
        <v>21</v>
      </c>
      <c r="E754" s="28" t="s">
        <v>71</v>
      </c>
      <c r="F754" s="33" t="s">
        <v>1838</v>
      </c>
      <c r="G754" s="32" t="s">
        <v>72</v>
      </c>
      <c r="H754" s="31" t="s">
        <v>1670</v>
      </c>
      <c r="I754" s="31" t="s">
        <v>1053</v>
      </c>
      <c r="J754" s="31"/>
      <c r="K754" s="31"/>
      <c r="L754" s="31" t="s">
        <v>75</v>
      </c>
    </row>
    <row r="755">
      <c r="A755" s="25" t="s">
        <v>68</v>
      </c>
      <c r="B755" s="31" t="s">
        <v>1839</v>
      </c>
      <c r="C755" s="31" t="s">
        <v>1840</v>
      </c>
      <c r="D755" s="32" t="s">
        <v>22</v>
      </c>
      <c r="E755" s="28" t="s">
        <v>71</v>
      </c>
      <c r="F755" s="33" t="s">
        <v>1841</v>
      </c>
      <c r="G755" s="32" t="s">
        <v>72</v>
      </c>
      <c r="H755" s="31" t="s">
        <v>1334</v>
      </c>
      <c r="I755" s="31" t="s">
        <v>1226</v>
      </c>
      <c r="J755" s="31"/>
      <c r="K755" s="31"/>
      <c r="L755" s="31" t="s">
        <v>75</v>
      </c>
    </row>
    <row r="756">
      <c r="A756" s="25" t="s">
        <v>68</v>
      </c>
      <c r="B756" s="31" t="s">
        <v>1842</v>
      </c>
      <c r="C756" s="31" t="s">
        <v>1843</v>
      </c>
      <c r="D756" s="30" t="s">
        <v>1531</v>
      </c>
      <c r="E756" s="28" t="s">
        <v>71</v>
      </c>
      <c r="F756" s="33"/>
      <c r="G756" s="32" t="s">
        <v>72</v>
      </c>
      <c r="H756" s="31" t="s">
        <v>1844</v>
      </c>
      <c r="I756" s="31" t="s">
        <v>1534</v>
      </c>
      <c r="J756" s="31"/>
      <c r="K756" s="31"/>
      <c r="L756" s="31" t="s">
        <v>75</v>
      </c>
    </row>
    <row r="757">
      <c r="A757" s="25" t="s">
        <v>68</v>
      </c>
      <c r="B757" s="31" t="s">
        <v>1845</v>
      </c>
      <c r="C757" s="31" t="s">
        <v>1846</v>
      </c>
      <c r="D757" s="32" t="s">
        <v>14</v>
      </c>
      <c r="E757" s="28" t="s">
        <v>71</v>
      </c>
      <c r="F757" s="33"/>
      <c r="G757" s="32" t="s">
        <v>1043</v>
      </c>
      <c r="H757" s="31" t="s">
        <v>1156</v>
      </c>
      <c r="I757" s="31" t="s">
        <v>1044</v>
      </c>
      <c r="J757" s="31"/>
      <c r="K757" s="31"/>
      <c r="L757" s="31" t="s">
        <v>75</v>
      </c>
    </row>
    <row r="758">
      <c r="A758" s="25" t="s">
        <v>68</v>
      </c>
      <c r="B758" s="31" t="s">
        <v>1847</v>
      </c>
      <c r="C758" s="31" t="s">
        <v>1848</v>
      </c>
      <c r="D758" s="32" t="s">
        <v>22</v>
      </c>
      <c r="E758" s="28" t="s">
        <v>71</v>
      </c>
      <c r="F758" s="33" t="s">
        <v>1849</v>
      </c>
      <c r="G758" s="32" t="s">
        <v>72</v>
      </c>
      <c r="H758" s="31" t="s">
        <v>1850</v>
      </c>
      <c r="I758" s="31" t="s">
        <v>1243</v>
      </c>
      <c r="J758" s="31"/>
      <c r="K758" s="31"/>
      <c r="L758" s="31" t="s">
        <v>75</v>
      </c>
    </row>
    <row r="759">
      <c r="A759" s="25" t="s">
        <v>68</v>
      </c>
      <c r="B759" s="31" t="s">
        <v>1851</v>
      </c>
      <c r="C759" s="31" t="s">
        <v>1852</v>
      </c>
      <c r="D759" s="32" t="s">
        <v>21</v>
      </c>
      <c r="E759" s="28" t="s">
        <v>71</v>
      </c>
      <c r="F759" s="33"/>
      <c r="G759" s="32" t="s">
        <v>1043</v>
      </c>
      <c r="H759" s="31" t="s">
        <v>1853</v>
      </c>
      <c r="I759" s="31" t="s">
        <v>1400</v>
      </c>
      <c r="J759" s="31"/>
      <c r="K759" s="31"/>
      <c r="L759" s="31" t="s">
        <v>75</v>
      </c>
    </row>
    <row r="760">
      <c r="A760" s="25" t="s">
        <v>68</v>
      </c>
      <c r="B760" s="31" t="s">
        <v>351</v>
      </c>
      <c r="C760" s="31" t="s">
        <v>1854</v>
      </c>
      <c r="D760" s="32" t="s">
        <v>21</v>
      </c>
      <c r="E760" s="28" t="s">
        <v>71</v>
      </c>
      <c r="F760" s="33"/>
      <c r="G760" s="32" t="s">
        <v>72</v>
      </c>
      <c r="H760" s="31" t="s">
        <v>1855</v>
      </c>
      <c r="I760" s="31" t="s">
        <v>1053</v>
      </c>
      <c r="J760" s="31"/>
      <c r="K760" s="31"/>
      <c r="L760" s="31" t="s">
        <v>75</v>
      </c>
    </row>
    <row r="761">
      <c r="A761" s="36" t="s">
        <v>1856</v>
      </c>
      <c r="B761" s="31" t="s">
        <v>1857</v>
      </c>
      <c r="C761" s="31" t="s">
        <v>1858</v>
      </c>
      <c r="D761" s="32" t="s">
        <v>21</v>
      </c>
      <c r="E761" s="28" t="s">
        <v>71</v>
      </c>
      <c r="F761" s="33">
        <v>8.384065469E9</v>
      </c>
      <c r="G761" s="32" t="s">
        <v>1043</v>
      </c>
      <c r="H761" s="31" t="s">
        <v>1859</v>
      </c>
      <c r="I761" s="31" t="s">
        <v>1654</v>
      </c>
      <c r="J761" s="31"/>
      <c r="K761" s="31"/>
      <c r="L761" s="31" t="s">
        <v>75</v>
      </c>
    </row>
    <row r="762">
      <c r="A762" s="36">
        <v>43100.0</v>
      </c>
      <c r="B762" s="31" t="s">
        <v>1860</v>
      </c>
      <c r="C762" s="31" t="s">
        <v>1861</v>
      </c>
      <c r="D762" s="32" t="s">
        <v>10</v>
      </c>
      <c r="E762" s="28" t="s">
        <v>71</v>
      </c>
      <c r="F762" s="33" t="s">
        <v>1862</v>
      </c>
      <c r="G762" s="32" t="s">
        <v>72</v>
      </c>
      <c r="H762" s="31" t="s">
        <v>1863</v>
      </c>
      <c r="I762" s="31" t="s">
        <v>1151</v>
      </c>
      <c r="J762" s="31"/>
      <c r="K762" s="31"/>
      <c r="L762" s="31" t="s">
        <v>78</v>
      </c>
    </row>
    <row r="763">
      <c r="A763" s="36">
        <v>43169.0</v>
      </c>
      <c r="B763" s="31" t="s">
        <v>1864</v>
      </c>
      <c r="C763" s="31" t="s">
        <v>1056</v>
      </c>
      <c r="D763" s="32" t="s">
        <v>10</v>
      </c>
      <c r="E763" s="28" t="s">
        <v>71</v>
      </c>
      <c r="F763" s="33" t="s">
        <v>1865</v>
      </c>
      <c r="G763" s="32" t="s">
        <v>72</v>
      </c>
      <c r="H763" s="31" t="s">
        <v>1866</v>
      </c>
      <c r="I763" s="31" t="s">
        <v>1151</v>
      </c>
      <c r="J763" s="31"/>
      <c r="K763" s="31"/>
      <c r="L763" s="31" t="s">
        <v>78</v>
      </c>
    </row>
    <row r="764">
      <c r="A764" s="36">
        <v>43354.0</v>
      </c>
      <c r="B764" s="31" t="s">
        <v>1867</v>
      </c>
      <c r="C764" s="31" t="s">
        <v>1868</v>
      </c>
      <c r="D764" s="32" t="s">
        <v>22</v>
      </c>
      <c r="E764" s="28" t="s">
        <v>71</v>
      </c>
      <c r="F764" s="33" t="s">
        <v>1869</v>
      </c>
      <c r="G764" s="32" t="s">
        <v>54</v>
      </c>
      <c r="H764" s="31" t="s">
        <v>1870</v>
      </c>
      <c r="I764" s="31" t="s">
        <v>840</v>
      </c>
      <c r="J764" s="31"/>
      <c r="K764" s="31"/>
      <c r="L764" s="31" t="s">
        <v>78</v>
      </c>
    </row>
    <row r="765">
      <c r="A765" s="36">
        <v>43500.0</v>
      </c>
      <c r="B765" s="31" t="s">
        <v>1871</v>
      </c>
      <c r="C765" s="31" t="s">
        <v>1112</v>
      </c>
      <c r="D765" s="32" t="s">
        <v>17</v>
      </c>
      <c r="E765" s="28" t="s">
        <v>71</v>
      </c>
      <c r="F765" s="33" t="s">
        <v>1872</v>
      </c>
      <c r="G765" s="32" t="s">
        <v>72</v>
      </c>
      <c r="H765" s="31" t="s">
        <v>1873</v>
      </c>
      <c r="I765" s="31" t="s">
        <v>1813</v>
      </c>
      <c r="J765" s="31"/>
      <c r="K765" s="31"/>
      <c r="L765" s="31" t="s">
        <v>78</v>
      </c>
    </row>
    <row r="766">
      <c r="A766" s="36">
        <v>43570.0</v>
      </c>
      <c r="B766" s="31" t="s">
        <v>1874</v>
      </c>
      <c r="C766" s="31" t="s">
        <v>1875</v>
      </c>
      <c r="D766" s="32" t="s">
        <v>14</v>
      </c>
      <c r="E766" s="28" t="s">
        <v>71</v>
      </c>
      <c r="F766" s="33" t="s">
        <v>1876</v>
      </c>
      <c r="G766" s="32" t="s">
        <v>72</v>
      </c>
      <c r="H766" s="31" t="s">
        <v>1877</v>
      </c>
      <c r="I766" s="31" t="s">
        <v>1044</v>
      </c>
      <c r="J766" s="31"/>
      <c r="K766" s="31"/>
      <c r="L766" s="31" t="s">
        <v>75</v>
      </c>
    </row>
    <row r="767">
      <c r="A767" s="36">
        <v>43717.0</v>
      </c>
      <c r="B767" s="31" t="s">
        <v>1878</v>
      </c>
      <c r="C767" s="31" t="s">
        <v>1879</v>
      </c>
      <c r="D767" s="32" t="s">
        <v>17</v>
      </c>
      <c r="E767" s="28" t="s">
        <v>71</v>
      </c>
      <c r="F767" s="33" t="s">
        <v>1489</v>
      </c>
      <c r="G767" s="32" t="s">
        <v>54</v>
      </c>
      <c r="H767" s="31" t="s">
        <v>1870</v>
      </c>
      <c r="I767" s="31" t="s">
        <v>1112</v>
      </c>
      <c r="J767" s="31"/>
      <c r="K767" s="31"/>
      <c r="L767" s="31" t="s">
        <v>78</v>
      </c>
    </row>
    <row r="768">
      <c r="A768" s="36">
        <v>43725.0</v>
      </c>
      <c r="B768" s="31" t="s">
        <v>1880</v>
      </c>
      <c r="C768" s="31" t="s">
        <v>1147</v>
      </c>
      <c r="D768" s="32" t="s">
        <v>14</v>
      </c>
      <c r="E768" s="28" t="s">
        <v>71</v>
      </c>
      <c r="F768" s="33"/>
      <c r="G768" s="32" t="s">
        <v>72</v>
      </c>
      <c r="H768" s="31" t="s">
        <v>1881</v>
      </c>
      <c r="I768" s="31" t="s">
        <v>1048</v>
      </c>
      <c r="J768" s="31"/>
      <c r="K768" s="31"/>
      <c r="L768" s="31" t="s">
        <v>75</v>
      </c>
    </row>
    <row r="769">
      <c r="A769" s="36">
        <v>43780.0</v>
      </c>
      <c r="B769" s="31" t="s">
        <v>1882</v>
      </c>
      <c r="C769" s="31" t="s">
        <v>1883</v>
      </c>
      <c r="D769" s="32" t="s">
        <v>14</v>
      </c>
      <c r="E769" s="28" t="s">
        <v>71</v>
      </c>
      <c r="F769" s="33"/>
      <c r="G769" s="32" t="s">
        <v>72</v>
      </c>
      <c r="H769" s="31" t="s">
        <v>1884</v>
      </c>
      <c r="I769" s="31" t="s">
        <v>1885</v>
      </c>
      <c r="J769" s="31"/>
      <c r="K769" s="31"/>
      <c r="L769" s="31" t="s">
        <v>78</v>
      </c>
    </row>
    <row r="770">
      <c r="A770" s="36">
        <v>43876.0</v>
      </c>
      <c r="B770" s="31" t="s">
        <v>1886</v>
      </c>
      <c r="C770" s="31" t="s">
        <v>1887</v>
      </c>
      <c r="D770" s="32" t="s">
        <v>14</v>
      </c>
      <c r="E770" s="28" t="s">
        <v>71</v>
      </c>
      <c r="F770" s="33" t="s">
        <v>1489</v>
      </c>
      <c r="G770" s="32" t="s">
        <v>72</v>
      </c>
      <c r="H770" s="31" t="s">
        <v>1888</v>
      </c>
      <c r="I770" s="31" t="s">
        <v>354</v>
      </c>
      <c r="J770" s="31"/>
      <c r="K770" s="31"/>
      <c r="L770" s="31" t="s">
        <v>78</v>
      </c>
    </row>
    <row r="771">
      <c r="A771" s="36">
        <v>43905.0</v>
      </c>
      <c r="B771" s="31" t="s">
        <v>1889</v>
      </c>
      <c r="C771" s="31" t="s">
        <v>1510</v>
      </c>
      <c r="D771" s="32" t="s">
        <v>10</v>
      </c>
      <c r="E771" s="28" t="s">
        <v>71</v>
      </c>
      <c r="F771" s="33"/>
      <c r="G771" s="32" t="s">
        <v>72</v>
      </c>
      <c r="H771" s="31" t="s">
        <v>1890</v>
      </c>
      <c r="I771" s="31" t="s">
        <v>1056</v>
      </c>
      <c r="J771" s="31"/>
      <c r="K771" s="31"/>
      <c r="L771" s="31" t="s">
        <v>78</v>
      </c>
    </row>
    <row r="772">
      <c r="A772" s="36">
        <v>43935.0</v>
      </c>
      <c r="B772" s="31" t="s">
        <v>1891</v>
      </c>
      <c r="C772" s="31" t="s">
        <v>1892</v>
      </c>
      <c r="D772" s="32" t="s">
        <v>21</v>
      </c>
      <c r="E772" s="28" t="s">
        <v>71</v>
      </c>
      <c r="F772" s="33"/>
      <c r="G772" s="32" t="s">
        <v>54</v>
      </c>
      <c r="H772" s="31" t="s">
        <v>1870</v>
      </c>
      <c r="I772" s="31" t="s">
        <v>1103</v>
      </c>
      <c r="J772" s="31"/>
      <c r="K772" s="31"/>
      <c r="L772" s="31" t="s">
        <v>78</v>
      </c>
    </row>
    <row r="773">
      <c r="A773" s="36">
        <v>43949.0</v>
      </c>
      <c r="B773" s="31" t="s">
        <v>1893</v>
      </c>
      <c r="C773" s="31" t="s">
        <v>1085</v>
      </c>
      <c r="D773" s="32" t="s">
        <v>22</v>
      </c>
      <c r="E773" s="28" t="s">
        <v>71</v>
      </c>
      <c r="F773" s="33"/>
      <c r="G773" s="32" t="s">
        <v>72</v>
      </c>
      <c r="H773" s="31" t="s">
        <v>1894</v>
      </c>
      <c r="I773" s="31" t="s">
        <v>1243</v>
      </c>
      <c r="J773" s="31"/>
      <c r="K773" s="31"/>
      <c r="L773" s="31" t="s">
        <v>78</v>
      </c>
    </row>
    <row r="774">
      <c r="A774" s="36">
        <v>43958.0</v>
      </c>
      <c r="B774" s="31" t="s">
        <v>1895</v>
      </c>
      <c r="C774" s="31" t="s">
        <v>1896</v>
      </c>
      <c r="D774" s="32" t="s">
        <v>17</v>
      </c>
      <c r="E774" s="28" t="s">
        <v>71</v>
      </c>
      <c r="F774" s="33"/>
      <c r="G774" s="32" t="s">
        <v>72</v>
      </c>
      <c r="H774" s="31" t="s">
        <v>1897</v>
      </c>
      <c r="I774" s="31" t="s">
        <v>1112</v>
      </c>
      <c r="J774" s="31"/>
      <c r="K774" s="31"/>
      <c r="L774" s="31" t="s">
        <v>75</v>
      </c>
    </row>
    <row r="775">
      <c r="A775" s="36">
        <v>43967.0</v>
      </c>
      <c r="B775" s="31" t="s">
        <v>1898</v>
      </c>
      <c r="C775" s="31" t="s">
        <v>1695</v>
      </c>
      <c r="D775" s="32" t="s">
        <v>14</v>
      </c>
      <c r="E775" s="28" t="s">
        <v>71</v>
      </c>
      <c r="F775" s="33" t="s">
        <v>1899</v>
      </c>
      <c r="G775" s="32" t="s">
        <v>72</v>
      </c>
      <c r="H775" s="31" t="s">
        <v>1425</v>
      </c>
      <c r="I775" s="31" t="s">
        <v>1486</v>
      </c>
      <c r="J775" s="31"/>
      <c r="K775" s="31"/>
      <c r="L775" s="31" t="s">
        <v>78</v>
      </c>
    </row>
    <row r="776">
      <c r="A776" s="36">
        <v>43983.0</v>
      </c>
      <c r="B776" s="31" t="s">
        <v>1900</v>
      </c>
      <c r="C776" s="31" t="s">
        <v>1328</v>
      </c>
      <c r="D776" s="32" t="s">
        <v>17</v>
      </c>
      <c r="E776" s="28" t="s">
        <v>71</v>
      </c>
      <c r="F776" s="33" t="s">
        <v>1901</v>
      </c>
      <c r="G776" s="32" t="s">
        <v>72</v>
      </c>
      <c r="H776" s="31" t="s">
        <v>1902</v>
      </c>
      <c r="I776" s="31" t="s">
        <v>1112</v>
      </c>
      <c r="J776" s="31"/>
      <c r="K776" s="31"/>
      <c r="L776" s="31" t="s">
        <v>78</v>
      </c>
    </row>
    <row r="777">
      <c r="A777" s="36">
        <v>43986.0</v>
      </c>
      <c r="B777" s="31" t="s">
        <v>1903</v>
      </c>
      <c r="C777" s="31" t="s">
        <v>1885</v>
      </c>
      <c r="D777" s="32" t="s">
        <v>14</v>
      </c>
      <c r="E777" s="28" t="s">
        <v>71</v>
      </c>
      <c r="F777" s="33"/>
      <c r="G777" s="32" t="s">
        <v>72</v>
      </c>
      <c r="H777" s="31" t="s">
        <v>1904</v>
      </c>
      <c r="I777" s="31" t="s">
        <v>1905</v>
      </c>
      <c r="J777" s="31"/>
      <c r="K777" s="31"/>
      <c r="L777" s="31" t="s">
        <v>78</v>
      </c>
    </row>
    <row r="778">
      <c r="A778" s="36">
        <v>44013.0</v>
      </c>
      <c r="B778" s="31" t="s">
        <v>1906</v>
      </c>
      <c r="C778" s="31" t="s">
        <v>1549</v>
      </c>
      <c r="D778" s="32" t="s">
        <v>10</v>
      </c>
      <c r="E778" s="28" t="s">
        <v>71</v>
      </c>
      <c r="F778" s="33" t="s">
        <v>1641</v>
      </c>
      <c r="G778" s="32" t="s">
        <v>72</v>
      </c>
      <c r="H778" s="31" t="s">
        <v>1907</v>
      </c>
      <c r="I778" s="31" t="s">
        <v>1056</v>
      </c>
      <c r="J778" s="31"/>
      <c r="K778" s="31"/>
      <c r="L778" s="31" t="s">
        <v>78</v>
      </c>
    </row>
    <row r="779">
      <c r="A779" s="36">
        <v>44040.0</v>
      </c>
      <c r="B779" s="31" t="s">
        <v>1908</v>
      </c>
      <c r="C779" s="31" t="s">
        <v>1909</v>
      </c>
      <c r="D779" s="32" t="s">
        <v>14</v>
      </c>
      <c r="E779" s="28" t="s">
        <v>71</v>
      </c>
      <c r="F779" s="33"/>
      <c r="G779" s="32" t="s">
        <v>72</v>
      </c>
      <c r="H779" s="31" t="s">
        <v>1910</v>
      </c>
      <c r="I779" s="31" t="s">
        <v>1044</v>
      </c>
      <c r="J779" s="31"/>
      <c r="K779" s="31"/>
      <c r="L779" s="31" t="s">
        <v>75</v>
      </c>
    </row>
    <row r="780">
      <c r="A780" s="36">
        <v>44064.0</v>
      </c>
      <c r="B780" s="31" t="s">
        <v>1911</v>
      </c>
      <c r="C780" s="31" t="s">
        <v>1912</v>
      </c>
      <c r="D780" s="32" t="s">
        <v>25</v>
      </c>
      <c r="E780" s="28" t="s">
        <v>71</v>
      </c>
      <c r="F780" s="33" t="s">
        <v>1913</v>
      </c>
      <c r="G780" s="32" t="s">
        <v>54</v>
      </c>
      <c r="H780" s="31" t="s">
        <v>1870</v>
      </c>
      <c r="I780" s="31" t="s">
        <v>1315</v>
      </c>
      <c r="J780" s="31"/>
      <c r="K780" s="31"/>
      <c r="L780" s="31" t="s">
        <v>78</v>
      </c>
    </row>
    <row r="781">
      <c r="A781" s="36">
        <v>44094.0</v>
      </c>
      <c r="B781" s="31" t="s">
        <v>1914</v>
      </c>
      <c r="C781" s="31" t="s">
        <v>1905</v>
      </c>
      <c r="D781" s="32" t="s">
        <v>28</v>
      </c>
      <c r="E781" s="28" t="s">
        <v>71</v>
      </c>
      <c r="F781" s="33" t="s">
        <v>1915</v>
      </c>
      <c r="G781" s="32" t="s">
        <v>72</v>
      </c>
      <c r="H781" s="31" t="s">
        <v>1916</v>
      </c>
      <c r="I781" s="31" t="s">
        <v>1056</v>
      </c>
      <c r="J781" s="31"/>
      <c r="K781" s="31"/>
      <c r="L781" s="31" t="s">
        <v>78</v>
      </c>
    </row>
    <row r="782">
      <c r="A782" s="36">
        <v>44123.0</v>
      </c>
      <c r="B782" s="31" t="s">
        <v>1917</v>
      </c>
      <c r="C782" s="31" t="s">
        <v>1315</v>
      </c>
      <c r="D782" s="32" t="s">
        <v>25</v>
      </c>
      <c r="E782" s="28" t="s">
        <v>71</v>
      </c>
      <c r="F782" s="33" t="s">
        <v>1918</v>
      </c>
      <c r="G782" s="32" t="s">
        <v>72</v>
      </c>
      <c r="H782" s="31" t="s">
        <v>1919</v>
      </c>
      <c r="I782" s="31" t="s">
        <v>1905</v>
      </c>
      <c r="J782" s="31"/>
      <c r="K782" s="31"/>
      <c r="L782" s="31" t="s">
        <v>75</v>
      </c>
    </row>
    <row r="783">
      <c r="A783" s="36">
        <v>44159.0</v>
      </c>
      <c r="B783" s="31" t="s">
        <v>1920</v>
      </c>
      <c r="C783" s="31" t="s">
        <v>1486</v>
      </c>
      <c r="D783" s="32" t="s">
        <v>14</v>
      </c>
      <c r="E783" s="28" t="s">
        <v>71</v>
      </c>
      <c r="F783" s="33"/>
      <c r="G783" s="32" t="s">
        <v>72</v>
      </c>
      <c r="H783" s="31" t="s">
        <v>1921</v>
      </c>
      <c r="I783" s="31" t="s">
        <v>1054</v>
      </c>
      <c r="J783" s="31"/>
      <c r="K783" s="31"/>
      <c r="L783" s="31" t="s">
        <v>78</v>
      </c>
    </row>
    <row r="784">
      <c r="A784" s="36">
        <v>44170.0</v>
      </c>
      <c r="B784" s="31" t="s">
        <v>1922</v>
      </c>
      <c r="C784" s="31" t="s">
        <v>1923</v>
      </c>
      <c r="D784" s="32" t="s">
        <v>21</v>
      </c>
      <c r="E784" s="28" t="s">
        <v>71</v>
      </c>
      <c r="F784" s="33"/>
      <c r="G784" s="32" t="s">
        <v>72</v>
      </c>
      <c r="H784" s="31" t="s">
        <v>1670</v>
      </c>
      <c r="I784" s="31" t="s">
        <v>1053</v>
      </c>
      <c r="J784" s="31"/>
      <c r="K784" s="31"/>
      <c r="L784" s="31" t="s">
        <v>78</v>
      </c>
    </row>
    <row r="785">
      <c r="A785" s="36">
        <v>44216.0</v>
      </c>
      <c r="B785" s="31" t="s">
        <v>1924</v>
      </c>
      <c r="C785" s="31" t="s">
        <v>1925</v>
      </c>
      <c r="D785" s="32" t="s">
        <v>25</v>
      </c>
      <c r="E785" s="28" t="s">
        <v>71</v>
      </c>
      <c r="F785" s="33" t="s">
        <v>1926</v>
      </c>
      <c r="G785" s="32" t="s">
        <v>54</v>
      </c>
      <c r="H785" s="31" t="s">
        <v>1870</v>
      </c>
      <c r="I785" s="31" t="s">
        <v>905</v>
      </c>
      <c r="J785" s="31"/>
      <c r="K785" s="31"/>
      <c r="L785" s="31" t="s">
        <v>78</v>
      </c>
    </row>
    <row r="786">
      <c r="A786" s="36">
        <v>44227.0</v>
      </c>
      <c r="B786" s="31" t="s">
        <v>1927</v>
      </c>
      <c r="C786" s="31" t="s">
        <v>1044</v>
      </c>
      <c r="D786" s="32" t="s">
        <v>14</v>
      </c>
      <c r="E786" s="28" t="s">
        <v>71</v>
      </c>
      <c r="F786" s="33" t="s">
        <v>1928</v>
      </c>
      <c r="G786" s="32" t="s">
        <v>72</v>
      </c>
      <c r="H786" s="31" t="s">
        <v>1929</v>
      </c>
      <c r="I786" s="31" t="s">
        <v>1048</v>
      </c>
      <c r="J786" s="31"/>
      <c r="K786" s="31"/>
      <c r="L786" s="31" t="s">
        <v>75</v>
      </c>
    </row>
    <row r="787">
      <c r="A787" s="36">
        <v>44238.0</v>
      </c>
      <c r="B787" s="31" t="s">
        <v>1930</v>
      </c>
      <c r="C787" s="31" t="s">
        <v>1931</v>
      </c>
      <c r="D787" s="32" t="s">
        <v>14</v>
      </c>
      <c r="E787" s="28" t="s">
        <v>71</v>
      </c>
      <c r="F787" s="33"/>
      <c r="G787" s="32" t="s">
        <v>72</v>
      </c>
      <c r="H787" s="31" t="s">
        <v>1115</v>
      </c>
      <c r="I787" s="31" t="s">
        <v>1054</v>
      </c>
      <c r="J787" s="31"/>
      <c r="K787" s="31"/>
      <c r="L787" s="31" t="s">
        <v>75</v>
      </c>
    </row>
    <row r="788">
      <c r="A788" s="36">
        <v>44243.0</v>
      </c>
      <c r="B788" s="31" t="s">
        <v>1932</v>
      </c>
      <c r="C788" s="31" t="s">
        <v>1411</v>
      </c>
      <c r="D788" s="32" t="s">
        <v>25</v>
      </c>
      <c r="E788" s="28" t="s">
        <v>71</v>
      </c>
      <c r="F788" s="33"/>
      <c r="G788" s="32" t="s">
        <v>72</v>
      </c>
      <c r="H788" s="31" t="s">
        <v>1673</v>
      </c>
      <c r="I788" s="31" t="s">
        <v>1315</v>
      </c>
      <c r="J788" s="31"/>
      <c r="K788" s="31"/>
      <c r="L788" s="31" t="s">
        <v>75</v>
      </c>
    </row>
    <row r="789">
      <c r="A789" s="36">
        <v>44245.0</v>
      </c>
      <c r="B789" s="31" t="s">
        <v>1933</v>
      </c>
      <c r="C789" s="31" t="s">
        <v>1934</v>
      </c>
      <c r="D789" s="32" t="s">
        <v>16</v>
      </c>
      <c r="E789" s="28" t="s">
        <v>71</v>
      </c>
      <c r="F789" s="33" t="s">
        <v>1809</v>
      </c>
      <c r="G789" s="32" t="s">
        <v>54</v>
      </c>
      <c r="H789" s="31" t="s">
        <v>1870</v>
      </c>
      <c r="I789" s="31" t="s">
        <v>1017</v>
      </c>
      <c r="J789" s="31"/>
      <c r="K789" s="31"/>
      <c r="L789" s="31" t="s">
        <v>78</v>
      </c>
    </row>
    <row r="790">
      <c r="A790" s="36">
        <v>44256.0</v>
      </c>
      <c r="B790" s="31" t="s">
        <v>1935</v>
      </c>
      <c r="C790" s="31" t="s">
        <v>1029</v>
      </c>
      <c r="D790" s="32" t="s">
        <v>14</v>
      </c>
      <c r="E790" s="28" t="s">
        <v>71</v>
      </c>
      <c r="F790" s="33"/>
      <c r="G790" s="32" t="s">
        <v>72</v>
      </c>
      <c r="H790" s="31" t="s">
        <v>1115</v>
      </c>
      <c r="I790" s="31" t="s">
        <v>1054</v>
      </c>
      <c r="J790" s="31"/>
      <c r="K790" s="31"/>
      <c r="L790" s="31" t="s">
        <v>78</v>
      </c>
    </row>
    <row r="791">
      <c r="A791" s="36">
        <v>44259.0</v>
      </c>
      <c r="B791" s="31" t="s">
        <v>1936</v>
      </c>
      <c r="C791" s="31" t="s">
        <v>1351</v>
      </c>
      <c r="D791" s="32" t="s">
        <v>30</v>
      </c>
      <c r="E791" s="28" t="s">
        <v>71</v>
      </c>
      <c r="F791" s="33" t="s">
        <v>1937</v>
      </c>
      <c r="G791" s="32" t="s">
        <v>72</v>
      </c>
      <c r="H791" s="31" t="s">
        <v>1938</v>
      </c>
      <c r="I791" s="31" t="s">
        <v>1905</v>
      </c>
      <c r="J791" s="31"/>
      <c r="K791" s="31"/>
      <c r="L791" s="31" t="s">
        <v>78</v>
      </c>
    </row>
    <row r="792">
      <c r="A792" s="36">
        <v>44263.0</v>
      </c>
      <c r="B792" s="31" t="s">
        <v>1939</v>
      </c>
      <c r="C792" s="31" t="s">
        <v>1429</v>
      </c>
      <c r="D792" s="32" t="s">
        <v>14</v>
      </c>
      <c r="E792" s="28" t="s">
        <v>71</v>
      </c>
      <c r="F792" s="33"/>
      <c r="G792" s="32" t="s">
        <v>72</v>
      </c>
      <c r="H792" s="31" t="s">
        <v>1425</v>
      </c>
      <c r="I792" s="31" t="s">
        <v>1486</v>
      </c>
      <c r="J792" s="31"/>
      <c r="K792" s="31"/>
      <c r="L792" s="31" t="s">
        <v>78</v>
      </c>
    </row>
    <row r="793">
      <c r="A793" s="36">
        <v>44265.0</v>
      </c>
      <c r="B793" s="31" t="s">
        <v>1940</v>
      </c>
      <c r="C793" s="31" t="s">
        <v>1941</v>
      </c>
      <c r="D793" s="32" t="s">
        <v>14</v>
      </c>
      <c r="E793" s="28" t="s">
        <v>71</v>
      </c>
      <c r="F793" s="33" t="s">
        <v>1942</v>
      </c>
      <c r="G793" s="32" t="s">
        <v>72</v>
      </c>
      <c r="H793" s="31" t="s">
        <v>1256</v>
      </c>
      <c r="I793" s="31" t="s">
        <v>1206</v>
      </c>
      <c r="J793" s="31"/>
      <c r="K793" s="31"/>
      <c r="L793" s="31" t="s">
        <v>75</v>
      </c>
    </row>
    <row r="794">
      <c r="A794" s="36">
        <v>44267.0</v>
      </c>
      <c r="B794" s="31" t="s">
        <v>1943</v>
      </c>
      <c r="C794" s="31" t="s">
        <v>1944</v>
      </c>
      <c r="D794" s="32" t="s">
        <v>17</v>
      </c>
      <c r="E794" s="28" t="s">
        <v>71</v>
      </c>
      <c r="F794" s="33"/>
      <c r="G794" s="32" t="s">
        <v>72</v>
      </c>
      <c r="H794" s="31" t="s">
        <v>1945</v>
      </c>
      <c r="I794" s="31" t="s">
        <v>1112</v>
      </c>
      <c r="J794" s="31"/>
      <c r="K794" s="31"/>
      <c r="L794" s="31" t="s">
        <v>75</v>
      </c>
    </row>
    <row r="795">
      <c r="A795" s="36">
        <v>44271.0</v>
      </c>
      <c r="B795" s="31" t="s">
        <v>1946</v>
      </c>
      <c r="C795" s="31" t="s">
        <v>1658</v>
      </c>
      <c r="D795" s="32" t="s">
        <v>14</v>
      </c>
      <c r="E795" s="28" t="s">
        <v>71</v>
      </c>
      <c r="F795" s="33" t="s">
        <v>1947</v>
      </c>
      <c r="G795" s="32" t="s">
        <v>72</v>
      </c>
      <c r="H795" s="31" t="s">
        <v>1256</v>
      </c>
      <c r="I795" s="31" t="s">
        <v>1725</v>
      </c>
      <c r="J795" s="31"/>
      <c r="K795" s="31"/>
      <c r="L795" s="31" t="s">
        <v>75</v>
      </c>
    </row>
    <row r="796">
      <c r="A796" s="36">
        <v>44271.0</v>
      </c>
      <c r="B796" s="31" t="s">
        <v>1948</v>
      </c>
      <c r="C796" s="31" t="s">
        <v>1210</v>
      </c>
      <c r="D796" s="32" t="s">
        <v>47</v>
      </c>
      <c r="E796" s="28" t="s">
        <v>71</v>
      </c>
      <c r="F796" s="33"/>
      <c r="G796" s="32" t="s">
        <v>72</v>
      </c>
      <c r="H796" s="31" t="s">
        <v>1949</v>
      </c>
      <c r="I796" s="31" t="s">
        <v>1905</v>
      </c>
      <c r="J796" s="31"/>
      <c r="K796" s="31"/>
      <c r="L796" s="31" t="s">
        <v>78</v>
      </c>
    </row>
    <row r="797">
      <c r="A797" s="36">
        <v>44272.0</v>
      </c>
      <c r="B797" s="31" t="s">
        <v>1950</v>
      </c>
      <c r="C797" s="31" t="s">
        <v>1951</v>
      </c>
      <c r="D797" s="32" t="s">
        <v>30</v>
      </c>
      <c r="E797" s="28" t="s">
        <v>71</v>
      </c>
      <c r="F797" s="33"/>
      <c r="G797" s="32" t="s">
        <v>54</v>
      </c>
      <c r="H797" s="31" t="s">
        <v>1870</v>
      </c>
      <c r="I797" s="31" t="s">
        <v>1351</v>
      </c>
      <c r="J797" s="31"/>
      <c r="K797" s="31"/>
      <c r="L797" s="31" t="s">
        <v>78</v>
      </c>
    </row>
    <row r="798">
      <c r="A798" s="36">
        <v>44274.0</v>
      </c>
      <c r="B798" s="31" t="s">
        <v>1952</v>
      </c>
      <c r="C798" s="31" t="s">
        <v>1953</v>
      </c>
      <c r="D798" s="32" t="s">
        <v>22</v>
      </c>
      <c r="E798" s="28" t="s">
        <v>71</v>
      </c>
      <c r="F798" s="33"/>
      <c r="G798" s="32" t="s">
        <v>72</v>
      </c>
      <c r="H798" s="31" t="s">
        <v>1954</v>
      </c>
      <c r="I798" s="31" t="s">
        <v>1240</v>
      </c>
      <c r="J798" s="31"/>
      <c r="K798" s="31"/>
      <c r="L798" s="31" t="s">
        <v>75</v>
      </c>
    </row>
    <row r="799">
      <c r="A799" s="36">
        <v>44277.0</v>
      </c>
      <c r="B799" s="31" t="s">
        <v>1955</v>
      </c>
      <c r="C799" s="31" t="s">
        <v>1956</v>
      </c>
      <c r="D799" s="32" t="s">
        <v>16</v>
      </c>
      <c r="E799" s="28" t="s">
        <v>71</v>
      </c>
      <c r="F799" s="33"/>
      <c r="G799" s="32" t="s">
        <v>72</v>
      </c>
      <c r="H799" s="31" t="s">
        <v>1957</v>
      </c>
      <c r="I799" s="31" t="s">
        <v>1015</v>
      </c>
      <c r="J799" s="31"/>
      <c r="K799" s="31"/>
      <c r="L799" s="31" t="s">
        <v>75</v>
      </c>
    </row>
    <row r="800">
      <c r="A800" s="36">
        <v>44277.0</v>
      </c>
      <c r="B800" s="31" t="s">
        <v>1958</v>
      </c>
      <c r="C800" s="31" t="s">
        <v>1959</v>
      </c>
      <c r="D800" s="32" t="s">
        <v>14</v>
      </c>
      <c r="E800" s="28" t="s">
        <v>71</v>
      </c>
      <c r="F800" s="33" t="s">
        <v>1960</v>
      </c>
      <c r="G800" s="32" t="s">
        <v>72</v>
      </c>
      <c r="H800" s="31" t="s">
        <v>1425</v>
      </c>
      <c r="I800" s="31" t="s">
        <v>1486</v>
      </c>
      <c r="J800" s="31"/>
      <c r="K800" s="31"/>
      <c r="L800" s="31" t="s">
        <v>78</v>
      </c>
    </row>
    <row r="801">
      <c r="A801" s="36">
        <v>44277.0</v>
      </c>
      <c r="B801" s="31" t="s">
        <v>1961</v>
      </c>
      <c r="C801" s="31" t="s">
        <v>1445</v>
      </c>
      <c r="D801" s="32" t="s">
        <v>22</v>
      </c>
      <c r="E801" s="28" t="s">
        <v>71</v>
      </c>
      <c r="F801" s="33" t="s">
        <v>1962</v>
      </c>
      <c r="G801" s="32" t="s">
        <v>72</v>
      </c>
      <c r="H801" s="31" t="s">
        <v>1673</v>
      </c>
      <c r="I801" s="31" t="s">
        <v>1243</v>
      </c>
      <c r="J801" s="31"/>
      <c r="K801" s="31"/>
      <c r="L801" s="31" t="s">
        <v>78</v>
      </c>
    </row>
    <row r="802">
      <c r="A802" s="36">
        <v>44278.0</v>
      </c>
      <c r="B802" s="31" t="s">
        <v>1963</v>
      </c>
      <c r="C802" s="31" t="s">
        <v>1964</v>
      </c>
      <c r="D802" s="32" t="s">
        <v>12</v>
      </c>
      <c r="E802" s="28" t="s">
        <v>71</v>
      </c>
      <c r="F802" s="33" t="s">
        <v>1965</v>
      </c>
      <c r="G802" s="32" t="s">
        <v>72</v>
      </c>
      <c r="H802" s="31" t="s">
        <v>1966</v>
      </c>
      <c r="I802" s="31" t="s">
        <v>1967</v>
      </c>
      <c r="J802" s="31"/>
      <c r="K802" s="31"/>
      <c r="L802" s="31" t="s">
        <v>78</v>
      </c>
    </row>
    <row r="803">
      <c r="A803" s="36">
        <v>44285.0</v>
      </c>
      <c r="B803" s="31" t="s">
        <v>1968</v>
      </c>
      <c r="C803" s="31" t="s">
        <v>1969</v>
      </c>
      <c r="D803" s="32" t="s">
        <v>14</v>
      </c>
      <c r="E803" s="28" t="s">
        <v>71</v>
      </c>
      <c r="F803" s="33"/>
      <c r="G803" s="32" t="s">
        <v>72</v>
      </c>
      <c r="H803" s="31" t="s">
        <v>1468</v>
      </c>
      <c r="I803" s="31" t="s">
        <v>1029</v>
      </c>
      <c r="J803" s="31"/>
      <c r="K803" s="31"/>
      <c r="L803" s="31" t="s">
        <v>75</v>
      </c>
    </row>
    <row r="804">
      <c r="A804" s="36">
        <v>44291.0</v>
      </c>
      <c r="B804" s="31" t="s">
        <v>1970</v>
      </c>
      <c r="C804" s="31" t="s">
        <v>1971</v>
      </c>
      <c r="D804" s="32" t="s">
        <v>14</v>
      </c>
      <c r="E804" s="28" t="s">
        <v>71</v>
      </c>
      <c r="F804" s="33"/>
      <c r="G804" s="32" t="s">
        <v>72</v>
      </c>
      <c r="H804" s="31" t="s">
        <v>1107</v>
      </c>
      <c r="I804" s="31" t="s">
        <v>1486</v>
      </c>
      <c r="J804" s="31"/>
      <c r="K804" s="31"/>
      <c r="L804" s="31" t="s">
        <v>78</v>
      </c>
    </row>
    <row r="805">
      <c r="A805" s="36">
        <v>44292.0</v>
      </c>
      <c r="B805" s="31" t="s">
        <v>1972</v>
      </c>
      <c r="C805" s="31" t="s">
        <v>1973</v>
      </c>
      <c r="D805" s="32" t="s">
        <v>16</v>
      </c>
      <c r="E805" s="28" t="s">
        <v>71</v>
      </c>
      <c r="F805" s="33"/>
      <c r="G805" s="32" t="s">
        <v>72</v>
      </c>
      <c r="H805" s="31" t="s">
        <v>1957</v>
      </c>
      <c r="I805" s="31" t="s">
        <v>1015</v>
      </c>
      <c r="J805" s="31"/>
      <c r="K805" s="31"/>
      <c r="L805" s="31" t="s">
        <v>75</v>
      </c>
    </row>
    <row r="806">
      <c r="A806" s="36">
        <v>44294.0</v>
      </c>
      <c r="B806" s="31" t="s">
        <v>1974</v>
      </c>
      <c r="C806" s="31" t="s">
        <v>1061</v>
      </c>
      <c r="D806" s="32" t="s">
        <v>14</v>
      </c>
      <c r="E806" s="28" t="s">
        <v>71</v>
      </c>
      <c r="F806" s="33" t="s">
        <v>1975</v>
      </c>
      <c r="G806" s="32" t="s">
        <v>72</v>
      </c>
      <c r="H806" s="31" t="s">
        <v>1425</v>
      </c>
      <c r="I806" s="31" t="s">
        <v>1029</v>
      </c>
      <c r="J806" s="31"/>
      <c r="K806" s="31"/>
      <c r="L806" s="31" t="s">
        <v>78</v>
      </c>
    </row>
    <row r="807">
      <c r="A807" s="36">
        <v>44294.0</v>
      </c>
      <c r="B807" s="31" t="s">
        <v>353</v>
      </c>
      <c r="C807" s="31" t="s">
        <v>1976</v>
      </c>
      <c r="D807" s="32" t="s">
        <v>14</v>
      </c>
      <c r="E807" s="28" t="s">
        <v>71</v>
      </c>
      <c r="F807" s="33" t="s">
        <v>1977</v>
      </c>
      <c r="G807" s="32" t="s">
        <v>72</v>
      </c>
      <c r="H807" s="31" t="s">
        <v>1347</v>
      </c>
      <c r="I807" s="31" t="s">
        <v>1029</v>
      </c>
      <c r="J807" s="31"/>
      <c r="K807" s="31"/>
      <c r="L807" s="31" t="s">
        <v>75</v>
      </c>
    </row>
    <row r="808">
      <c r="A808" s="36">
        <v>44294.0</v>
      </c>
      <c r="B808" s="31" t="s">
        <v>1978</v>
      </c>
      <c r="C808" s="31" t="s">
        <v>1979</v>
      </c>
      <c r="D808" s="32" t="s">
        <v>39</v>
      </c>
      <c r="E808" s="28" t="s">
        <v>71</v>
      </c>
      <c r="F808" s="33" t="s">
        <v>1980</v>
      </c>
      <c r="G808" s="32" t="s">
        <v>54</v>
      </c>
      <c r="H808" s="31" t="s">
        <v>1870</v>
      </c>
      <c r="I808" s="31" t="s">
        <v>1981</v>
      </c>
      <c r="J808" s="31"/>
      <c r="K808" s="31"/>
      <c r="L808" s="31" t="s">
        <v>78</v>
      </c>
    </row>
    <row r="809">
      <c r="A809" s="36">
        <v>44295.0</v>
      </c>
      <c r="B809" s="31" t="s">
        <v>1982</v>
      </c>
      <c r="C809" s="31" t="s">
        <v>1331</v>
      </c>
      <c r="D809" s="32" t="s">
        <v>14</v>
      </c>
      <c r="E809" s="28" t="s">
        <v>71</v>
      </c>
      <c r="F809" s="33"/>
      <c r="G809" s="32" t="s">
        <v>72</v>
      </c>
      <c r="H809" s="31" t="s">
        <v>1115</v>
      </c>
      <c r="I809" s="31" t="s">
        <v>1054</v>
      </c>
      <c r="J809" s="31"/>
      <c r="K809" s="31"/>
      <c r="L809" s="31" t="s">
        <v>78</v>
      </c>
    </row>
    <row r="810">
      <c r="A810" s="36">
        <v>44305.0</v>
      </c>
      <c r="B810" s="31" t="s">
        <v>1983</v>
      </c>
      <c r="C810" s="31" t="s">
        <v>1984</v>
      </c>
      <c r="D810" s="32" t="s">
        <v>22</v>
      </c>
      <c r="E810" s="28" t="s">
        <v>71</v>
      </c>
      <c r="F810" s="33"/>
      <c r="G810" s="32" t="s">
        <v>72</v>
      </c>
      <c r="H810" s="31" t="s">
        <v>1290</v>
      </c>
      <c r="I810" s="31" t="s">
        <v>1763</v>
      </c>
      <c r="J810" s="31"/>
      <c r="K810" s="31"/>
      <c r="L810" s="31" t="s">
        <v>75</v>
      </c>
    </row>
    <row r="811">
      <c r="A811" s="36">
        <v>44305.0</v>
      </c>
      <c r="B811" s="31" t="s">
        <v>1985</v>
      </c>
      <c r="C811" s="31" t="s">
        <v>1725</v>
      </c>
      <c r="D811" s="32" t="s">
        <v>14</v>
      </c>
      <c r="E811" s="28" t="s">
        <v>71</v>
      </c>
      <c r="F811" s="33"/>
      <c r="G811" s="32" t="s">
        <v>72</v>
      </c>
      <c r="H811" s="31" t="s">
        <v>1425</v>
      </c>
      <c r="I811" s="31" t="s">
        <v>1116</v>
      </c>
      <c r="J811" s="31"/>
      <c r="K811" s="31"/>
      <c r="L811" s="31" t="s">
        <v>78</v>
      </c>
    </row>
    <row r="812">
      <c r="A812" s="36">
        <v>44308.0</v>
      </c>
      <c r="B812" s="31" t="s">
        <v>1986</v>
      </c>
      <c r="C812" s="31" t="s">
        <v>1987</v>
      </c>
      <c r="D812" s="32" t="s">
        <v>14</v>
      </c>
      <c r="E812" s="28" t="s">
        <v>71</v>
      </c>
      <c r="F812" s="33"/>
      <c r="G812" s="32" t="s">
        <v>72</v>
      </c>
      <c r="H812" s="31" t="s">
        <v>1107</v>
      </c>
      <c r="I812" s="31" t="s">
        <v>1206</v>
      </c>
      <c r="J812" s="31"/>
      <c r="K812" s="31"/>
      <c r="L812" s="31" t="s">
        <v>78</v>
      </c>
    </row>
    <row r="813">
      <c r="A813" s="36">
        <v>44323.0</v>
      </c>
      <c r="B813" s="31" t="s">
        <v>1988</v>
      </c>
      <c r="C813" s="31" t="s">
        <v>1989</v>
      </c>
      <c r="D813" s="32" t="s">
        <v>25</v>
      </c>
      <c r="E813" s="28" t="s">
        <v>71</v>
      </c>
      <c r="F813" s="33" t="s">
        <v>1832</v>
      </c>
      <c r="G813" s="32" t="s">
        <v>54</v>
      </c>
      <c r="H813" s="31" t="s">
        <v>1870</v>
      </c>
      <c r="I813" s="31" t="s">
        <v>905</v>
      </c>
      <c r="J813" s="31"/>
      <c r="K813" s="31"/>
      <c r="L813" s="31" t="s">
        <v>78</v>
      </c>
    </row>
    <row r="814">
      <c r="A814" s="36">
        <v>44344.0</v>
      </c>
      <c r="B814" s="31" t="s">
        <v>1990</v>
      </c>
      <c r="C814" s="31" t="s">
        <v>1991</v>
      </c>
      <c r="D814" s="32" t="s">
        <v>14</v>
      </c>
      <c r="E814" s="28" t="s">
        <v>71</v>
      </c>
      <c r="F814" s="33" t="s">
        <v>1992</v>
      </c>
      <c r="G814" s="32" t="s">
        <v>72</v>
      </c>
      <c r="H814" s="31" t="s">
        <v>1107</v>
      </c>
      <c r="I814" s="31" t="s">
        <v>1029</v>
      </c>
      <c r="J814" s="31"/>
      <c r="K814" s="31"/>
      <c r="L814" s="31" t="s">
        <v>75</v>
      </c>
    </row>
    <row r="815">
      <c r="A815" s="36">
        <v>44348.0</v>
      </c>
      <c r="B815" s="31" t="s">
        <v>1993</v>
      </c>
      <c r="C815" s="31" t="s">
        <v>1397</v>
      </c>
      <c r="D815" s="32" t="s">
        <v>47</v>
      </c>
      <c r="E815" s="28" t="s">
        <v>71</v>
      </c>
      <c r="F815" s="33"/>
      <c r="G815" s="32" t="s">
        <v>72</v>
      </c>
      <c r="H815" s="31" t="s">
        <v>1209</v>
      </c>
      <c r="I815" s="31" t="s">
        <v>1210</v>
      </c>
      <c r="J815" s="31"/>
      <c r="K815" s="31"/>
      <c r="L815" s="31" t="s">
        <v>78</v>
      </c>
    </row>
    <row r="816">
      <c r="A816" s="36">
        <v>44356.0</v>
      </c>
      <c r="B816" s="31" t="s">
        <v>1994</v>
      </c>
      <c r="C816" s="31" t="s">
        <v>1995</v>
      </c>
      <c r="D816" s="32" t="s">
        <v>14</v>
      </c>
      <c r="E816" s="28" t="s">
        <v>71</v>
      </c>
      <c r="F816" s="33" t="s">
        <v>1996</v>
      </c>
      <c r="G816" s="32" t="s">
        <v>72</v>
      </c>
      <c r="H816" s="31" t="s">
        <v>1468</v>
      </c>
      <c r="I816" s="31" t="s">
        <v>1116</v>
      </c>
      <c r="J816" s="31"/>
      <c r="K816" s="31"/>
      <c r="L816" s="31" t="s">
        <v>75</v>
      </c>
    </row>
    <row r="817">
      <c r="A817" s="36">
        <v>44358.0</v>
      </c>
      <c r="B817" s="31" t="s">
        <v>1997</v>
      </c>
      <c r="C817" s="31" t="s">
        <v>1243</v>
      </c>
      <c r="D817" s="32" t="s">
        <v>22</v>
      </c>
      <c r="E817" s="28" t="s">
        <v>71</v>
      </c>
      <c r="F817" s="33"/>
      <c r="G817" s="32" t="s">
        <v>72</v>
      </c>
      <c r="H817" s="31" t="s">
        <v>1998</v>
      </c>
      <c r="I817" s="31" t="s">
        <v>1056</v>
      </c>
      <c r="J817" s="31"/>
      <c r="K817" s="31"/>
      <c r="L817" s="31" t="s">
        <v>78</v>
      </c>
    </row>
    <row r="818">
      <c r="A818" s="36">
        <v>44361.0</v>
      </c>
      <c r="B818" s="31" t="s">
        <v>1999</v>
      </c>
      <c r="C818" s="31" t="s">
        <v>2000</v>
      </c>
      <c r="D818" s="32" t="s">
        <v>47</v>
      </c>
      <c r="E818" s="28" t="s">
        <v>71</v>
      </c>
      <c r="F818" s="33" t="s">
        <v>2001</v>
      </c>
      <c r="G818" s="32" t="s">
        <v>72</v>
      </c>
      <c r="H818" s="31" t="s">
        <v>2002</v>
      </c>
      <c r="I818" s="31" t="s">
        <v>1210</v>
      </c>
      <c r="J818" s="31"/>
      <c r="K818" s="31"/>
      <c r="L818" s="31" t="s">
        <v>78</v>
      </c>
    </row>
    <row r="819">
      <c r="A819" s="36">
        <v>44364.0</v>
      </c>
      <c r="B819" s="31" t="s">
        <v>2003</v>
      </c>
      <c r="C819" s="31" t="s">
        <v>2004</v>
      </c>
      <c r="D819" s="32" t="s">
        <v>14</v>
      </c>
      <c r="E819" s="28" t="s">
        <v>71</v>
      </c>
      <c r="F819" s="33">
        <v>8.882946897E9</v>
      </c>
      <c r="G819" s="32" t="s">
        <v>54</v>
      </c>
      <c r="H819" s="31" t="s">
        <v>1870</v>
      </c>
      <c r="I819" s="31" t="s">
        <v>1036</v>
      </c>
      <c r="J819" s="31"/>
      <c r="K819" s="31"/>
      <c r="L819" s="31" t="s">
        <v>78</v>
      </c>
    </row>
    <row r="820">
      <c r="A820" s="36">
        <v>44365.0</v>
      </c>
      <c r="B820" s="31" t="s">
        <v>2005</v>
      </c>
      <c r="C820" s="31" t="s">
        <v>1604</v>
      </c>
      <c r="D820" s="32" t="s">
        <v>14</v>
      </c>
      <c r="E820" s="28" t="s">
        <v>71</v>
      </c>
      <c r="F820" s="33" t="s">
        <v>2006</v>
      </c>
      <c r="G820" s="32" t="s">
        <v>72</v>
      </c>
      <c r="H820" s="31" t="s">
        <v>2007</v>
      </c>
      <c r="I820" s="31" t="s">
        <v>1206</v>
      </c>
      <c r="J820" s="31"/>
      <c r="K820" s="31"/>
      <c r="L820" s="31" t="s">
        <v>78</v>
      </c>
    </row>
    <row r="821">
      <c r="A821" s="36">
        <v>44370.0</v>
      </c>
      <c r="B821" s="31" t="s">
        <v>2008</v>
      </c>
      <c r="C821" s="31" t="s">
        <v>2009</v>
      </c>
      <c r="D821" s="32" t="s">
        <v>33</v>
      </c>
      <c r="E821" s="28" t="s">
        <v>71</v>
      </c>
      <c r="F821" s="33"/>
      <c r="G821" s="32" t="s">
        <v>72</v>
      </c>
      <c r="H821" s="31" t="s">
        <v>1128</v>
      </c>
      <c r="I821" s="31" t="s">
        <v>1133</v>
      </c>
      <c r="J821" s="31"/>
      <c r="K821" s="31"/>
      <c r="L821" s="31" t="s">
        <v>75</v>
      </c>
    </row>
    <row r="822">
      <c r="A822" s="36">
        <v>44375.0</v>
      </c>
      <c r="B822" s="31" t="s">
        <v>2010</v>
      </c>
      <c r="C822" s="31" t="s">
        <v>1264</v>
      </c>
      <c r="D822" s="32" t="s">
        <v>14</v>
      </c>
      <c r="E822" s="28" t="s">
        <v>71</v>
      </c>
      <c r="F822" s="33" t="s">
        <v>2011</v>
      </c>
      <c r="G822" s="32" t="s">
        <v>72</v>
      </c>
      <c r="H822" s="31" t="s">
        <v>1425</v>
      </c>
      <c r="I822" s="31" t="s">
        <v>1206</v>
      </c>
      <c r="J822" s="31"/>
      <c r="K822" s="31"/>
      <c r="L822" s="31" t="s">
        <v>78</v>
      </c>
    </row>
    <row r="823">
      <c r="A823" s="36">
        <v>44378.0</v>
      </c>
      <c r="B823" s="31" t="s">
        <v>2012</v>
      </c>
      <c r="C823" s="31" t="s">
        <v>1077</v>
      </c>
      <c r="D823" s="32" t="s">
        <v>28</v>
      </c>
      <c r="E823" s="28" t="s">
        <v>71</v>
      </c>
      <c r="F823" s="33" t="s">
        <v>2013</v>
      </c>
      <c r="G823" s="32" t="s">
        <v>72</v>
      </c>
      <c r="H823" s="31" t="s">
        <v>2014</v>
      </c>
      <c r="I823" s="31" t="s">
        <v>1905</v>
      </c>
      <c r="J823" s="31"/>
      <c r="K823" s="31"/>
      <c r="L823" s="31" t="s">
        <v>78</v>
      </c>
    </row>
    <row r="824">
      <c r="A824" s="36">
        <v>44378.0</v>
      </c>
      <c r="B824" s="31" t="s">
        <v>1860</v>
      </c>
      <c r="C824" s="31" t="s">
        <v>2015</v>
      </c>
      <c r="D824" s="32" t="s">
        <v>10</v>
      </c>
      <c r="E824" s="28" t="s">
        <v>71</v>
      </c>
      <c r="F824" s="33"/>
      <c r="G824" s="32" t="s">
        <v>72</v>
      </c>
      <c r="H824" s="31" t="s">
        <v>72</v>
      </c>
      <c r="I824" s="31" t="s">
        <v>1861</v>
      </c>
      <c r="J824" s="31"/>
      <c r="K824" s="31"/>
      <c r="L824" s="31" t="s">
        <v>78</v>
      </c>
    </row>
    <row r="825">
      <c r="A825" s="36">
        <v>44391.0</v>
      </c>
      <c r="B825" s="31" t="s">
        <v>2016</v>
      </c>
      <c r="C825" s="31" t="s">
        <v>2017</v>
      </c>
      <c r="D825" s="32" t="s">
        <v>2018</v>
      </c>
      <c r="E825" s="28" t="s">
        <v>71</v>
      </c>
      <c r="F825" s="33"/>
      <c r="G825" s="32" t="s">
        <v>54</v>
      </c>
      <c r="H825" s="31" t="s">
        <v>1870</v>
      </c>
      <c r="I825" s="31" t="s">
        <v>1905</v>
      </c>
      <c r="J825" s="31"/>
      <c r="K825" s="31"/>
      <c r="L825" s="31" t="s">
        <v>78</v>
      </c>
    </row>
    <row r="826">
      <c r="A826" s="36">
        <v>44392.0</v>
      </c>
      <c r="B826" s="31" t="s">
        <v>2019</v>
      </c>
      <c r="C826" s="31" t="s">
        <v>2020</v>
      </c>
      <c r="D826" s="32" t="s">
        <v>35</v>
      </c>
      <c r="E826" s="28" t="s">
        <v>71</v>
      </c>
      <c r="F826" s="33" t="s">
        <v>1816</v>
      </c>
      <c r="G826" s="32" t="s">
        <v>54</v>
      </c>
      <c r="H826" s="31" t="s">
        <v>1870</v>
      </c>
      <c r="I826" s="31" t="s">
        <v>1549</v>
      </c>
      <c r="J826" s="31"/>
      <c r="K826" s="31"/>
      <c r="L826" s="31" t="s">
        <v>78</v>
      </c>
    </row>
    <row r="827">
      <c r="A827" s="36">
        <v>44392.0</v>
      </c>
      <c r="B827" s="31" t="s">
        <v>1860</v>
      </c>
      <c r="C827" s="31" t="s">
        <v>2021</v>
      </c>
      <c r="D827" s="32" t="s">
        <v>10</v>
      </c>
      <c r="E827" s="28" t="s">
        <v>71</v>
      </c>
      <c r="F827" s="33"/>
      <c r="G827" s="32" t="s">
        <v>72</v>
      </c>
      <c r="H827" s="31" t="s">
        <v>72</v>
      </c>
      <c r="I827" s="31" t="s">
        <v>1861</v>
      </c>
      <c r="J827" s="31"/>
      <c r="K827" s="31"/>
      <c r="L827" s="31" t="s">
        <v>78</v>
      </c>
    </row>
    <row r="828">
      <c r="A828" s="36">
        <v>44396.0</v>
      </c>
      <c r="B828" s="31" t="s">
        <v>2022</v>
      </c>
      <c r="C828" s="31" t="s">
        <v>2023</v>
      </c>
      <c r="D828" s="32" t="s">
        <v>14</v>
      </c>
      <c r="E828" s="28" t="s">
        <v>71</v>
      </c>
      <c r="F828" s="33" t="s">
        <v>2024</v>
      </c>
      <c r="G828" s="32" t="s">
        <v>72</v>
      </c>
      <c r="H828" s="31" t="s">
        <v>1107</v>
      </c>
      <c r="I828" s="31" t="s">
        <v>1206</v>
      </c>
      <c r="J828" s="31"/>
      <c r="K828" s="31"/>
      <c r="L828" s="31" t="s">
        <v>78</v>
      </c>
    </row>
    <row r="829">
      <c r="A829" s="36">
        <v>44406.0</v>
      </c>
      <c r="B829" s="31" t="s">
        <v>2025</v>
      </c>
      <c r="C829" s="31" t="s">
        <v>2026</v>
      </c>
      <c r="D829" s="32" t="s">
        <v>35</v>
      </c>
      <c r="E829" s="28" t="s">
        <v>71</v>
      </c>
      <c r="F829" s="33">
        <v>8.140465265E9</v>
      </c>
      <c r="G829" s="32" t="s">
        <v>54</v>
      </c>
      <c r="H829" s="31" t="s">
        <v>1870</v>
      </c>
      <c r="I829" s="31" t="s">
        <v>1549</v>
      </c>
      <c r="J829" s="31"/>
      <c r="K829" s="31"/>
      <c r="L829" s="31" t="s">
        <v>78</v>
      </c>
    </row>
    <row r="830">
      <c r="A830" s="36">
        <v>44413.0</v>
      </c>
      <c r="B830" s="31" t="s">
        <v>2027</v>
      </c>
      <c r="C830" s="31" t="s">
        <v>2028</v>
      </c>
      <c r="D830" s="32" t="s">
        <v>47</v>
      </c>
      <c r="E830" s="28" t="s">
        <v>71</v>
      </c>
      <c r="F830" s="33"/>
      <c r="G830" s="32" t="s">
        <v>72</v>
      </c>
      <c r="H830" s="31" t="s">
        <v>2029</v>
      </c>
      <c r="I830" s="31" t="s">
        <v>1210</v>
      </c>
      <c r="J830" s="31"/>
      <c r="K830" s="31"/>
      <c r="L830" s="31" t="s">
        <v>75</v>
      </c>
    </row>
    <row r="831">
      <c r="A831" s="36">
        <v>44420.0</v>
      </c>
      <c r="B831" s="31" t="s">
        <v>2030</v>
      </c>
      <c r="C831" s="31" t="s">
        <v>2031</v>
      </c>
      <c r="D831" s="32" t="s">
        <v>25</v>
      </c>
      <c r="E831" s="28" t="s">
        <v>71</v>
      </c>
      <c r="F831" s="33"/>
      <c r="G831" s="32" t="s">
        <v>72</v>
      </c>
      <c r="H831" s="31" t="s">
        <v>1410</v>
      </c>
      <c r="I831" s="31" t="s">
        <v>1315</v>
      </c>
      <c r="J831" s="31"/>
      <c r="K831" s="31"/>
      <c r="L831" s="31" t="s">
        <v>75</v>
      </c>
    </row>
    <row r="832">
      <c r="A832" s="36">
        <v>44424.0</v>
      </c>
      <c r="B832" s="31" t="s">
        <v>2032</v>
      </c>
      <c r="C832" s="31" t="s">
        <v>2033</v>
      </c>
      <c r="D832" s="32" t="s">
        <v>21</v>
      </c>
      <c r="E832" s="28" t="s">
        <v>71</v>
      </c>
      <c r="F832" s="33"/>
      <c r="G832" s="32" t="s">
        <v>72</v>
      </c>
      <c r="H832" s="31" t="s">
        <v>1670</v>
      </c>
      <c r="I832" s="31" t="s">
        <v>1103</v>
      </c>
      <c r="J832" s="31"/>
      <c r="K832" s="31"/>
      <c r="L832" s="31" t="s">
        <v>75</v>
      </c>
    </row>
    <row r="833">
      <c r="A833" s="36">
        <v>44424.0</v>
      </c>
      <c r="B833" s="31" t="s">
        <v>2034</v>
      </c>
      <c r="C833" s="31" t="s">
        <v>2035</v>
      </c>
      <c r="D833" s="32" t="s">
        <v>14</v>
      </c>
      <c r="E833" s="28" t="s">
        <v>71</v>
      </c>
      <c r="F833" s="33" t="s">
        <v>2036</v>
      </c>
      <c r="G833" s="32" t="s">
        <v>72</v>
      </c>
      <c r="H833" s="31" t="s">
        <v>1256</v>
      </c>
      <c r="I833" s="31" t="s">
        <v>1331</v>
      </c>
      <c r="J833" s="31"/>
      <c r="K833" s="31"/>
      <c r="L833" s="31" t="s">
        <v>78</v>
      </c>
    </row>
    <row r="834">
      <c r="A834" s="36">
        <v>44432.0</v>
      </c>
      <c r="B834" s="31" t="s">
        <v>1487</v>
      </c>
      <c r="C834" s="31" t="s">
        <v>2037</v>
      </c>
      <c r="D834" s="32" t="s">
        <v>14</v>
      </c>
      <c r="E834" s="28" t="s">
        <v>71</v>
      </c>
      <c r="F834" s="33"/>
      <c r="G834" s="32" t="s">
        <v>72</v>
      </c>
      <c r="H834" s="31" t="s">
        <v>1107</v>
      </c>
      <c r="I834" s="31" t="s">
        <v>262</v>
      </c>
      <c r="J834" s="31"/>
      <c r="K834" s="31"/>
      <c r="L834" s="31" t="s">
        <v>78</v>
      </c>
    </row>
    <row r="835">
      <c r="A835" s="36">
        <v>44446.0</v>
      </c>
      <c r="B835" s="31" t="s">
        <v>2038</v>
      </c>
      <c r="C835" s="31" t="s">
        <v>2039</v>
      </c>
      <c r="D835" s="32" t="s">
        <v>14</v>
      </c>
      <c r="E835" s="28" t="s">
        <v>71</v>
      </c>
      <c r="F835" s="33"/>
      <c r="G835" s="32" t="s">
        <v>72</v>
      </c>
      <c r="H835" s="31" t="s">
        <v>1425</v>
      </c>
      <c r="I835" s="31" t="s">
        <v>1206</v>
      </c>
      <c r="J835" s="31"/>
      <c r="K835" s="31"/>
      <c r="L835" s="31" t="s">
        <v>78</v>
      </c>
    </row>
    <row r="836">
      <c r="A836" s="36">
        <v>44459.0</v>
      </c>
      <c r="B836" s="31" t="s">
        <v>2040</v>
      </c>
      <c r="C836" s="31" t="s">
        <v>2041</v>
      </c>
      <c r="D836" s="32" t="s">
        <v>16</v>
      </c>
      <c r="E836" s="28" t="s">
        <v>71</v>
      </c>
      <c r="F836" s="33"/>
      <c r="G836" s="32" t="s">
        <v>72</v>
      </c>
      <c r="H836" s="31" t="s">
        <v>2042</v>
      </c>
      <c r="I836" s="31" t="s">
        <v>1015</v>
      </c>
      <c r="J836" s="31"/>
      <c r="K836" s="31"/>
      <c r="L836" s="31" t="s">
        <v>78</v>
      </c>
    </row>
    <row r="837">
      <c r="A837" s="36">
        <v>44459.0</v>
      </c>
      <c r="B837" s="31" t="s">
        <v>2043</v>
      </c>
      <c r="C837" s="31" t="s">
        <v>2044</v>
      </c>
      <c r="D837" s="32" t="s">
        <v>14</v>
      </c>
      <c r="E837" s="28" t="s">
        <v>71</v>
      </c>
      <c r="F837" s="33"/>
      <c r="G837" s="32" t="s">
        <v>72</v>
      </c>
      <c r="H837" s="31" t="s">
        <v>1256</v>
      </c>
      <c r="I837" s="31" t="s">
        <v>1116</v>
      </c>
      <c r="J837" s="31"/>
      <c r="K837" s="31"/>
      <c r="L837" s="31" t="s">
        <v>75</v>
      </c>
    </row>
    <row r="838">
      <c r="A838" s="36">
        <v>44459.0</v>
      </c>
      <c r="B838" s="31" t="s">
        <v>2045</v>
      </c>
      <c r="C838" s="31" t="s">
        <v>1200</v>
      </c>
      <c r="D838" s="32" t="s">
        <v>14</v>
      </c>
      <c r="E838" s="28" t="s">
        <v>71</v>
      </c>
      <c r="F838" s="33"/>
      <c r="G838" s="32" t="s">
        <v>72</v>
      </c>
      <c r="H838" s="31" t="s">
        <v>1256</v>
      </c>
      <c r="I838" s="31" t="s">
        <v>1048</v>
      </c>
      <c r="J838" s="31"/>
      <c r="K838" s="31"/>
      <c r="L838" s="31" t="s">
        <v>75</v>
      </c>
    </row>
    <row r="839">
      <c r="A839" s="36">
        <v>44459.0</v>
      </c>
      <c r="B839" s="31" t="s">
        <v>1731</v>
      </c>
      <c r="C839" s="31" t="s">
        <v>2046</v>
      </c>
      <c r="D839" s="32" t="s">
        <v>14</v>
      </c>
      <c r="E839" s="28" t="s">
        <v>71</v>
      </c>
      <c r="F839" s="33" t="s">
        <v>2047</v>
      </c>
      <c r="G839" s="32" t="s">
        <v>72</v>
      </c>
      <c r="H839" s="31" t="s">
        <v>1256</v>
      </c>
      <c r="I839" s="31" t="s">
        <v>262</v>
      </c>
      <c r="J839" s="31"/>
      <c r="K839" s="31"/>
      <c r="L839" s="31" t="s">
        <v>75</v>
      </c>
    </row>
    <row r="840">
      <c r="A840" s="36">
        <v>44459.0</v>
      </c>
      <c r="B840" s="31" t="s">
        <v>2048</v>
      </c>
      <c r="C840" s="31" t="s">
        <v>2049</v>
      </c>
      <c r="D840" s="32" t="s">
        <v>14</v>
      </c>
      <c r="E840" s="28" t="s">
        <v>71</v>
      </c>
      <c r="F840" s="33"/>
      <c r="G840" s="32" t="s">
        <v>72</v>
      </c>
      <c r="H840" s="31" t="s">
        <v>1256</v>
      </c>
      <c r="I840" s="31" t="s">
        <v>1429</v>
      </c>
      <c r="J840" s="31"/>
      <c r="K840" s="31"/>
      <c r="L840" s="31" t="s">
        <v>75</v>
      </c>
    </row>
    <row r="841">
      <c r="A841" s="36">
        <v>44459.0</v>
      </c>
      <c r="B841" s="31" t="s">
        <v>2050</v>
      </c>
      <c r="C841" s="31" t="s">
        <v>2051</v>
      </c>
      <c r="D841" s="32" t="s">
        <v>14</v>
      </c>
      <c r="E841" s="28" t="s">
        <v>71</v>
      </c>
      <c r="F841" s="33"/>
      <c r="G841" s="32" t="s">
        <v>72</v>
      </c>
      <c r="H841" s="31" t="s">
        <v>1256</v>
      </c>
      <c r="I841" s="31" t="s">
        <v>1036</v>
      </c>
      <c r="J841" s="31"/>
      <c r="K841" s="31"/>
      <c r="L841" s="31" t="s">
        <v>75</v>
      </c>
    </row>
    <row r="842">
      <c r="A842" s="36">
        <v>44470.0</v>
      </c>
      <c r="B842" s="31" t="s">
        <v>2052</v>
      </c>
      <c r="C842" s="31" t="s">
        <v>1017</v>
      </c>
      <c r="D842" s="32" t="s">
        <v>16</v>
      </c>
      <c r="E842" s="28" t="s">
        <v>71</v>
      </c>
      <c r="F842" s="33" t="s">
        <v>2053</v>
      </c>
      <c r="G842" s="32" t="s">
        <v>72</v>
      </c>
      <c r="H842" s="31" t="s">
        <v>2054</v>
      </c>
      <c r="I842" s="31" t="s">
        <v>1905</v>
      </c>
      <c r="J842" s="31"/>
      <c r="K842" s="31"/>
      <c r="L842" s="31" t="s">
        <v>78</v>
      </c>
    </row>
    <row r="843">
      <c r="A843" s="36">
        <v>44473.0</v>
      </c>
      <c r="B843" s="31" t="s">
        <v>2055</v>
      </c>
      <c r="C843" s="31" t="s">
        <v>2056</v>
      </c>
      <c r="D843" s="32" t="s">
        <v>14</v>
      </c>
      <c r="E843" s="28" t="s">
        <v>71</v>
      </c>
      <c r="F843" s="33"/>
      <c r="G843" s="32" t="s">
        <v>72</v>
      </c>
      <c r="H843" s="31" t="s">
        <v>1256</v>
      </c>
      <c r="I843" s="31" t="s">
        <v>1725</v>
      </c>
      <c r="J843" s="31"/>
      <c r="K843" s="31"/>
      <c r="L843" s="31" t="s">
        <v>75</v>
      </c>
    </row>
    <row r="844">
      <c r="A844" s="36">
        <v>44474.0</v>
      </c>
      <c r="B844" s="31" t="s">
        <v>2057</v>
      </c>
      <c r="C844" s="31" t="s">
        <v>2058</v>
      </c>
      <c r="D844" s="32" t="s">
        <v>14</v>
      </c>
      <c r="E844" s="28" t="s">
        <v>71</v>
      </c>
      <c r="F844" s="33"/>
      <c r="G844" s="32" t="s">
        <v>72</v>
      </c>
      <c r="H844" s="31" t="s">
        <v>1020</v>
      </c>
      <c r="I844" s="31" t="s">
        <v>1021</v>
      </c>
      <c r="J844" s="31"/>
      <c r="K844" s="31"/>
      <c r="L844" s="31" t="s">
        <v>75</v>
      </c>
    </row>
    <row r="845">
      <c r="A845" s="36">
        <v>44476.0</v>
      </c>
      <c r="B845" s="31" t="s">
        <v>2059</v>
      </c>
      <c r="C845" s="31" t="s">
        <v>1226</v>
      </c>
      <c r="D845" s="32" t="s">
        <v>22</v>
      </c>
      <c r="E845" s="28" t="s">
        <v>71</v>
      </c>
      <c r="F845" s="33"/>
      <c r="G845" s="32" t="s">
        <v>72</v>
      </c>
      <c r="H845" s="31" t="s">
        <v>2002</v>
      </c>
      <c r="I845" s="31" t="s">
        <v>1243</v>
      </c>
      <c r="J845" s="31"/>
      <c r="K845" s="31"/>
      <c r="L845" s="31" t="s">
        <v>78</v>
      </c>
    </row>
    <row r="846">
      <c r="A846" s="36">
        <v>44481.0</v>
      </c>
      <c r="B846" s="31" t="s">
        <v>2060</v>
      </c>
      <c r="C846" s="31" t="s">
        <v>2061</v>
      </c>
      <c r="D846" s="32" t="s">
        <v>35</v>
      </c>
      <c r="E846" s="28" t="s">
        <v>71</v>
      </c>
      <c r="F846" s="33">
        <v>8.140465265E9</v>
      </c>
      <c r="G846" s="32" t="s">
        <v>54</v>
      </c>
      <c r="H846" s="31" t="s">
        <v>1870</v>
      </c>
      <c r="I846" s="31" t="s">
        <v>1549</v>
      </c>
      <c r="J846" s="31"/>
      <c r="K846" s="31"/>
      <c r="L846" s="31" t="s">
        <v>78</v>
      </c>
    </row>
    <row r="847">
      <c r="A847" s="36">
        <v>44485.0</v>
      </c>
      <c r="B847" s="31" t="s">
        <v>2062</v>
      </c>
      <c r="C847" s="31" t="s">
        <v>2063</v>
      </c>
      <c r="D847" s="32" t="s">
        <v>39</v>
      </c>
      <c r="E847" s="28" t="s">
        <v>71</v>
      </c>
      <c r="F847" s="33"/>
      <c r="G847" s="32" t="s">
        <v>54</v>
      </c>
      <c r="H847" s="26" t="s">
        <v>2064</v>
      </c>
      <c r="I847" s="26" t="s">
        <v>2065</v>
      </c>
      <c r="J847" s="26"/>
      <c r="K847" s="31"/>
      <c r="L847" s="31" t="s">
        <v>78</v>
      </c>
    </row>
    <row r="848">
      <c r="A848" s="36">
        <v>44487.0</v>
      </c>
      <c r="B848" s="31" t="s">
        <v>2066</v>
      </c>
      <c r="C848" s="31" t="s">
        <v>2067</v>
      </c>
      <c r="D848" s="32" t="s">
        <v>14</v>
      </c>
      <c r="E848" s="28" t="s">
        <v>71</v>
      </c>
      <c r="F848" s="33" t="s">
        <v>2068</v>
      </c>
      <c r="G848" s="32" t="s">
        <v>72</v>
      </c>
      <c r="H848" s="31" t="s">
        <v>1256</v>
      </c>
      <c r="I848" s="31" t="s">
        <v>1695</v>
      </c>
      <c r="J848" s="31"/>
      <c r="K848" s="31"/>
      <c r="L848" s="31" t="s">
        <v>78</v>
      </c>
    </row>
    <row r="849">
      <c r="A849" s="36">
        <v>44487.0</v>
      </c>
      <c r="B849" s="31" t="s">
        <v>2069</v>
      </c>
      <c r="C849" s="31" t="s">
        <v>2070</v>
      </c>
      <c r="D849" s="32" t="s">
        <v>14</v>
      </c>
      <c r="E849" s="28" t="s">
        <v>71</v>
      </c>
      <c r="F849" s="33" t="s">
        <v>2071</v>
      </c>
      <c r="G849" s="32" t="s">
        <v>72</v>
      </c>
      <c r="H849" s="31" t="s">
        <v>1256</v>
      </c>
      <c r="I849" s="31" t="s">
        <v>1116</v>
      </c>
      <c r="J849" s="31"/>
      <c r="K849" s="31"/>
      <c r="L849" s="31" t="s">
        <v>75</v>
      </c>
    </row>
    <row r="850">
      <c r="A850" s="36">
        <v>44490.0</v>
      </c>
      <c r="B850" s="31" t="s">
        <v>2072</v>
      </c>
      <c r="C850" s="31" t="s">
        <v>2073</v>
      </c>
      <c r="D850" s="32" t="s">
        <v>47</v>
      </c>
      <c r="E850" s="28" t="s">
        <v>71</v>
      </c>
      <c r="F850" s="33"/>
      <c r="G850" s="32" t="s">
        <v>72</v>
      </c>
      <c r="H850" s="31" t="s">
        <v>2074</v>
      </c>
      <c r="I850" s="31" t="s">
        <v>1210</v>
      </c>
      <c r="J850" s="31"/>
      <c r="K850" s="31"/>
      <c r="L850" s="31" t="s">
        <v>78</v>
      </c>
    </row>
    <row r="851">
      <c r="A851" s="36">
        <v>44496.0</v>
      </c>
      <c r="B851" s="31" t="s">
        <v>2075</v>
      </c>
      <c r="C851" s="31" t="s">
        <v>2076</v>
      </c>
      <c r="D851" s="32" t="s">
        <v>14</v>
      </c>
      <c r="E851" s="28" t="s">
        <v>71</v>
      </c>
      <c r="F851" s="33"/>
      <c r="G851" s="32" t="s">
        <v>72</v>
      </c>
      <c r="H851" s="31" t="s">
        <v>1256</v>
      </c>
      <c r="I851" s="31" t="s">
        <v>1695</v>
      </c>
      <c r="J851" s="31"/>
      <c r="K851" s="31"/>
      <c r="L851" s="31" t="s">
        <v>75</v>
      </c>
    </row>
    <row r="852">
      <c r="A852" s="36">
        <v>44498.0</v>
      </c>
      <c r="B852" s="31" t="s">
        <v>2077</v>
      </c>
      <c r="C852" s="31" t="s">
        <v>1026</v>
      </c>
      <c r="D852" s="32" t="s">
        <v>14</v>
      </c>
      <c r="E852" s="28" t="s">
        <v>71</v>
      </c>
      <c r="F852" s="33"/>
      <c r="G852" s="32" t="s">
        <v>72</v>
      </c>
      <c r="H852" s="31" t="s">
        <v>2078</v>
      </c>
      <c r="I852" s="31" t="s">
        <v>1054</v>
      </c>
      <c r="J852" s="31"/>
      <c r="K852" s="31"/>
      <c r="L852" s="31" t="s">
        <v>78</v>
      </c>
    </row>
    <row r="853">
      <c r="A853" s="36">
        <v>44508.0</v>
      </c>
      <c r="B853" s="31" t="s">
        <v>2079</v>
      </c>
      <c r="C853" s="31" t="s">
        <v>1048</v>
      </c>
      <c r="D853" s="32" t="s">
        <v>14</v>
      </c>
      <c r="E853" s="28" t="s">
        <v>71</v>
      </c>
      <c r="F853" s="33"/>
      <c r="G853" s="32" t="s">
        <v>72</v>
      </c>
      <c r="H853" s="31" t="s">
        <v>1921</v>
      </c>
      <c r="I853" s="31" t="s">
        <v>1054</v>
      </c>
      <c r="J853" s="31"/>
      <c r="K853" s="31"/>
      <c r="L853" s="31" t="s">
        <v>75</v>
      </c>
    </row>
    <row r="854">
      <c r="A854" s="36">
        <v>44515.0</v>
      </c>
      <c r="B854" s="31" t="s">
        <v>1946</v>
      </c>
      <c r="C854" s="31" t="s">
        <v>1021</v>
      </c>
      <c r="D854" s="32" t="s">
        <v>14</v>
      </c>
      <c r="E854" s="28" t="s">
        <v>71</v>
      </c>
      <c r="F854" s="33"/>
      <c r="G854" s="32" t="s">
        <v>72</v>
      </c>
      <c r="H854" s="31" t="s">
        <v>1425</v>
      </c>
      <c r="I854" s="31" t="s">
        <v>1116</v>
      </c>
      <c r="J854" s="31"/>
      <c r="K854" s="31"/>
      <c r="L854" s="31" t="s">
        <v>75</v>
      </c>
    </row>
    <row r="855">
      <c r="A855" s="36">
        <v>44515.0</v>
      </c>
      <c r="B855" s="31" t="s">
        <v>2080</v>
      </c>
      <c r="C855" s="31" t="s">
        <v>1197</v>
      </c>
      <c r="D855" s="32" t="s">
        <v>14</v>
      </c>
      <c r="E855" s="28" t="s">
        <v>71</v>
      </c>
      <c r="F855" s="33"/>
      <c r="G855" s="32" t="s">
        <v>72</v>
      </c>
      <c r="H855" s="31" t="s">
        <v>1881</v>
      </c>
      <c r="I855" s="31" t="s">
        <v>1044</v>
      </c>
      <c r="J855" s="31"/>
      <c r="K855" s="31"/>
      <c r="L855" s="31" t="s">
        <v>78</v>
      </c>
    </row>
    <row r="856">
      <c r="A856" s="36">
        <v>44525.0</v>
      </c>
      <c r="B856" s="31" t="s">
        <v>2081</v>
      </c>
      <c r="C856" s="31" t="s">
        <v>1479</v>
      </c>
      <c r="D856" s="32" t="s">
        <v>14</v>
      </c>
      <c r="E856" s="28" t="s">
        <v>71</v>
      </c>
      <c r="F856" s="33"/>
      <c r="G856" s="32" t="s">
        <v>72</v>
      </c>
      <c r="H856" s="31" t="s">
        <v>2082</v>
      </c>
      <c r="I856" s="31" t="s">
        <v>1206</v>
      </c>
      <c r="J856" s="31"/>
      <c r="K856" s="31"/>
      <c r="L856" s="31" t="s">
        <v>75</v>
      </c>
    </row>
    <row r="857">
      <c r="A857" s="36">
        <v>44531.0</v>
      </c>
      <c r="B857" s="31" t="s">
        <v>2083</v>
      </c>
      <c r="C857" s="31" t="s">
        <v>2084</v>
      </c>
      <c r="D857" s="32" t="s">
        <v>17</v>
      </c>
      <c r="E857" s="28" t="s">
        <v>71</v>
      </c>
      <c r="F857" s="33"/>
      <c r="G857" s="32" t="s">
        <v>72</v>
      </c>
      <c r="H857" s="31" t="s">
        <v>2085</v>
      </c>
      <c r="I857" s="31" t="s">
        <v>1112</v>
      </c>
      <c r="J857" s="31"/>
      <c r="K857" s="31"/>
      <c r="L857" s="31" t="s">
        <v>75</v>
      </c>
    </row>
    <row r="858">
      <c r="A858" s="36">
        <v>44531.0</v>
      </c>
      <c r="B858" s="31" t="s">
        <v>2086</v>
      </c>
      <c r="C858" s="31" t="s">
        <v>2087</v>
      </c>
      <c r="D858" s="32" t="s">
        <v>14</v>
      </c>
      <c r="E858" s="28" t="s">
        <v>71</v>
      </c>
      <c r="F858" s="33"/>
      <c r="G858" s="32" t="s">
        <v>72</v>
      </c>
      <c r="H858" s="31" t="s">
        <v>2082</v>
      </c>
      <c r="I858" s="31" t="s">
        <v>1479</v>
      </c>
      <c r="J858" s="31"/>
      <c r="K858" s="31"/>
      <c r="L858" s="31" t="s">
        <v>75</v>
      </c>
    </row>
    <row r="859">
      <c r="A859" s="36">
        <v>44537.0</v>
      </c>
      <c r="B859" s="31" t="s">
        <v>2088</v>
      </c>
      <c r="C859" s="31" t="s">
        <v>2089</v>
      </c>
      <c r="D859" s="32" t="s">
        <v>2018</v>
      </c>
      <c r="E859" s="28" t="s">
        <v>71</v>
      </c>
      <c r="F859" s="33"/>
      <c r="G859" s="32" t="s">
        <v>54</v>
      </c>
      <c r="H859" s="31" t="s">
        <v>1870</v>
      </c>
      <c r="I859" s="31" t="s">
        <v>1905</v>
      </c>
      <c r="J859" s="31"/>
      <c r="K859" s="31"/>
      <c r="L859" s="31" t="s">
        <v>78</v>
      </c>
    </row>
    <row r="860">
      <c r="A860" s="36">
        <v>44571.0</v>
      </c>
      <c r="B860" s="31" t="s">
        <v>2090</v>
      </c>
      <c r="C860" s="31" t="s">
        <v>2091</v>
      </c>
      <c r="D860" s="32" t="s">
        <v>30</v>
      </c>
      <c r="E860" s="28" t="s">
        <v>71</v>
      </c>
      <c r="F860" s="33"/>
      <c r="G860" s="32" t="s">
        <v>72</v>
      </c>
      <c r="H860" s="31" t="s">
        <v>1673</v>
      </c>
      <c r="I860" s="31" t="s">
        <v>1351</v>
      </c>
      <c r="J860" s="31"/>
      <c r="K860" s="31"/>
      <c r="L860" s="31" t="s">
        <v>75</v>
      </c>
    </row>
    <row r="861">
      <c r="A861" s="36">
        <v>44573.0</v>
      </c>
      <c r="B861" s="31" t="s">
        <v>2092</v>
      </c>
      <c r="C861" s="31" t="s">
        <v>2093</v>
      </c>
      <c r="D861" s="32" t="s">
        <v>17</v>
      </c>
      <c r="E861" s="28" t="s">
        <v>71</v>
      </c>
      <c r="F861" s="33" t="s">
        <v>2094</v>
      </c>
      <c r="G861" s="32" t="s">
        <v>72</v>
      </c>
      <c r="H861" s="31" t="s">
        <v>2085</v>
      </c>
      <c r="I861" s="31" t="s">
        <v>1813</v>
      </c>
      <c r="J861" s="31"/>
      <c r="K861" s="31"/>
      <c r="L861" s="31" t="s">
        <v>78</v>
      </c>
    </row>
    <row r="862">
      <c r="A862" s="36">
        <v>44578.0</v>
      </c>
      <c r="B862" s="31" t="s">
        <v>2095</v>
      </c>
      <c r="C862" s="31" t="s">
        <v>1214</v>
      </c>
      <c r="D862" s="32" t="s">
        <v>21</v>
      </c>
      <c r="E862" s="28" t="s">
        <v>71</v>
      </c>
      <c r="F862" s="33">
        <v>8.054867578E9</v>
      </c>
      <c r="G862" s="32" t="s">
        <v>72</v>
      </c>
      <c r="H862" s="31" t="s">
        <v>2096</v>
      </c>
      <c r="I862" s="31" t="s">
        <v>1103</v>
      </c>
      <c r="J862" s="31"/>
      <c r="K862" s="31"/>
      <c r="L862" s="31" t="s">
        <v>78</v>
      </c>
    </row>
    <row r="863">
      <c r="A863" s="36">
        <v>44580.0</v>
      </c>
      <c r="B863" s="31" t="s">
        <v>2097</v>
      </c>
      <c r="C863" s="31" t="s">
        <v>1380</v>
      </c>
      <c r="D863" s="32" t="s">
        <v>33</v>
      </c>
      <c r="E863" s="28" t="s">
        <v>71</v>
      </c>
      <c r="F863" s="33" t="s">
        <v>1816</v>
      </c>
      <c r="G863" s="32" t="s">
        <v>72</v>
      </c>
      <c r="H863" s="31" t="s">
        <v>2098</v>
      </c>
      <c r="I863" s="31" t="s">
        <v>1135</v>
      </c>
      <c r="J863" s="31"/>
      <c r="K863" s="31"/>
      <c r="L863" s="31" t="s">
        <v>78</v>
      </c>
    </row>
    <row r="864">
      <c r="A864" s="36">
        <v>44585.0</v>
      </c>
      <c r="B864" s="31" t="s">
        <v>2099</v>
      </c>
      <c r="C864" s="31" t="s">
        <v>2100</v>
      </c>
      <c r="D864" s="32" t="s">
        <v>14</v>
      </c>
      <c r="E864" s="28" t="s">
        <v>71</v>
      </c>
      <c r="F864" s="33"/>
      <c r="G864" s="32" t="s">
        <v>72</v>
      </c>
      <c r="H864" s="31" t="s">
        <v>1107</v>
      </c>
      <c r="I864" s="31" t="s">
        <v>1206</v>
      </c>
      <c r="J864" s="31"/>
      <c r="K864" s="31"/>
      <c r="L864" s="31" t="s">
        <v>75</v>
      </c>
    </row>
    <row r="865">
      <c r="A865" s="36">
        <v>44588.0</v>
      </c>
      <c r="B865" s="31" t="s">
        <v>2101</v>
      </c>
      <c r="C865" s="31" t="s">
        <v>2102</v>
      </c>
      <c r="D865" s="32" t="s">
        <v>14</v>
      </c>
      <c r="E865" s="28" t="s">
        <v>71</v>
      </c>
      <c r="F865" s="33" t="s">
        <v>2103</v>
      </c>
      <c r="G865" s="32" t="s">
        <v>72</v>
      </c>
      <c r="H865" s="31" t="s">
        <v>1146</v>
      </c>
      <c r="I865" s="31" t="s">
        <v>1044</v>
      </c>
      <c r="J865" s="31"/>
      <c r="K865" s="31"/>
      <c r="L865" s="31" t="s">
        <v>75</v>
      </c>
    </row>
    <row r="866">
      <c r="A866" s="36">
        <v>44593.0</v>
      </c>
      <c r="B866" s="31" t="s">
        <v>2104</v>
      </c>
      <c r="C866" s="31" t="s">
        <v>2105</v>
      </c>
      <c r="D866" s="32" t="s">
        <v>14</v>
      </c>
      <c r="E866" s="28" t="s">
        <v>71</v>
      </c>
      <c r="F866" s="33"/>
      <c r="G866" s="32" t="s">
        <v>72</v>
      </c>
      <c r="H866" s="31" t="s">
        <v>2106</v>
      </c>
      <c r="I866" s="31" t="s">
        <v>1026</v>
      </c>
      <c r="J866" s="31"/>
      <c r="K866" s="31"/>
      <c r="L866" s="31" t="s">
        <v>78</v>
      </c>
    </row>
    <row r="867">
      <c r="A867" s="36">
        <v>44606.0</v>
      </c>
      <c r="B867" s="31" t="s">
        <v>2107</v>
      </c>
      <c r="C867" s="31" t="s">
        <v>2108</v>
      </c>
      <c r="D867" s="32" t="s">
        <v>22</v>
      </c>
      <c r="E867" s="28" t="s">
        <v>71</v>
      </c>
      <c r="F867" s="33" t="s">
        <v>2109</v>
      </c>
      <c r="G867" s="32" t="s">
        <v>72</v>
      </c>
      <c r="H867" s="31" t="s">
        <v>1120</v>
      </c>
      <c r="I867" s="31" t="s">
        <v>1445</v>
      </c>
      <c r="J867" s="31"/>
      <c r="K867" s="31"/>
      <c r="L867" s="31" t="s">
        <v>75</v>
      </c>
    </row>
    <row r="868">
      <c r="A868" s="36">
        <v>44613.0</v>
      </c>
      <c r="B868" s="31" t="s">
        <v>2110</v>
      </c>
      <c r="C868" s="31" t="s">
        <v>2111</v>
      </c>
      <c r="D868" s="32" t="s">
        <v>16</v>
      </c>
      <c r="E868" s="28" t="s">
        <v>71</v>
      </c>
      <c r="F868" s="33"/>
      <c r="G868" s="32" t="s">
        <v>72</v>
      </c>
      <c r="H868" s="31" t="s">
        <v>2042</v>
      </c>
      <c r="I868" s="31" t="s">
        <v>1017</v>
      </c>
      <c r="J868" s="31"/>
      <c r="K868" s="31"/>
      <c r="L868" s="31" t="s">
        <v>75</v>
      </c>
    </row>
    <row r="869">
      <c r="A869" s="36">
        <v>44634.0</v>
      </c>
      <c r="B869" s="31" t="s">
        <v>2112</v>
      </c>
      <c r="C869" s="31" t="s">
        <v>1763</v>
      </c>
      <c r="D869" s="32" t="s">
        <v>22</v>
      </c>
      <c r="E869" s="28" t="s">
        <v>71</v>
      </c>
      <c r="F869" s="33"/>
      <c r="G869" s="32" t="s">
        <v>72</v>
      </c>
      <c r="H869" s="31" t="s">
        <v>1954</v>
      </c>
      <c r="I869" s="31" t="s">
        <v>1243</v>
      </c>
      <c r="J869" s="31"/>
      <c r="K869" s="31"/>
      <c r="L869" s="31" t="s">
        <v>78</v>
      </c>
    </row>
    <row r="870">
      <c r="A870" s="36">
        <v>44634.0</v>
      </c>
      <c r="B870" s="31" t="s">
        <v>2113</v>
      </c>
      <c r="C870" s="31" t="s">
        <v>2114</v>
      </c>
      <c r="D870" s="32" t="s">
        <v>14</v>
      </c>
      <c r="E870" s="28" t="s">
        <v>71</v>
      </c>
      <c r="F870" s="33" t="s">
        <v>2115</v>
      </c>
      <c r="G870" s="32" t="s">
        <v>72</v>
      </c>
      <c r="H870" s="31" t="s">
        <v>1877</v>
      </c>
      <c r="I870" s="31" t="s">
        <v>1048</v>
      </c>
      <c r="J870" s="31"/>
      <c r="K870" s="31"/>
      <c r="L870" s="31" t="s">
        <v>75</v>
      </c>
    </row>
    <row r="871">
      <c r="A871" s="36">
        <v>44637.0</v>
      </c>
      <c r="B871" s="31" t="s">
        <v>2116</v>
      </c>
      <c r="C871" s="31" t="s">
        <v>2117</v>
      </c>
      <c r="D871" s="32" t="s">
        <v>12</v>
      </c>
      <c r="E871" s="28" t="s">
        <v>71</v>
      </c>
      <c r="F871" s="33"/>
      <c r="G871" s="32" t="s">
        <v>72</v>
      </c>
      <c r="H871" s="31" t="s">
        <v>2118</v>
      </c>
      <c r="I871" s="31" t="s">
        <v>1549</v>
      </c>
      <c r="J871" s="31"/>
      <c r="K871" s="31"/>
      <c r="L871" s="31" t="s">
        <v>78</v>
      </c>
    </row>
    <row r="872">
      <c r="A872" s="36">
        <v>44652.0</v>
      </c>
      <c r="B872" s="31" t="s">
        <v>2119</v>
      </c>
      <c r="C872" s="31" t="s">
        <v>2120</v>
      </c>
      <c r="D872" s="32" t="s">
        <v>22</v>
      </c>
      <c r="E872" s="28" t="s">
        <v>71</v>
      </c>
      <c r="F872" s="33"/>
      <c r="G872" s="32" t="s">
        <v>54</v>
      </c>
      <c r="H872" s="31" t="s">
        <v>1870</v>
      </c>
      <c r="I872" s="31" t="s">
        <v>840</v>
      </c>
      <c r="J872" s="31"/>
      <c r="K872" s="31"/>
      <c r="L872" s="31" t="s">
        <v>78</v>
      </c>
    </row>
    <row r="873">
      <c r="A873" s="36">
        <v>44656.0</v>
      </c>
      <c r="B873" s="31" t="s">
        <v>2121</v>
      </c>
      <c r="C873" s="31" t="s">
        <v>2122</v>
      </c>
      <c r="D873" s="32" t="s">
        <v>17</v>
      </c>
      <c r="E873" s="28" t="s">
        <v>71</v>
      </c>
      <c r="F873" s="33"/>
      <c r="G873" s="32" t="s">
        <v>72</v>
      </c>
      <c r="H873" s="31" t="s">
        <v>2123</v>
      </c>
      <c r="I873" s="31" t="s">
        <v>1112</v>
      </c>
      <c r="J873" s="31"/>
      <c r="K873" s="31"/>
      <c r="L873" s="31" t="s">
        <v>75</v>
      </c>
    </row>
    <row r="874">
      <c r="A874" s="36">
        <v>44658.0</v>
      </c>
      <c r="B874" s="31" t="s">
        <v>1867</v>
      </c>
      <c r="C874" s="31" t="s">
        <v>2124</v>
      </c>
      <c r="D874" s="32" t="s">
        <v>21</v>
      </c>
      <c r="E874" s="28" t="s">
        <v>71</v>
      </c>
      <c r="F874" s="33" t="s">
        <v>2125</v>
      </c>
      <c r="G874" s="32" t="s">
        <v>54</v>
      </c>
      <c r="H874" s="31" t="s">
        <v>1870</v>
      </c>
      <c r="I874" s="31" t="s">
        <v>1103</v>
      </c>
      <c r="J874" s="31"/>
      <c r="K874" s="31"/>
      <c r="L874" s="31" t="s">
        <v>78</v>
      </c>
    </row>
    <row r="875">
      <c r="A875" s="36">
        <v>44662.0</v>
      </c>
      <c r="B875" s="31" t="s">
        <v>2126</v>
      </c>
      <c r="C875" s="31" t="s">
        <v>2127</v>
      </c>
      <c r="D875" s="32" t="s">
        <v>14</v>
      </c>
      <c r="E875" s="28" t="s">
        <v>71</v>
      </c>
      <c r="F875" s="33"/>
      <c r="G875" s="32" t="s">
        <v>72</v>
      </c>
      <c r="H875" s="31" t="s">
        <v>2128</v>
      </c>
      <c r="I875" s="31" t="s">
        <v>2129</v>
      </c>
      <c r="J875" s="31"/>
      <c r="K875" s="31"/>
      <c r="L875" s="31" t="s">
        <v>75</v>
      </c>
    </row>
    <row r="876">
      <c r="A876" s="36">
        <v>44662.0</v>
      </c>
      <c r="B876" s="31" t="s">
        <v>2130</v>
      </c>
      <c r="C876" s="31" t="s">
        <v>2131</v>
      </c>
      <c r="D876" s="32" t="s">
        <v>39</v>
      </c>
      <c r="E876" s="28" t="s">
        <v>71</v>
      </c>
      <c r="F876" s="33"/>
      <c r="G876" s="32" t="s">
        <v>54</v>
      </c>
      <c r="H876" s="26" t="s">
        <v>2132</v>
      </c>
      <c r="I876" s="26" t="s">
        <v>2065</v>
      </c>
      <c r="J876" s="26"/>
      <c r="K876" s="31"/>
      <c r="L876" s="31" t="s">
        <v>78</v>
      </c>
    </row>
    <row r="877">
      <c r="A877" s="36">
        <v>44669.0</v>
      </c>
      <c r="B877" s="31" t="s">
        <v>2133</v>
      </c>
      <c r="C877" s="31" t="s">
        <v>2134</v>
      </c>
      <c r="D877" s="32" t="s">
        <v>22</v>
      </c>
      <c r="E877" s="28" t="s">
        <v>71</v>
      </c>
      <c r="F877" s="33" t="s">
        <v>2135</v>
      </c>
      <c r="G877" s="32" t="s">
        <v>72</v>
      </c>
      <c r="H877" s="31" t="s">
        <v>2136</v>
      </c>
      <c r="I877" s="31" t="s">
        <v>1240</v>
      </c>
      <c r="J877" s="31"/>
      <c r="K877" s="31"/>
      <c r="L877" s="31" t="s">
        <v>75</v>
      </c>
    </row>
    <row r="878">
      <c r="A878" s="36">
        <v>44670.0</v>
      </c>
      <c r="B878" s="31" t="s">
        <v>2137</v>
      </c>
      <c r="C878" s="31" t="s">
        <v>2138</v>
      </c>
      <c r="D878" s="32" t="s">
        <v>17</v>
      </c>
      <c r="E878" s="28" t="s">
        <v>71</v>
      </c>
      <c r="F878" s="33"/>
      <c r="G878" s="32" t="s">
        <v>72</v>
      </c>
      <c r="H878" s="31" t="s">
        <v>2139</v>
      </c>
      <c r="I878" s="31" t="s">
        <v>1813</v>
      </c>
      <c r="J878" s="31"/>
      <c r="K878" s="31"/>
      <c r="L878" s="31" t="s">
        <v>78</v>
      </c>
    </row>
    <row r="879">
      <c r="A879" s="36">
        <v>44671.0</v>
      </c>
      <c r="B879" s="31" t="s">
        <v>2140</v>
      </c>
      <c r="C879" s="31" t="s">
        <v>2141</v>
      </c>
      <c r="D879" s="32" t="s">
        <v>14</v>
      </c>
      <c r="E879" s="28" t="s">
        <v>71</v>
      </c>
      <c r="F879" s="33" t="s">
        <v>2142</v>
      </c>
      <c r="G879" s="32" t="s">
        <v>72</v>
      </c>
      <c r="H879" s="31" t="s">
        <v>2143</v>
      </c>
      <c r="I879" s="31" t="s">
        <v>1885</v>
      </c>
      <c r="J879" s="31"/>
      <c r="K879" s="31"/>
      <c r="L879" s="31" t="s">
        <v>75</v>
      </c>
    </row>
    <row r="880">
      <c r="A880" s="36">
        <v>44706.0</v>
      </c>
      <c r="B880" s="31" t="s">
        <v>2144</v>
      </c>
      <c r="C880" s="31" t="s">
        <v>2145</v>
      </c>
      <c r="D880" s="32" t="s">
        <v>35</v>
      </c>
      <c r="E880" s="28" t="s">
        <v>71</v>
      </c>
      <c r="F880" s="33"/>
      <c r="G880" s="32" t="s">
        <v>54</v>
      </c>
      <c r="H880" s="31" t="s">
        <v>1870</v>
      </c>
      <c r="I880" s="31" t="s">
        <v>1549</v>
      </c>
      <c r="J880" s="31"/>
      <c r="K880" s="31"/>
      <c r="L880" s="31" t="s">
        <v>78</v>
      </c>
    </row>
    <row r="881">
      <c r="A881" s="36">
        <v>44720.0</v>
      </c>
      <c r="B881" s="31" t="s">
        <v>2146</v>
      </c>
      <c r="C881" s="31" t="s">
        <v>2147</v>
      </c>
      <c r="D881" s="32" t="s">
        <v>36</v>
      </c>
      <c r="E881" s="28" t="s">
        <v>71</v>
      </c>
      <c r="F881" s="33" t="s">
        <v>1489</v>
      </c>
      <c r="G881" s="32" t="s">
        <v>54</v>
      </c>
      <c r="H881" s="31" t="s">
        <v>1870</v>
      </c>
      <c r="I881" s="31" t="s">
        <v>1488</v>
      </c>
      <c r="J881" s="31"/>
      <c r="K881" s="31"/>
      <c r="L881" s="31" t="s">
        <v>78</v>
      </c>
    </row>
    <row r="882">
      <c r="A882" s="36">
        <v>44726.0</v>
      </c>
      <c r="B882" s="31" t="s">
        <v>2148</v>
      </c>
      <c r="C882" s="31" t="s">
        <v>2149</v>
      </c>
      <c r="D882" s="32" t="s">
        <v>10</v>
      </c>
      <c r="E882" s="28" t="s">
        <v>71</v>
      </c>
      <c r="F882" s="33"/>
      <c r="G882" s="32" t="s">
        <v>72</v>
      </c>
      <c r="H882" s="31" t="s">
        <v>1151</v>
      </c>
      <c r="I882" s="31" t="s">
        <v>1056</v>
      </c>
      <c r="J882" s="31"/>
      <c r="K882" s="31"/>
      <c r="L882" s="31" t="s">
        <v>78</v>
      </c>
    </row>
    <row r="883">
      <c r="A883" s="36">
        <v>44747.0</v>
      </c>
      <c r="B883" s="31" t="s">
        <v>2150</v>
      </c>
      <c r="C883" s="31" t="s">
        <v>2129</v>
      </c>
      <c r="D883" s="32" t="s">
        <v>14</v>
      </c>
      <c r="E883" s="28" t="s">
        <v>71</v>
      </c>
      <c r="F883" s="33"/>
      <c r="G883" s="32" t="s">
        <v>72</v>
      </c>
      <c r="H883" s="31" t="s">
        <v>2151</v>
      </c>
      <c r="I883" s="31" t="s">
        <v>1044</v>
      </c>
      <c r="J883" s="31"/>
      <c r="K883" s="31"/>
      <c r="L883" s="31" t="s">
        <v>75</v>
      </c>
    </row>
    <row r="884">
      <c r="A884" s="36">
        <v>44748.0</v>
      </c>
      <c r="B884" s="31" t="s">
        <v>2005</v>
      </c>
      <c r="C884" s="31" t="s">
        <v>1116</v>
      </c>
      <c r="D884" s="32" t="s">
        <v>14</v>
      </c>
      <c r="E884" s="28" t="s">
        <v>71</v>
      </c>
      <c r="F884" s="33" t="s">
        <v>2152</v>
      </c>
      <c r="G884" s="32" t="s">
        <v>72</v>
      </c>
      <c r="H884" s="31" t="s">
        <v>1921</v>
      </c>
      <c r="I884" s="31" t="s">
        <v>1054</v>
      </c>
      <c r="J884" s="31"/>
      <c r="K884" s="31"/>
      <c r="L884" s="31" t="s">
        <v>75</v>
      </c>
    </row>
    <row r="885">
      <c r="A885" s="36">
        <v>44755.0</v>
      </c>
      <c r="B885" s="31" t="s">
        <v>2153</v>
      </c>
      <c r="C885" s="31" t="s">
        <v>2154</v>
      </c>
      <c r="D885" s="32" t="s">
        <v>25</v>
      </c>
      <c r="E885" s="28" t="s">
        <v>71</v>
      </c>
      <c r="F885" s="33"/>
      <c r="G885" s="32" t="s">
        <v>54</v>
      </c>
      <c r="H885" s="31" t="s">
        <v>1870</v>
      </c>
      <c r="I885" s="31" t="s">
        <v>1833</v>
      </c>
      <c r="J885" s="31"/>
      <c r="K885" s="31"/>
      <c r="L885" s="31" t="s">
        <v>78</v>
      </c>
    </row>
    <row r="886">
      <c r="A886" s="36">
        <v>44774.0</v>
      </c>
      <c r="B886" s="31" t="s">
        <v>2155</v>
      </c>
      <c r="C886" s="31" t="s">
        <v>2156</v>
      </c>
      <c r="D886" s="32" t="s">
        <v>22</v>
      </c>
      <c r="E886" s="28" t="s">
        <v>71</v>
      </c>
      <c r="F886" s="33"/>
      <c r="G886" s="32" t="s">
        <v>72</v>
      </c>
      <c r="H886" s="31" t="s">
        <v>2157</v>
      </c>
      <c r="I886" s="31" t="s">
        <v>1224</v>
      </c>
      <c r="J886" s="31"/>
      <c r="K886" s="31"/>
      <c r="L886" s="31" t="s">
        <v>75</v>
      </c>
    </row>
    <row r="887">
      <c r="A887" s="37">
        <v>44774.0</v>
      </c>
      <c r="B887" s="26" t="s">
        <v>2155</v>
      </c>
      <c r="C887" s="26" t="s">
        <v>2156</v>
      </c>
      <c r="D887" s="30" t="s">
        <v>22</v>
      </c>
      <c r="E887" s="30" t="s">
        <v>71</v>
      </c>
      <c r="F887" s="33" t="str">
        <f>IFERROR(__xludf.DUMMYFUNCTION("IFERROR(
    IF(AND(ISNUMBER(VLOOKUP(J887,
        {
            IMPORTRANGE(""1xFrklApkRqApw6hS49w9Le1ELcHrQ5f2FJdiVs8ztHg"", ""Joining &amp; Induction Tracker!F:F""),
            IMPORTRANGE(""1xFrklApkRqApw6hS49w9Le1ELcHrQ5f2FJdiVs8ztHg"", ""Joining &amp; Indu"&amp;"ction Tracker!E:E"")
        }, 2, 0)), 
       LEN(VLOOKUP(J887,
        {
            IMPORTRANGE(""1xFrklApkRqApw6hS49w9Le1ELcHrQ5f2FJdiVs8ztHg"", ""Joining &amp; Induction Tracker!F:F""),
            IMPORTRANGE(""1xFrklApkRqApw6hS49w9Le1ELcHrQ5f2FJdiVs8z"&amp;"tHg"", ""Joining &amp; Induction Tracker!E:E"")
        }, 2, 0)) = 10), 
       ""+91"" &amp; VLOOKUP(J887,
        {
            IMPORTRANGE(""1xFrklApkRqApw6hS49w9Le1ELcHrQ5f2FJdiVs8ztHg"", ""Joining &amp; Induction Tracker!F:F""),
            IMPORTRANGE(""1xFrkl"&amp;"ApkRqApw6hS49w9Le1ELcHrQ5f2FJdiVs8ztHg"", ""Joining &amp; Induction Tracker!E:E"")
        }, 2, 0), 
       VLOOKUP(J887,
        {
            IMPORTRANGE(""1xFrklApkRqApw6hS49w9Le1ELcHrQ5f2FJdiVs8ztHg"", ""Joining &amp; Induction Tracker!F:F""),
            IM"&amp;"PORTRANGE(""1xFrklApkRqApw6hS49w9Le1ELcHrQ5f2FJdiVs8ztHg"", ""Joining &amp; Induction Tracker!E:E"")
        }, 2, 0)
    ), 
    """"
)
"),"")</f>
        <v/>
      </c>
      <c r="G887" s="30" t="s">
        <v>72</v>
      </c>
      <c r="H887" s="26" t="s">
        <v>1234</v>
      </c>
      <c r="I887" s="31" t="str">
        <f>IFERROR(__xludf.DUMMYFUNCTION("IFERROR(VLOOKUP(J887,{IMPORTRANGE(""1xFrklApkRqApw6hS49w9Le1ELcHrQ5f2FJdiVs8ztHg"", ""Joining &amp; Induction Tracker!F:F""),IMPORTRANGE(""1xFrklApkRqApw6hS49w9Le1ELcHrQ5f2FJdiVs8ztHg"", ""Joining &amp; Induction Tracker!G:G"")},2,0),"""")"),"")</f>
        <v/>
      </c>
      <c r="J887" s="38"/>
      <c r="K887" s="26"/>
      <c r="L887" s="31" t="s">
        <v>75</v>
      </c>
    </row>
    <row r="888">
      <c r="A888" s="36">
        <v>44783.0</v>
      </c>
      <c r="B888" s="31" t="s">
        <v>2158</v>
      </c>
      <c r="C888" s="31" t="s">
        <v>2159</v>
      </c>
      <c r="D888" s="32" t="s">
        <v>39</v>
      </c>
      <c r="E888" s="28" t="s">
        <v>71</v>
      </c>
      <c r="F888" s="33"/>
      <c r="G888" s="32" t="s">
        <v>72</v>
      </c>
      <c r="H888" s="31" t="s">
        <v>2160</v>
      </c>
      <c r="I888" s="31" t="s">
        <v>1981</v>
      </c>
      <c r="J888" s="31"/>
      <c r="K888" s="31"/>
      <c r="L888" s="31" t="s">
        <v>78</v>
      </c>
    </row>
    <row r="889">
      <c r="A889" s="36">
        <v>44792.0</v>
      </c>
      <c r="B889" s="31" t="s">
        <v>2161</v>
      </c>
      <c r="C889" s="31" t="s">
        <v>2162</v>
      </c>
      <c r="D889" s="32" t="s">
        <v>16</v>
      </c>
      <c r="E889" s="28" t="s">
        <v>71</v>
      </c>
      <c r="F889" s="33" t="s">
        <v>2163</v>
      </c>
      <c r="G889" s="32" t="s">
        <v>72</v>
      </c>
      <c r="H889" s="31" t="s">
        <v>2164</v>
      </c>
      <c r="I889" s="31" t="s">
        <v>1017</v>
      </c>
      <c r="J889" s="31"/>
      <c r="K889" s="31"/>
      <c r="L889" s="31" t="s">
        <v>75</v>
      </c>
    </row>
    <row r="890">
      <c r="A890" s="36">
        <v>44792.0</v>
      </c>
      <c r="B890" s="31" t="s">
        <v>2165</v>
      </c>
      <c r="C890" s="31" t="s">
        <v>2166</v>
      </c>
      <c r="D890" s="32" t="s">
        <v>14</v>
      </c>
      <c r="E890" s="28" t="s">
        <v>71</v>
      </c>
      <c r="F890" s="33" t="s">
        <v>2167</v>
      </c>
      <c r="G890" s="32" t="s">
        <v>72</v>
      </c>
      <c r="H890" s="31" t="s">
        <v>2168</v>
      </c>
      <c r="I890" s="31" t="s">
        <v>1048</v>
      </c>
      <c r="J890" s="31"/>
      <c r="K890" s="31"/>
      <c r="L890" s="31" t="s">
        <v>75</v>
      </c>
    </row>
    <row r="891">
      <c r="A891" s="36">
        <v>44798.0</v>
      </c>
      <c r="B891" s="31" t="s">
        <v>2169</v>
      </c>
      <c r="C891" s="31" t="s">
        <v>2170</v>
      </c>
      <c r="D891" s="32" t="s">
        <v>22</v>
      </c>
      <c r="E891" s="28" t="s">
        <v>71</v>
      </c>
      <c r="F891" s="33"/>
      <c r="G891" s="32" t="s">
        <v>72</v>
      </c>
      <c r="H891" s="31" t="s">
        <v>2171</v>
      </c>
      <c r="I891" s="31" t="s">
        <v>1085</v>
      </c>
      <c r="J891" s="31"/>
      <c r="K891" s="31"/>
      <c r="L891" s="31" t="s">
        <v>78</v>
      </c>
    </row>
    <row r="892">
      <c r="A892" s="36">
        <v>44799.0</v>
      </c>
      <c r="B892" s="31" t="s">
        <v>2172</v>
      </c>
      <c r="C892" s="31" t="s">
        <v>2173</v>
      </c>
      <c r="D892" s="32" t="s">
        <v>36</v>
      </c>
      <c r="E892" s="28" t="s">
        <v>71</v>
      </c>
      <c r="F892" s="33">
        <v>9.873223404E9</v>
      </c>
      <c r="G892" s="32" t="s">
        <v>54</v>
      </c>
      <c r="H892" s="31" t="s">
        <v>1870</v>
      </c>
      <c r="I892" s="31" t="s">
        <v>1488</v>
      </c>
      <c r="J892" s="31"/>
      <c r="K892" s="31"/>
      <c r="L892" s="31" t="s">
        <v>78</v>
      </c>
    </row>
    <row r="893">
      <c r="A893" s="36">
        <v>44803.0</v>
      </c>
      <c r="B893" s="31" t="s">
        <v>2174</v>
      </c>
      <c r="C893" s="31" t="s">
        <v>2175</v>
      </c>
      <c r="D893" s="32" t="s">
        <v>25</v>
      </c>
      <c r="E893" s="28" t="s">
        <v>71</v>
      </c>
      <c r="F893" s="33" t="s">
        <v>2176</v>
      </c>
      <c r="G893" s="32" t="s">
        <v>54</v>
      </c>
      <c r="H893" s="31" t="s">
        <v>1870</v>
      </c>
      <c r="I893" s="31" t="s">
        <v>1100</v>
      </c>
      <c r="J893" s="31"/>
      <c r="K893" s="31"/>
      <c r="L893" s="31" t="s">
        <v>78</v>
      </c>
    </row>
    <row r="894">
      <c r="A894" s="36">
        <v>44823.0</v>
      </c>
      <c r="B894" s="31" t="s">
        <v>2177</v>
      </c>
      <c r="C894" s="31" t="s">
        <v>1813</v>
      </c>
      <c r="D894" s="32" t="s">
        <v>17</v>
      </c>
      <c r="E894" s="28" t="s">
        <v>71</v>
      </c>
      <c r="F894" s="33"/>
      <c r="G894" s="32" t="s">
        <v>72</v>
      </c>
      <c r="H894" s="31" t="s">
        <v>2178</v>
      </c>
      <c r="I894" s="31" t="s">
        <v>1210</v>
      </c>
      <c r="J894" s="31"/>
      <c r="K894" s="31"/>
      <c r="L894" s="31" t="s">
        <v>75</v>
      </c>
    </row>
    <row r="895">
      <c r="A895" s="36">
        <v>44823.0</v>
      </c>
      <c r="B895" s="31" t="s">
        <v>2179</v>
      </c>
      <c r="C895" s="31" t="s">
        <v>1231</v>
      </c>
      <c r="D895" s="32" t="s">
        <v>16</v>
      </c>
      <c r="E895" s="28" t="s">
        <v>71</v>
      </c>
      <c r="F895" s="33"/>
      <c r="G895" s="32" t="s">
        <v>72</v>
      </c>
      <c r="H895" s="31" t="s">
        <v>1132</v>
      </c>
      <c r="I895" s="31" t="s">
        <v>1017</v>
      </c>
      <c r="J895" s="31"/>
      <c r="K895" s="31"/>
      <c r="L895" s="31" t="s">
        <v>75</v>
      </c>
    </row>
    <row r="896">
      <c r="A896" s="36">
        <v>44825.0</v>
      </c>
      <c r="B896" s="31" t="s">
        <v>2180</v>
      </c>
      <c r="C896" s="31" t="s">
        <v>2181</v>
      </c>
      <c r="D896" s="32" t="s">
        <v>22</v>
      </c>
      <c r="E896" s="28" t="s">
        <v>71</v>
      </c>
      <c r="F896" s="33"/>
      <c r="G896" s="32" t="s">
        <v>72</v>
      </c>
      <c r="H896" s="31" t="s">
        <v>2182</v>
      </c>
      <c r="I896" s="31" t="s">
        <v>1243</v>
      </c>
      <c r="J896" s="31"/>
      <c r="K896" s="31"/>
      <c r="L896" s="31" t="s">
        <v>78</v>
      </c>
    </row>
    <row r="897">
      <c r="A897" s="36">
        <v>44831.0</v>
      </c>
      <c r="B897" s="31" t="s">
        <v>2183</v>
      </c>
      <c r="C897" s="31" t="s">
        <v>1206</v>
      </c>
      <c r="D897" s="32" t="s">
        <v>14</v>
      </c>
      <c r="E897" s="28" t="s">
        <v>71</v>
      </c>
      <c r="F897" s="33"/>
      <c r="G897" s="32" t="s">
        <v>72</v>
      </c>
      <c r="H897" s="31" t="s">
        <v>2184</v>
      </c>
      <c r="I897" s="31" t="s">
        <v>1054</v>
      </c>
      <c r="J897" s="31"/>
      <c r="K897" s="31"/>
      <c r="L897" s="31" t="s">
        <v>75</v>
      </c>
    </row>
    <row r="898">
      <c r="A898" s="36">
        <v>44837.0</v>
      </c>
      <c r="B898" s="31" t="s">
        <v>2185</v>
      </c>
      <c r="C898" s="31" t="s">
        <v>2186</v>
      </c>
      <c r="D898" s="32" t="s">
        <v>16</v>
      </c>
      <c r="E898" s="28" t="s">
        <v>71</v>
      </c>
      <c r="F898" s="33"/>
      <c r="G898" s="32" t="s">
        <v>72</v>
      </c>
      <c r="H898" s="31" t="s">
        <v>2187</v>
      </c>
      <c r="I898" s="31" t="s">
        <v>1231</v>
      </c>
      <c r="J898" s="31"/>
      <c r="K898" s="31"/>
      <c r="L898" s="31" t="s">
        <v>78</v>
      </c>
    </row>
    <row r="899">
      <c r="A899" s="36">
        <v>44844.0</v>
      </c>
      <c r="B899" s="31" t="s">
        <v>2188</v>
      </c>
      <c r="C899" s="31" t="s">
        <v>2189</v>
      </c>
      <c r="D899" s="32" t="s">
        <v>47</v>
      </c>
      <c r="E899" s="28" t="s">
        <v>71</v>
      </c>
      <c r="F899" s="33"/>
      <c r="G899" s="32" t="s">
        <v>72</v>
      </c>
      <c r="H899" s="31" t="s">
        <v>1209</v>
      </c>
      <c r="I899" s="31" t="s">
        <v>1210</v>
      </c>
      <c r="J899" s="31"/>
      <c r="K899" s="31"/>
      <c r="L899" s="31" t="s">
        <v>78</v>
      </c>
    </row>
    <row r="900">
      <c r="A900" s="36">
        <v>44851.0</v>
      </c>
      <c r="B900" s="31" t="s">
        <v>2190</v>
      </c>
      <c r="C900" s="31" t="s">
        <v>2191</v>
      </c>
      <c r="D900" s="32" t="s">
        <v>22</v>
      </c>
      <c r="E900" s="28" t="s">
        <v>71</v>
      </c>
      <c r="F900" s="33"/>
      <c r="G900" s="32" t="s">
        <v>72</v>
      </c>
      <c r="H900" s="31" t="s">
        <v>1290</v>
      </c>
      <c r="I900" s="31" t="s">
        <v>1763</v>
      </c>
      <c r="J900" s="31"/>
      <c r="K900" s="31"/>
      <c r="L900" s="31" t="s">
        <v>75</v>
      </c>
    </row>
    <row r="901">
      <c r="A901" s="36">
        <v>44880.0</v>
      </c>
      <c r="B901" s="31" t="s">
        <v>2192</v>
      </c>
      <c r="C901" s="31" t="s">
        <v>2193</v>
      </c>
      <c r="D901" s="32" t="s">
        <v>21</v>
      </c>
      <c r="E901" s="28" t="s">
        <v>71</v>
      </c>
      <c r="F901" s="33"/>
      <c r="G901" s="32" t="s">
        <v>72</v>
      </c>
      <c r="H901" s="31" t="s">
        <v>1097</v>
      </c>
      <c r="I901" s="31" t="s">
        <v>1214</v>
      </c>
      <c r="J901" s="31"/>
      <c r="K901" s="31"/>
      <c r="L901" s="31" t="s">
        <v>75</v>
      </c>
    </row>
    <row r="902">
      <c r="A902" s="36">
        <v>44907.0</v>
      </c>
      <c r="B902" s="31" t="s">
        <v>2194</v>
      </c>
      <c r="C902" s="31" t="s">
        <v>1981</v>
      </c>
      <c r="D902" s="32" t="s">
        <v>39</v>
      </c>
      <c r="E902" s="28" t="s">
        <v>71</v>
      </c>
      <c r="F902" s="33"/>
      <c r="G902" s="32" t="s">
        <v>72</v>
      </c>
      <c r="H902" s="31" t="s">
        <v>2195</v>
      </c>
      <c r="I902" s="31" t="s">
        <v>1238</v>
      </c>
      <c r="J902" s="31"/>
      <c r="K902" s="31"/>
      <c r="L902" s="31" t="s">
        <v>78</v>
      </c>
    </row>
    <row r="903">
      <c r="A903" s="36">
        <v>44924.0</v>
      </c>
      <c r="B903" s="31" t="s">
        <v>2196</v>
      </c>
      <c r="C903" s="31" t="s">
        <v>2197</v>
      </c>
      <c r="D903" s="32" t="s">
        <v>22</v>
      </c>
      <c r="E903" s="28" t="s">
        <v>71</v>
      </c>
      <c r="F903" s="33"/>
      <c r="G903" s="32" t="s">
        <v>54</v>
      </c>
      <c r="H903" s="31" t="s">
        <v>1870</v>
      </c>
      <c r="I903" s="31" t="s">
        <v>840</v>
      </c>
      <c r="J903" s="31"/>
      <c r="K903" s="31"/>
      <c r="L903" s="31" t="s">
        <v>78</v>
      </c>
    </row>
    <row r="904">
      <c r="A904" s="36">
        <v>44959.0</v>
      </c>
      <c r="B904" s="31" t="s">
        <v>2198</v>
      </c>
      <c r="C904" s="31" t="s">
        <v>2199</v>
      </c>
      <c r="D904" s="32" t="s">
        <v>16</v>
      </c>
      <c r="E904" s="28" t="s">
        <v>71</v>
      </c>
      <c r="F904" s="33">
        <v>9.599165055E9</v>
      </c>
      <c r="G904" s="32" t="s">
        <v>54</v>
      </c>
      <c r="H904" s="31" t="s">
        <v>1870</v>
      </c>
      <c r="I904" s="31" t="s">
        <v>1017</v>
      </c>
      <c r="J904" s="31"/>
      <c r="K904" s="31"/>
      <c r="L904" s="31" t="s">
        <v>78</v>
      </c>
    </row>
    <row r="905">
      <c r="A905" s="36">
        <v>44988.0</v>
      </c>
      <c r="B905" s="31" t="s">
        <v>2200</v>
      </c>
      <c r="C905" s="31" t="s">
        <v>2201</v>
      </c>
      <c r="D905" s="32" t="s">
        <v>14</v>
      </c>
      <c r="E905" s="28" t="s">
        <v>71</v>
      </c>
      <c r="F905" s="33"/>
      <c r="G905" s="32" t="s">
        <v>72</v>
      </c>
      <c r="H905" s="31" t="s">
        <v>2202</v>
      </c>
      <c r="I905" s="31" t="s">
        <v>1026</v>
      </c>
      <c r="J905" s="31"/>
      <c r="K905" s="31"/>
      <c r="L905" s="31" t="s">
        <v>75</v>
      </c>
    </row>
    <row r="906">
      <c r="A906" s="36">
        <v>45006.0</v>
      </c>
      <c r="B906" s="31" t="s">
        <v>2203</v>
      </c>
      <c r="C906" s="31" t="s">
        <v>2204</v>
      </c>
      <c r="D906" s="32" t="s">
        <v>22</v>
      </c>
      <c r="E906" s="28" t="s">
        <v>71</v>
      </c>
      <c r="F906" s="33" t="s">
        <v>2205</v>
      </c>
      <c r="G906" s="32" t="s">
        <v>72</v>
      </c>
      <c r="H906" s="31" t="s">
        <v>2171</v>
      </c>
      <c r="I906" s="31" t="s">
        <v>1085</v>
      </c>
      <c r="J906" s="31"/>
      <c r="K906" s="31"/>
      <c r="L906" s="31" t="s">
        <v>75</v>
      </c>
    </row>
    <row r="907">
      <c r="A907" s="36">
        <v>45007.0</v>
      </c>
      <c r="B907" s="31" t="s">
        <v>2206</v>
      </c>
      <c r="C907" s="31" t="s">
        <v>2207</v>
      </c>
      <c r="D907" s="32" t="s">
        <v>25</v>
      </c>
      <c r="E907" s="28" t="s">
        <v>71</v>
      </c>
      <c r="F907" s="33">
        <v>9.711730822E9</v>
      </c>
      <c r="G907" s="32" t="s">
        <v>54</v>
      </c>
      <c r="H907" s="31" t="s">
        <v>1870</v>
      </c>
      <c r="I907" s="31" t="s">
        <v>1833</v>
      </c>
      <c r="J907" s="31"/>
      <c r="K907" s="31"/>
      <c r="L907" s="31" t="s">
        <v>78</v>
      </c>
    </row>
    <row r="908">
      <c r="A908" s="36">
        <v>45054.0</v>
      </c>
      <c r="B908" s="31" t="s">
        <v>2208</v>
      </c>
      <c r="C908" s="31" t="s">
        <v>2209</v>
      </c>
      <c r="D908" s="32" t="s">
        <v>14</v>
      </c>
      <c r="E908" s="28" t="s">
        <v>71</v>
      </c>
      <c r="F908" s="33"/>
      <c r="G908" s="32" t="s">
        <v>72</v>
      </c>
      <c r="H908" s="31" t="s">
        <v>1256</v>
      </c>
      <c r="I908" s="31" t="s">
        <v>1061</v>
      </c>
      <c r="J908" s="31"/>
      <c r="K908" s="31"/>
      <c r="L908" s="31" t="s">
        <v>75</v>
      </c>
    </row>
    <row r="909">
      <c r="A909" s="36">
        <v>45065.0</v>
      </c>
      <c r="B909" s="31" t="s">
        <v>2210</v>
      </c>
      <c r="C909" s="31" t="s">
        <v>1033</v>
      </c>
      <c r="D909" s="32" t="s">
        <v>14</v>
      </c>
      <c r="E909" s="28" t="s">
        <v>71</v>
      </c>
      <c r="F909" s="33"/>
      <c r="G909" s="32" t="s">
        <v>72</v>
      </c>
      <c r="H909" s="31" t="s">
        <v>1877</v>
      </c>
      <c r="I909" s="31" t="s">
        <v>1048</v>
      </c>
      <c r="J909" s="31"/>
      <c r="K909" s="31"/>
      <c r="L909" s="31" t="s">
        <v>75</v>
      </c>
    </row>
    <row r="910">
      <c r="A910" s="36">
        <v>45068.0</v>
      </c>
      <c r="B910" s="31" t="s">
        <v>2211</v>
      </c>
      <c r="C910" s="31" t="s">
        <v>1368</v>
      </c>
      <c r="D910" s="32" t="s">
        <v>47</v>
      </c>
      <c r="E910" s="28" t="s">
        <v>71</v>
      </c>
      <c r="F910" s="33" t="s">
        <v>2212</v>
      </c>
      <c r="G910" s="32" t="s">
        <v>72</v>
      </c>
      <c r="H910" s="31" t="s">
        <v>2029</v>
      </c>
      <c r="I910" s="31" t="s">
        <v>1210</v>
      </c>
      <c r="J910" s="31"/>
      <c r="K910" s="31"/>
      <c r="L910" s="31" t="s">
        <v>78</v>
      </c>
    </row>
    <row r="911">
      <c r="A911" s="36">
        <v>45070.0</v>
      </c>
      <c r="B911" s="31" t="s">
        <v>2213</v>
      </c>
      <c r="C911" s="31" t="s">
        <v>2214</v>
      </c>
      <c r="D911" s="32" t="s">
        <v>28</v>
      </c>
      <c r="E911" s="28" t="s">
        <v>71</v>
      </c>
      <c r="F911" s="33"/>
      <c r="G911" s="32" t="s">
        <v>72</v>
      </c>
      <c r="H911" s="31" t="s">
        <v>2215</v>
      </c>
      <c r="I911" s="31" t="s">
        <v>1905</v>
      </c>
      <c r="J911" s="31"/>
      <c r="K911" s="31"/>
      <c r="L911" s="31" t="s">
        <v>75</v>
      </c>
    </row>
    <row r="912">
      <c r="A912" s="36">
        <v>45085.0</v>
      </c>
      <c r="B912" s="31" t="s">
        <v>2216</v>
      </c>
      <c r="C912" s="31" t="s">
        <v>2217</v>
      </c>
      <c r="D912" s="32" t="s">
        <v>10</v>
      </c>
      <c r="E912" s="28" t="s">
        <v>71</v>
      </c>
      <c r="F912" s="33"/>
      <c r="G912" s="32" t="s">
        <v>72</v>
      </c>
      <c r="H912" s="31" t="s">
        <v>1151</v>
      </c>
      <c r="I912" s="31" t="s">
        <v>1151</v>
      </c>
      <c r="J912" s="31"/>
      <c r="K912" s="31"/>
      <c r="L912" s="31" t="s">
        <v>78</v>
      </c>
    </row>
    <row r="913">
      <c r="A913" s="36">
        <v>45089.0</v>
      </c>
      <c r="B913" s="31" t="s">
        <v>2218</v>
      </c>
      <c r="C913" s="31" t="s">
        <v>2219</v>
      </c>
      <c r="D913" s="32" t="s">
        <v>33</v>
      </c>
      <c r="E913" s="28" t="s">
        <v>71</v>
      </c>
      <c r="F913" s="33"/>
      <c r="G913" s="32" t="s">
        <v>72</v>
      </c>
      <c r="H913" s="31" t="s">
        <v>2220</v>
      </c>
      <c r="I913" s="31" t="s">
        <v>1784</v>
      </c>
      <c r="J913" s="31"/>
      <c r="K913" s="26" t="s">
        <v>2221</v>
      </c>
      <c r="L913" s="31" t="s">
        <v>75</v>
      </c>
    </row>
    <row r="914">
      <c r="A914" s="36">
        <v>45096.0</v>
      </c>
      <c r="B914" s="31" t="s">
        <v>2222</v>
      </c>
      <c r="C914" s="31" t="s">
        <v>2223</v>
      </c>
      <c r="D914" s="32" t="s">
        <v>47</v>
      </c>
      <c r="E914" s="28" t="s">
        <v>71</v>
      </c>
      <c r="F914" s="33"/>
      <c r="G914" s="32" t="s">
        <v>72</v>
      </c>
      <c r="H914" s="31" t="s">
        <v>2224</v>
      </c>
      <c r="I914" s="31" t="s">
        <v>2000</v>
      </c>
      <c r="J914" s="31"/>
      <c r="K914" s="31"/>
      <c r="L914" s="31" t="s">
        <v>75</v>
      </c>
    </row>
    <row r="915">
      <c r="A915" s="36">
        <v>45108.0</v>
      </c>
      <c r="B915" s="31" t="s">
        <v>2225</v>
      </c>
      <c r="C915" s="31" t="s">
        <v>2226</v>
      </c>
      <c r="D915" s="32" t="s">
        <v>14</v>
      </c>
      <c r="E915" s="28" t="s">
        <v>71</v>
      </c>
      <c r="F915" s="33">
        <v>7.042705116E9</v>
      </c>
      <c r="G915" s="32" t="s">
        <v>54</v>
      </c>
      <c r="H915" s="31" t="s">
        <v>1870</v>
      </c>
      <c r="I915" s="31" t="s">
        <v>1026</v>
      </c>
      <c r="J915" s="31"/>
      <c r="K915" s="31"/>
      <c r="L915" s="31" t="s">
        <v>78</v>
      </c>
    </row>
    <row r="916">
      <c r="A916" s="36">
        <v>45125.0</v>
      </c>
      <c r="B916" s="31" t="s">
        <v>2227</v>
      </c>
      <c r="C916" s="31" t="s">
        <v>2228</v>
      </c>
      <c r="D916" s="32" t="s">
        <v>22</v>
      </c>
      <c r="E916" s="28" t="s">
        <v>71</v>
      </c>
      <c r="F916" s="33"/>
      <c r="G916" s="32" t="s">
        <v>72</v>
      </c>
      <c r="H916" s="31" t="s">
        <v>2229</v>
      </c>
      <c r="I916" s="31" t="s">
        <v>1763</v>
      </c>
      <c r="J916" s="31"/>
      <c r="K916" s="31"/>
      <c r="L916" s="31" t="s">
        <v>75</v>
      </c>
    </row>
    <row r="917">
      <c r="A917" s="36">
        <v>45139.0</v>
      </c>
      <c r="B917" s="31" t="s">
        <v>2230</v>
      </c>
      <c r="C917" s="31" t="s">
        <v>2231</v>
      </c>
      <c r="D917" s="32" t="s">
        <v>22</v>
      </c>
      <c r="E917" s="28" t="s">
        <v>71</v>
      </c>
      <c r="F917" s="33" t="s">
        <v>2232</v>
      </c>
      <c r="G917" s="32" t="s">
        <v>54</v>
      </c>
      <c r="H917" s="31" t="s">
        <v>1870</v>
      </c>
      <c r="I917" s="31" t="s">
        <v>1206</v>
      </c>
      <c r="J917" s="31"/>
      <c r="K917" s="31"/>
      <c r="L917" s="31" t="s">
        <v>78</v>
      </c>
    </row>
    <row r="918">
      <c r="A918" s="36">
        <v>45139.0</v>
      </c>
      <c r="B918" s="31" t="s">
        <v>2233</v>
      </c>
      <c r="C918" s="31" t="s">
        <v>2234</v>
      </c>
      <c r="D918" s="32" t="s">
        <v>47</v>
      </c>
      <c r="E918" s="28" t="s">
        <v>71</v>
      </c>
      <c r="F918" s="33">
        <v>9.871762488E9</v>
      </c>
      <c r="G918" s="32" t="s">
        <v>54</v>
      </c>
      <c r="H918" s="31" t="s">
        <v>1870</v>
      </c>
      <c r="I918" s="31" t="s">
        <v>2223</v>
      </c>
      <c r="J918" s="31"/>
      <c r="K918" s="31"/>
      <c r="L918" s="31" t="s">
        <v>78</v>
      </c>
    </row>
    <row r="919">
      <c r="A919" s="36">
        <v>45154.0</v>
      </c>
      <c r="B919" s="31" t="s">
        <v>2235</v>
      </c>
      <c r="C919" s="31" t="s">
        <v>2236</v>
      </c>
      <c r="D919" s="32" t="s">
        <v>47</v>
      </c>
      <c r="E919" s="28" t="s">
        <v>71</v>
      </c>
      <c r="F919" s="33">
        <v>7.838495225E9</v>
      </c>
      <c r="G919" s="32" t="s">
        <v>72</v>
      </c>
      <c r="H919" s="31" t="s">
        <v>2237</v>
      </c>
      <c r="I919" s="31" t="s">
        <v>1210</v>
      </c>
      <c r="J919" s="31"/>
      <c r="K919" s="31"/>
      <c r="L919" s="31" t="s">
        <v>75</v>
      </c>
    </row>
    <row r="920">
      <c r="A920" s="36">
        <v>45174.0</v>
      </c>
      <c r="B920" s="31" t="s">
        <v>551</v>
      </c>
      <c r="C920" s="31" t="s">
        <v>2238</v>
      </c>
      <c r="D920" s="32" t="s">
        <v>14</v>
      </c>
      <c r="E920" s="28" t="s">
        <v>71</v>
      </c>
      <c r="F920" s="33" t="s">
        <v>2239</v>
      </c>
      <c r="G920" s="32" t="s">
        <v>72</v>
      </c>
      <c r="H920" s="31" t="s">
        <v>2240</v>
      </c>
      <c r="I920" s="31" t="s">
        <v>1264</v>
      </c>
      <c r="J920" s="31"/>
      <c r="K920" s="31"/>
      <c r="L920" s="31" t="s">
        <v>75</v>
      </c>
    </row>
    <row r="921">
      <c r="A921" s="36">
        <v>45189.0</v>
      </c>
      <c r="B921" s="31" t="s">
        <v>2241</v>
      </c>
      <c r="C921" s="31" t="s">
        <v>2242</v>
      </c>
      <c r="D921" s="32" t="s">
        <v>36</v>
      </c>
      <c r="E921" s="28" t="s">
        <v>71</v>
      </c>
      <c r="F921" s="33"/>
      <c r="G921" s="32" t="s">
        <v>72</v>
      </c>
      <c r="H921" s="31" t="s">
        <v>2160</v>
      </c>
      <c r="I921" s="31" t="s">
        <v>1491</v>
      </c>
      <c r="J921" s="31"/>
      <c r="K921" s="31"/>
      <c r="L921" s="31" t="s">
        <v>78</v>
      </c>
    </row>
    <row r="922">
      <c r="A922" s="36">
        <v>45215.0</v>
      </c>
      <c r="B922" s="31" t="s">
        <v>2243</v>
      </c>
      <c r="C922" s="31" t="s">
        <v>2244</v>
      </c>
      <c r="D922" s="32" t="s">
        <v>14</v>
      </c>
      <c r="E922" s="28" t="s">
        <v>71</v>
      </c>
      <c r="F922" s="33" t="s">
        <v>2245</v>
      </c>
      <c r="G922" s="32" t="s">
        <v>72</v>
      </c>
      <c r="H922" s="31" t="s">
        <v>2246</v>
      </c>
      <c r="I922" s="31" t="s">
        <v>1885</v>
      </c>
      <c r="J922" s="31"/>
      <c r="K922" s="31"/>
      <c r="L922" s="31" t="s">
        <v>75</v>
      </c>
    </row>
    <row r="923">
      <c r="A923" s="36">
        <v>45215.0</v>
      </c>
      <c r="B923" s="31" t="s">
        <v>2247</v>
      </c>
      <c r="C923" s="31" t="s">
        <v>2248</v>
      </c>
      <c r="D923" s="32" t="s">
        <v>33</v>
      </c>
      <c r="E923" s="28" t="s">
        <v>71</v>
      </c>
      <c r="F923" s="33"/>
      <c r="G923" s="32" t="s">
        <v>72</v>
      </c>
      <c r="H923" s="31" t="s">
        <v>1497</v>
      </c>
      <c r="I923" s="31" t="s">
        <v>1380</v>
      </c>
      <c r="J923" s="31"/>
      <c r="K923" s="31"/>
      <c r="L923" s="31" t="s">
        <v>78</v>
      </c>
    </row>
    <row r="924">
      <c r="A924" s="36">
        <v>45217.0</v>
      </c>
      <c r="B924" s="31" t="s">
        <v>2249</v>
      </c>
      <c r="C924" s="31" t="s">
        <v>2250</v>
      </c>
      <c r="D924" s="32" t="s">
        <v>28</v>
      </c>
      <c r="E924" s="28" t="s">
        <v>71</v>
      </c>
      <c r="F924" s="33"/>
      <c r="G924" s="32" t="s">
        <v>72</v>
      </c>
      <c r="H924" s="31" t="s">
        <v>2251</v>
      </c>
      <c r="I924" s="31" t="s">
        <v>1075</v>
      </c>
      <c r="J924" s="31"/>
      <c r="K924" s="31"/>
      <c r="L924" s="31" t="s">
        <v>78</v>
      </c>
    </row>
    <row r="925">
      <c r="A925" s="36">
        <v>45237.0</v>
      </c>
      <c r="B925" s="31" t="s">
        <v>2252</v>
      </c>
      <c r="C925" s="31" t="s">
        <v>2253</v>
      </c>
      <c r="D925" s="32" t="s">
        <v>22</v>
      </c>
      <c r="E925" s="28" t="s">
        <v>71</v>
      </c>
      <c r="F925" s="33"/>
      <c r="G925" s="32" t="s">
        <v>72</v>
      </c>
      <c r="H925" s="31" t="s">
        <v>1160</v>
      </c>
      <c r="I925" s="31" t="s">
        <v>1085</v>
      </c>
      <c r="J925" s="31"/>
      <c r="K925" s="31"/>
      <c r="L925" s="31" t="s">
        <v>75</v>
      </c>
    </row>
    <row r="926">
      <c r="A926" s="36">
        <v>45246.0</v>
      </c>
      <c r="B926" s="31" t="s">
        <v>2254</v>
      </c>
      <c r="C926" s="31" t="s">
        <v>2255</v>
      </c>
      <c r="D926" s="32" t="s">
        <v>22</v>
      </c>
      <c r="E926" s="28" t="s">
        <v>71</v>
      </c>
      <c r="F926" s="33"/>
      <c r="G926" s="32" t="s">
        <v>72</v>
      </c>
      <c r="H926" s="31" t="s">
        <v>2256</v>
      </c>
      <c r="I926" s="31" t="s">
        <v>1085</v>
      </c>
      <c r="J926" s="31"/>
      <c r="K926" s="31"/>
      <c r="L926" s="31" t="s">
        <v>75</v>
      </c>
    </row>
    <row r="927">
      <c r="A927" s="36">
        <v>45258.0</v>
      </c>
      <c r="B927" s="31" t="s">
        <v>2257</v>
      </c>
      <c r="C927" s="31" t="s">
        <v>2258</v>
      </c>
      <c r="D927" s="32" t="s">
        <v>14</v>
      </c>
      <c r="E927" s="28" t="s">
        <v>71</v>
      </c>
      <c r="F927" s="33"/>
      <c r="G927" s="32" t="s">
        <v>72</v>
      </c>
      <c r="H927" s="31" t="s">
        <v>1196</v>
      </c>
      <c r="I927" s="31" t="s">
        <v>1094</v>
      </c>
      <c r="J927" s="31"/>
      <c r="K927" s="31"/>
      <c r="L927" s="31" t="s">
        <v>75</v>
      </c>
    </row>
    <row r="928">
      <c r="A928" s="36">
        <v>45259.0</v>
      </c>
      <c r="B928" s="31" t="s">
        <v>2259</v>
      </c>
      <c r="C928" s="31" t="s">
        <v>2260</v>
      </c>
      <c r="D928" s="32" t="s">
        <v>25</v>
      </c>
      <c r="E928" s="28" t="s">
        <v>71</v>
      </c>
      <c r="F928" s="33">
        <v>9.953198801E9</v>
      </c>
      <c r="G928" s="32" t="s">
        <v>54</v>
      </c>
      <c r="H928" s="31" t="s">
        <v>1870</v>
      </c>
      <c r="I928" s="31" t="s">
        <v>905</v>
      </c>
      <c r="J928" s="31"/>
      <c r="K928" s="31"/>
      <c r="L928" s="31" t="s">
        <v>78</v>
      </c>
    </row>
    <row r="929">
      <c r="A929" s="36">
        <v>45261.0</v>
      </c>
      <c r="B929" s="31" t="s">
        <v>2261</v>
      </c>
      <c r="C929" s="31" t="s">
        <v>2262</v>
      </c>
      <c r="D929" s="32" t="s">
        <v>22</v>
      </c>
      <c r="E929" s="28" t="s">
        <v>71</v>
      </c>
      <c r="F929" s="33"/>
      <c r="G929" s="32" t="s">
        <v>72</v>
      </c>
      <c r="H929" s="31" t="s">
        <v>2263</v>
      </c>
      <c r="I929" s="31" t="s">
        <v>1243</v>
      </c>
      <c r="J929" s="31"/>
      <c r="K929" s="31"/>
      <c r="L929" s="31" t="s">
        <v>78</v>
      </c>
    </row>
    <row r="930">
      <c r="A930" s="36">
        <v>45264.0</v>
      </c>
      <c r="B930" s="31" t="s">
        <v>2264</v>
      </c>
      <c r="C930" s="31" t="s">
        <v>2265</v>
      </c>
      <c r="D930" s="32" t="s">
        <v>14</v>
      </c>
      <c r="E930" s="28" t="s">
        <v>71</v>
      </c>
      <c r="F930" s="33"/>
      <c r="G930" s="32" t="s">
        <v>72</v>
      </c>
      <c r="H930" s="31" t="s">
        <v>2266</v>
      </c>
      <c r="I930" s="31" t="s">
        <v>1094</v>
      </c>
      <c r="J930" s="31"/>
      <c r="K930" s="31"/>
      <c r="L930" s="31" t="s">
        <v>75</v>
      </c>
    </row>
    <row r="931">
      <c r="A931" s="36">
        <v>45268.0</v>
      </c>
      <c r="B931" s="31" t="s">
        <v>2267</v>
      </c>
      <c r="C931" s="31" t="s">
        <v>2268</v>
      </c>
      <c r="D931" s="32" t="s">
        <v>14</v>
      </c>
      <c r="E931" s="28" t="s">
        <v>71</v>
      </c>
      <c r="F931" s="33" t="s">
        <v>2269</v>
      </c>
      <c r="G931" s="32" t="s">
        <v>72</v>
      </c>
      <c r="H931" s="31" t="s">
        <v>1020</v>
      </c>
      <c r="I931" s="31" t="s">
        <v>1695</v>
      </c>
      <c r="J931" s="31"/>
      <c r="K931" s="31"/>
      <c r="L931" s="31" t="s">
        <v>78</v>
      </c>
    </row>
    <row r="932">
      <c r="A932" s="36">
        <v>45271.0</v>
      </c>
      <c r="B932" s="31" t="s">
        <v>2270</v>
      </c>
      <c r="C932" s="31" t="s">
        <v>1082</v>
      </c>
      <c r="D932" s="32" t="s">
        <v>28</v>
      </c>
      <c r="E932" s="28" t="s">
        <v>71</v>
      </c>
      <c r="F932" s="33" t="s">
        <v>2271</v>
      </c>
      <c r="G932" s="32" t="s">
        <v>72</v>
      </c>
      <c r="H932" s="31" t="s">
        <v>1673</v>
      </c>
      <c r="I932" s="31" t="s">
        <v>1077</v>
      </c>
      <c r="J932" s="31"/>
      <c r="K932" s="31"/>
      <c r="L932" s="31" t="s">
        <v>75</v>
      </c>
    </row>
    <row r="933">
      <c r="A933" s="36">
        <v>45271.0</v>
      </c>
      <c r="B933" s="31" t="s">
        <v>2272</v>
      </c>
      <c r="C933" s="31" t="s">
        <v>1967</v>
      </c>
      <c r="D933" s="32" t="s">
        <v>12</v>
      </c>
      <c r="E933" s="28" t="s">
        <v>71</v>
      </c>
      <c r="F933" s="33"/>
      <c r="G933" s="32" t="s">
        <v>72</v>
      </c>
      <c r="H933" s="31" t="s">
        <v>2220</v>
      </c>
      <c r="I933" s="31" t="s">
        <v>2117</v>
      </c>
      <c r="J933" s="31"/>
      <c r="K933" s="31"/>
      <c r="L933" s="31" t="s">
        <v>75</v>
      </c>
    </row>
    <row r="934">
      <c r="A934" s="36">
        <v>45272.0</v>
      </c>
      <c r="B934" s="31" t="s">
        <v>2273</v>
      </c>
      <c r="C934" s="31" t="s">
        <v>1491</v>
      </c>
      <c r="D934" s="32" t="s">
        <v>36</v>
      </c>
      <c r="E934" s="28" t="s">
        <v>71</v>
      </c>
      <c r="F934" s="33">
        <v>8.285299131E9</v>
      </c>
      <c r="G934" s="32" t="s">
        <v>72</v>
      </c>
      <c r="H934" s="31" t="s">
        <v>2274</v>
      </c>
      <c r="I934" s="31" t="s">
        <v>1026</v>
      </c>
      <c r="J934" s="31"/>
      <c r="K934" s="31"/>
      <c r="L934" s="31" t="s">
        <v>75</v>
      </c>
    </row>
    <row r="935">
      <c r="A935" s="36">
        <v>45273.0</v>
      </c>
      <c r="B935" s="31" t="s">
        <v>2275</v>
      </c>
      <c r="C935" s="31" t="s">
        <v>2276</v>
      </c>
      <c r="D935" s="32" t="s">
        <v>14</v>
      </c>
      <c r="E935" s="28" t="s">
        <v>71</v>
      </c>
      <c r="F935" s="33"/>
      <c r="G935" s="32" t="s">
        <v>72</v>
      </c>
      <c r="H935" s="31" t="s">
        <v>2240</v>
      </c>
      <c r="I935" s="31" t="s">
        <v>2039</v>
      </c>
      <c r="J935" s="31"/>
      <c r="K935" s="31"/>
      <c r="L935" s="31" t="s">
        <v>75</v>
      </c>
    </row>
    <row r="936">
      <c r="A936" s="36">
        <v>45286.0</v>
      </c>
      <c r="B936" s="31" t="s">
        <v>2277</v>
      </c>
      <c r="C936" s="31" t="s">
        <v>2278</v>
      </c>
      <c r="D936" s="32" t="s">
        <v>14</v>
      </c>
      <c r="E936" s="28" t="s">
        <v>71</v>
      </c>
      <c r="F936" s="33">
        <v>9.91103131E9</v>
      </c>
      <c r="G936" s="32" t="s">
        <v>54</v>
      </c>
      <c r="H936" s="31" t="s">
        <v>1870</v>
      </c>
      <c r="I936" s="31" t="s">
        <v>1026</v>
      </c>
      <c r="J936" s="31"/>
      <c r="K936" s="31"/>
      <c r="L936" s="31" t="s">
        <v>78</v>
      </c>
    </row>
    <row r="937">
      <c r="A937" s="36">
        <v>45294.0</v>
      </c>
      <c r="B937" s="31" t="s">
        <v>2279</v>
      </c>
      <c r="C937" s="31" t="s">
        <v>1108</v>
      </c>
      <c r="D937" s="32" t="s">
        <v>14</v>
      </c>
      <c r="E937" s="28" t="s">
        <v>71</v>
      </c>
      <c r="F937" s="33" t="s">
        <v>2280</v>
      </c>
      <c r="G937" s="32" t="s">
        <v>72</v>
      </c>
      <c r="H937" s="31" t="s">
        <v>1107</v>
      </c>
      <c r="I937" s="31" t="s">
        <v>262</v>
      </c>
      <c r="J937" s="31"/>
      <c r="K937" s="31"/>
      <c r="L937" s="31" t="s">
        <v>75</v>
      </c>
    </row>
    <row r="938">
      <c r="A938" s="36">
        <v>45296.0</v>
      </c>
      <c r="B938" s="31" t="s">
        <v>2281</v>
      </c>
      <c r="C938" s="31" t="s">
        <v>2282</v>
      </c>
      <c r="D938" s="32" t="s">
        <v>25</v>
      </c>
      <c r="E938" s="28" t="s">
        <v>71</v>
      </c>
      <c r="F938" s="33">
        <v>9.711730822E9</v>
      </c>
      <c r="G938" s="32" t="s">
        <v>54</v>
      </c>
      <c r="H938" s="31" t="s">
        <v>1870</v>
      </c>
      <c r="I938" s="31" t="s">
        <v>1833</v>
      </c>
      <c r="J938" s="31"/>
      <c r="K938" s="31"/>
      <c r="L938" s="31" t="s">
        <v>78</v>
      </c>
    </row>
    <row r="939">
      <c r="A939" s="36">
        <v>45301.0</v>
      </c>
      <c r="B939" s="31" t="s">
        <v>2283</v>
      </c>
      <c r="C939" s="26" t="s">
        <v>2284</v>
      </c>
      <c r="D939" s="32" t="s">
        <v>30</v>
      </c>
      <c r="E939" s="28" t="s">
        <v>71</v>
      </c>
      <c r="F939" s="33"/>
      <c r="G939" s="32" t="s">
        <v>72</v>
      </c>
      <c r="H939" s="31" t="s">
        <v>2285</v>
      </c>
      <c r="I939" s="31" t="s">
        <v>2091</v>
      </c>
      <c r="J939" s="31"/>
      <c r="K939" s="31"/>
      <c r="L939" s="31" t="s">
        <v>75</v>
      </c>
    </row>
    <row r="940">
      <c r="A940" s="36">
        <v>45310.0</v>
      </c>
      <c r="B940" s="31" t="s">
        <v>2286</v>
      </c>
      <c r="C940" s="31" t="s">
        <v>2287</v>
      </c>
      <c r="D940" s="32" t="s">
        <v>14</v>
      </c>
      <c r="E940" s="28" t="s">
        <v>71</v>
      </c>
      <c r="F940" s="33">
        <v>9.871762488E9</v>
      </c>
      <c r="G940" s="32" t="s">
        <v>54</v>
      </c>
      <c r="H940" s="31" t="s">
        <v>1870</v>
      </c>
      <c r="I940" s="31" t="s">
        <v>2288</v>
      </c>
      <c r="J940" s="31"/>
      <c r="K940" s="31"/>
      <c r="L940" s="31" t="s">
        <v>78</v>
      </c>
    </row>
    <row r="941">
      <c r="A941" s="36">
        <v>45315.0</v>
      </c>
      <c r="B941" s="31" t="s">
        <v>2289</v>
      </c>
      <c r="C941" s="31" t="s">
        <v>2290</v>
      </c>
      <c r="D941" s="32" t="s">
        <v>47</v>
      </c>
      <c r="E941" s="28" t="s">
        <v>71</v>
      </c>
      <c r="F941" s="33"/>
      <c r="G941" s="32" t="s">
        <v>72</v>
      </c>
      <c r="H941" s="31" t="s">
        <v>1209</v>
      </c>
      <c r="I941" s="31" t="s">
        <v>2073</v>
      </c>
      <c r="J941" s="31"/>
      <c r="K941" s="31"/>
      <c r="L941" s="31" t="s">
        <v>78</v>
      </c>
    </row>
    <row r="942">
      <c r="A942" s="36">
        <v>45315.0</v>
      </c>
      <c r="B942" s="31" t="s">
        <v>2291</v>
      </c>
      <c r="C942" s="31" t="s">
        <v>2292</v>
      </c>
      <c r="D942" s="32" t="s">
        <v>14</v>
      </c>
      <c r="E942" s="28" t="s">
        <v>71</v>
      </c>
      <c r="F942" s="33"/>
      <c r="G942" s="32" t="s">
        <v>72</v>
      </c>
      <c r="H942" s="31" t="s">
        <v>2293</v>
      </c>
      <c r="I942" s="31" t="s">
        <v>1604</v>
      </c>
      <c r="J942" s="31"/>
      <c r="K942" s="31"/>
      <c r="L942" s="31" t="s">
        <v>75</v>
      </c>
    </row>
    <row r="943">
      <c r="A943" s="36">
        <v>45323.0</v>
      </c>
      <c r="B943" s="31" t="s">
        <v>2294</v>
      </c>
      <c r="C943" s="31" t="s">
        <v>2295</v>
      </c>
      <c r="D943" s="32" t="s">
        <v>14</v>
      </c>
      <c r="E943" s="28" t="s">
        <v>71</v>
      </c>
      <c r="F943" s="33"/>
      <c r="G943" s="32" t="s">
        <v>72</v>
      </c>
      <c r="H943" s="31" t="s">
        <v>1270</v>
      </c>
      <c r="I943" s="31" t="s">
        <v>1026</v>
      </c>
      <c r="J943" s="31"/>
      <c r="K943" s="31"/>
      <c r="L943" s="31" t="s">
        <v>75</v>
      </c>
    </row>
    <row r="944">
      <c r="A944" s="36">
        <v>45334.0</v>
      </c>
      <c r="B944" s="31" t="s">
        <v>2296</v>
      </c>
      <c r="C944" s="31" t="s">
        <v>2297</v>
      </c>
      <c r="D944" s="32" t="s">
        <v>16</v>
      </c>
      <c r="E944" s="28" t="s">
        <v>71</v>
      </c>
      <c r="F944" s="33"/>
      <c r="G944" s="32" t="s">
        <v>72</v>
      </c>
      <c r="H944" s="31" t="s">
        <v>2298</v>
      </c>
      <c r="I944" s="31" t="s">
        <v>1017</v>
      </c>
      <c r="J944" s="31"/>
      <c r="K944" s="31"/>
      <c r="L944" s="31" t="s">
        <v>78</v>
      </c>
    </row>
    <row r="945">
      <c r="A945" s="36">
        <v>45334.0</v>
      </c>
      <c r="B945" s="31" t="s">
        <v>2299</v>
      </c>
      <c r="C945" s="31" t="s">
        <v>2300</v>
      </c>
      <c r="D945" s="32" t="s">
        <v>25</v>
      </c>
      <c r="E945" s="28" t="s">
        <v>71</v>
      </c>
      <c r="F945" s="33" t="s">
        <v>1913</v>
      </c>
      <c r="G945" s="32" t="s">
        <v>54</v>
      </c>
      <c r="H945" s="31" t="s">
        <v>1870</v>
      </c>
      <c r="I945" s="31" t="s">
        <v>1315</v>
      </c>
      <c r="J945" s="31"/>
      <c r="K945" s="31"/>
      <c r="L945" s="31" t="s">
        <v>78</v>
      </c>
    </row>
    <row r="946">
      <c r="A946" s="36">
        <v>45341.0</v>
      </c>
      <c r="B946" s="31" t="s">
        <v>2301</v>
      </c>
      <c r="C946" s="31" t="s">
        <v>2302</v>
      </c>
      <c r="D946" s="32" t="s">
        <v>21</v>
      </c>
      <c r="E946" s="28" t="s">
        <v>71</v>
      </c>
      <c r="F946" s="33">
        <v>9.034340484E9</v>
      </c>
      <c r="G946" s="32" t="s">
        <v>72</v>
      </c>
      <c r="H946" s="31" t="s">
        <v>2303</v>
      </c>
      <c r="I946" s="31" t="s">
        <v>1187</v>
      </c>
      <c r="J946" s="31"/>
      <c r="K946" s="31"/>
      <c r="L946" s="31" t="s">
        <v>78</v>
      </c>
    </row>
    <row r="947">
      <c r="A947" s="36">
        <v>45341.0</v>
      </c>
      <c r="B947" s="31" t="s">
        <v>2304</v>
      </c>
      <c r="C947" s="31" t="s">
        <v>1103</v>
      </c>
      <c r="D947" s="32" t="s">
        <v>21</v>
      </c>
      <c r="E947" s="28" t="s">
        <v>71</v>
      </c>
      <c r="F947" s="33"/>
      <c r="G947" s="32" t="s">
        <v>72</v>
      </c>
      <c r="H947" s="31" t="s">
        <v>2305</v>
      </c>
      <c r="I947" s="31" t="s">
        <v>1549</v>
      </c>
      <c r="J947" s="31"/>
      <c r="K947" s="31"/>
      <c r="L947" s="31" t="s">
        <v>78</v>
      </c>
    </row>
    <row r="948">
      <c r="A948" s="36">
        <v>45344.0</v>
      </c>
      <c r="B948" s="31" t="s">
        <v>2306</v>
      </c>
      <c r="C948" s="31" t="s">
        <v>2307</v>
      </c>
      <c r="D948" s="32" t="s">
        <v>22</v>
      </c>
      <c r="E948" s="28" t="s">
        <v>71</v>
      </c>
      <c r="F948" s="33"/>
      <c r="G948" s="32" t="s">
        <v>72</v>
      </c>
      <c r="H948" s="31" t="s">
        <v>1301</v>
      </c>
      <c r="I948" s="31" t="s">
        <v>1763</v>
      </c>
      <c r="J948" s="31"/>
      <c r="K948" s="31"/>
      <c r="L948" s="31" t="s">
        <v>75</v>
      </c>
    </row>
    <row r="949">
      <c r="A949" s="36">
        <v>45348.0</v>
      </c>
      <c r="B949" s="31" t="s">
        <v>2308</v>
      </c>
      <c r="C949" s="31" t="s">
        <v>2309</v>
      </c>
      <c r="D949" s="32" t="s">
        <v>22</v>
      </c>
      <c r="E949" s="28" t="s">
        <v>71</v>
      </c>
      <c r="F949" s="33"/>
      <c r="G949" s="32" t="s">
        <v>72</v>
      </c>
      <c r="H949" s="31" t="s">
        <v>1234</v>
      </c>
      <c r="I949" s="31" t="s">
        <v>1226</v>
      </c>
      <c r="J949" s="31"/>
      <c r="K949" s="31"/>
      <c r="L949" s="31" t="s">
        <v>78</v>
      </c>
    </row>
    <row r="950">
      <c r="A950" s="36">
        <v>45357.0</v>
      </c>
      <c r="B950" s="31" t="s">
        <v>2310</v>
      </c>
      <c r="C950" s="31" t="s">
        <v>2311</v>
      </c>
      <c r="D950" s="32" t="s">
        <v>14</v>
      </c>
      <c r="E950" s="28" t="s">
        <v>71</v>
      </c>
      <c r="F950" s="33"/>
      <c r="G950" s="32" t="s">
        <v>72</v>
      </c>
      <c r="H950" s="31" t="s">
        <v>2266</v>
      </c>
      <c r="I950" s="31" t="s">
        <v>1197</v>
      </c>
      <c r="J950" s="31"/>
      <c r="K950" s="31"/>
      <c r="L950" s="31" t="s">
        <v>75</v>
      </c>
    </row>
    <row r="951">
      <c r="A951" s="36">
        <v>45365.0</v>
      </c>
      <c r="B951" s="31" t="s">
        <v>2312</v>
      </c>
      <c r="C951" s="31" t="s">
        <v>2313</v>
      </c>
      <c r="D951" s="32" t="s">
        <v>36</v>
      </c>
      <c r="E951" s="28" t="s">
        <v>71</v>
      </c>
      <c r="F951" s="33"/>
      <c r="G951" s="32" t="s">
        <v>72</v>
      </c>
      <c r="H951" s="31" t="s">
        <v>2314</v>
      </c>
      <c r="I951" s="31" t="s">
        <v>1491</v>
      </c>
      <c r="J951" s="31"/>
      <c r="K951" s="31"/>
      <c r="L951" s="31" t="s">
        <v>78</v>
      </c>
    </row>
    <row r="952">
      <c r="A952" s="36">
        <v>45397.0</v>
      </c>
      <c r="B952" s="31" t="s">
        <v>2315</v>
      </c>
      <c r="C952" s="31" t="s">
        <v>2316</v>
      </c>
      <c r="D952" s="32" t="s">
        <v>21</v>
      </c>
      <c r="E952" s="28" t="s">
        <v>71</v>
      </c>
      <c r="F952" s="33"/>
      <c r="G952" s="32" t="s">
        <v>72</v>
      </c>
      <c r="H952" s="31" t="s">
        <v>2317</v>
      </c>
      <c r="I952" s="31" t="s">
        <v>1192</v>
      </c>
      <c r="J952" s="31"/>
      <c r="K952" s="31"/>
      <c r="L952" s="31" t="s">
        <v>75</v>
      </c>
    </row>
    <row r="953">
      <c r="A953" s="36">
        <v>45399.0</v>
      </c>
      <c r="B953" s="31" t="s">
        <v>2318</v>
      </c>
      <c r="C953" s="31" t="s">
        <v>2319</v>
      </c>
      <c r="D953" s="32" t="s">
        <v>14</v>
      </c>
      <c r="E953" s="28" t="s">
        <v>71</v>
      </c>
      <c r="F953" s="33">
        <v>9.611107116E9</v>
      </c>
      <c r="G953" s="32" t="s">
        <v>1043</v>
      </c>
      <c r="H953" s="31" t="s">
        <v>1156</v>
      </c>
      <c r="I953" s="31" t="s">
        <v>1054</v>
      </c>
      <c r="J953" s="31"/>
      <c r="K953" s="31"/>
      <c r="L953" s="31" t="s">
        <v>78</v>
      </c>
    </row>
    <row r="954">
      <c r="A954" s="36">
        <v>45399.0</v>
      </c>
      <c r="B954" s="31" t="s">
        <v>2320</v>
      </c>
      <c r="C954" s="31" t="s">
        <v>2321</v>
      </c>
      <c r="D954" s="32" t="s">
        <v>14</v>
      </c>
      <c r="E954" s="28" t="s">
        <v>71</v>
      </c>
      <c r="F954" s="33">
        <v>9.740032233E9</v>
      </c>
      <c r="G954" s="32" t="s">
        <v>1043</v>
      </c>
      <c r="H954" s="31" t="s">
        <v>1156</v>
      </c>
      <c r="I954" s="31" t="s">
        <v>1054</v>
      </c>
      <c r="J954" s="31"/>
      <c r="K954" s="31"/>
      <c r="L954" s="31" t="s">
        <v>78</v>
      </c>
    </row>
    <row r="955">
      <c r="A955" s="36">
        <v>45400.0</v>
      </c>
      <c r="B955" s="31" t="s">
        <v>2322</v>
      </c>
      <c r="C955" s="31" t="s">
        <v>2323</v>
      </c>
      <c r="D955" s="32" t="s">
        <v>14</v>
      </c>
      <c r="E955" s="28" t="s">
        <v>71</v>
      </c>
      <c r="F955" s="33" t="s">
        <v>2324</v>
      </c>
      <c r="G955" s="32" t="s">
        <v>54</v>
      </c>
      <c r="H955" s="31" t="s">
        <v>1870</v>
      </c>
      <c r="I955" s="31" t="s">
        <v>1026</v>
      </c>
      <c r="J955" s="31"/>
      <c r="K955" s="31"/>
      <c r="L955" s="31" t="s">
        <v>78</v>
      </c>
    </row>
    <row r="956">
      <c r="A956" s="36">
        <v>45404.0</v>
      </c>
      <c r="B956" s="31" t="s">
        <v>2325</v>
      </c>
      <c r="C956" s="31" t="s">
        <v>2326</v>
      </c>
      <c r="D956" s="32" t="s">
        <v>14</v>
      </c>
      <c r="E956" s="28" t="s">
        <v>71</v>
      </c>
      <c r="F956" s="33"/>
      <c r="G956" s="32" t="s">
        <v>72</v>
      </c>
      <c r="H956" s="31" t="s">
        <v>2327</v>
      </c>
      <c r="I956" s="31" t="s">
        <v>1048</v>
      </c>
      <c r="J956" s="31"/>
      <c r="K956" s="31"/>
      <c r="L956" s="31" t="s">
        <v>75</v>
      </c>
    </row>
    <row r="957">
      <c r="A957" s="36">
        <v>45406.0</v>
      </c>
      <c r="B957" s="31" t="s">
        <v>2328</v>
      </c>
      <c r="C957" s="31" t="s">
        <v>2329</v>
      </c>
      <c r="D957" s="32" t="s">
        <v>14</v>
      </c>
      <c r="E957" s="28" t="s">
        <v>71</v>
      </c>
      <c r="F957" s="33" t="s">
        <v>2330</v>
      </c>
      <c r="G957" s="32" t="s">
        <v>72</v>
      </c>
      <c r="H957" s="31" t="s">
        <v>2327</v>
      </c>
      <c r="I957" s="31" t="s">
        <v>1094</v>
      </c>
      <c r="J957" s="31"/>
      <c r="K957" s="31"/>
      <c r="L957" s="31" t="s">
        <v>75</v>
      </c>
    </row>
    <row r="958">
      <c r="A958" s="36">
        <v>45411.0</v>
      </c>
      <c r="B958" s="31" t="s">
        <v>2331</v>
      </c>
      <c r="C958" s="31" t="s">
        <v>2332</v>
      </c>
      <c r="D958" s="32" t="s">
        <v>22</v>
      </c>
      <c r="E958" s="28" t="s">
        <v>71</v>
      </c>
      <c r="F958" s="33"/>
      <c r="G958" s="32" t="s">
        <v>72</v>
      </c>
      <c r="H958" s="31" t="s">
        <v>2333</v>
      </c>
      <c r="I958" s="31" t="s">
        <v>1240</v>
      </c>
      <c r="J958" s="31"/>
      <c r="K958" s="31"/>
      <c r="L958" s="31" t="s">
        <v>78</v>
      </c>
    </row>
    <row r="959">
      <c r="A959" s="36">
        <v>45413.0</v>
      </c>
      <c r="B959" s="31" t="s">
        <v>2334</v>
      </c>
      <c r="C959" s="31" t="s">
        <v>2335</v>
      </c>
      <c r="D959" s="32" t="s">
        <v>30</v>
      </c>
      <c r="E959" s="28" t="s">
        <v>71</v>
      </c>
      <c r="F959" s="33" t="s">
        <v>2336</v>
      </c>
      <c r="G959" s="32" t="s">
        <v>72</v>
      </c>
      <c r="H959" s="31" t="s">
        <v>2337</v>
      </c>
      <c r="I959" s="31" t="s">
        <v>2091</v>
      </c>
      <c r="J959" s="31"/>
      <c r="K959" s="31"/>
      <c r="L959" s="31" t="s">
        <v>75</v>
      </c>
    </row>
    <row r="960">
      <c r="A960" s="36">
        <v>45421.0</v>
      </c>
      <c r="B960" s="31" t="s">
        <v>2338</v>
      </c>
      <c r="C960" s="31" t="s">
        <v>2339</v>
      </c>
      <c r="D960" s="32" t="s">
        <v>14</v>
      </c>
      <c r="E960" s="28" t="s">
        <v>71</v>
      </c>
      <c r="F960" s="33"/>
      <c r="G960" s="32" t="s">
        <v>72</v>
      </c>
      <c r="H960" s="31" t="s">
        <v>2327</v>
      </c>
      <c r="I960" s="31" t="s">
        <v>1094</v>
      </c>
      <c r="J960" s="31"/>
      <c r="K960" s="31"/>
      <c r="L960" s="31" t="s">
        <v>75</v>
      </c>
    </row>
    <row r="961">
      <c r="A961" s="36">
        <v>45427.0</v>
      </c>
      <c r="B961" s="31" t="s">
        <v>2340</v>
      </c>
      <c r="C961" s="31" t="s">
        <v>2341</v>
      </c>
      <c r="D961" s="32" t="s">
        <v>30</v>
      </c>
      <c r="E961" s="28" t="s">
        <v>71</v>
      </c>
      <c r="F961" s="33"/>
      <c r="G961" s="32" t="s">
        <v>72</v>
      </c>
      <c r="H961" s="31" t="s">
        <v>2342</v>
      </c>
      <c r="I961" s="31" t="s">
        <v>2091</v>
      </c>
      <c r="J961" s="31"/>
      <c r="K961" s="31"/>
      <c r="L961" s="31" t="s">
        <v>75</v>
      </c>
    </row>
    <row r="962">
      <c r="A962" s="36">
        <v>45429.0</v>
      </c>
      <c r="B962" s="31" t="s">
        <v>2343</v>
      </c>
      <c r="C962" s="31" t="s">
        <v>1356</v>
      </c>
      <c r="D962" s="32" t="s">
        <v>33</v>
      </c>
      <c r="E962" s="28" t="s">
        <v>71</v>
      </c>
      <c r="F962" s="33"/>
      <c r="G962" s="32" t="s">
        <v>72</v>
      </c>
      <c r="H962" s="31" t="s">
        <v>2344</v>
      </c>
      <c r="I962" s="31" t="s">
        <v>1135</v>
      </c>
      <c r="J962" s="31"/>
      <c r="K962" s="31"/>
      <c r="L962" s="31" t="s">
        <v>75</v>
      </c>
    </row>
    <row r="963">
      <c r="A963" s="36">
        <v>45433.0</v>
      </c>
      <c r="B963" s="31" t="s">
        <v>2345</v>
      </c>
      <c r="C963" s="31" t="s">
        <v>2346</v>
      </c>
      <c r="D963" s="32" t="s">
        <v>22</v>
      </c>
      <c r="E963" s="28" t="s">
        <v>71</v>
      </c>
      <c r="F963" s="33" t="s">
        <v>2347</v>
      </c>
      <c r="G963" s="32" t="s">
        <v>72</v>
      </c>
      <c r="H963" s="31" t="s">
        <v>1120</v>
      </c>
      <c r="I963" s="31" t="s">
        <v>1445</v>
      </c>
      <c r="J963" s="31"/>
      <c r="K963" s="31"/>
      <c r="L963" s="31" t="s">
        <v>75</v>
      </c>
    </row>
    <row r="964">
      <c r="A964" s="36">
        <v>45441.0</v>
      </c>
      <c r="B964" s="31" t="s">
        <v>2348</v>
      </c>
      <c r="C964" s="31" t="s">
        <v>2349</v>
      </c>
      <c r="D964" s="32" t="s">
        <v>21</v>
      </c>
      <c r="E964" s="28" t="s">
        <v>71</v>
      </c>
      <c r="F964" s="33">
        <v>9.717117404E9</v>
      </c>
      <c r="G964" s="32" t="s">
        <v>72</v>
      </c>
      <c r="H964" s="31" t="s">
        <v>1097</v>
      </c>
      <c r="I964" s="31" t="s">
        <v>1400</v>
      </c>
      <c r="J964" s="31"/>
      <c r="K964" s="31"/>
      <c r="L964" s="31" t="s">
        <v>75</v>
      </c>
    </row>
    <row r="965">
      <c r="A965" s="36">
        <v>45441.0</v>
      </c>
      <c r="B965" s="31" t="s">
        <v>2350</v>
      </c>
      <c r="C965" s="31" t="s">
        <v>2351</v>
      </c>
      <c r="D965" s="32" t="s">
        <v>21</v>
      </c>
      <c r="E965" s="28" t="s">
        <v>71</v>
      </c>
      <c r="F965" s="33">
        <v>8.076189324E9</v>
      </c>
      <c r="G965" s="32" t="s">
        <v>72</v>
      </c>
      <c r="H965" s="31" t="s">
        <v>1186</v>
      </c>
      <c r="I965" s="31" t="s">
        <v>1187</v>
      </c>
      <c r="J965" s="31"/>
      <c r="K965" s="31"/>
      <c r="L965" s="31" t="s">
        <v>75</v>
      </c>
    </row>
    <row r="966">
      <c r="A966" s="36">
        <v>45441.0</v>
      </c>
      <c r="B966" s="31" t="s">
        <v>2352</v>
      </c>
      <c r="C966" s="31" t="s">
        <v>2353</v>
      </c>
      <c r="D966" s="32" t="s">
        <v>21</v>
      </c>
      <c r="E966" s="28" t="s">
        <v>71</v>
      </c>
      <c r="F966" s="33">
        <v>8.287180853E9</v>
      </c>
      <c r="G966" s="32" t="s">
        <v>1043</v>
      </c>
      <c r="H966" s="31" t="s">
        <v>1191</v>
      </c>
      <c r="I966" s="31" t="s">
        <v>1192</v>
      </c>
      <c r="J966" s="31"/>
      <c r="K966" s="31"/>
      <c r="L966" s="31" t="s">
        <v>78</v>
      </c>
    </row>
    <row r="967">
      <c r="A967" s="36">
        <v>45446.0</v>
      </c>
      <c r="B967" s="31" t="s">
        <v>2354</v>
      </c>
      <c r="C967" s="31" t="s">
        <v>1164</v>
      </c>
      <c r="D967" s="32" t="s">
        <v>21</v>
      </c>
      <c r="E967" s="28" t="s">
        <v>71</v>
      </c>
      <c r="F967" s="33" t="s">
        <v>2355</v>
      </c>
      <c r="G967" s="32" t="s">
        <v>72</v>
      </c>
      <c r="H967" s="31" t="s">
        <v>2356</v>
      </c>
      <c r="I967" s="31" t="s">
        <v>1103</v>
      </c>
      <c r="J967" s="31"/>
      <c r="K967" s="31"/>
      <c r="L967" s="31" t="s">
        <v>78</v>
      </c>
    </row>
    <row r="968">
      <c r="A968" s="36">
        <v>45446.0</v>
      </c>
      <c r="B968" s="31" t="s">
        <v>2357</v>
      </c>
      <c r="C968" s="31" t="s">
        <v>2358</v>
      </c>
      <c r="D968" s="32" t="s">
        <v>25</v>
      </c>
      <c r="E968" s="28" t="s">
        <v>71</v>
      </c>
      <c r="F968" s="33"/>
      <c r="G968" s="32" t="s">
        <v>72</v>
      </c>
      <c r="H968" s="31" t="s">
        <v>2359</v>
      </c>
      <c r="I968" s="31" t="s">
        <v>1100</v>
      </c>
      <c r="J968" s="31"/>
      <c r="K968" s="31"/>
      <c r="L968" s="31" t="s">
        <v>75</v>
      </c>
    </row>
    <row r="969">
      <c r="A969" s="36">
        <v>45449.0</v>
      </c>
      <c r="B969" s="31" t="s">
        <v>2360</v>
      </c>
      <c r="C969" s="31" t="s">
        <v>2361</v>
      </c>
      <c r="D969" s="32" t="s">
        <v>42</v>
      </c>
      <c r="E969" s="28" t="s">
        <v>71</v>
      </c>
      <c r="F969" s="33"/>
      <c r="G969" s="32" t="s">
        <v>72</v>
      </c>
      <c r="H969" s="31" t="s">
        <v>2362</v>
      </c>
      <c r="I969" s="31" t="s">
        <v>1549</v>
      </c>
      <c r="J969" s="31"/>
      <c r="K969" s="31"/>
      <c r="L969" s="31" t="s">
        <v>78</v>
      </c>
    </row>
    <row r="970">
      <c r="A970" s="36">
        <v>45453.0</v>
      </c>
      <c r="B970" s="31" t="s">
        <v>1619</v>
      </c>
      <c r="C970" s="31" t="s">
        <v>2363</v>
      </c>
      <c r="D970" s="32" t="s">
        <v>25</v>
      </c>
      <c r="E970" s="28" t="s">
        <v>71</v>
      </c>
      <c r="F970" s="33" t="s">
        <v>2364</v>
      </c>
      <c r="G970" s="32" t="s">
        <v>72</v>
      </c>
      <c r="H970" s="31" t="s">
        <v>2365</v>
      </c>
      <c r="I970" s="31" t="s">
        <v>1833</v>
      </c>
      <c r="J970" s="31"/>
      <c r="K970" s="31"/>
      <c r="L970" s="31" t="s">
        <v>78</v>
      </c>
    </row>
    <row r="971">
      <c r="A971" s="36">
        <v>45455.0</v>
      </c>
      <c r="B971" s="31" t="s">
        <v>2366</v>
      </c>
      <c r="C971" s="31" t="s">
        <v>2367</v>
      </c>
      <c r="D971" s="32" t="s">
        <v>14</v>
      </c>
      <c r="E971" s="28" t="s">
        <v>71</v>
      </c>
      <c r="F971" s="33" t="s">
        <v>2368</v>
      </c>
      <c r="G971" s="32" t="s">
        <v>1043</v>
      </c>
      <c r="H971" s="31" t="s">
        <v>1093</v>
      </c>
      <c r="I971" s="31" t="s">
        <v>1044</v>
      </c>
      <c r="J971" s="31"/>
      <c r="K971" s="31"/>
      <c r="L971" s="31" t="s">
        <v>75</v>
      </c>
    </row>
    <row r="972">
      <c r="A972" s="36">
        <v>45455.0</v>
      </c>
      <c r="B972" s="31" t="s">
        <v>631</v>
      </c>
      <c r="C972" s="31" t="s">
        <v>2369</v>
      </c>
      <c r="D972" s="32" t="s">
        <v>14</v>
      </c>
      <c r="E972" s="28" t="s">
        <v>71</v>
      </c>
      <c r="F972" s="33"/>
      <c r="G972" s="32" t="s">
        <v>1043</v>
      </c>
      <c r="H972" s="31" t="s">
        <v>1156</v>
      </c>
      <c r="I972" s="31" t="s">
        <v>1094</v>
      </c>
      <c r="J972" s="31"/>
      <c r="K972" s="31"/>
      <c r="L972" s="31" t="s">
        <v>75</v>
      </c>
    </row>
    <row r="973">
      <c r="A973" s="36">
        <v>45460.0</v>
      </c>
      <c r="B973" s="31" t="s">
        <v>2370</v>
      </c>
      <c r="C973" s="31" t="s">
        <v>2371</v>
      </c>
      <c r="D973" s="32" t="s">
        <v>10</v>
      </c>
      <c r="E973" s="28" t="s">
        <v>71</v>
      </c>
      <c r="F973" s="33" t="s">
        <v>2372</v>
      </c>
      <c r="G973" s="32" t="s">
        <v>72</v>
      </c>
      <c r="H973" s="31" t="s">
        <v>2373</v>
      </c>
      <c r="I973" s="31" t="s">
        <v>1510</v>
      </c>
      <c r="J973" s="31"/>
      <c r="K973" s="31"/>
      <c r="L973" s="31" t="s">
        <v>78</v>
      </c>
    </row>
    <row r="974">
      <c r="A974" s="36">
        <v>45474.0</v>
      </c>
      <c r="B974" s="31" t="s">
        <v>2374</v>
      </c>
      <c r="C974" s="31" t="s">
        <v>2375</v>
      </c>
      <c r="D974" s="32" t="s">
        <v>21</v>
      </c>
      <c r="E974" s="28" t="s">
        <v>71</v>
      </c>
      <c r="F974" s="33" t="s">
        <v>2376</v>
      </c>
      <c r="G974" s="32" t="s">
        <v>72</v>
      </c>
      <c r="H974" s="31" t="s">
        <v>2377</v>
      </c>
      <c r="I974" s="31" t="s">
        <v>1168</v>
      </c>
      <c r="J974" s="31"/>
      <c r="K974" s="31"/>
      <c r="L974" s="31" t="s">
        <v>75</v>
      </c>
    </row>
    <row r="975">
      <c r="A975" s="36">
        <v>45474.0</v>
      </c>
      <c r="B975" s="31" t="s">
        <v>2378</v>
      </c>
      <c r="C975" s="31" t="s">
        <v>2379</v>
      </c>
      <c r="D975" s="32" t="s">
        <v>30</v>
      </c>
      <c r="E975" s="28" t="s">
        <v>71</v>
      </c>
      <c r="F975" s="33" t="s">
        <v>2380</v>
      </c>
      <c r="G975" s="32" t="s">
        <v>72</v>
      </c>
      <c r="H975" s="31" t="s">
        <v>2381</v>
      </c>
      <c r="I975" s="31" t="s">
        <v>1351</v>
      </c>
      <c r="J975" s="31"/>
      <c r="K975" s="31"/>
      <c r="L975" s="31" t="s">
        <v>75</v>
      </c>
    </row>
    <row r="976">
      <c r="A976" s="36">
        <v>45481.0</v>
      </c>
      <c r="B976" s="31" t="s">
        <v>273</v>
      </c>
      <c r="C976" s="31" t="s">
        <v>2382</v>
      </c>
      <c r="D976" s="32" t="s">
        <v>14</v>
      </c>
      <c r="E976" s="28" t="s">
        <v>71</v>
      </c>
      <c r="F976" s="33"/>
      <c r="G976" s="32" t="s">
        <v>72</v>
      </c>
      <c r="H976" s="31" t="s">
        <v>1020</v>
      </c>
      <c r="I976" s="31" t="s">
        <v>1021</v>
      </c>
      <c r="J976" s="31"/>
      <c r="K976" s="31"/>
      <c r="L976" s="31" t="s">
        <v>75</v>
      </c>
    </row>
    <row r="977">
      <c r="A977" s="36">
        <v>45481.0</v>
      </c>
      <c r="B977" s="31" t="s">
        <v>2383</v>
      </c>
      <c r="C977" s="31" t="s">
        <v>2384</v>
      </c>
      <c r="D977" s="32" t="s">
        <v>14</v>
      </c>
      <c r="E977" s="28" t="s">
        <v>71</v>
      </c>
      <c r="F977" s="33"/>
      <c r="G977" s="32" t="s">
        <v>72</v>
      </c>
      <c r="H977" s="31" t="s">
        <v>1020</v>
      </c>
      <c r="I977" s="31" t="s">
        <v>1725</v>
      </c>
      <c r="J977" s="31"/>
      <c r="K977" s="31"/>
      <c r="L977" s="31" t="s">
        <v>75</v>
      </c>
    </row>
    <row r="978">
      <c r="A978" s="36">
        <v>45481.0</v>
      </c>
      <c r="B978" s="31" t="s">
        <v>2385</v>
      </c>
      <c r="C978" s="31" t="s">
        <v>2386</v>
      </c>
      <c r="D978" s="32" t="s">
        <v>21</v>
      </c>
      <c r="E978" s="28" t="s">
        <v>71</v>
      </c>
      <c r="F978" s="33">
        <v>9.289251608E9</v>
      </c>
      <c r="G978" s="32" t="s">
        <v>72</v>
      </c>
      <c r="H978" s="31" t="s">
        <v>1186</v>
      </c>
      <c r="I978" s="31" t="s">
        <v>1187</v>
      </c>
      <c r="J978" s="31"/>
      <c r="K978" s="31"/>
      <c r="L978" s="31" t="s">
        <v>78</v>
      </c>
    </row>
    <row r="979">
      <c r="A979" s="36">
        <v>45481.0</v>
      </c>
      <c r="B979" s="31" t="s">
        <v>2387</v>
      </c>
      <c r="C979" s="31" t="s">
        <v>2388</v>
      </c>
      <c r="D979" s="32" t="s">
        <v>14</v>
      </c>
      <c r="E979" s="28" t="s">
        <v>71</v>
      </c>
      <c r="F979" s="33"/>
      <c r="G979" s="32" t="s">
        <v>72</v>
      </c>
      <c r="H979" s="31" t="s">
        <v>1020</v>
      </c>
      <c r="I979" s="31" t="s">
        <v>1029</v>
      </c>
      <c r="J979" s="31"/>
      <c r="K979" s="31"/>
      <c r="L979" s="31" t="s">
        <v>75</v>
      </c>
    </row>
    <row r="980">
      <c r="A980" s="36">
        <v>45481.0</v>
      </c>
      <c r="B980" s="31" t="s">
        <v>2389</v>
      </c>
      <c r="C980" s="31" t="s">
        <v>2390</v>
      </c>
      <c r="D980" s="32" t="s">
        <v>33</v>
      </c>
      <c r="E980" s="28" t="s">
        <v>71</v>
      </c>
      <c r="F980" s="33"/>
      <c r="G980" s="32" t="s">
        <v>72</v>
      </c>
      <c r="H980" s="31" t="s">
        <v>2391</v>
      </c>
      <c r="I980" s="31" t="s">
        <v>1175</v>
      </c>
      <c r="J980" s="31"/>
      <c r="K980" s="31"/>
      <c r="L980" s="31" t="s">
        <v>78</v>
      </c>
    </row>
    <row r="981">
      <c r="A981" s="36">
        <v>45481.0</v>
      </c>
      <c r="B981" s="31" t="s">
        <v>2392</v>
      </c>
      <c r="C981" s="31" t="s">
        <v>2393</v>
      </c>
      <c r="D981" s="32" t="s">
        <v>21</v>
      </c>
      <c r="E981" s="28" t="s">
        <v>71</v>
      </c>
      <c r="F981" s="33">
        <v>9.306621917E9</v>
      </c>
      <c r="G981" s="32" t="s">
        <v>1043</v>
      </c>
      <c r="H981" s="31" t="s">
        <v>1191</v>
      </c>
      <c r="I981" s="31" t="s">
        <v>1192</v>
      </c>
      <c r="J981" s="31"/>
      <c r="K981" s="31"/>
      <c r="L981" s="31" t="s">
        <v>78</v>
      </c>
    </row>
    <row r="982">
      <c r="A982" s="36">
        <v>45482.0</v>
      </c>
      <c r="B982" s="31" t="s">
        <v>2394</v>
      </c>
      <c r="C982" s="31" t="s">
        <v>2395</v>
      </c>
      <c r="D982" s="32" t="s">
        <v>21</v>
      </c>
      <c r="E982" s="28" t="s">
        <v>71</v>
      </c>
      <c r="F982" s="33">
        <v>9.355201829E9</v>
      </c>
      <c r="G982" s="32" t="s">
        <v>1043</v>
      </c>
      <c r="H982" s="31" t="s">
        <v>1191</v>
      </c>
      <c r="I982" s="31" t="s">
        <v>1192</v>
      </c>
      <c r="J982" s="31"/>
      <c r="K982" s="31"/>
      <c r="L982" s="31" t="s">
        <v>78</v>
      </c>
    </row>
    <row r="983">
      <c r="A983" s="36">
        <v>45484.0</v>
      </c>
      <c r="B983" s="31" t="s">
        <v>2396</v>
      </c>
      <c r="C983" s="31" t="s">
        <v>2397</v>
      </c>
      <c r="D983" s="32" t="s">
        <v>21</v>
      </c>
      <c r="E983" s="28" t="s">
        <v>71</v>
      </c>
      <c r="F983" s="33"/>
      <c r="G983" s="32" t="s">
        <v>54</v>
      </c>
      <c r="H983" s="31" t="s">
        <v>1870</v>
      </c>
      <c r="I983" s="31" t="s">
        <v>2033</v>
      </c>
      <c r="J983" s="31"/>
      <c r="K983" s="31"/>
      <c r="L983" s="31" t="s">
        <v>78</v>
      </c>
    </row>
    <row r="984">
      <c r="A984" s="36">
        <v>45489.0</v>
      </c>
      <c r="B984" s="31" t="s">
        <v>2398</v>
      </c>
      <c r="C984" s="31" t="s">
        <v>2399</v>
      </c>
      <c r="D984" s="32" t="s">
        <v>14</v>
      </c>
      <c r="E984" s="28" t="s">
        <v>71</v>
      </c>
      <c r="F984" s="33">
        <v>9.908124628E9</v>
      </c>
      <c r="G984" s="32" t="s">
        <v>54</v>
      </c>
      <c r="H984" s="31" t="s">
        <v>1870</v>
      </c>
      <c r="I984" s="31" t="s">
        <v>1085</v>
      </c>
      <c r="J984" s="31"/>
      <c r="K984" s="31"/>
      <c r="L984" s="31" t="s">
        <v>78</v>
      </c>
    </row>
    <row r="985">
      <c r="A985" s="36">
        <v>45490.0</v>
      </c>
      <c r="B985" s="31" t="s">
        <v>2400</v>
      </c>
      <c r="C985" s="31" t="s">
        <v>2401</v>
      </c>
      <c r="D985" s="32" t="s">
        <v>21</v>
      </c>
      <c r="E985" s="28" t="s">
        <v>71</v>
      </c>
      <c r="F985" s="33">
        <v>8.700076096E9</v>
      </c>
      <c r="G985" s="32" t="s">
        <v>1043</v>
      </c>
      <c r="H985" s="31" t="s">
        <v>1191</v>
      </c>
      <c r="I985" s="31" t="s">
        <v>1192</v>
      </c>
      <c r="J985" s="31"/>
      <c r="K985" s="31"/>
      <c r="L985" s="31" t="s">
        <v>78</v>
      </c>
    </row>
    <row r="986">
      <c r="A986" s="36">
        <v>45490.0</v>
      </c>
      <c r="B986" s="31" t="s">
        <v>2045</v>
      </c>
      <c r="C986" s="31" t="s">
        <v>2402</v>
      </c>
      <c r="D986" s="32" t="s">
        <v>25</v>
      </c>
      <c r="E986" s="28" t="s">
        <v>71</v>
      </c>
      <c r="F986" s="33"/>
      <c r="G986" s="32" t="s">
        <v>72</v>
      </c>
      <c r="H986" s="31" t="s">
        <v>2403</v>
      </c>
      <c r="I986" s="31" t="s">
        <v>1315</v>
      </c>
      <c r="J986" s="31"/>
      <c r="K986" s="31"/>
      <c r="L986" s="31" t="s">
        <v>75</v>
      </c>
    </row>
    <row r="987">
      <c r="A987" s="36">
        <v>45491.0</v>
      </c>
      <c r="B987" s="31" t="s">
        <v>2404</v>
      </c>
      <c r="C987" s="31" t="s">
        <v>2405</v>
      </c>
      <c r="D987" s="32" t="s">
        <v>10</v>
      </c>
      <c r="E987" s="28" t="s">
        <v>71</v>
      </c>
      <c r="F987" s="33" t="s">
        <v>2406</v>
      </c>
      <c r="G987" s="32" t="s">
        <v>72</v>
      </c>
      <c r="H987" s="31" t="s">
        <v>2407</v>
      </c>
      <c r="I987" s="31" t="s">
        <v>1056</v>
      </c>
      <c r="J987" s="31"/>
      <c r="K987" s="31"/>
      <c r="L987" s="31" t="s">
        <v>75</v>
      </c>
    </row>
    <row r="988">
      <c r="A988" s="36">
        <v>45492.0</v>
      </c>
      <c r="B988" s="31" t="s">
        <v>2408</v>
      </c>
      <c r="C988" s="31" t="s">
        <v>2409</v>
      </c>
      <c r="D988" s="32" t="s">
        <v>14</v>
      </c>
      <c r="E988" s="28" t="s">
        <v>71</v>
      </c>
      <c r="F988" s="33"/>
      <c r="G988" s="32" t="s">
        <v>1043</v>
      </c>
      <c r="H988" s="31" t="s">
        <v>1093</v>
      </c>
      <c r="I988" s="31" t="s">
        <v>1044</v>
      </c>
      <c r="J988" s="31"/>
      <c r="K988" s="31"/>
      <c r="L988" s="31" t="s">
        <v>75</v>
      </c>
    </row>
    <row r="989">
      <c r="A989" s="36">
        <v>45495.0</v>
      </c>
      <c r="B989" s="31" t="s">
        <v>2410</v>
      </c>
      <c r="C989" s="31" t="s">
        <v>2411</v>
      </c>
      <c r="D989" s="32" t="s">
        <v>25</v>
      </c>
      <c r="E989" s="28" t="s">
        <v>71</v>
      </c>
      <c r="F989" s="33">
        <v>7.982058712E9</v>
      </c>
      <c r="G989" s="32" t="s">
        <v>54</v>
      </c>
      <c r="H989" s="31" t="s">
        <v>1870</v>
      </c>
      <c r="I989" s="31" t="s">
        <v>2358</v>
      </c>
      <c r="J989" s="31"/>
      <c r="K989" s="31"/>
      <c r="L989" s="31" t="s">
        <v>78</v>
      </c>
    </row>
    <row r="990">
      <c r="A990" s="36">
        <v>45495.0</v>
      </c>
      <c r="B990" s="31" t="s">
        <v>2412</v>
      </c>
      <c r="C990" s="31" t="s">
        <v>2413</v>
      </c>
      <c r="D990" s="32" t="s">
        <v>25</v>
      </c>
      <c r="E990" s="28" t="s">
        <v>71</v>
      </c>
      <c r="F990" s="33"/>
      <c r="G990" s="32" t="s">
        <v>72</v>
      </c>
      <c r="H990" s="31" t="s">
        <v>2414</v>
      </c>
      <c r="I990" s="31" t="s">
        <v>1833</v>
      </c>
      <c r="J990" s="31"/>
      <c r="K990" s="31"/>
      <c r="L990" s="31" t="s">
        <v>78</v>
      </c>
    </row>
    <row r="991">
      <c r="A991" s="36">
        <v>45497.0</v>
      </c>
      <c r="B991" s="31" t="s">
        <v>2415</v>
      </c>
      <c r="C991" s="31" t="s">
        <v>2416</v>
      </c>
      <c r="D991" s="32" t="s">
        <v>14</v>
      </c>
      <c r="E991" s="28" t="s">
        <v>71</v>
      </c>
      <c r="F991" s="33"/>
      <c r="G991" s="32" t="s">
        <v>2417</v>
      </c>
      <c r="H991" s="31" t="s">
        <v>1428</v>
      </c>
      <c r="I991" s="31" t="s">
        <v>1429</v>
      </c>
      <c r="J991" s="31"/>
      <c r="K991" s="31"/>
      <c r="L991" s="31" t="s">
        <v>75</v>
      </c>
    </row>
    <row r="992">
      <c r="A992" s="36">
        <v>45498.0</v>
      </c>
      <c r="B992" s="31" t="s">
        <v>2418</v>
      </c>
      <c r="C992" s="31" t="s">
        <v>2419</v>
      </c>
      <c r="D992" s="32" t="s">
        <v>14</v>
      </c>
      <c r="E992" s="28" t="s">
        <v>71</v>
      </c>
      <c r="F992" s="33"/>
      <c r="G992" s="32" t="s">
        <v>72</v>
      </c>
      <c r="H992" s="31" t="s">
        <v>2293</v>
      </c>
      <c r="I992" s="31" t="s">
        <v>1264</v>
      </c>
      <c r="J992" s="31"/>
      <c r="K992" s="31"/>
      <c r="L992" s="31" t="s">
        <v>75</v>
      </c>
    </row>
    <row r="993">
      <c r="A993" s="36">
        <v>45499.0</v>
      </c>
      <c r="B993" s="31" t="s">
        <v>2420</v>
      </c>
      <c r="C993" s="31" t="s">
        <v>2421</v>
      </c>
      <c r="D993" s="32" t="s">
        <v>35</v>
      </c>
      <c r="E993" s="28" t="s">
        <v>71</v>
      </c>
      <c r="F993" s="33"/>
      <c r="G993" s="32" t="s">
        <v>54</v>
      </c>
      <c r="H993" s="31" t="s">
        <v>1870</v>
      </c>
      <c r="I993" s="31" t="s">
        <v>2371</v>
      </c>
      <c r="J993" s="31"/>
      <c r="K993" s="31"/>
      <c r="L993" s="31" t="s">
        <v>78</v>
      </c>
    </row>
    <row r="994">
      <c r="A994" s="36">
        <v>45502.0</v>
      </c>
      <c r="B994" s="31" t="s">
        <v>2422</v>
      </c>
      <c r="C994" s="31" t="s">
        <v>2423</v>
      </c>
      <c r="D994" s="32" t="s">
        <v>39</v>
      </c>
      <c r="E994" s="28" t="s">
        <v>71</v>
      </c>
      <c r="F994" s="33" t="s">
        <v>2424</v>
      </c>
      <c r="G994" s="32" t="s">
        <v>1043</v>
      </c>
      <c r="H994" s="31" t="s">
        <v>39</v>
      </c>
      <c r="I994" s="31" t="s">
        <v>264</v>
      </c>
      <c r="J994" s="31"/>
      <c r="K994" s="31"/>
      <c r="L994" s="31" t="s">
        <v>78</v>
      </c>
    </row>
    <row r="995">
      <c r="A995" s="36">
        <v>45509.0</v>
      </c>
      <c r="B995" s="31" t="s">
        <v>2425</v>
      </c>
      <c r="C995" s="31" t="s">
        <v>1175</v>
      </c>
      <c r="D995" s="32" t="s">
        <v>33</v>
      </c>
      <c r="E995" s="28" t="s">
        <v>71</v>
      </c>
      <c r="F995" s="33"/>
      <c r="G995" s="32" t="s">
        <v>72</v>
      </c>
      <c r="H995" s="31" t="s">
        <v>2426</v>
      </c>
      <c r="I995" s="31" t="s">
        <v>1135</v>
      </c>
      <c r="J995" s="31"/>
      <c r="K995" s="31"/>
      <c r="L995" s="31" t="s">
        <v>78</v>
      </c>
    </row>
    <row r="996">
      <c r="A996" s="36">
        <v>45509.0</v>
      </c>
      <c r="B996" s="31" t="s">
        <v>2427</v>
      </c>
      <c r="C996" s="31" t="s">
        <v>2428</v>
      </c>
      <c r="D996" s="32" t="s">
        <v>12</v>
      </c>
      <c r="E996" s="28" t="s">
        <v>71</v>
      </c>
      <c r="F996" s="33">
        <v>9.65494517E9</v>
      </c>
      <c r="G996" s="32" t="s">
        <v>72</v>
      </c>
      <c r="H996" s="31" t="s">
        <v>2429</v>
      </c>
      <c r="I996" s="31" t="s">
        <v>1967</v>
      </c>
      <c r="J996" s="31"/>
      <c r="K996" s="31"/>
      <c r="L996" s="31" t="s">
        <v>78</v>
      </c>
    </row>
    <row r="997">
      <c r="A997" s="36">
        <v>45516.0</v>
      </c>
      <c r="B997" s="31" t="s">
        <v>2430</v>
      </c>
      <c r="C997" s="31" t="s">
        <v>2431</v>
      </c>
      <c r="D997" s="32" t="s">
        <v>14</v>
      </c>
      <c r="E997" s="28" t="s">
        <v>71</v>
      </c>
      <c r="F997" s="33" t="s">
        <v>2432</v>
      </c>
      <c r="G997" s="32" t="s">
        <v>72</v>
      </c>
      <c r="H997" s="31" t="s">
        <v>1107</v>
      </c>
      <c r="I997" s="31" t="s">
        <v>1116</v>
      </c>
      <c r="J997" s="31"/>
      <c r="K997" s="31"/>
      <c r="L997" s="31" t="s">
        <v>75</v>
      </c>
    </row>
    <row r="998">
      <c r="A998" s="36">
        <v>45518.0</v>
      </c>
      <c r="B998" s="31" t="s">
        <v>2433</v>
      </c>
      <c r="C998" s="31" t="s">
        <v>2434</v>
      </c>
      <c r="D998" s="32" t="s">
        <v>17</v>
      </c>
      <c r="E998" s="28" t="s">
        <v>71</v>
      </c>
      <c r="F998" s="33" t="s">
        <v>2435</v>
      </c>
      <c r="G998" s="32" t="s">
        <v>72</v>
      </c>
      <c r="H998" s="31" t="s">
        <v>2436</v>
      </c>
      <c r="I998" s="31" t="s">
        <v>1813</v>
      </c>
      <c r="J998" s="31"/>
      <c r="K998" s="31"/>
      <c r="L998" s="31" t="s">
        <v>75</v>
      </c>
    </row>
    <row r="999">
      <c r="A999" s="36">
        <v>45525.0</v>
      </c>
      <c r="B999" s="31" t="s">
        <v>2437</v>
      </c>
      <c r="C999" s="31" t="s">
        <v>1534</v>
      </c>
      <c r="D999" s="30" t="s">
        <v>1531</v>
      </c>
      <c r="E999" s="28" t="s">
        <v>71</v>
      </c>
      <c r="F999" s="33" t="s">
        <v>2438</v>
      </c>
      <c r="G999" s="32" t="s">
        <v>72</v>
      </c>
      <c r="H999" s="31" t="s">
        <v>2439</v>
      </c>
      <c r="I999" s="31" t="s">
        <v>1549</v>
      </c>
      <c r="J999" s="31"/>
      <c r="K999" s="31"/>
      <c r="L999" s="31" t="s">
        <v>78</v>
      </c>
    </row>
    <row r="1000">
      <c r="A1000" s="36">
        <v>45525.0</v>
      </c>
      <c r="B1000" s="31" t="s">
        <v>2440</v>
      </c>
      <c r="C1000" s="31" t="s">
        <v>2441</v>
      </c>
      <c r="D1000" s="32" t="s">
        <v>21</v>
      </c>
      <c r="E1000" s="28" t="s">
        <v>71</v>
      </c>
      <c r="F1000" s="33">
        <v>8.684033537E9</v>
      </c>
      <c r="G1000" s="32" t="s">
        <v>72</v>
      </c>
      <c r="H1000" s="31" t="s">
        <v>2442</v>
      </c>
      <c r="I1000" s="31" t="s">
        <v>1187</v>
      </c>
      <c r="J1000" s="31"/>
      <c r="K1000" s="31"/>
      <c r="L1000" s="31" t="s">
        <v>75</v>
      </c>
    </row>
    <row r="1001">
      <c r="A1001" s="36">
        <v>45525.0</v>
      </c>
      <c r="B1001" s="31" t="s">
        <v>2443</v>
      </c>
      <c r="C1001" s="31" t="s">
        <v>1138</v>
      </c>
      <c r="D1001" s="32" t="s">
        <v>22</v>
      </c>
      <c r="E1001" s="28" t="s">
        <v>71</v>
      </c>
      <c r="F1001" s="33"/>
      <c r="G1001" s="32" t="s">
        <v>72</v>
      </c>
      <c r="H1001" s="31" t="s">
        <v>2444</v>
      </c>
      <c r="I1001" s="31" t="s">
        <v>1226</v>
      </c>
      <c r="J1001" s="31"/>
      <c r="K1001" s="31"/>
      <c r="L1001" s="31" t="s">
        <v>75</v>
      </c>
    </row>
    <row r="1002">
      <c r="A1002" s="36">
        <v>45527.0</v>
      </c>
      <c r="B1002" s="31" t="s">
        <v>2445</v>
      </c>
      <c r="C1002" s="31" t="s">
        <v>2446</v>
      </c>
      <c r="D1002" s="32" t="s">
        <v>21</v>
      </c>
      <c r="E1002" s="28" t="s">
        <v>71</v>
      </c>
      <c r="F1002" s="33" t="s">
        <v>2355</v>
      </c>
      <c r="G1002" s="32" t="s">
        <v>54</v>
      </c>
      <c r="H1002" s="31" t="s">
        <v>1870</v>
      </c>
      <c r="I1002" s="31" t="s">
        <v>1187</v>
      </c>
      <c r="J1002" s="31"/>
      <c r="K1002" s="31"/>
      <c r="L1002" s="31" t="s">
        <v>78</v>
      </c>
    </row>
    <row r="1003">
      <c r="A1003" s="36">
        <v>45527.0</v>
      </c>
      <c r="B1003" s="31" t="s">
        <v>2447</v>
      </c>
      <c r="C1003" s="31" t="s">
        <v>2448</v>
      </c>
      <c r="D1003" s="32" t="s">
        <v>21</v>
      </c>
      <c r="E1003" s="28" t="s">
        <v>71</v>
      </c>
      <c r="F1003" s="33"/>
      <c r="G1003" s="32" t="s">
        <v>54</v>
      </c>
      <c r="H1003" s="31" t="s">
        <v>1870</v>
      </c>
      <c r="I1003" s="31" t="s">
        <v>1164</v>
      </c>
      <c r="J1003" s="31"/>
      <c r="K1003" s="31"/>
      <c r="L1003" s="31" t="s">
        <v>78</v>
      </c>
    </row>
    <row r="1004">
      <c r="A1004" s="36">
        <v>45537.0</v>
      </c>
      <c r="B1004" s="31" t="s">
        <v>2449</v>
      </c>
      <c r="C1004" s="31" t="s">
        <v>1094</v>
      </c>
      <c r="D1004" s="32" t="s">
        <v>14</v>
      </c>
      <c r="E1004" s="28" t="s">
        <v>71</v>
      </c>
      <c r="F1004" s="33"/>
      <c r="G1004" s="32" t="s">
        <v>72</v>
      </c>
      <c r="H1004" s="31" t="s">
        <v>2450</v>
      </c>
      <c r="I1004" s="31" t="s">
        <v>1048</v>
      </c>
      <c r="J1004" s="31"/>
      <c r="K1004" s="31"/>
      <c r="L1004" s="31" t="s">
        <v>75</v>
      </c>
    </row>
    <row r="1005">
      <c r="A1005" s="36">
        <v>45538.0</v>
      </c>
      <c r="B1005" s="31" t="s">
        <v>2451</v>
      </c>
      <c r="C1005" s="31" t="s">
        <v>2452</v>
      </c>
      <c r="D1005" s="32" t="s">
        <v>17</v>
      </c>
      <c r="E1005" s="28" t="s">
        <v>71</v>
      </c>
      <c r="F1005" s="33"/>
      <c r="G1005" s="32" t="s">
        <v>72</v>
      </c>
      <c r="H1005" s="31" t="s">
        <v>2453</v>
      </c>
      <c r="I1005" s="31" t="s">
        <v>1112</v>
      </c>
      <c r="J1005" s="31"/>
      <c r="K1005" s="31"/>
      <c r="L1005" s="31" t="s">
        <v>75</v>
      </c>
    </row>
    <row r="1006">
      <c r="A1006" s="36">
        <v>45539.0</v>
      </c>
      <c r="B1006" s="31" t="s">
        <v>2454</v>
      </c>
      <c r="C1006" s="31" t="s">
        <v>2455</v>
      </c>
      <c r="D1006" s="32" t="s">
        <v>14</v>
      </c>
      <c r="E1006" s="28" t="s">
        <v>71</v>
      </c>
      <c r="F1006" s="33" t="s">
        <v>2456</v>
      </c>
      <c r="G1006" s="32" t="s">
        <v>1043</v>
      </c>
      <c r="H1006" s="31" t="s">
        <v>1156</v>
      </c>
      <c r="I1006" s="31" t="s">
        <v>1044</v>
      </c>
      <c r="J1006" s="31"/>
      <c r="K1006" s="31"/>
      <c r="L1006" s="31" t="s">
        <v>75</v>
      </c>
    </row>
    <row r="1007">
      <c r="A1007" s="36">
        <v>45539.0</v>
      </c>
      <c r="B1007" s="31" t="s">
        <v>2457</v>
      </c>
      <c r="C1007" s="31" t="s">
        <v>2458</v>
      </c>
      <c r="D1007" s="32" t="s">
        <v>33</v>
      </c>
      <c r="E1007" s="28" t="s">
        <v>71</v>
      </c>
      <c r="F1007" s="33"/>
      <c r="G1007" s="32" t="s">
        <v>72</v>
      </c>
      <c r="H1007" s="31" t="s">
        <v>2459</v>
      </c>
      <c r="I1007" s="31" t="s">
        <v>2219</v>
      </c>
      <c r="J1007" s="31"/>
      <c r="K1007" s="31"/>
      <c r="L1007" s="31" t="s">
        <v>78</v>
      </c>
    </row>
    <row r="1008">
      <c r="A1008" s="36">
        <v>45539.0</v>
      </c>
      <c r="B1008" s="31" t="s">
        <v>2460</v>
      </c>
      <c r="C1008" s="31" t="s">
        <v>2461</v>
      </c>
      <c r="D1008" s="32" t="s">
        <v>21</v>
      </c>
      <c r="E1008" s="28" t="s">
        <v>71</v>
      </c>
      <c r="F1008" s="33">
        <v>8.860810316E9</v>
      </c>
      <c r="G1008" s="32" t="s">
        <v>72</v>
      </c>
      <c r="H1008" s="31" t="s">
        <v>1186</v>
      </c>
      <c r="I1008" s="31" t="s">
        <v>1187</v>
      </c>
      <c r="J1008" s="31"/>
      <c r="K1008" s="31"/>
      <c r="L1008" s="31" t="s">
        <v>75</v>
      </c>
    </row>
    <row r="1009">
      <c r="A1009" s="36">
        <v>45539.0</v>
      </c>
      <c r="B1009" s="31" t="s">
        <v>2462</v>
      </c>
      <c r="C1009" s="31" t="s">
        <v>2463</v>
      </c>
      <c r="D1009" s="32" t="s">
        <v>21</v>
      </c>
      <c r="E1009" s="28" t="s">
        <v>71</v>
      </c>
      <c r="F1009" s="33">
        <v>9.711692049E9</v>
      </c>
      <c r="G1009" s="32" t="s">
        <v>1043</v>
      </c>
      <c r="H1009" s="31" t="s">
        <v>1186</v>
      </c>
      <c r="I1009" s="31" t="s">
        <v>1187</v>
      </c>
      <c r="J1009" s="31"/>
      <c r="K1009" s="31"/>
      <c r="L1009" s="31" t="s">
        <v>75</v>
      </c>
    </row>
    <row r="1010">
      <c r="A1010" s="36">
        <v>45539.0</v>
      </c>
      <c r="B1010" s="31" t="s">
        <v>2464</v>
      </c>
      <c r="C1010" s="31" t="s">
        <v>2465</v>
      </c>
      <c r="D1010" s="32" t="s">
        <v>14</v>
      </c>
      <c r="E1010" s="28" t="s">
        <v>71</v>
      </c>
      <c r="F1010" s="33"/>
      <c r="G1010" s="32" t="s">
        <v>72</v>
      </c>
      <c r="H1010" s="31" t="s">
        <v>1020</v>
      </c>
      <c r="I1010" s="31" t="s">
        <v>1486</v>
      </c>
      <c r="J1010" s="31"/>
      <c r="K1010" s="31"/>
      <c r="L1010" s="31" t="s">
        <v>78</v>
      </c>
    </row>
    <row r="1011">
      <c r="A1011" s="36">
        <v>45539.0</v>
      </c>
      <c r="B1011" s="31" t="s">
        <v>2466</v>
      </c>
      <c r="C1011" s="31" t="s">
        <v>2467</v>
      </c>
      <c r="D1011" s="32" t="s">
        <v>14</v>
      </c>
      <c r="E1011" s="28" t="s">
        <v>71</v>
      </c>
      <c r="F1011" s="39" t="s">
        <v>2468</v>
      </c>
      <c r="G1011" s="32" t="s">
        <v>1043</v>
      </c>
      <c r="H1011" s="31" t="s">
        <v>1151</v>
      </c>
      <c r="I1011" s="31" t="s">
        <v>1054</v>
      </c>
      <c r="J1011" s="31"/>
      <c r="K1011" s="31"/>
      <c r="L1011" s="31" t="s">
        <v>75</v>
      </c>
    </row>
    <row r="1012">
      <c r="A1012" s="36">
        <v>45539.0</v>
      </c>
      <c r="B1012" s="31" t="s">
        <v>2469</v>
      </c>
      <c r="C1012" s="31" t="s">
        <v>2470</v>
      </c>
      <c r="D1012" s="32" t="s">
        <v>22</v>
      </c>
      <c r="E1012" s="28" t="s">
        <v>71</v>
      </c>
      <c r="F1012" s="33"/>
      <c r="G1012" s="32" t="s">
        <v>72</v>
      </c>
      <c r="H1012" s="31" t="s">
        <v>2471</v>
      </c>
      <c r="I1012" s="31" t="s">
        <v>1085</v>
      </c>
      <c r="J1012" s="31"/>
      <c r="K1012" s="31"/>
      <c r="L1012" s="31" t="s">
        <v>78</v>
      </c>
    </row>
    <row r="1013">
      <c r="A1013" s="36">
        <v>45539.0</v>
      </c>
      <c r="B1013" s="31" t="s">
        <v>2472</v>
      </c>
      <c r="C1013" s="31" t="s">
        <v>2473</v>
      </c>
      <c r="D1013" s="32" t="s">
        <v>16</v>
      </c>
      <c r="E1013" s="28" t="s">
        <v>71</v>
      </c>
      <c r="F1013" s="33">
        <v>9.16328751E9</v>
      </c>
      <c r="G1013" s="32" t="s">
        <v>54</v>
      </c>
      <c r="H1013" s="31" t="s">
        <v>1870</v>
      </c>
      <c r="I1013" s="31" t="s">
        <v>1075</v>
      </c>
      <c r="J1013" s="31"/>
      <c r="K1013" s="31"/>
      <c r="L1013" s="31" t="s">
        <v>78</v>
      </c>
    </row>
    <row r="1014">
      <c r="A1014" s="36">
        <v>45546.0</v>
      </c>
      <c r="B1014" s="31" t="s">
        <v>2474</v>
      </c>
      <c r="C1014" s="31" t="s">
        <v>2475</v>
      </c>
      <c r="D1014" s="32" t="s">
        <v>14</v>
      </c>
      <c r="E1014" s="28" t="s">
        <v>71</v>
      </c>
      <c r="F1014" s="33"/>
      <c r="G1014" s="32" t="s">
        <v>72</v>
      </c>
      <c r="H1014" s="31" t="s">
        <v>1020</v>
      </c>
      <c r="I1014" s="31" t="s">
        <v>1114</v>
      </c>
      <c r="J1014" s="31"/>
      <c r="K1014" s="31"/>
      <c r="L1014" s="31" t="s">
        <v>75</v>
      </c>
    </row>
    <row r="1015">
      <c r="A1015" s="36">
        <v>45547.0</v>
      </c>
      <c r="B1015" s="31" t="s">
        <v>2476</v>
      </c>
      <c r="C1015" s="31" t="s">
        <v>2477</v>
      </c>
      <c r="D1015" s="32" t="s">
        <v>14</v>
      </c>
      <c r="E1015" s="28" t="s">
        <v>71</v>
      </c>
      <c r="F1015" s="33" t="s">
        <v>2478</v>
      </c>
      <c r="G1015" s="32" t="s">
        <v>72</v>
      </c>
      <c r="H1015" s="31" t="s">
        <v>1425</v>
      </c>
      <c r="I1015" s="31" t="s">
        <v>1029</v>
      </c>
      <c r="J1015" s="31"/>
      <c r="K1015" s="31"/>
      <c r="L1015" s="31" t="s">
        <v>75</v>
      </c>
    </row>
    <row r="1016">
      <c r="A1016" s="36">
        <v>45551.0</v>
      </c>
      <c r="B1016" s="31" t="s">
        <v>2479</v>
      </c>
      <c r="C1016" s="31" t="s">
        <v>1553</v>
      </c>
      <c r="D1016" s="32" t="s">
        <v>33</v>
      </c>
      <c r="E1016" s="28" t="s">
        <v>71</v>
      </c>
      <c r="F1016" s="33"/>
      <c r="G1016" s="32" t="s">
        <v>72</v>
      </c>
      <c r="H1016" s="31" t="s">
        <v>2480</v>
      </c>
      <c r="I1016" s="31" t="s">
        <v>1356</v>
      </c>
      <c r="J1016" s="31"/>
      <c r="K1016" s="31"/>
      <c r="L1016" s="31" t="s">
        <v>75</v>
      </c>
    </row>
    <row r="1017">
      <c r="A1017" s="36">
        <v>45551.0</v>
      </c>
      <c r="B1017" s="31" t="s">
        <v>2481</v>
      </c>
      <c r="C1017" s="31" t="s">
        <v>2482</v>
      </c>
      <c r="D1017" s="32" t="s">
        <v>14</v>
      </c>
      <c r="E1017" s="28" t="s">
        <v>71</v>
      </c>
      <c r="F1017" s="33"/>
      <c r="G1017" s="32" t="s">
        <v>72</v>
      </c>
      <c r="H1017" s="31" t="s">
        <v>2483</v>
      </c>
      <c r="I1017" s="31" t="s">
        <v>1044</v>
      </c>
      <c r="J1017" s="31"/>
      <c r="K1017" s="31"/>
      <c r="L1017" s="31" t="s">
        <v>75</v>
      </c>
    </row>
    <row r="1018">
      <c r="A1018" s="36">
        <v>45551.0</v>
      </c>
      <c r="B1018" s="31" t="s">
        <v>2484</v>
      </c>
      <c r="C1018" s="31" t="s">
        <v>2485</v>
      </c>
      <c r="D1018" s="32" t="s">
        <v>47</v>
      </c>
      <c r="E1018" s="28" t="s">
        <v>71</v>
      </c>
      <c r="F1018" s="33">
        <v>8.439887943E9</v>
      </c>
      <c r="G1018" s="32" t="s">
        <v>54</v>
      </c>
      <c r="H1018" s="31" t="s">
        <v>1870</v>
      </c>
      <c r="I1018" s="31" t="s">
        <v>2189</v>
      </c>
      <c r="J1018" s="31"/>
      <c r="K1018" s="31"/>
      <c r="L1018" s="31" t="s">
        <v>78</v>
      </c>
    </row>
    <row r="1019">
      <c r="A1019" s="36">
        <v>45553.0</v>
      </c>
      <c r="B1019" s="31" t="s">
        <v>2486</v>
      </c>
      <c r="C1019" s="31" t="s">
        <v>2487</v>
      </c>
      <c r="D1019" s="32" t="s">
        <v>21</v>
      </c>
      <c r="E1019" s="28" t="s">
        <v>71</v>
      </c>
      <c r="F1019" s="33">
        <v>8.826282286E9</v>
      </c>
      <c r="G1019" s="32" t="s">
        <v>72</v>
      </c>
      <c r="H1019" s="31" t="s">
        <v>2303</v>
      </c>
      <c r="I1019" s="31" t="s">
        <v>1103</v>
      </c>
      <c r="J1019" s="31"/>
      <c r="K1019" s="31"/>
      <c r="L1019" s="31" t="s">
        <v>75</v>
      </c>
    </row>
    <row r="1020">
      <c r="A1020" s="36">
        <v>45554.0</v>
      </c>
      <c r="B1020" s="31" t="s">
        <v>2488</v>
      </c>
      <c r="C1020" s="31" t="s">
        <v>2489</v>
      </c>
      <c r="D1020" s="32" t="s">
        <v>16</v>
      </c>
      <c r="E1020" s="28" t="s">
        <v>71</v>
      </c>
      <c r="F1020" s="33" t="s">
        <v>2490</v>
      </c>
      <c r="G1020" s="32" t="s">
        <v>54</v>
      </c>
      <c r="H1020" s="31" t="s">
        <v>1870</v>
      </c>
      <c r="I1020" s="31" t="s">
        <v>1808</v>
      </c>
      <c r="J1020" s="31"/>
      <c r="K1020" s="31"/>
      <c r="L1020" s="31" t="s">
        <v>78</v>
      </c>
    </row>
    <row r="1021">
      <c r="A1021" s="36">
        <v>45558.0</v>
      </c>
      <c r="B1021" s="26" t="s">
        <v>1886</v>
      </c>
      <c r="C1021" s="31" t="s">
        <v>2491</v>
      </c>
      <c r="D1021" s="32" t="s">
        <v>36</v>
      </c>
      <c r="E1021" s="28" t="s">
        <v>71</v>
      </c>
      <c r="F1021" s="33"/>
      <c r="G1021" s="32" t="s">
        <v>54</v>
      </c>
      <c r="H1021" s="31" t="s">
        <v>1870</v>
      </c>
      <c r="I1021" s="31" t="s">
        <v>1488</v>
      </c>
      <c r="J1021" s="31"/>
      <c r="K1021" s="31"/>
      <c r="L1021" s="31" t="s">
        <v>78</v>
      </c>
    </row>
    <row r="1022">
      <c r="A1022" s="36">
        <v>45558.0</v>
      </c>
      <c r="B1022" s="31" t="s">
        <v>2492</v>
      </c>
      <c r="C1022" s="31" t="s">
        <v>2493</v>
      </c>
      <c r="D1022" s="32" t="s">
        <v>47</v>
      </c>
      <c r="E1022" s="28" t="s">
        <v>71</v>
      </c>
      <c r="F1022" s="33"/>
      <c r="G1022" s="32" t="s">
        <v>54</v>
      </c>
      <c r="H1022" s="31" t="s">
        <v>1870</v>
      </c>
      <c r="I1022" s="31" t="s">
        <v>1368</v>
      </c>
      <c r="J1022" s="31"/>
      <c r="K1022" s="31"/>
      <c r="L1022" s="31" t="s">
        <v>78</v>
      </c>
    </row>
    <row r="1023">
      <c r="A1023" s="36">
        <v>45558.0</v>
      </c>
      <c r="B1023" s="31" t="s">
        <v>2494</v>
      </c>
      <c r="C1023" s="31" t="s">
        <v>2495</v>
      </c>
      <c r="D1023" s="32" t="s">
        <v>47</v>
      </c>
      <c r="E1023" s="28" t="s">
        <v>71</v>
      </c>
      <c r="F1023" s="33"/>
      <c r="G1023" s="32" t="s">
        <v>54</v>
      </c>
      <c r="H1023" s="31" t="s">
        <v>1870</v>
      </c>
      <c r="I1023" s="31" t="s">
        <v>1368</v>
      </c>
      <c r="J1023" s="31"/>
      <c r="K1023" s="31"/>
      <c r="L1023" s="31" t="s">
        <v>78</v>
      </c>
    </row>
    <row r="1024">
      <c r="A1024" s="36">
        <v>45559.0</v>
      </c>
      <c r="B1024" s="31" t="s">
        <v>2496</v>
      </c>
      <c r="C1024" s="31" t="s">
        <v>2497</v>
      </c>
      <c r="D1024" s="32" t="s">
        <v>47</v>
      </c>
      <c r="E1024" s="28" t="s">
        <v>71</v>
      </c>
      <c r="F1024" s="33"/>
      <c r="G1024" s="32" t="s">
        <v>72</v>
      </c>
      <c r="H1024" s="31" t="s">
        <v>2029</v>
      </c>
      <c r="I1024" s="31" t="s">
        <v>1210</v>
      </c>
      <c r="J1024" s="31"/>
      <c r="K1024" s="31"/>
      <c r="L1024" s="31" t="s">
        <v>75</v>
      </c>
    </row>
    <row r="1025">
      <c r="A1025" s="36">
        <v>45559.0</v>
      </c>
      <c r="B1025" s="31" t="s">
        <v>2498</v>
      </c>
      <c r="C1025" s="31" t="s">
        <v>2499</v>
      </c>
      <c r="D1025" s="32" t="s">
        <v>22</v>
      </c>
      <c r="E1025" s="28" t="s">
        <v>71</v>
      </c>
      <c r="F1025" s="33" t="s">
        <v>2500</v>
      </c>
      <c r="G1025" s="32" t="s">
        <v>72</v>
      </c>
      <c r="H1025" s="31" t="s">
        <v>1120</v>
      </c>
      <c r="I1025" s="31" t="s">
        <v>1224</v>
      </c>
      <c r="J1025" s="31"/>
      <c r="K1025" s="31"/>
      <c r="L1025" s="31" t="s">
        <v>78</v>
      </c>
    </row>
    <row r="1026">
      <c r="A1026" s="36">
        <v>45559.0</v>
      </c>
      <c r="B1026" s="31" t="s">
        <v>2501</v>
      </c>
      <c r="C1026" s="31" t="s">
        <v>2502</v>
      </c>
      <c r="D1026" s="32" t="s">
        <v>14</v>
      </c>
      <c r="E1026" s="28" t="s">
        <v>71</v>
      </c>
      <c r="F1026" s="33" t="s">
        <v>2503</v>
      </c>
      <c r="G1026" s="32" t="s">
        <v>72</v>
      </c>
      <c r="H1026" s="31" t="s">
        <v>1107</v>
      </c>
      <c r="I1026" s="31" t="s">
        <v>1331</v>
      </c>
      <c r="J1026" s="31"/>
      <c r="K1026" s="31"/>
      <c r="L1026" s="31" t="s">
        <v>78</v>
      </c>
    </row>
    <row r="1027">
      <c r="A1027" s="36">
        <v>45559.0</v>
      </c>
      <c r="B1027" s="31" t="s">
        <v>2504</v>
      </c>
      <c r="C1027" s="31" t="s">
        <v>2505</v>
      </c>
      <c r="D1027" s="32" t="s">
        <v>47</v>
      </c>
      <c r="E1027" s="28" t="s">
        <v>71</v>
      </c>
      <c r="F1027" s="33">
        <v>8.439887943E9</v>
      </c>
      <c r="G1027" s="32" t="s">
        <v>54</v>
      </c>
      <c r="H1027" s="31" t="s">
        <v>2506</v>
      </c>
      <c r="I1027" s="31" t="s">
        <v>2189</v>
      </c>
      <c r="J1027" s="31"/>
      <c r="K1027" s="31"/>
      <c r="L1027" s="31" t="s">
        <v>78</v>
      </c>
    </row>
    <row r="1028">
      <c r="A1028" s="36">
        <v>45560.0</v>
      </c>
      <c r="B1028" s="31" t="s">
        <v>2507</v>
      </c>
      <c r="C1028" s="31" t="s">
        <v>1784</v>
      </c>
      <c r="D1028" s="32" t="s">
        <v>33</v>
      </c>
      <c r="E1028" s="28" t="s">
        <v>71</v>
      </c>
      <c r="F1028" s="33"/>
      <c r="G1028" s="32" t="s">
        <v>72</v>
      </c>
      <c r="H1028" s="31" t="s">
        <v>2508</v>
      </c>
      <c r="I1028" s="31" t="s">
        <v>1133</v>
      </c>
      <c r="J1028" s="31"/>
      <c r="K1028" s="31"/>
      <c r="L1028" s="31" t="s">
        <v>78</v>
      </c>
    </row>
    <row r="1029">
      <c r="A1029" s="36">
        <v>45560.0</v>
      </c>
      <c r="B1029" s="31" t="s">
        <v>2509</v>
      </c>
      <c r="C1029" s="31" t="s">
        <v>2510</v>
      </c>
      <c r="D1029" s="32" t="s">
        <v>25</v>
      </c>
      <c r="E1029" s="28" t="s">
        <v>71</v>
      </c>
      <c r="F1029" s="33"/>
      <c r="G1029" s="32" t="s">
        <v>72</v>
      </c>
      <c r="H1029" s="31" t="s">
        <v>2511</v>
      </c>
      <c r="I1029" s="31" t="s">
        <v>1411</v>
      </c>
      <c r="J1029" s="31"/>
      <c r="K1029" s="31"/>
      <c r="L1029" s="31" t="s">
        <v>78</v>
      </c>
    </row>
    <row r="1030">
      <c r="A1030" s="36">
        <v>45560.0</v>
      </c>
      <c r="B1030" s="31" t="s">
        <v>1886</v>
      </c>
      <c r="C1030" s="31" t="s">
        <v>2512</v>
      </c>
      <c r="D1030" s="32" t="s">
        <v>36</v>
      </c>
      <c r="E1030" s="28" t="s">
        <v>71</v>
      </c>
      <c r="F1030" s="33"/>
      <c r="G1030" s="32" t="s">
        <v>54</v>
      </c>
      <c r="H1030" s="31" t="s">
        <v>1870</v>
      </c>
      <c r="I1030" s="31" t="s">
        <v>1488</v>
      </c>
      <c r="J1030" s="31"/>
      <c r="K1030" s="31"/>
      <c r="L1030" s="31" t="s">
        <v>78</v>
      </c>
    </row>
    <row r="1031">
      <c r="A1031" s="36">
        <v>45560.0</v>
      </c>
      <c r="B1031" s="31" t="s">
        <v>1487</v>
      </c>
      <c r="C1031" s="31" t="s">
        <v>2513</v>
      </c>
      <c r="D1031" s="32" t="s">
        <v>36</v>
      </c>
      <c r="E1031" s="28" t="s">
        <v>71</v>
      </c>
      <c r="F1031" s="33"/>
      <c r="G1031" s="32" t="s">
        <v>54</v>
      </c>
      <c r="H1031" s="31" t="s">
        <v>1870</v>
      </c>
      <c r="I1031" s="31" t="s">
        <v>1488</v>
      </c>
      <c r="J1031" s="31"/>
      <c r="K1031" s="31"/>
      <c r="L1031" s="31" t="s">
        <v>78</v>
      </c>
    </row>
    <row r="1032">
      <c r="A1032" s="36">
        <v>45560.0</v>
      </c>
      <c r="B1032" s="31" t="s">
        <v>2514</v>
      </c>
      <c r="C1032" s="31" t="s">
        <v>2515</v>
      </c>
      <c r="D1032" s="32" t="s">
        <v>47</v>
      </c>
      <c r="E1032" s="28" t="s">
        <v>71</v>
      </c>
      <c r="F1032" s="33"/>
      <c r="G1032" s="32" t="s">
        <v>54</v>
      </c>
      <c r="H1032" s="31" t="s">
        <v>1870</v>
      </c>
      <c r="I1032" s="31" t="s">
        <v>1206</v>
      </c>
      <c r="J1032" s="31"/>
      <c r="K1032" s="31"/>
      <c r="L1032" s="31" t="s">
        <v>78</v>
      </c>
    </row>
    <row r="1033">
      <c r="A1033" s="36">
        <v>45562.0</v>
      </c>
      <c r="B1033" s="31" t="s">
        <v>2516</v>
      </c>
      <c r="C1033" s="31" t="s">
        <v>2517</v>
      </c>
      <c r="D1033" s="32" t="s">
        <v>39</v>
      </c>
      <c r="E1033" s="28" t="s">
        <v>71</v>
      </c>
      <c r="F1033" s="33">
        <v>9.28929915E9</v>
      </c>
      <c r="G1033" s="32" t="s">
        <v>54</v>
      </c>
      <c r="H1033" s="31" t="s">
        <v>54</v>
      </c>
      <c r="I1033" s="31" t="s">
        <v>2145</v>
      </c>
      <c r="J1033" s="31"/>
      <c r="K1033" s="31"/>
      <c r="L1033" s="31" t="s">
        <v>78</v>
      </c>
    </row>
    <row r="1034">
      <c r="A1034" s="36">
        <v>45569.0</v>
      </c>
      <c r="B1034" s="31" t="s">
        <v>2518</v>
      </c>
      <c r="C1034" s="31" t="s">
        <v>2519</v>
      </c>
      <c r="D1034" s="32" t="s">
        <v>14</v>
      </c>
      <c r="E1034" s="28" t="s">
        <v>71</v>
      </c>
      <c r="F1034" s="33"/>
      <c r="G1034" s="32" t="s">
        <v>1043</v>
      </c>
      <c r="H1034" s="31" t="s">
        <v>1156</v>
      </c>
      <c r="I1034" s="31" t="s">
        <v>1044</v>
      </c>
      <c r="J1034" s="31"/>
      <c r="K1034" s="31"/>
      <c r="L1034" s="31" t="s">
        <v>75</v>
      </c>
    </row>
    <row r="1035">
      <c r="A1035" s="36">
        <v>45573.0</v>
      </c>
      <c r="B1035" s="31" t="s">
        <v>2520</v>
      </c>
      <c r="C1035" s="31" t="s">
        <v>2521</v>
      </c>
      <c r="D1035" s="32" t="s">
        <v>21</v>
      </c>
      <c r="E1035" s="28" t="s">
        <v>71</v>
      </c>
      <c r="F1035" s="33">
        <v>7.694966881E9</v>
      </c>
      <c r="G1035" s="32" t="s">
        <v>54</v>
      </c>
      <c r="H1035" s="31" t="s">
        <v>1870</v>
      </c>
      <c r="I1035" s="31" t="s">
        <v>1164</v>
      </c>
      <c r="J1035" s="31"/>
      <c r="K1035" s="31"/>
      <c r="L1035" s="31" t="s">
        <v>78</v>
      </c>
    </row>
    <row r="1036">
      <c r="A1036" s="36">
        <v>45580.0</v>
      </c>
      <c r="B1036" s="31" t="s">
        <v>2522</v>
      </c>
      <c r="C1036" s="31" t="s">
        <v>1238</v>
      </c>
      <c r="D1036" s="32" t="s">
        <v>39</v>
      </c>
      <c r="E1036" s="28" t="s">
        <v>71</v>
      </c>
      <c r="F1036" s="33"/>
      <c r="G1036" s="32" t="s">
        <v>72</v>
      </c>
      <c r="H1036" s="31" t="s">
        <v>2523</v>
      </c>
      <c r="I1036" s="31" t="s">
        <v>1056</v>
      </c>
      <c r="J1036" s="31"/>
      <c r="K1036" s="31"/>
      <c r="L1036" s="31" t="s">
        <v>78</v>
      </c>
    </row>
    <row r="1037">
      <c r="A1037" s="36">
        <v>45581.0</v>
      </c>
      <c r="B1037" s="31" t="s">
        <v>2045</v>
      </c>
      <c r="C1037" s="31" t="s">
        <v>2524</v>
      </c>
      <c r="D1037" s="32" t="s">
        <v>14</v>
      </c>
      <c r="E1037" s="28" t="s">
        <v>71</v>
      </c>
      <c r="F1037" s="33" t="s">
        <v>2525</v>
      </c>
      <c r="G1037" s="32" t="s">
        <v>72</v>
      </c>
      <c r="H1037" s="31" t="s">
        <v>1425</v>
      </c>
      <c r="I1037" s="31" t="s">
        <v>1331</v>
      </c>
      <c r="J1037" s="31"/>
      <c r="K1037" s="31"/>
      <c r="L1037" s="31" t="s">
        <v>78</v>
      </c>
    </row>
    <row r="1038">
      <c r="A1038" s="36">
        <v>45582.0</v>
      </c>
      <c r="B1038" s="31" t="s">
        <v>2526</v>
      </c>
      <c r="C1038" s="31" t="s">
        <v>2527</v>
      </c>
      <c r="D1038" s="32" t="s">
        <v>14</v>
      </c>
      <c r="E1038" s="28" t="s">
        <v>71</v>
      </c>
      <c r="F1038" s="33"/>
      <c r="G1038" s="32" t="s">
        <v>72</v>
      </c>
      <c r="H1038" s="31" t="s">
        <v>1115</v>
      </c>
      <c r="I1038" s="31" t="s">
        <v>1931</v>
      </c>
      <c r="J1038" s="31"/>
      <c r="K1038" s="31"/>
      <c r="L1038" s="31" t="s">
        <v>78</v>
      </c>
    </row>
    <row r="1039">
      <c r="A1039" s="36">
        <v>45582.0</v>
      </c>
      <c r="B1039" s="31" t="s">
        <v>2526</v>
      </c>
      <c r="C1039" s="31" t="s">
        <v>2528</v>
      </c>
      <c r="D1039" s="32" t="s">
        <v>14</v>
      </c>
      <c r="E1039" s="28" t="s">
        <v>71</v>
      </c>
      <c r="F1039" s="33"/>
      <c r="G1039" s="32" t="s">
        <v>72</v>
      </c>
      <c r="H1039" s="31" t="s">
        <v>1115</v>
      </c>
      <c r="I1039" s="31" t="s">
        <v>1931</v>
      </c>
      <c r="J1039" s="31"/>
      <c r="K1039" s="31"/>
      <c r="L1039" s="31" t="s">
        <v>78</v>
      </c>
    </row>
    <row r="1040">
      <c r="A1040" s="36">
        <v>45586.0</v>
      </c>
      <c r="B1040" s="31" t="s">
        <v>2529</v>
      </c>
      <c r="C1040" s="31" t="s">
        <v>2530</v>
      </c>
      <c r="D1040" s="32" t="s">
        <v>21</v>
      </c>
      <c r="E1040" s="28" t="s">
        <v>71</v>
      </c>
      <c r="F1040" s="33">
        <v>9.81118899E9</v>
      </c>
      <c r="G1040" s="32" t="s">
        <v>72</v>
      </c>
      <c r="H1040" s="31" t="s">
        <v>2303</v>
      </c>
      <c r="I1040" s="31" t="s">
        <v>1103</v>
      </c>
      <c r="J1040" s="31"/>
      <c r="K1040" s="31"/>
      <c r="L1040" s="31" t="s">
        <v>75</v>
      </c>
    </row>
    <row r="1041">
      <c r="A1041" s="36">
        <v>45587.0</v>
      </c>
      <c r="B1041" s="31" t="s">
        <v>2531</v>
      </c>
      <c r="C1041" s="31" t="s">
        <v>2532</v>
      </c>
      <c r="D1041" s="32" t="s">
        <v>14</v>
      </c>
      <c r="E1041" s="28" t="s">
        <v>71</v>
      </c>
      <c r="F1041" s="33"/>
      <c r="G1041" s="32" t="s">
        <v>72</v>
      </c>
      <c r="H1041" s="31" t="s">
        <v>1047</v>
      </c>
      <c r="I1041" s="31" t="s">
        <v>2129</v>
      </c>
      <c r="J1041" s="31"/>
      <c r="K1041" s="31"/>
      <c r="L1041" s="31" t="s">
        <v>75</v>
      </c>
    </row>
    <row r="1042">
      <c r="A1042" s="36">
        <v>45588.0</v>
      </c>
      <c r="B1042" s="31" t="s">
        <v>2533</v>
      </c>
      <c r="C1042" s="31" t="s">
        <v>2534</v>
      </c>
      <c r="D1042" s="32" t="s">
        <v>16</v>
      </c>
      <c r="E1042" s="28" t="s">
        <v>71</v>
      </c>
      <c r="F1042" s="33"/>
      <c r="G1042" s="32" t="s">
        <v>72</v>
      </c>
      <c r="H1042" s="31" t="s">
        <v>2298</v>
      </c>
      <c r="I1042" s="31" t="s">
        <v>1017</v>
      </c>
      <c r="J1042" s="31"/>
      <c r="K1042" s="31"/>
      <c r="L1042" s="31" t="s">
        <v>78</v>
      </c>
    </row>
    <row r="1043">
      <c r="A1043" s="36">
        <v>45588.0</v>
      </c>
      <c r="B1043" s="31" t="s">
        <v>2535</v>
      </c>
      <c r="C1043" s="31" t="s">
        <v>2536</v>
      </c>
      <c r="D1043" s="32" t="s">
        <v>22</v>
      </c>
      <c r="E1043" s="28" t="s">
        <v>71</v>
      </c>
      <c r="F1043" s="33"/>
      <c r="G1043" s="32" t="s">
        <v>72</v>
      </c>
      <c r="H1043" s="31" t="s">
        <v>1120</v>
      </c>
      <c r="I1043" s="31" t="s">
        <v>1121</v>
      </c>
      <c r="J1043" s="31"/>
      <c r="K1043" s="31"/>
      <c r="L1043" s="31" t="s">
        <v>75</v>
      </c>
    </row>
    <row r="1044">
      <c r="A1044" s="36">
        <v>45590.0</v>
      </c>
      <c r="B1044" s="31" t="s">
        <v>2537</v>
      </c>
      <c r="C1044" s="31" t="s">
        <v>2538</v>
      </c>
      <c r="D1044" s="32" t="s">
        <v>14</v>
      </c>
      <c r="E1044" s="28" t="s">
        <v>71</v>
      </c>
      <c r="F1044" s="33">
        <v>8.010583231E9</v>
      </c>
      <c r="G1044" s="32" t="s">
        <v>54</v>
      </c>
      <c r="H1044" s="31" t="s">
        <v>54</v>
      </c>
      <c r="I1044" s="31" t="s">
        <v>1206</v>
      </c>
      <c r="J1044" s="31"/>
      <c r="K1044" s="31"/>
      <c r="L1044" s="31" t="s">
        <v>78</v>
      </c>
    </row>
    <row r="1045">
      <c r="A1045" s="36">
        <v>45600.0</v>
      </c>
      <c r="B1045" s="31" t="s">
        <v>2539</v>
      </c>
      <c r="C1045" s="31" t="s">
        <v>2540</v>
      </c>
      <c r="D1045" s="32" t="s">
        <v>21</v>
      </c>
      <c r="E1045" s="28" t="s">
        <v>71</v>
      </c>
      <c r="F1045" s="33"/>
      <c r="G1045" s="32" t="s">
        <v>72</v>
      </c>
      <c r="H1045" s="31" t="s">
        <v>1183</v>
      </c>
      <c r="I1045" s="31" t="s">
        <v>410</v>
      </c>
      <c r="J1045" s="31"/>
      <c r="K1045" s="31"/>
      <c r="L1045" s="31" t="s">
        <v>75</v>
      </c>
    </row>
    <row r="1046">
      <c r="A1046" s="36">
        <v>45600.0</v>
      </c>
      <c r="B1046" s="31" t="s">
        <v>2541</v>
      </c>
      <c r="C1046" s="31" t="s">
        <v>2542</v>
      </c>
      <c r="D1046" s="32" t="s">
        <v>21</v>
      </c>
      <c r="E1046" s="28" t="s">
        <v>71</v>
      </c>
      <c r="F1046" s="33" t="s">
        <v>2543</v>
      </c>
      <c r="G1046" s="32" t="s">
        <v>72</v>
      </c>
      <c r="H1046" s="31" t="s">
        <v>1183</v>
      </c>
      <c r="I1046" s="31" t="s">
        <v>410</v>
      </c>
      <c r="J1046" s="31"/>
      <c r="K1046" s="31"/>
      <c r="L1046" s="31" t="s">
        <v>75</v>
      </c>
    </row>
    <row r="1047">
      <c r="A1047" s="36">
        <v>45600.0</v>
      </c>
      <c r="B1047" s="31" t="s">
        <v>2544</v>
      </c>
      <c r="C1047" s="31" t="s">
        <v>2545</v>
      </c>
      <c r="D1047" s="32" t="s">
        <v>14</v>
      </c>
      <c r="E1047" s="28" t="s">
        <v>71</v>
      </c>
      <c r="F1047" s="33" t="s">
        <v>2546</v>
      </c>
      <c r="G1047" s="32" t="s">
        <v>72</v>
      </c>
      <c r="H1047" s="31" t="s">
        <v>1020</v>
      </c>
      <c r="I1047" s="31" t="s">
        <v>1029</v>
      </c>
      <c r="J1047" s="31"/>
      <c r="K1047" s="31"/>
      <c r="L1047" s="31" t="s">
        <v>75</v>
      </c>
    </row>
    <row r="1048">
      <c r="A1048" s="36">
        <v>45602.0</v>
      </c>
      <c r="B1048" s="31" t="s">
        <v>2547</v>
      </c>
      <c r="C1048" s="31" t="s">
        <v>2548</v>
      </c>
      <c r="D1048" s="32" t="s">
        <v>22</v>
      </c>
      <c r="E1048" s="28" t="s">
        <v>71</v>
      </c>
      <c r="F1048" s="33"/>
      <c r="G1048" s="32" t="s">
        <v>2417</v>
      </c>
      <c r="H1048" s="31" t="s">
        <v>2549</v>
      </c>
      <c r="I1048" s="31" t="s">
        <v>2181</v>
      </c>
      <c r="J1048" s="31"/>
      <c r="K1048" s="31"/>
      <c r="L1048" s="31" t="s">
        <v>75</v>
      </c>
    </row>
    <row r="1049">
      <c r="A1049" s="36">
        <v>45603.0</v>
      </c>
      <c r="B1049" s="31" t="s">
        <v>2550</v>
      </c>
      <c r="C1049" s="31" t="s">
        <v>2551</v>
      </c>
      <c r="D1049" s="32" t="s">
        <v>14</v>
      </c>
      <c r="E1049" s="28" t="s">
        <v>71</v>
      </c>
      <c r="F1049" s="33"/>
      <c r="G1049" s="32" t="s">
        <v>72</v>
      </c>
      <c r="H1049" s="31" t="s">
        <v>2552</v>
      </c>
      <c r="I1049" s="31" t="s">
        <v>1048</v>
      </c>
      <c r="J1049" s="31"/>
      <c r="K1049" s="31"/>
      <c r="L1049" s="31" t="s">
        <v>75</v>
      </c>
    </row>
    <row r="1050">
      <c r="A1050" s="36">
        <v>45607.0</v>
      </c>
      <c r="B1050" s="31" t="s">
        <v>2553</v>
      </c>
      <c r="C1050" s="31" t="s">
        <v>2554</v>
      </c>
      <c r="D1050" s="32" t="s">
        <v>14</v>
      </c>
      <c r="E1050" s="28" t="s">
        <v>71</v>
      </c>
      <c r="F1050" s="33"/>
      <c r="G1050" s="32" t="s">
        <v>2417</v>
      </c>
      <c r="H1050" s="31" t="s">
        <v>1047</v>
      </c>
      <c r="I1050" s="31" t="s">
        <v>1044</v>
      </c>
      <c r="J1050" s="31"/>
      <c r="K1050" s="31"/>
      <c r="L1050" s="31" t="s">
        <v>75</v>
      </c>
    </row>
    <row r="1051">
      <c r="A1051" s="36">
        <v>45607.0</v>
      </c>
      <c r="B1051" s="31" t="s">
        <v>2555</v>
      </c>
      <c r="C1051" s="31" t="s">
        <v>2556</v>
      </c>
      <c r="D1051" s="32" t="s">
        <v>14</v>
      </c>
      <c r="E1051" s="28" t="s">
        <v>71</v>
      </c>
      <c r="F1051" s="33" t="s">
        <v>2557</v>
      </c>
      <c r="G1051" s="32" t="s">
        <v>2417</v>
      </c>
      <c r="H1051" s="31" t="s">
        <v>1428</v>
      </c>
      <c r="I1051" s="31" t="s">
        <v>1695</v>
      </c>
      <c r="J1051" s="31"/>
      <c r="K1051" s="31"/>
      <c r="L1051" s="31" t="s">
        <v>75</v>
      </c>
    </row>
    <row r="1052">
      <c r="A1052" s="36">
        <v>45607.0</v>
      </c>
      <c r="B1052" s="31" t="s">
        <v>2558</v>
      </c>
      <c r="C1052" s="31" t="s">
        <v>1833</v>
      </c>
      <c r="D1052" s="32" t="s">
        <v>25</v>
      </c>
      <c r="E1052" s="28" t="s">
        <v>71</v>
      </c>
      <c r="F1052" s="33"/>
      <c r="G1052" s="32" t="s">
        <v>72</v>
      </c>
      <c r="H1052" s="31" t="s">
        <v>2559</v>
      </c>
      <c r="I1052" s="31" t="s">
        <v>1905</v>
      </c>
      <c r="J1052" s="31"/>
      <c r="K1052" s="31"/>
      <c r="L1052" s="31" t="s">
        <v>78</v>
      </c>
    </row>
    <row r="1053">
      <c r="A1053" s="36">
        <v>45607.0</v>
      </c>
      <c r="B1053" s="31" t="s">
        <v>2560</v>
      </c>
      <c r="C1053" s="31" t="s">
        <v>2561</v>
      </c>
      <c r="D1053" s="32" t="s">
        <v>21</v>
      </c>
      <c r="E1053" s="28" t="s">
        <v>71</v>
      </c>
      <c r="F1053" s="33">
        <v>9.897939666E9</v>
      </c>
      <c r="G1053" s="32" t="s">
        <v>54</v>
      </c>
      <c r="H1053" s="31" t="s">
        <v>1870</v>
      </c>
      <c r="I1053" s="31" t="s">
        <v>1066</v>
      </c>
      <c r="J1053" s="31"/>
      <c r="K1053" s="31"/>
      <c r="L1053" s="31" t="s">
        <v>78</v>
      </c>
    </row>
    <row r="1054">
      <c r="A1054" s="36">
        <v>45607.0</v>
      </c>
      <c r="B1054" s="31" t="s">
        <v>2562</v>
      </c>
      <c r="C1054" s="31" t="s">
        <v>2563</v>
      </c>
      <c r="D1054" s="32" t="s">
        <v>21</v>
      </c>
      <c r="E1054" s="28" t="s">
        <v>71</v>
      </c>
      <c r="F1054" s="33">
        <v>9.897939666E9</v>
      </c>
      <c r="G1054" s="32" t="s">
        <v>54</v>
      </c>
      <c r="H1054" s="31" t="s">
        <v>2564</v>
      </c>
      <c r="I1054" s="31" t="s">
        <v>1066</v>
      </c>
      <c r="J1054" s="31"/>
      <c r="K1054" s="31"/>
      <c r="L1054" s="31" t="s">
        <v>78</v>
      </c>
    </row>
    <row r="1055">
      <c r="A1055" s="36">
        <v>45607.0</v>
      </c>
      <c r="B1055" s="31" t="s">
        <v>2565</v>
      </c>
      <c r="C1055" s="31" t="s">
        <v>2566</v>
      </c>
      <c r="D1055" s="32" t="s">
        <v>21</v>
      </c>
      <c r="E1055" s="28" t="s">
        <v>71</v>
      </c>
      <c r="F1055" s="33">
        <v>9.897939666E9</v>
      </c>
      <c r="G1055" s="32" t="s">
        <v>54</v>
      </c>
      <c r="H1055" s="31" t="s">
        <v>1870</v>
      </c>
      <c r="I1055" s="31" t="s">
        <v>1066</v>
      </c>
      <c r="J1055" s="31"/>
      <c r="K1055" s="31"/>
      <c r="L1055" s="31" t="s">
        <v>78</v>
      </c>
    </row>
    <row r="1056">
      <c r="A1056" s="36">
        <v>45615.0</v>
      </c>
      <c r="B1056" s="31" t="s">
        <v>2567</v>
      </c>
      <c r="C1056" s="31" t="s">
        <v>1135</v>
      </c>
      <c r="D1056" s="32" t="s">
        <v>33</v>
      </c>
      <c r="E1056" s="28" t="s">
        <v>71</v>
      </c>
      <c r="F1056" s="33"/>
      <c r="G1056" s="32" t="s">
        <v>72</v>
      </c>
      <c r="H1056" s="31" t="s">
        <v>2568</v>
      </c>
      <c r="I1056" s="31" t="s">
        <v>1056</v>
      </c>
      <c r="J1056" s="31"/>
      <c r="K1056" s="31"/>
      <c r="L1056" s="31" t="s">
        <v>78</v>
      </c>
    </row>
    <row r="1057">
      <c r="A1057" s="36">
        <v>45616.0</v>
      </c>
      <c r="B1057" s="31" t="s">
        <v>2569</v>
      </c>
      <c r="C1057" s="31" t="s">
        <v>2570</v>
      </c>
      <c r="D1057" s="32" t="s">
        <v>22</v>
      </c>
      <c r="E1057" s="28" t="s">
        <v>71</v>
      </c>
      <c r="F1057" s="33"/>
      <c r="G1057" s="32" t="s">
        <v>72</v>
      </c>
      <c r="H1057" s="31" t="s">
        <v>1120</v>
      </c>
      <c r="I1057" s="31" t="s">
        <v>1226</v>
      </c>
      <c r="J1057" s="31"/>
      <c r="K1057" s="31"/>
      <c r="L1057" s="31" t="s">
        <v>75</v>
      </c>
    </row>
    <row r="1058">
      <c r="A1058" s="36">
        <v>45621.0</v>
      </c>
      <c r="B1058" s="31" t="s">
        <v>2571</v>
      </c>
      <c r="C1058" s="31" t="s">
        <v>2572</v>
      </c>
      <c r="D1058" s="32" t="s">
        <v>14</v>
      </c>
      <c r="E1058" s="28" t="s">
        <v>71</v>
      </c>
      <c r="F1058" s="33"/>
      <c r="G1058" s="32" t="s">
        <v>72</v>
      </c>
      <c r="H1058" s="31" t="s">
        <v>2573</v>
      </c>
      <c r="I1058" s="31" t="s">
        <v>1206</v>
      </c>
      <c r="J1058" s="31"/>
      <c r="K1058" s="31"/>
      <c r="L1058" s="31" t="s">
        <v>75</v>
      </c>
    </row>
    <row r="1059">
      <c r="A1059" s="36">
        <v>45621.0</v>
      </c>
      <c r="B1059" s="31" t="s">
        <v>2574</v>
      </c>
      <c r="C1059" s="31" t="s">
        <v>2575</v>
      </c>
      <c r="D1059" s="32" t="s">
        <v>36</v>
      </c>
      <c r="E1059" s="28" t="s">
        <v>71</v>
      </c>
      <c r="F1059" s="33">
        <v>8.285299131E9</v>
      </c>
      <c r="G1059" s="32" t="s">
        <v>54</v>
      </c>
      <c r="H1059" s="31" t="s">
        <v>54</v>
      </c>
      <c r="I1059" s="31" t="s">
        <v>1491</v>
      </c>
      <c r="J1059" s="31"/>
      <c r="K1059" s="31"/>
      <c r="L1059" s="31" t="s">
        <v>78</v>
      </c>
    </row>
    <row r="1060">
      <c r="A1060" s="36">
        <v>45635.0</v>
      </c>
      <c r="B1060" s="31" t="s">
        <v>2576</v>
      </c>
      <c r="C1060" s="31" t="s">
        <v>1125</v>
      </c>
      <c r="D1060" s="32" t="s">
        <v>17</v>
      </c>
      <c r="E1060" s="28" t="s">
        <v>71</v>
      </c>
      <c r="F1060" s="33"/>
      <c r="G1060" s="32" t="s">
        <v>72</v>
      </c>
      <c r="H1060" s="31" t="s">
        <v>2577</v>
      </c>
      <c r="I1060" s="31" t="s">
        <v>1813</v>
      </c>
      <c r="J1060" s="31"/>
      <c r="K1060" s="31"/>
      <c r="L1060" s="31" t="s">
        <v>75</v>
      </c>
    </row>
    <row r="1061">
      <c r="A1061" s="36">
        <v>45635.0</v>
      </c>
      <c r="B1061" s="31" t="s">
        <v>2578</v>
      </c>
      <c r="C1061" s="31" t="s">
        <v>2579</v>
      </c>
      <c r="D1061" s="32" t="s">
        <v>22</v>
      </c>
      <c r="E1061" s="28" t="s">
        <v>71</v>
      </c>
      <c r="F1061" s="33" t="s">
        <v>2580</v>
      </c>
      <c r="G1061" s="32" t="s">
        <v>72</v>
      </c>
      <c r="H1061" s="31" t="s">
        <v>2581</v>
      </c>
      <c r="I1061" s="31" t="s">
        <v>1243</v>
      </c>
      <c r="J1061" s="31"/>
      <c r="K1061" s="31"/>
      <c r="L1061" s="31" t="s">
        <v>78</v>
      </c>
    </row>
    <row r="1062">
      <c r="A1062" s="36">
        <v>45635.0</v>
      </c>
      <c r="B1062" s="31" t="s">
        <v>2582</v>
      </c>
      <c r="C1062" s="31" t="s">
        <v>1168</v>
      </c>
      <c r="D1062" s="32" t="s">
        <v>21</v>
      </c>
      <c r="E1062" s="28" t="s">
        <v>71</v>
      </c>
      <c r="F1062" s="33" t="s">
        <v>2583</v>
      </c>
      <c r="G1062" s="32" t="s">
        <v>72</v>
      </c>
      <c r="H1062" s="31" t="s">
        <v>2584</v>
      </c>
      <c r="I1062" s="31" t="s">
        <v>1769</v>
      </c>
      <c r="J1062" s="31"/>
      <c r="K1062" s="31"/>
      <c r="L1062" s="31" t="s">
        <v>75</v>
      </c>
    </row>
    <row r="1063">
      <c r="A1063" s="36">
        <v>45642.0</v>
      </c>
      <c r="B1063" s="31" t="s">
        <v>2585</v>
      </c>
      <c r="C1063" s="31" t="s">
        <v>2586</v>
      </c>
      <c r="D1063" s="32" t="s">
        <v>22</v>
      </c>
      <c r="E1063" s="28" t="s">
        <v>71</v>
      </c>
      <c r="F1063" s="33"/>
      <c r="G1063" s="32" t="s">
        <v>72</v>
      </c>
      <c r="H1063" s="31" t="s">
        <v>1234</v>
      </c>
      <c r="I1063" s="31" t="s">
        <v>1121</v>
      </c>
      <c r="J1063" s="31"/>
      <c r="K1063" s="31"/>
      <c r="L1063" s="31" t="s">
        <v>78</v>
      </c>
    </row>
    <row r="1064">
      <c r="A1064" s="36">
        <v>45642.0</v>
      </c>
      <c r="B1064" s="31" t="s">
        <v>2587</v>
      </c>
      <c r="C1064" s="31" t="s">
        <v>2588</v>
      </c>
      <c r="D1064" s="32" t="s">
        <v>22</v>
      </c>
      <c r="E1064" s="28" t="s">
        <v>71</v>
      </c>
      <c r="F1064" s="33" t="s">
        <v>2589</v>
      </c>
      <c r="G1064" s="32" t="s">
        <v>2590</v>
      </c>
      <c r="H1064" s="31" t="s">
        <v>2171</v>
      </c>
      <c r="I1064" s="31" t="s">
        <v>1085</v>
      </c>
      <c r="J1064" s="31"/>
      <c r="K1064" s="31"/>
      <c r="L1064" s="31" t="s">
        <v>75</v>
      </c>
    </row>
    <row r="1065">
      <c r="A1065" s="36">
        <v>45643.0</v>
      </c>
      <c r="B1065" s="31" t="s">
        <v>2591</v>
      </c>
      <c r="C1065" s="31" t="s">
        <v>1121</v>
      </c>
      <c r="D1065" s="32" t="s">
        <v>22</v>
      </c>
      <c r="E1065" s="28" t="s">
        <v>71</v>
      </c>
      <c r="F1065" s="33" t="s">
        <v>2592</v>
      </c>
      <c r="G1065" s="32" t="s">
        <v>72</v>
      </c>
      <c r="H1065" s="31" t="s">
        <v>2593</v>
      </c>
      <c r="I1065" s="31" t="s">
        <v>1243</v>
      </c>
      <c r="J1065" s="31"/>
      <c r="K1065" s="31"/>
      <c r="L1065" s="31" t="s">
        <v>78</v>
      </c>
    </row>
    <row r="1066">
      <c r="A1066" s="36">
        <v>45644.0</v>
      </c>
      <c r="B1066" s="31" t="s">
        <v>2594</v>
      </c>
      <c r="C1066" s="26" t="s">
        <v>2595</v>
      </c>
      <c r="D1066" s="32" t="s">
        <v>14</v>
      </c>
      <c r="E1066" s="28" t="s">
        <v>71</v>
      </c>
      <c r="F1066" s="33"/>
      <c r="G1066" s="32" t="s">
        <v>1043</v>
      </c>
      <c r="H1066" s="31" t="s">
        <v>1050</v>
      </c>
      <c r="I1066" s="31" t="s">
        <v>1044</v>
      </c>
      <c r="J1066" s="31"/>
      <c r="K1066" s="31"/>
      <c r="L1066" s="31" t="s">
        <v>75</v>
      </c>
    </row>
    <row r="1067">
      <c r="A1067" s="36">
        <v>45644.0</v>
      </c>
      <c r="B1067" s="31" t="s">
        <v>2596</v>
      </c>
      <c r="C1067" s="31" t="s">
        <v>2597</v>
      </c>
      <c r="D1067" s="32" t="s">
        <v>21</v>
      </c>
      <c r="E1067" s="28" t="s">
        <v>71</v>
      </c>
      <c r="F1067" s="33"/>
      <c r="G1067" s="32" t="s">
        <v>72</v>
      </c>
      <c r="H1067" s="31" t="s">
        <v>1186</v>
      </c>
      <c r="I1067" s="31" t="s">
        <v>1187</v>
      </c>
      <c r="J1067" s="31"/>
      <c r="K1067" s="31"/>
      <c r="L1067" s="31" t="s">
        <v>78</v>
      </c>
    </row>
    <row r="1068">
      <c r="A1068" s="36">
        <v>45646.0</v>
      </c>
      <c r="B1068" s="31" t="s">
        <v>2598</v>
      </c>
      <c r="C1068" s="31" t="s">
        <v>2599</v>
      </c>
      <c r="D1068" s="32" t="s">
        <v>47</v>
      </c>
      <c r="E1068" s="28" t="s">
        <v>71</v>
      </c>
      <c r="F1068" s="33">
        <v>8.439887943E9</v>
      </c>
      <c r="G1068" s="32" t="s">
        <v>54</v>
      </c>
      <c r="H1068" s="31" t="s">
        <v>54</v>
      </c>
      <c r="I1068" s="31" t="s">
        <v>2189</v>
      </c>
      <c r="J1068" s="31"/>
      <c r="K1068" s="31"/>
      <c r="L1068" s="31" t="s">
        <v>78</v>
      </c>
    </row>
    <row r="1069">
      <c r="A1069" s="36">
        <v>45649.0</v>
      </c>
      <c r="B1069" s="31" t="s">
        <v>2600</v>
      </c>
      <c r="C1069" s="31" t="s">
        <v>2601</v>
      </c>
      <c r="D1069" s="32" t="s">
        <v>21</v>
      </c>
      <c r="E1069" s="28" t="s">
        <v>71</v>
      </c>
      <c r="F1069" s="33"/>
      <c r="G1069" s="32" t="s">
        <v>72</v>
      </c>
      <c r="H1069" s="31" t="s">
        <v>1186</v>
      </c>
      <c r="I1069" s="31" t="s">
        <v>1187</v>
      </c>
      <c r="J1069" s="31"/>
      <c r="K1069" s="31"/>
      <c r="L1069" s="31" t="s">
        <v>75</v>
      </c>
    </row>
    <row r="1070">
      <c r="A1070" s="36">
        <v>45663.0</v>
      </c>
      <c r="B1070" s="31" t="s">
        <v>2602</v>
      </c>
      <c r="C1070" s="31" t="s">
        <v>2603</v>
      </c>
      <c r="D1070" s="32" t="s">
        <v>14</v>
      </c>
      <c r="E1070" s="28" t="s">
        <v>71</v>
      </c>
      <c r="F1070" s="40"/>
      <c r="G1070" s="32" t="s">
        <v>72</v>
      </c>
      <c r="H1070" s="31" t="s">
        <v>1428</v>
      </c>
      <c r="I1070" s="31" t="s">
        <v>262</v>
      </c>
      <c r="J1070" s="31"/>
      <c r="K1070" s="31"/>
      <c r="L1070" s="31" t="s">
        <v>75</v>
      </c>
    </row>
    <row r="1071">
      <c r="A1071" s="36">
        <v>45663.0</v>
      </c>
      <c r="B1071" s="31" t="s">
        <v>2604</v>
      </c>
      <c r="C1071" s="31" t="s">
        <v>2605</v>
      </c>
      <c r="D1071" s="32" t="s">
        <v>14</v>
      </c>
      <c r="E1071" s="28" t="s">
        <v>71</v>
      </c>
      <c r="F1071" s="33" t="s">
        <v>2606</v>
      </c>
      <c r="G1071" s="32" t="s">
        <v>72</v>
      </c>
      <c r="H1071" s="31" t="s">
        <v>1428</v>
      </c>
      <c r="I1071" s="31" t="s">
        <v>1479</v>
      </c>
      <c r="J1071" s="31"/>
      <c r="K1071" s="31"/>
      <c r="L1071" s="31" t="s">
        <v>78</v>
      </c>
    </row>
    <row r="1072">
      <c r="A1072" s="36">
        <v>45663.0</v>
      </c>
      <c r="B1072" s="31" t="s">
        <v>2607</v>
      </c>
      <c r="C1072" s="31" t="s">
        <v>2608</v>
      </c>
      <c r="D1072" s="32" t="s">
        <v>14</v>
      </c>
      <c r="E1072" s="28" t="s">
        <v>71</v>
      </c>
      <c r="F1072" s="33" t="s">
        <v>2609</v>
      </c>
      <c r="G1072" s="32" t="s">
        <v>72</v>
      </c>
      <c r="H1072" s="31" t="s">
        <v>1428</v>
      </c>
      <c r="I1072" s="31" t="s">
        <v>262</v>
      </c>
      <c r="J1072" s="31"/>
      <c r="K1072" s="31"/>
      <c r="L1072" s="31" t="s">
        <v>75</v>
      </c>
    </row>
    <row r="1073">
      <c r="A1073" s="36">
        <v>45663.0</v>
      </c>
      <c r="B1073" s="31" t="s">
        <v>155</v>
      </c>
      <c r="C1073" s="31" t="s">
        <v>2610</v>
      </c>
      <c r="D1073" s="32" t="s">
        <v>21</v>
      </c>
      <c r="E1073" s="28" t="s">
        <v>71</v>
      </c>
      <c r="F1073" s="33">
        <v>8.448908215E9</v>
      </c>
      <c r="G1073" s="32" t="s">
        <v>72</v>
      </c>
      <c r="H1073" s="31" t="s">
        <v>1186</v>
      </c>
      <c r="I1073" s="31" t="s">
        <v>1187</v>
      </c>
      <c r="J1073" s="31"/>
      <c r="K1073" s="31"/>
      <c r="L1073" s="31" t="s">
        <v>75</v>
      </c>
    </row>
    <row r="1074">
      <c r="A1074" s="36">
        <v>45663.0</v>
      </c>
      <c r="B1074" s="31" t="s">
        <v>2611</v>
      </c>
      <c r="C1074" s="31" t="s">
        <v>2612</v>
      </c>
      <c r="D1074" s="32" t="s">
        <v>14</v>
      </c>
      <c r="E1074" s="28" t="s">
        <v>71</v>
      </c>
      <c r="F1074" s="33" t="s">
        <v>2613</v>
      </c>
      <c r="G1074" s="32" t="s">
        <v>72</v>
      </c>
      <c r="H1074" s="31" t="s">
        <v>1428</v>
      </c>
      <c r="I1074" s="31" t="s">
        <v>1029</v>
      </c>
      <c r="J1074" s="31"/>
      <c r="K1074" s="31"/>
      <c r="L1074" s="31" t="s">
        <v>75</v>
      </c>
    </row>
    <row r="1075">
      <c r="A1075" s="36">
        <v>45663.0</v>
      </c>
      <c r="B1075" s="31" t="s">
        <v>2614</v>
      </c>
      <c r="C1075" s="31" t="s">
        <v>2615</v>
      </c>
      <c r="D1075" s="32" t="s">
        <v>14</v>
      </c>
      <c r="E1075" s="28" t="s">
        <v>71</v>
      </c>
      <c r="F1075" s="33"/>
      <c r="G1075" s="32" t="s">
        <v>72</v>
      </c>
      <c r="H1075" s="31" t="s">
        <v>1428</v>
      </c>
      <c r="I1075" s="31" t="s">
        <v>1486</v>
      </c>
      <c r="J1075" s="31"/>
      <c r="K1075" s="31"/>
      <c r="L1075" s="31" t="s">
        <v>78</v>
      </c>
    </row>
    <row r="1076">
      <c r="A1076" s="36">
        <v>45663.0</v>
      </c>
      <c r="B1076" s="31" t="s">
        <v>2616</v>
      </c>
      <c r="C1076" s="31" t="s">
        <v>2617</v>
      </c>
      <c r="D1076" s="32" t="s">
        <v>14</v>
      </c>
      <c r="E1076" s="28" t="s">
        <v>71</v>
      </c>
      <c r="F1076" s="33"/>
      <c r="G1076" s="32" t="s">
        <v>72</v>
      </c>
      <c r="H1076" s="31" t="s">
        <v>1428</v>
      </c>
      <c r="I1076" s="31" t="s">
        <v>1429</v>
      </c>
      <c r="J1076" s="31"/>
      <c r="K1076" s="31"/>
      <c r="L1076" s="31" t="s">
        <v>75</v>
      </c>
    </row>
    <row r="1077">
      <c r="A1077" s="36">
        <v>45663.0</v>
      </c>
      <c r="B1077" s="31" t="s">
        <v>2618</v>
      </c>
      <c r="C1077" s="31" t="s">
        <v>2619</v>
      </c>
      <c r="D1077" s="32" t="s">
        <v>14</v>
      </c>
      <c r="E1077" s="28" t="s">
        <v>71</v>
      </c>
      <c r="F1077" s="33"/>
      <c r="G1077" s="32" t="s">
        <v>72</v>
      </c>
      <c r="H1077" s="31" t="s">
        <v>1428</v>
      </c>
      <c r="I1077" s="31" t="s">
        <v>1429</v>
      </c>
      <c r="J1077" s="31"/>
      <c r="K1077" s="31"/>
      <c r="L1077" s="31" t="s">
        <v>78</v>
      </c>
    </row>
    <row r="1078">
      <c r="A1078" s="36">
        <v>45663.0</v>
      </c>
      <c r="B1078" s="31" t="s">
        <v>2620</v>
      </c>
      <c r="C1078" s="31" t="s">
        <v>2621</v>
      </c>
      <c r="D1078" s="32" t="s">
        <v>14</v>
      </c>
      <c r="E1078" s="28" t="s">
        <v>71</v>
      </c>
      <c r="F1078" s="33"/>
      <c r="G1078" s="32" t="s">
        <v>72</v>
      </c>
      <c r="H1078" s="31" t="s">
        <v>1428</v>
      </c>
      <c r="I1078" s="31" t="s">
        <v>1029</v>
      </c>
      <c r="J1078" s="31"/>
      <c r="K1078" s="31"/>
      <c r="L1078" s="31" t="s">
        <v>75</v>
      </c>
    </row>
    <row r="1079">
      <c r="A1079" s="36">
        <v>45663.0</v>
      </c>
      <c r="B1079" s="31" t="s">
        <v>2622</v>
      </c>
      <c r="C1079" s="31" t="s">
        <v>2623</v>
      </c>
      <c r="D1079" s="32" t="s">
        <v>14</v>
      </c>
      <c r="E1079" s="28" t="s">
        <v>71</v>
      </c>
      <c r="F1079" s="33"/>
      <c r="G1079" s="32" t="s">
        <v>72</v>
      </c>
      <c r="H1079" s="31" t="s">
        <v>1428</v>
      </c>
      <c r="I1079" s="31" t="s">
        <v>1486</v>
      </c>
      <c r="J1079" s="31"/>
      <c r="K1079" s="31"/>
      <c r="L1079" s="31" t="s">
        <v>75</v>
      </c>
    </row>
    <row r="1080">
      <c r="A1080" s="36">
        <v>45665.0</v>
      </c>
      <c r="B1080" s="31" t="s">
        <v>2624</v>
      </c>
      <c r="C1080" s="31" t="s">
        <v>2625</v>
      </c>
      <c r="D1080" s="32" t="s">
        <v>22</v>
      </c>
      <c r="E1080" s="28" t="s">
        <v>71</v>
      </c>
      <c r="F1080" s="33"/>
      <c r="G1080" s="32" t="s">
        <v>72</v>
      </c>
      <c r="H1080" s="31" t="s">
        <v>2626</v>
      </c>
      <c r="I1080" s="31" t="s">
        <v>2181</v>
      </c>
      <c r="J1080" s="31"/>
      <c r="K1080" s="31"/>
      <c r="L1080" s="31" t="s">
        <v>78</v>
      </c>
    </row>
    <row r="1081">
      <c r="A1081" s="36">
        <v>45667.0</v>
      </c>
      <c r="B1081" s="31" t="s">
        <v>2627</v>
      </c>
      <c r="C1081" s="31" t="s">
        <v>2628</v>
      </c>
      <c r="D1081" s="32" t="s">
        <v>33</v>
      </c>
      <c r="E1081" s="28" t="s">
        <v>71</v>
      </c>
      <c r="F1081" s="33">
        <v>9.899590569E9</v>
      </c>
      <c r="G1081" s="32" t="s">
        <v>54</v>
      </c>
      <c r="H1081" s="31" t="s">
        <v>54</v>
      </c>
      <c r="I1081" s="31" t="s">
        <v>1287</v>
      </c>
      <c r="J1081" s="31"/>
      <c r="K1081" s="31"/>
      <c r="L1081" s="31" t="s">
        <v>78</v>
      </c>
    </row>
    <row r="1082">
      <c r="A1082" s="36">
        <v>45670.0</v>
      </c>
      <c r="B1082" s="31" t="s">
        <v>2629</v>
      </c>
      <c r="C1082" s="31" t="s">
        <v>2630</v>
      </c>
      <c r="D1082" s="32" t="s">
        <v>14</v>
      </c>
      <c r="E1082" s="28" t="s">
        <v>71</v>
      </c>
      <c r="F1082" s="33" t="s">
        <v>2631</v>
      </c>
      <c r="G1082" s="32" t="s">
        <v>72</v>
      </c>
      <c r="H1082" s="31" t="s">
        <v>1020</v>
      </c>
      <c r="I1082" s="31" t="s">
        <v>1026</v>
      </c>
      <c r="J1082" s="31"/>
      <c r="K1082" s="31"/>
      <c r="L1082" s="31" t="s">
        <v>75</v>
      </c>
    </row>
    <row r="1083">
      <c r="A1083" s="36">
        <v>45670.0</v>
      </c>
      <c r="B1083" s="31" t="s">
        <v>2632</v>
      </c>
      <c r="C1083" s="31" t="s">
        <v>2633</v>
      </c>
      <c r="D1083" s="32" t="s">
        <v>47</v>
      </c>
      <c r="E1083" s="28" t="s">
        <v>71</v>
      </c>
      <c r="F1083" s="33">
        <v>9.871073021E9</v>
      </c>
      <c r="G1083" s="32" t="s">
        <v>1043</v>
      </c>
      <c r="H1083" s="31" t="s">
        <v>1043</v>
      </c>
      <c r="I1083" s="31" t="s">
        <v>2073</v>
      </c>
      <c r="J1083" s="31"/>
      <c r="K1083" s="31"/>
      <c r="L1083" s="31" t="s">
        <v>78</v>
      </c>
    </row>
    <row r="1084">
      <c r="A1084" s="36">
        <v>45670.0</v>
      </c>
      <c r="B1084" s="31" t="s">
        <v>2634</v>
      </c>
      <c r="C1084" s="31" t="s">
        <v>2635</v>
      </c>
      <c r="D1084" s="32" t="s">
        <v>14</v>
      </c>
      <c r="E1084" s="28" t="s">
        <v>71</v>
      </c>
      <c r="F1084" s="33">
        <v>9.871073021E9</v>
      </c>
      <c r="G1084" s="32" t="s">
        <v>54</v>
      </c>
      <c r="H1084" s="31" t="s">
        <v>2506</v>
      </c>
      <c r="I1084" s="31" t="s">
        <v>1206</v>
      </c>
      <c r="J1084" s="31"/>
      <c r="K1084" s="31"/>
      <c r="L1084" s="31" t="s">
        <v>78</v>
      </c>
    </row>
    <row r="1085">
      <c r="A1085" s="36">
        <v>45672.0</v>
      </c>
      <c r="B1085" s="31" t="s">
        <v>2636</v>
      </c>
      <c r="C1085" s="31" t="s">
        <v>2637</v>
      </c>
      <c r="D1085" s="32" t="s">
        <v>21</v>
      </c>
      <c r="E1085" s="28" t="s">
        <v>71</v>
      </c>
      <c r="F1085" s="33">
        <v>9.336448098E9</v>
      </c>
      <c r="G1085" s="32" t="s">
        <v>72</v>
      </c>
      <c r="H1085" s="31" t="s">
        <v>1186</v>
      </c>
      <c r="I1085" s="31" t="s">
        <v>1187</v>
      </c>
      <c r="J1085" s="31"/>
      <c r="K1085" s="31"/>
      <c r="L1085" s="31" t="s">
        <v>75</v>
      </c>
    </row>
    <row r="1086">
      <c r="A1086" s="36">
        <v>45679.0</v>
      </c>
      <c r="B1086" s="31" t="s">
        <v>2638</v>
      </c>
      <c r="C1086" s="31" t="s">
        <v>2639</v>
      </c>
      <c r="D1086" s="32" t="s">
        <v>21</v>
      </c>
      <c r="E1086" s="28" t="s">
        <v>71</v>
      </c>
      <c r="F1086" s="33"/>
      <c r="G1086" s="32" t="s">
        <v>54</v>
      </c>
      <c r="H1086" s="31" t="s">
        <v>54</v>
      </c>
      <c r="I1086" s="31" t="s">
        <v>1053</v>
      </c>
      <c r="J1086" s="31"/>
      <c r="K1086" s="31"/>
      <c r="L1086" s="31" t="s">
        <v>78</v>
      </c>
    </row>
    <row r="1087">
      <c r="A1087" s="36">
        <v>45684.0</v>
      </c>
      <c r="B1087" s="31" t="s">
        <v>2640</v>
      </c>
      <c r="C1087" s="31" t="s">
        <v>2641</v>
      </c>
      <c r="D1087" s="30" t="s">
        <v>1531</v>
      </c>
      <c r="E1087" s="28" t="s">
        <v>71</v>
      </c>
      <c r="F1087" s="33">
        <v>9.59963779E9</v>
      </c>
      <c r="G1087" s="32" t="s">
        <v>54</v>
      </c>
      <c r="H1087" s="31" t="s">
        <v>54</v>
      </c>
      <c r="I1087" s="31" t="s">
        <v>1843</v>
      </c>
      <c r="J1087" s="31"/>
      <c r="K1087" s="31"/>
      <c r="L1087" s="31" t="s">
        <v>78</v>
      </c>
    </row>
    <row r="1088">
      <c r="A1088" s="36">
        <v>45685.0</v>
      </c>
      <c r="B1088" s="31" t="s">
        <v>2642</v>
      </c>
      <c r="C1088" s="31" t="s">
        <v>2643</v>
      </c>
      <c r="D1088" s="32" t="s">
        <v>25</v>
      </c>
      <c r="E1088" s="28" t="s">
        <v>71</v>
      </c>
      <c r="F1088" s="33"/>
      <c r="G1088" s="32" t="s">
        <v>54</v>
      </c>
      <c r="H1088" s="31" t="s">
        <v>54</v>
      </c>
      <c r="I1088" s="31" t="s">
        <v>1411</v>
      </c>
      <c r="J1088" s="31"/>
      <c r="K1088" s="31"/>
      <c r="L1088" s="31" t="s">
        <v>78</v>
      </c>
    </row>
    <row r="1089">
      <c r="A1089" s="36">
        <v>45685.0</v>
      </c>
      <c r="B1089" s="31" t="s">
        <v>2644</v>
      </c>
      <c r="C1089" s="31" t="s">
        <v>2645</v>
      </c>
      <c r="D1089" s="32" t="s">
        <v>47</v>
      </c>
      <c r="E1089" s="28" t="s">
        <v>71</v>
      </c>
      <c r="F1089" s="33">
        <v>9.815049488E9</v>
      </c>
      <c r="G1089" s="32" t="s">
        <v>54</v>
      </c>
      <c r="H1089" s="31" t="s">
        <v>2506</v>
      </c>
      <c r="I1089" s="31" t="s">
        <v>1368</v>
      </c>
      <c r="J1089" s="31"/>
      <c r="K1089" s="31"/>
      <c r="L1089" s="31" t="s">
        <v>78</v>
      </c>
    </row>
    <row r="1090">
      <c r="A1090" s="36">
        <v>45685.0</v>
      </c>
      <c r="B1090" s="31" t="s">
        <v>2646</v>
      </c>
      <c r="C1090" s="31" t="s">
        <v>2647</v>
      </c>
      <c r="D1090" s="32" t="s">
        <v>47</v>
      </c>
      <c r="E1090" s="28" t="s">
        <v>71</v>
      </c>
      <c r="F1090" s="33">
        <v>9.815049488E9</v>
      </c>
      <c r="G1090" s="32" t="s">
        <v>54</v>
      </c>
      <c r="H1090" s="31" t="s">
        <v>2506</v>
      </c>
      <c r="I1090" s="31" t="s">
        <v>1368</v>
      </c>
      <c r="J1090" s="31"/>
      <c r="K1090" s="31"/>
      <c r="L1090" s="31" t="s">
        <v>78</v>
      </c>
    </row>
    <row r="1091">
      <c r="A1091" s="36">
        <v>45691.0</v>
      </c>
      <c r="B1091" s="31" t="s">
        <v>2648</v>
      </c>
      <c r="C1091" s="31" t="s">
        <v>2649</v>
      </c>
      <c r="D1091" s="32" t="s">
        <v>14</v>
      </c>
      <c r="E1091" s="28" t="s">
        <v>71</v>
      </c>
      <c r="F1091" s="33"/>
      <c r="G1091" s="32" t="s">
        <v>72</v>
      </c>
      <c r="H1091" s="31" t="s">
        <v>2483</v>
      </c>
      <c r="I1091" s="31" t="s">
        <v>1048</v>
      </c>
      <c r="J1091" s="31"/>
      <c r="K1091" s="31"/>
      <c r="L1091" s="31" t="s">
        <v>75</v>
      </c>
    </row>
    <row r="1092">
      <c r="A1092" s="36">
        <v>45693.0</v>
      </c>
      <c r="B1092" s="31" t="s">
        <v>2650</v>
      </c>
      <c r="C1092" s="31" t="s">
        <v>2651</v>
      </c>
      <c r="D1092" s="32" t="s">
        <v>14</v>
      </c>
      <c r="E1092" s="28" t="s">
        <v>71</v>
      </c>
      <c r="F1092" s="33"/>
      <c r="G1092" s="32" t="s">
        <v>1273</v>
      </c>
      <c r="H1092" s="31" t="s">
        <v>1020</v>
      </c>
      <c r="I1092" s="31" t="s">
        <v>1116</v>
      </c>
      <c r="J1092" s="31"/>
      <c r="K1092" s="31"/>
      <c r="L1092" s="31" t="s">
        <v>75</v>
      </c>
    </row>
    <row r="1093">
      <c r="A1093" s="36">
        <v>45698.0</v>
      </c>
      <c r="B1093" s="31" t="s">
        <v>2652</v>
      </c>
      <c r="C1093" s="31" t="s">
        <v>2653</v>
      </c>
      <c r="D1093" s="32" t="s">
        <v>47</v>
      </c>
      <c r="E1093" s="28" t="s">
        <v>71</v>
      </c>
      <c r="F1093" s="33"/>
      <c r="G1093" s="32" t="s">
        <v>72</v>
      </c>
      <c r="H1093" s="31" t="s">
        <v>2654</v>
      </c>
      <c r="I1093" s="31" t="s">
        <v>2236</v>
      </c>
      <c r="J1093" s="31"/>
      <c r="K1093" s="31"/>
      <c r="L1093" s="31" t="s">
        <v>75</v>
      </c>
    </row>
    <row r="1094">
      <c r="A1094" s="36">
        <v>45700.0</v>
      </c>
      <c r="B1094" s="31" t="s">
        <v>2655</v>
      </c>
      <c r="C1094" s="31" t="s">
        <v>2656</v>
      </c>
      <c r="D1094" s="32" t="s">
        <v>10</v>
      </c>
      <c r="E1094" s="28" t="s">
        <v>71</v>
      </c>
      <c r="F1094" s="33">
        <v>9.873223404E9</v>
      </c>
      <c r="G1094" s="32" t="s">
        <v>72</v>
      </c>
      <c r="H1094" s="31" t="s">
        <v>1866</v>
      </c>
      <c r="I1094" s="31" t="s">
        <v>1056</v>
      </c>
      <c r="J1094" s="31"/>
      <c r="K1094" s="31"/>
      <c r="L1094" s="31" t="s">
        <v>78</v>
      </c>
    </row>
    <row r="1095">
      <c r="A1095" s="36">
        <v>45702.0</v>
      </c>
      <c r="B1095" s="31" t="s">
        <v>2657</v>
      </c>
      <c r="C1095" s="31" t="s">
        <v>2658</v>
      </c>
      <c r="D1095" s="32" t="s">
        <v>28</v>
      </c>
      <c r="E1095" s="28" t="s">
        <v>71</v>
      </c>
      <c r="F1095" s="33">
        <v>7.358433457E9</v>
      </c>
      <c r="G1095" s="32" t="s">
        <v>54</v>
      </c>
      <c r="H1095" s="31" t="s">
        <v>2506</v>
      </c>
      <c r="I1095" s="31" t="s">
        <v>2250</v>
      </c>
      <c r="J1095" s="31"/>
      <c r="K1095" s="31"/>
      <c r="L1095" s="31" t="s">
        <v>78</v>
      </c>
    </row>
    <row r="1096">
      <c r="A1096" s="36">
        <v>45705.0</v>
      </c>
      <c r="B1096" s="31" t="s">
        <v>2659</v>
      </c>
      <c r="C1096" s="31" t="s">
        <v>2660</v>
      </c>
      <c r="D1096" s="32" t="s">
        <v>14</v>
      </c>
      <c r="E1096" s="28" t="s">
        <v>71</v>
      </c>
      <c r="F1096" s="33" t="s">
        <v>2661</v>
      </c>
      <c r="G1096" s="32" t="s">
        <v>72</v>
      </c>
      <c r="H1096" s="34" t="s">
        <v>1020</v>
      </c>
      <c r="I1096" s="31" t="s">
        <v>1206</v>
      </c>
      <c r="J1096" s="31"/>
      <c r="K1096" s="34" t="s">
        <v>2662</v>
      </c>
      <c r="L1096" s="34" t="s">
        <v>78</v>
      </c>
    </row>
    <row r="1097">
      <c r="A1097" s="36">
        <v>45705.0</v>
      </c>
      <c r="B1097" s="31" t="s">
        <v>2663</v>
      </c>
      <c r="C1097" s="31" t="s">
        <v>2664</v>
      </c>
      <c r="D1097" s="32" t="s">
        <v>14</v>
      </c>
      <c r="E1097" s="28" t="s">
        <v>71</v>
      </c>
      <c r="F1097" s="33">
        <v>9.871073021E9</v>
      </c>
      <c r="G1097" s="32" t="s">
        <v>54</v>
      </c>
      <c r="H1097" s="31" t="s">
        <v>54</v>
      </c>
      <c r="I1097" s="31" t="s">
        <v>1206</v>
      </c>
      <c r="J1097" s="31"/>
      <c r="K1097" s="31"/>
      <c r="L1097" s="31" t="s">
        <v>78</v>
      </c>
    </row>
    <row r="1098">
      <c r="A1098" s="36">
        <v>45707.0</v>
      </c>
      <c r="B1098" s="31" t="s">
        <v>2665</v>
      </c>
      <c r="C1098" s="31" t="s">
        <v>2666</v>
      </c>
      <c r="D1098" s="32" t="s">
        <v>22</v>
      </c>
      <c r="E1098" s="28" t="s">
        <v>71</v>
      </c>
      <c r="F1098" s="33" t="s">
        <v>2667</v>
      </c>
      <c r="G1098" s="32" t="s">
        <v>72</v>
      </c>
      <c r="H1098" s="31" t="s">
        <v>2668</v>
      </c>
      <c r="I1098" s="31" t="s">
        <v>1085</v>
      </c>
      <c r="J1098" s="31"/>
      <c r="K1098" s="31"/>
      <c r="L1098" s="31" t="s">
        <v>78</v>
      </c>
    </row>
    <row r="1099">
      <c r="A1099" s="36">
        <v>45707.0</v>
      </c>
      <c r="B1099" s="31" t="s">
        <v>2669</v>
      </c>
      <c r="C1099" s="31" t="s">
        <v>2670</v>
      </c>
      <c r="D1099" s="32" t="s">
        <v>33</v>
      </c>
      <c r="E1099" s="28" t="s">
        <v>71</v>
      </c>
      <c r="F1099" s="33" t="s">
        <v>2671</v>
      </c>
      <c r="G1099" s="32" t="s">
        <v>72</v>
      </c>
      <c r="H1099" s="31" t="s">
        <v>2672</v>
      </c>
      <c r="I1099" s="31" t="s">
        <v>1175</v>
      </c>
      <c r="J1099" s="31"/>
      <c r="K1099" s="31"/>
      <c r="L1099" s="31" t="s">
        <v>75</v>
      </c>
    </row>
    <row r="1100">
      <c r="A1100" s="36">
        <v>45713.0</v>
      </c>
      <c r="B1100" s="31" t="s">
        <v>2673</v>
      </c>
      <c r="C1100" s="31" t="s">
        <v>2674</v>
      </c>
      <c r="D1100" s="32" t="s">
        <v>14</v>
      </c>
      <c r="E1100" s="28" t="s">
        <v>71</v>
      </c>
      <c r="F1100" s="33">
        <v>9.899362052E9</v>
      </c>
      <c r="G1100" s="32" t="s">
        <v>54</v>
      </c>
      <c r="H1100" s="31" t="s">
        <v>2506</v>
      </c>
      <c r="I1100" s="31" t="s">
        <v>2572</v>
      </c>
      <c r="J1100" s="31"/>
      <c r="K1100" s="31"/>
      <c r="L1100" s="31" t="s">
        <v>78</v>
      </c>
    </row>
    <row r="1101">
      <c r="A1101" s="36">
        <v>45714.0</v>
      </c>
      <c r="B1101" s="31" t="s">
        <v>2675</v>
      </c>
      <c r="C1101" s="31" t="s">
        <v>2676</v>
      </c>
      <c r="D1101" s="32" t="s">
        <v>33</v>
      </c>
      <c r="E1101" s="28" t="s">
        <v>71</v>
      </c>
      <c r="F1101" s="33">
        <v>9.999974658E9</v>
      </c>
      <c r="G1101" s="32" t="s">
        <v>54</v>
      </c>
      <c r="H1101" s="31" t="s">
        <v>2506</v>
      </c>
      <c r="I1101" s="31" t="s">
        <v>2219</v>
      </c>
      <c r="J1101" s="31"/>
      <c r="K1101" s="31"/>
      <c r="L1101" s="31" t="s">
        <v>78</v>
      </c>
    </row>
    <row r="1102">
      <c r="A1102" s="36">
        <v>45716.0</v>
      </c>
      <c r="B1102" s="31" t="s">
        <v>2677</v>
      </c>
      <c r="C1102" s="31" t="s">
        <v>2678</v>
      </c>
      <c r="D1102" s="30" t="s">
        <v>10</v>
      </c>
      <c r="E1102" s="28" t="s">
        <v>71</v>
      </c>
      <c r="F1102" s="33">
        <v>9.167032142E9</v>
      </c>
      <c r="G1102" s="32" t="s">
        <v>1043</v>
      </c>
      <c r="H1102" s="31" t="s">
        <v>1151</v>
      </c>
      <c r="I1102" s="31" t="s">
        <v>1549</v>
      </c>
      <c r="J1102" s="31"/>
      <c r="K1102" s="31"/>
      <c r="L1102" s="31" t="s">
        <v>78</v>
      </c>
    </row>
    <row r="1103">
      <c r="A1103" s="36">
        <v>45719.0</v>
      </c>
      <c r="B1103" s="31" t="s">
        <v>2679</v>
      </c>
      <c r="C1103" s="31" t="s">
        <v>2680</v>
      </c>
      <c r="D1103" s="32" t="s">
        <v>16</v>
      </c>
      <c r="E1103" s="28" t="s">
        <v>71</v>
      </c>
      <c r="F1103" s="33"/>
      <c r="G1103" s="32" t="s">
        <v>72</v>
      </c>
      <c r="H1103" s="31" t="s">
        <v>2681</v>
      </c>
      <c r="I1103" s="31" t="s">
        <v>1231</v>
      </c>
      <c r="J1103" s="31"/>
      <c r="K1103" s="31"/>
      <c r="L1103" s="31" t="s">
        <v>78</v>
      </c>
    </row>
    <row r="1104">
      <c r="A1104" s="36">
        <v>45719.0</v>
      </c>
      <c r="B1104" s="31" t="s">
        <v>2682</v>
      </c>
      <c r="C1104" s="31" t="s">
        <v>2683</v>
      </c>
      <c r="D1104" s="32" t="s">
        <v>47</v>
      </c>
      <c r="E1104" s="28" t="s">
        <v>71</v>
      </c>
      <c r="F1104" s="33"/>
      <c r="G1104" s="32" t="s">
        <v>72</v>
      </c>
      <c r="H1104" s="31" t="s">
        <v>2684</v>
      </c>
      <c r="I1104" s="31" t="s">
        <v>1210</v>
      </c>
      <c r="J1104" s="31"/>
      <c r="K1104" s="31"/>
      <c r="L1104" s="31" t="s">
        <v>75</v>
      </c>
    </row>
    <row r="1105">
      <c r="A1105" s="36">
        <v>45720.0</v>
      </c>
      <c r="B1105" s="31" t="s">
        <v>2685</v>
      </c>
      <c r="C1105" s="31" t="s">
        <v>2686</v>
      </c>
      <c r="D1105" s="32" t="s">
        <v>33</v>
      </c>
      <c r="E1105" s="28" t="s">
        <v>71</v>
      </c>
      <c r="F1105" s="33" t="s">
        <v>2687</v>
      </c>
      <c r="G1105" s="32" t="s">
        <v>54</v>
      </c>
      <c r="H1105" s="31" t="s">
        <v>54</v>
      </c>
      <c r="I1105" s="31" t="s">
        <v>1380</v>
      </c>
      <c r="J1105" s="31"/>
      <c r="K1105" s="31"/>
      <c r="L1105" s="31" t="s">
        <v>78</v>
      </c>
    </row>
    <row r="1106">
      <c r="A1106" s="36">
        <v>45720.0</v>
      </c>
      <c r="B1106" s="31" t="s">
        <v>2688</v>
      </c>
      <c r="C1106" s="31" t="s">
        <v>2689</v>
      </c>
      <c r="D1106" s="32" t="s">
        <v>47</v>
      </c>
      <c r="E1106" s="28" t="s">
        <v>71</v>
      </c>
      <c r="F1106" s="33" t="s">
        <v>2690</v>
      </c>
      <c r="G1106" s="32" t="s">
        <v>72</v>
      </c>
      <c r="H1106" s="31" t="s">
        <v>1209</v>
      </c>
      <c r="I1106" s="31" t="s">
        <v>1210</v>
      </c>
      <c r="J1106" s="31"/>
      <c r="K1106" s="31"/>
      <c r="L1106" s="31" t="s">
        <v>75</v>
      </c>
    </row>
    <row r="1107">
      <c r="A1107" s="36">
        <v>45721.0</v>
      </c>
      <c r="B1107" s="31" t="s">
        <v>2691</v>
      </c>
      <c r="C1107" s="31" t="s">
        <v>2692</v>
      </c>
      <c r="D1107" s="32" t="s">
        <v>22</v>
      </c>
      <c r="E1107" s="28" t="s">
        <v>71</v>
      </c>
      <c r="F1107" s="33"/>
      <c r="G1107" s="32" t="s">
        <v>1273</v>
      </c>
      <c r="H1107" s="31" t="s">
        <v>2668</v>
      </c>
      <c r="I1107" s="31" t="s">
        <v>1085</v>
      </c>
      <c r="J1107" s="31"/>
      <c r="K1107" s="31"/>
      <c r="L1107" s="31" t="s">
        <v>78</v>
      </c>
    </row>
    <row r="1108">
      <c r="A1108" s="36">
        <v>45721.0</v>
      </c>
      <c r="B1108" s="31" t="s">
        <v>2693</v>
      </c>
      <c r="C1108" s="31" t="s">
        <v>2694</v>
      </c>
      <c r="D1108" s="32" t="s">
        <v>14</v>
      </c>
      <c r="E1108" s="28" t="s">
        <v>71</v>
      </c>
      <c r="F1108" s="33"/>
      <c r="G1108" s="32" t="s">
        <v>72</v>
      </c>
      <c r="H1108" s="31" t="s">
        <v>1047</v>
      </c>
      <c r="I1108" s="31" t="s">
        <v>1048</v>
      </c>
      <c r="J1108" s="31"/>
      <c r="K1108" s="31"/>
      <c r="L1108" s="31" t="s">
        <v>75</v>
      </c>
    </row>
    <row r="1109">
      <c r="A1109" s="36">
        <v>45723.0</v>
      </c>
      <c r="B1109" s="31" t="s">
        <v>2107</v>
      </c>
      <c r="C1109" s="31" t="s">
        <v>2695</v>
      </c>
      <c r="D1109" s="32" t="s">
        <v>17</v>
      </c>
      <c r="E1109" s="28" t="s">
        <v>71</v>
      </c>
      <c r="F1109" s="33"/>
      <c r="G1109" s="32" t="s">
        <v>72</v>
      </c>
      <c r="H1109" s="31" t="s">
        <v>2696</v>
      </c>
      <c r="I1109" s="31" t="s">
        <v>1896</v>
      </c>
      <c r="J1109" s="31"/>
      <c r="K1109" s="31"/>
      <c r="L1109" s="31" t="s">
        <v>78</v>
      </c>
    </row>
    <row r="1110">
      <c r="A1110" s="36">
        <v>45726.0</v>
      </c>
      <c r="B1110" s="31" t="s">
        <v>2697</v>
      </c>
      <c r="C1110" s="31" t="s">
        <v>2698</v>
      </c>
      <c r="D1110" s="32" t="s">
        <v>14</v>
      </c>
      <c r="E1110" s="28" t="s">
        <v>71</v>
      </c>
      <c r="F1110" s="33"/>
      <c r="G1110" s="32" t="s">
        <v>54</v>
      </c>
      <c r="H1110" s="31" t="s">
        <v>2506</v>
      </c>
      <c r="I1110" s="31" t="s">
        <v>1206</v>
      </c>
      <c r="J1110" s="31"/>
      <c r="K1110" s="31"/>
      <c r="L1110" s="31" t="s">
        <v>78</v>
      </c>
    </row>
    <row r="1111">
      <c r="A1111" s="36">
        <v>45728.0</v>
      </c>
      <c r="B1111" s="31" t="s">
        <v>2699</v>
      </c>
      <c r="C1111" s="31" t="s">
        <v>2700</v>
      </c>
      <c r="D1111" s="32" t="s">
        <v>14</v>
      </c>
      <c r="E1111" s="28" t="s">
        <v>71</v>
      </c>
      <c r="F1111" s="33">
        <v>8.010583231E9</v>
      </c>
      <c r="G1111" s="32" t="s">
        <v>54</v>
      </c>
      <c r="H1111" s="31" t="s">
        <v>2506</v>
      </c>
      <c r="I1111" s="31" t="s">
        <v>1206</v>
      </c>
      <c r="J1111" s="31"/>
      <c r="K1111" s="31"/>
      <c r="L1111" s="31" t="s">
        <v>78</v>
      </c>
    </row>
    <row r="1112">
      <c r="A1112" s="36">
        <v>45728.0</v>
      </c>
      <c r="B1112" s="31" t="s">
        <v>2701</v>
      </c>
      <c r="C1112" s="31" t="s">
        <v>2702</v>
      </c>
      <c r="D1112" s="32" t="s">
        <v>14</v>
      </c>
      <c r="E1112" s="28" t="s">
        <v>71</v>
      </c>
      <c r="F1112" s="33">
        <v>8.010583231E9</v>
      </c>
      <c r="G1112" s="32" t="s">
        <v>54</v>
      </c>
      <c r="H1112" s="26" t="s">
        <v>2703</v>
      </c>
      <c r="I1112" s="31" t="s">
        <v>1206</v>
      </c>
      <c r="J1112" s="31"/>
      <c r="K1112" s="31"/>
      <c r="L1112" s="31" t="s">
        <v>78</v>
      </c>
    </row>
    <row r="1113">
      <c r="A1113" s="36">
        <v>45728.0</v>
      </c>
      <c r="B1113" s="31" t="s">
        <v>2704</v>
      </c>
      <c r="C1113" s="31" t="s">
        <v>2705</v>
      </c>
      <c r="D1113" s="32" t="s">
        <v>14</v>
      </c>
      <c r="E1113" s="28" t="s">
        <v>71</v>
      </c>
      <c r="F1113" s="33">
        <v>8.010583231E9</v>
      </c>
      <c r="G1113" s="32" t="s">
        <v>54</v>
      </c>
      <c r="H1113" s="26" t="s">
        <v>2706</v>
      </c>
      <c r="I1113" s="31" t="s">
        <v>1206</v>
      </c>
      <c r="J1113" s="31"/>
      <c r="K1113" s="31"/>
      <c r="L1113" s="31" t="s">
        <v>78</v>
      </c>
    </row>
    <row r="1114">
      <c r="A1114" s="36">
        <v>45728.0</v>
      </c>
      <c r="B1114" s="31" t="s">
        <v>2707</v>
      </c>
      <c r="C1114" s="31" t="s">
        <v>2708</v>
      </c>
      <c r="D1114" s="32" t="s">
        <v>14</v>
      </c>
      <c r="E1114" s="28" t="s">
        <v>71</v>
      </c>
      <c r="F1114" s="33">
        <v>8.010583231E9</v>
      </c>
      <c r="G1114" s="32" t="s">
        <v>54</v>
      </c>
      <c r="H1114" s="31" t="s">
        <v>2506</v>
      </c>
      <c r="I1114" s="31" t="s">
        <v>1206</v>
      </c>
      <c r="J1114" s="31"/>
      <c r="K1114" s="31"/>
      <c r="L1114" s="31" t="s">
        <v>78</v>
      </c>
    </row>
    <row r="1115">
      <c r="A1115" s="36">
        <v>45728.0</v>
      </c>
      <c r="B1115" s="31" t="s">
        <v>2709</v>
      </c>
      <c r="C1115" s="31" t="s">
        <v>2710</v>
      </c>
      <c r="D1115" s="32" t="s">
        <v>14</v>
      </c>
      <c r="E1115" s="28" t="s">
        <v>71</v>
      </c>
      <c r="F1115" s="33">
        <v>8.010583231E9</v>
      </c>
      <c r="G1115" s="32" t="s">
        <v>54</v>
      </c>
      <c r="H1115" s="31" t="s">
        <v>2506</v>
      </c>
      <c r="I1115" s="31" t="s">
        <v>1206</v>
      </c>
      <c r="J1115" s="31"/>
      <c r="K1115" s="31"/>
      <c r="L1115" s="31" t="s">
        <v>78</v>
      </c>
    </row>
    <row r="1116">
      <c r="A1116" s="36">
        <v>45728.0</v>
      </c>
      <c r="B1116" s="31" t="s">
        <v>2711</v>
      </c>
      <c r="C1116" s="31" t="s">
        <v>2712</v>
      </c>
      <c r="D1116" s="32" t="s">
        <v>14</v>
      </c>
      <c r="E1116" s="28" t="s">
        <v>71</v>
      </c>
      <c r="F1116" s="33">
        <v>8.010583231E9</v>
      </c>
      <c r="G1116" s="32" t="s">
        <v>54</v>
      </c>
      <c r="H1116" s="31" t="s">
        <v>2506</v>
      </c>
      <c r="I1116" s="31" t="s">
        <v>1206</v>
      </c>
      <c r="J1116" s="31"/>
      <c r="K1116" s="31"/>
      <c r="L1116" s="31" t="s">
        <v>78</v>
      </c>
    </row>
    <row r="1117">
      <c r="A1117" s="36">
        <v>45733.0</v>
      </c>
      <c r="B1117" s="31" t="s">
        <v>2713</v>
      </c>
      <c r="C1117" s="31" t="s">
        <v>2714</v>
      </c>
      <c r="D1117" s="32" t="s">
        <v>28</v>
      </c>
      <c r="E1117" s="28" t="s">
        <v>71</v>
      </c>
      <c r="F1117" s="33"/>
      <c r="G1117" s="32" t="s">
        <v>72</v>
      </c>
      <c r="H1117" s="31" t="s">
        <v>2715</v>
      </c>
      <c r="I1117" s="31" t="s">
        <v>1075</v>
      </c>
      <c r="J1117" s="31"/>
      <c r="K1117" s="31"/>
      <c r="L1117" s="31" t="s">
        <v>75</v>
      </c>
    </row>
    <row r="1118">
      <c r="A1118" s="36">
        <v>45734.0</v>
      </c>
      <c r="B1118" s="31" t="s">
        <v>2716</v>
      </c>
      <c r="C1118" s="31" t="s">
        <v>2717</v>
      </c>
      <c r="D1118" s="32" t="s">
        <v>33</v>
      </c>
      <c r="E1118" s="28" t="s">
        <v>71</v>
      </c>
      <c r="F1118" s="33"/>
      <c r="G1118" s="32" t="s">
        <v>54</v>
      </c>
      <c r="H1118" s="31" t="s">
        <v>2506</v>
      </c>
      <c r="I1118" s="31" t="s">
        <v>1815</v>
      </c>
      <c r="J1118" s="31"/>
      <c r="K1118" s="31"/>
      <c r="L1118" s="31" t="s">
        <v>78</v>
      </c>
    </row>
    <row r="1119">
      <c r="A1119" s="36">
        <v>45734.0</v>
      </c>
      <c r="B1119" s="31" t="s">
        <v>2718</v>
      </c>
      <c r="C1119" s="31" t="s">
        <v>2719</v>
      </c>
      <c r="D1119" s="32" t="s">
        <v>33</v>
      </c>
      <c r="E1119" s="28" t="s">
        <v>71</v>
      </c>
      <c r="F1119" s="33"/>
      <c r="G1119" s="32" t="s">
        <v>54</v>
      </c>
      <c r="H1119" s="31" t="s">
        <v>2506</v>
      </c>
      <c r="I1119" s="31" t="s">
        <v>1815</v>
      </c>
      <c r="J1119" s="31"/>
      <c r="K1119" s="31"/>
      <c r="L1119" s="31" t="s">
        <v>78</v>
      </c>
    </row>
    <row r="1120">
      <c r="A1120" s="36">
        <v>45734.0</v>
      </c>
      <c r="B1120" s="31" t="s">
        <v>2720</v>
      </c>
      <c r="C1120" s="31" t="s">
        <v>2721</v>
      </c>
      <c r="D1120" s="32" t="s">
        <v>33</v>
      </c>
      <c r="E1120" s="28" t="s">
        <v>71</v>
      </c>
      <c r="F1120" s="33"/>
      <c r="G1120" s="32" t="s">
        <v>54</v>
      </c>
      <c r="H1120" s="31" t="s">
        <v>2506</v>
      </c>
      <c r="I1120" s="31" t="s">
        <v>1815</v>
      </c>
      <c r="J1120" s="31"/>
      <c r="K1120" s="31"/>
      <c r="L1120" s="31" t="s">
        <v>78</v>
      </c>
    </row>
    <row r="1121">
      <c r="A1121" s="36">
        <v>45748.0</v>
      </c>
      <c r="B1121" s="31" t="s">
        <v>2722</v>
      </c>
      <c r="C1121" s="31" t="s">
        <v>2723</v>
      </c>
      <c r="D1121" s="32" t="s">
        <v>30</v>
      </c>
      <c r="E1121" s="28" t="s">
        <v>71</v>
      </c>
      <c r="F1121" s="33" t="s">
        <v>2724</v>
      </c>
      <c r="G1121" s="32" t="s">
        <v>72</v>
      </c>
      <c r="H1121" s="31" t="s">
        <v>2725</v>
      </c>
      <c r="I1121" s="31" t="s">
        <v>1040</v>
      </c>
      <c r="J1121" s="31"/>
      <c r="K1121" s="31"/>
      <c r="L1121" s="31" t="s">
        <v>78</v>
      </c>
    </row>
    <row r="1122">
      <c r="A1122" s="36">
        <v>45748.0</v>
      </c>
      <c r="B1122" s="31" t="s">
        <v>2726</v>
      </c>
      <c r="C1122" s="31" t="s">
        <v>2727</v>
      </c>
      <c r="D1122" s="32" t="s">
        <v>22</v>
      </c>
      <c r="E1122" s="28" t="s">
        <v>71</v>
      </c>
      <c r="F1122" s="33"/>
      <c r="G1122" s="32" t="s">
        <v>72</v>
      </c>
      <c r="H1122" s="31" t="s">
        <v>1301</v>
      </c>
      <c r="I1122" s="31" t="s">
        <v>1240</v>
      </c>
      <c r="J1122" s="31"/>
      <c r="K1122" s="31"/>
      <c r="L1122" s="31" t="s">
        <v>75</v>
      </c>
    </row>
    <row r="1123">
      <c r="A1123" s="36">
        <v>45749.0</v>
      </c>
      <c r="B1123" s="31" t="s">
        <v>2728</v>
      </c>
      <c r="C1123" s="31" t="s">
        <v>2729</v>
      </c>
      <c r="D1123" s="32" t="s">
        <v>21</v>
      </c>
      <c r="E1123" s="28" t="s">
        <v>71</v>
      </c>
      <c r="F1123" s="33">
        <v>8.585938528E9</v>
      </c>
      <c r="G1123" s="32" t="s">
        <v>72</v>
      </c>
      <c r="H1123" s="31" t="s">
        <v>1186</v>
      </c>
      <c r="I1123" s="31" t="s">
        <v>1187</v>
      </c>
      <c r="J1123" s="31"/>
      <c r="K1123" s="31"/>
      <c r="L1123" s="31" t="s">
        <v>75</v>
      </c>
    </row>
    <row r="1124">
      <c r="A1124" s="36">
        <v>45749.0</v>
      </c>
      <c r="B1124" s="31" t="s">
        <v>2730</v>
      </c>
      <c r="C1124" s="31" t="s">
        <v>2731</v>
      </c>
      <c r="D1124" s="32" t="s">
        <v>21</v>
      </c>
      <c r="E1124" s="28" t="s">
        <v>71</v>
      </c>
      <c r="F1124" s="33">
        <v>9.039598227E9</v>
      </c>
      <c r="G1124" s="32" t="s">
        <v>72</v>
      </c>
      <c r="H1124" s="31" t="s">
        <v>1186</v>
      </c>
      <c r="I1124" s="31" t="s">
        <v>1187</v>
      </c>
      <c r="J1124" s="31"/>
      <c r="K1124" s="31"/>
      <c r="L1124" s="31" t="s">
        <v>75</v>
      </c>
    </row>
    <row r="1125">
      <c r="A1125" s="36">
        <v>45749.0</v>
      </c>
      <c r="B1125" s="31" t="s">
        <v>2732</v>
      </c>
      <c r="C1125" s="31" t="s">
        <v>1089</v>
      </c>
      <c r="D1125" s="32" t="s">
        <v>30</v>
      </c>
      <c r="E1125" s="28" t="s">
        <v>71</v>
      </c>
      <c r="F1125" s="33"/>
      <c r="G1125" s="32" t="s">
        <v>72</v>
      </c>
      <c r="H1125" s="31" t="s">
        <v>2733</v>
      </c>
      <c r="I1125" s="31" t="s">
        <v>1351</v>
      </c>
      <c r="J1125" s="31"/>
      <c r="K1125" s="31"/>
      <c r="L1125" s="31" t="s">
        <v>78</v>
      </c>
    </row>
    <row r="1126">
      <c r="A1126" s="36">
        <v>45750.0</v>
      </c>
      <c r="B1126" s="31" t="s">
        <v>2734</v>
      </c>
      <c r="C1126" s="31" t="s">
        <v>2735</v>
      </c>
      <c r="D1126" s="32" t="s">
        <v>14</v>
      </c>
      <c r="E1126" s="28" t="s">
        <v>71</v>
      </c>
      <c r="F1126" s="33"/>
      <c r="G1126" s="32" t="s">
        <v>72</v>
      </c>
      <c r="H1126" s="31" t="s">
        <v>2736</v>
      </c>
      <c r="I1126" s="31" t="s">
        <v>1044</v>
      </c>
      <c r="J1126" s="31"/>
      <c r="K1126" s="31"/>
      <c r="L1126" s="31" t="s">
        <v>75</v>
      </c>
    </row>
    <row r="1127">
      <c r="A1127" s="36">
        <v>45754.0</v>
      </c>
      <c r="B1127" s="31" t="s">
        <v>2737</v>
      </c>
      <c r="C1127" s="31" t="s">
        <v>2738</v>
      </c>
      <c r="D1127" s="32" t="s">
        <v>33</v>
      </c>
      <c r="E1127" s="28" t="s">
        <v>71</v>
      </c>
      <c r="F1127" s="33"/>
      <c r="G1127" s="32" t="s">
        <v>72</v>
      </c>
      <c r="H1127" s="31" t="s">
        <v>2672</v>
      </c>
      <c r="I1127" s="31" t="s">
        <v>1380</v>
      </c>
      <c r="J1127" s="31"/>
      <c r="K1127" s="31"/>
      <c r="L1127" s="31" t="s">
        <v>78</v>
      </c>
    </row>
    <row r="1128">
      <c r="A1128" s="36">
        <v>45754.0</v>
      </c>
      <c r="B1128" s="31" t="s">
        <v>2739</v>
      </c>
      <c r="C1128" s="31" t="s">
        <v>2065</v>
      </c>
      <c r="D1128" s="32" t="s">
        <v>39</v>
      </c>
      <c r="E1128" s="28" t="s">
        <v>71</v>
      </c>
      <c r="F1128" s="33"/>
      <c r="G1128" s="32" t="s">
        <v>72</v>
      </c>
      <c r="H1128" s="31" t="s">
        <v>2740</v>
      </c>
      <c r="I1128" s="31" t="s">
        <v>1238</v>
      </c>
      <c r="J1128" s="31"/>
      <c r="K1128" s="31"/>
      <c r="L1128" s="31" t="s">
        <v>75</v>
      </c>
    </row>
    <row r="1129">
      <c r="A1129" s="36">
        <v>45756.0</v>
      </c>
      <c r="B1129" s="31" t="s">
        <v>2741</v>
      </c>
      <c r="C1129" s="31" t="s">
        <v>2742</v>
      </c>
      <c r="D1129" s="32" t="s">
        <v>21</v>
      </c>
      <c r="E1129" s="28" t="s">
        <v>71</v>
      </c>
      <c r="F1129" s="33">
        <v>7.283055941E9</v>
      </c>
      <c r="G1129" s="32" t="s">
        <v>1043</v>
      </c>
      <c r="H1129" s="31" t="s">
        <v>1163</v>
      </c>
      <c r="I1129" s="31" t="s">
        <v>1164</v>
      </c>
      <c r="J1129" s="31"/>
      <c r="K1129" s="31"/>
      <c r="L1129" s="31" t="s">
        <v>75</v>
      </c>
    </row>
    <row r="1130">
      <c r="A1130" s="36">
        <v>45761.0</v>
      </c>
      <c r="B1130" s="31" t="s">
        <v>2743</v>
      </c>
      <c r="C1130" s="31" t="s">
        <v>2744</v>
      </c>
      <c r="D1130" s="32" t="s">
        <v>14</v>
      </c>
      <c r="E1130" s="28" t="s">
        <v>71</v>
      </c>
      <c r="F1130" s="33" t="s">
        <v>2745</v>
      </c>
      <c r="G1130" s="32" t="s">
        <v>72</v>
      </c>
      <c r="H1130" s="31" t="s">
        <v>1199</v>
      </c>
      <c r="I1130" s="31" t="s">
        <v>1029</v>
      </c>
      <c r="J1130" s="31"/>
      <c r="K1130" s="31"/>
      <c r="L1130" s="31" t="s">
        <v>75</v>
      </c>
    </row>
    <row r="1131">
      <c r="A1131" s="36">
        <v>45761.0</v>
      </c>
      <c r="B1131" s="31" t="s">
        <v>2746</v>
      </c>
      <c r="C1131" s="31" t="s">
        <v>2747</v>
      </c>
      <c r="D1131" s="32" t="s">
        <v>14</v>
      </c>
      <c r="E1131" s="28" t="s">
        <v>71</v>
      </c>
      <c r="F1131" s="33"/>
      <c r="G1131" s="32" t="s">
        <v>72</v>
      </c>
      <c r="H1131" s="31" t="s">
        <v>1020</v>
      </c>
      <c r="I1131" s="31" t="s">
        <v>2100</v>
      </c>
      <c r="J1131" s="31"/>
      <c r="K1131" s="31"/>
      <c r="L1131" s="31" t="s">
        <v>75</v>
      </c>
    </row>
    <row r="1132">
      <c r="A1132" s="36">
        <v>45762.0</v>
      </c>
      <c r="B1132" s="31" t="s">
        <v>2748</v>
      </c>
      <c r="C1132" s="31" t="s">
        <v>2749</v>
      </c>
      <c r="D1132" s="32" t="s">
        <v>14</v>
      </c>
      <c r="E1132" s="28" t="s">
        <v>71</v>
      </c>
      <c r="F1132" s="33" t="s">
        <v>2750</v>
      </c>
      <c r="G1132" s="32" t="s">
        <v>72</v>
      </c>
      <c r="H1132" s="31" t="s">
        <v>2483</v>
      </c>
      <c r="I1132" s="31" t="s">
        <v>1094</v>
      </c>
      <c r="J1132" s="31"/>
      <c r="K1132" s="31"/>
      <c r="L1132" s="31" t="s">
        <v>75</v>
      </c>
    </row>
    <row r="1133">
      <c r="A1133" s="36">
        <v>45763.0</v>
      </c>
      <c r="B1133" s="31" t="s">
        <v>2751</v>
      </c>
      <c r="C1133" s="31" t="s">
        <v>2752</v>
      </c>
      <c r="D1133" s="32" t="s">
        <v>14</v>
      </c>
      <c r="E1133" s="28" t="s">
        <v>71</v>
      </c>
      <c r="F1133" s="33" t="s">
        <v>2753</v>
      </c>
      <c r="G1133" s="32" t="s">
        <v>72</v>
      </c>
      <c r="H1133" s="31" t="s">
        <v>2754</v>
      </c>
      <c r="I1133" s="31" t="s">
        <v>1048</v>
      </c>
      <c r="J1133" s="31"/>
      <c r="K1133" s="31"/>
      <c r="L1133" s="31" t="s">
        <v>75</v>
      </c>
    </row>
    <row r="1134">
      <c r="A1134" s="36">
        <v>45763.0</v>
      </c>
      <c r="B1134" s="31" t="s">
        <v>2755</v>
      </c>
      <c r="C1134" s="31" t="s">
        <v>2756</v>
      </c>
      <c r="D1134" s="32" t="s">
        <v>14</v>
      </c>
      <c r="E1134" s="28" t="s">
        <v>71</v>
      </c>
      <c r="F1134" s="33"/>
      <c r="G1134" s="32" t="s">
        <v>72</v>
      </c>
      <c r="H1134" s="31" t="s">
        <v>2757</v>
      </c>
      <c r="I1134" s="31" t="s">
        <v>2023</v>
      </c>
      <c r="J1134" s="31"/>
      <c r="K1134" s="31"/>
      <c r="L1134" s="31" t="s">
        <v>75</v>
      </c>
    </row>
    <row r="1135">
      <c r="A1135" s="36">
        <v>45763.0</v>
      </c>
      <c r="B1135" s="31" t="s">
        <v>2758</v>
      </c>
      <c r="C1135" s="31" t="s">
        <v>2759</v>
      </c>
      <c r="D1135" s="32" t="s">
        <v>22</v>
      </c>
      <c r="E1135" s="28" t="s">
        <v>71</v>
      </c>
      <c r="F1135" s="33"/>
      <c r="G1135" s="32" t="s">
        <v>72</v>
      </c>
      <c r="H1135" s="31" t="s">
        <v>2256</v>
      </c>
      <c r="I1135" s="31" t="s">
        <v>1085</v>
      </c>
      <c r="J1135" s="31"/>
      <c r="K1135" s="31"/>
      <c r="L1135" s="31" t="s">
        <v>75</v>
      </c>
    </row>
    <row r="1136">
      <c r="A1136" s="36">
        <v>45775.0</v>
      </c>
      <c r="B1136" s="31" t="s">
        <v>2760</v>
      </c>
      <c r="C1136" s="31" t="s">
        <v>2761</v>
      </c>
      <c r="D1136" s="32" t="s">
        <v>28</v>
      </c>
      <c r="E1136" s="28" t="s">
        <v>71</v>
      </c>
      <c r="F1136" s="33"/>
      <c r="G1136" s="32" t="s">
        <v>72</v>
      </c>
      <c r="H1136" s="31" t="s">
        <v>2762</v>
      </c>
      <c r="I1136" s="31" t="s">
        <v>1073</v>
      </c>
      <c r="J1136" s="31"/>
      <c r="K1136" s="31"/>
      <c r="L1136" s="31" t="s">
        <v>75</v>
      </c>
    </row>
    <row r="1137">
      <c r="A1137" s="36">
        <v>45775.0</v>
      </c>
      <c r="B1137" s="31" t="s">
        <v>2763</v>
      </c>
      <c r="C1137" s="31" t="s">
        <v>2764</v>
      </c>
      <c r="D1137" s="32" t="s">
        <v>14</v>
      </c>
      <c r="E1137" s="28" t="s">
        <v>71</v>
      </c>
      <c r="F1137" s="33"/>
      <c r="G1137" s="32" t="s">
        <v>72</v>
      </c>
      <c r="H1137" s="31" t="s">
        <v>1025</v>
      </c>
      <c r="I1137" s="31" t="s">
        <v>1026</v>
      </c>
      <c r="J1137" s="31"/>
      <c r="K1137" s="31"/>
      <c r="L1137" s="31" t="s">
        <v>75</v>
      </c>
    </row>
    <row r="1138">
      <c r="A1138" s="36">
        <v>45777.0</v>
      </c>
      <c r="B1138" s="31" t="s">
        <v>2765</v>
      </c>
      <c r="C1138" s="31" t="s">
        <v>2766</v>
      </c>
      <c r="D1138" s="32" t="s">
        <v>17</v>
      </c>
      <c r="E1138" s="28" t="s">
        <v>71</v>
      </c>
      <c r="F1138" s="33" t="s">
        <v>2767</v>
      </c>
      <c r="G1138" s="32" t="s">
        <v>72</v>
      </c>
      <c r="H1138" s="31" t="s">
        <v>2768</v>
      </c>
      <c r="I1138" s="31" t="s">
        <v>1813</v>
      </c>
      <c r="J1138" s="31"/>
      <c r="K1138" s="31"/>
      <c r="L1138" s="31" t="s">
        <v>75</v>
      </c>
    </row>
    <row r="1139">
      <c r="A1139" s="36">
        <v>45782.0</v>
      </c>
      <c r="B1139" s="31" t="s">
        <v>2769</v>
      </c>
      <c r="C1139" s="31" t="s">
        <v>2770</v>
      </c>
      <c r="D1139" s="32" t="s">
        <v>22</v>
      </c>
      <c r="E1139" s="28" t="s">
        <v>71</v>
      </c>
      <c r="F1139" s="33"/>
      <c r="G1139" s="32" t="s">
        <v>72</v>
      </c>
      <c r="H1139" s="31" t="s">
        <v>2771</v>
      </c>
      <c r="I1139" s="31" t="s">
        <v>1226</v>
      </c>
      <c r="J1139" s="31"/>
      <c r="K1139" s="31"/>
      <c r="L1139" s="31" t="s">
        <v>75</v>
      </c>
    </row>
    <row r="1140">
      <c r="A1140" s="36">
        <v>45782.0</v>
      </c>
      <c r="B1140" s="31" t="s">
        <v>2772</v>
      </c>
      <c r="C1140" s="31" t="s">
        <v>2773</v>
      </c>
      <c r="D1140" s="32" t="s">
        <v>17</v>
      </c>
      <c r="E1140" s="28" t="s">
        <v>71</v>
      </c>
      <c r="F1140" s="33"/>
      <c r="G1140" s="32" t="s">
        <v>72</v>
      </c>
      <c r="H1140" s="31" t="s">
        <v>2774</v>
      </c>
      <c r="I1140" s="31" t="s">
        <v>1328</v>
      </c>
      <c r="J1140" s="31"/>
      <c r="K1140" s="31"/>
      <c r="L1140" s="31" t="s">
        <v>75</v>
      </c>
    </row>
    <row r="1141">
      <c r="A1141" s="36">
        <v>45782.0</v>
      </c>
      <c r="B1141" s="31" t="s">
        <v>2775</v>
      </c>
      <c r="C1141" s="31" t="s">
        <v>2776</v>
      </c>
      <c r="D1141" s="32" t="s">
        <v>14</v>
      </c>
      <c r="E1141" s="28" t="s">
        <v>71</v>
      </c>
      <c r="F1141" s="33"/>
      <c r="G1141" s="32" t="s">
        <v>72</v>
      </c>
      <c r="H1141" s="31" t="s">
        <v>1107</v>
      </c>
      <c r="I1141" s="31" t="s">
        <v>1029</v>
      </c>
      <c r="J1141" s="31"/>
      <c r="K1141" s="31"/>
      <c r="L1141" s="31" t="s">
        <v>75</v>
      </c>
    </row>
    <row r="1142">
      <c r="A1142" s="36">
        <v>45782.0</v>
      </c>
      <c r="B1142" s="31" t="s">
        <v>2777</v>
      </c>
      <c r="C1142" s="31" t="s">
        <v>2778</v>
      </c>
      <c r="D1142" s="32" t="s">
        <v>30</v>
      </c>
      <c r="E1142" s="28" t="s">
        <v>71</v>
      </c>
      <c r="F1142" s="33" t="s">
        <v>2779</v>
      </c>
      <c r="G1142" s="32" t="s">
        <v>72</v>
      </c>
      <c r="H1142" s="31" t="s">
        <v>1120</v>
      </c>
      <c r="I1142" s="31" t="s">
        <v>1138</v>
      </c>
      <c r="J1142" s="31"/>
      <c r="K1142" s="31"/>
      <c r="L1142" s="31" t="s">
        <v>75</v>
      </c>
    </row>
    <row r="1143">
      <c r="A1143" s="36">
        <v>45782.0</v>
      </c>
      <c r="B1143" s="31" t="s">
        <v>2780</v>
      </c>
      <c r="C1143" s="31" t="s">
        <v>2781</v>
      </c>
      <c r="D1143" s="32" t="s">
        <v>17</v>
      </c>
      <c r="E1143" s="28" t="s">
        <v>71</v>
      </c>
      <c r="F1143" s="33" t="s">
        <v>2782</v>
      </c>
      <c r="G1143" s="32" t="s">
        <v>72</v>
      </c>
      <c r="H1143" s="31" t="s">
        <v>2768</v>
      </c>
      <c r="I1143" s="31" t="s">
        <v>1813</v>
      </c>
      <c r="J1143" s="31"/>
      <c r="K1143" s="31"/>
      <c r="L1143" s="31" t="s">
        <v>78</v>
      </c>
    </row>
    <row r="1144">
      <c r="A1144" s="36">
        <v>45783.0</v>
      </c>
      <c r="B1144" s="31" t="s">
        <v>2783</v>
      </c>
      <c r="C1144" s="31" t="s">
        <v>2784</v>
      </c>
      <c r="D1144" s="32" t="s">
        <v>42</v>
      </c>
      <c r="E1144" s="28" t="s">
        <v>71</v>
      </c>
      <c r="F1144" s="33" t="s">
        <v>2785</v>
      </c>
      <c r="G1144" s="32" t="s">
        <v>72</v>
      </c>
      <c r="H1144" s="31" t="s">
        <v>2786</v>
      </c>
      <c r="I1144" s="31" t="s">
        <v>2361</v>
      </c>
      <c r="J1144" s="31"/>
      <c r="K1144" s="31"/>
      <c r="L1144" s="31" t="s">
        <v>75</v>
      </c>
    </row>
    <row r="1145">
      <c r="A1145" s="36">
        <v>45785.0</v>
      </c>
      <c r="B1145" s="31" t="s">
        <v>2787</v>
      </c>
      <c r="C1145" s="31" t="s">
        <v>2788</v>
      </c>
      <c r="D1145" s="32" t="s">
        <v>14</v>
      </c>
      <c r="E1145" s="28" t="s">
        <v>71</v>
      </c>
      <c r="F1145" s="33">
        <v>9.999913305E9</v>
      </c>
      <c r="G1145" s="32" t="s">
        <v>54</v>
      </c>
      <c r="H1145" s="31" t="s">
        <v>54</v>
      </c>
      <c r="I1145" s="31" t="s">
        <v>1054</v>
      </c>
      <c r="J1145" s="31"/>
      <c r="K1145" s="31"/>
      <c r="L1145" s="31" t="s">
        <v>78</v>
      </c>
    </row>
    <row r="1146">
      <c r="A1146" s="36">
        <v>45789.0</v>
      </c>
      <c r="B1146" s="31" t="s">
        <v>2789</v>
      </c>
      <c r="C1146" s="31" t="s">
        <v>2790</v>
      </c>
      <c r="D1146" s="32" t="s">
        <v>22</v>
      </c>
      <c r="E1146" s="28" t="s">
        <v>71</v>
      </c>
      <c r="F1146" s="33" t="s">
        <v>2791</v>
      </c>
      <c r="G1146" s="32" t="s">
        <v>72</v>
      </c>
      <c r="H1146" s="31" t="s">
        <v>1120</v>
      </c>
      <c r="I1146" s="31" t="s">
        <v>1224</v>
      </c>
      <c r="J1146" s="31"/>
      <c r="K1146" s="31"/>
      <c r="L1146" s="31" t="s">
        <v>78</v>
      </c>
    </row>
    <row r="1147">
      <c r="A1147" s="36">
        <v>45789.0</v>
      </c>
      <c r="B1147" s="31" t="s">
        <v>767</v>
      </c>
      <c r="C1147" s="31" t="s">
        <v>2792</v>
      </c>
      <c r="D1147" s="32" t="s">
        <v>30</v>
      </c>
      <c r="E1147" s="28" t="s">
        <v>71</v>
      </c>
      <c r="F1147" s="33" t="s">
        <v>2793</v>
      </c>
      <c r="G1147" s="32" t="s">
        <v>72</v>
      </c>
      <c r="H1147" s="31" t="s">
        <v>2794</v>
      </c>
      <c r="I1147" s="31" t="s">
        <v>1351</v>
      </c>
      <c r="J1147" s="31"/>
      <c r="K1147" s="31"/>
      <c r="L1147" s="31" t="s">
        <v>75</v>
      </c>
    </row>
    <row r="1148">
      <c r="A1148" s="36">
        <v>45790.0</v>
      </c>
      <c r="B1148" s="31" t="s">
        <v>2795</v>
      </c>
      <c r="C1148" s="31" t="s">
        <v>2796</v>
      </c>
      <c r="D1148" s="32" t="s">
        <v>22</v>
      </c>
      <c r="E1148" s="28" t="s">
        <v>71</v>
      </c>
      <c r="F1148" s="33" t="s">
        <v>2797</v>
      </c>
      <c r="G1148" s="32" t="s">
        <v>72</v>
      </c>
      <c r="H1148" s="31" t="s">
        <v>1160</v>
      </c>
      <c r="I1148" s="31" t="s">
        <v>1085</v>
      </c>
      <c r="J1148" s="31"/>
      <c r="K1148" s="31"/>
      <c r="L1148" s="31" t="s">
        <v>78</v>
      </c>
    </row>
    <row r="1149">
      <c r="A1149" s="36">
        <v>45790.0</v>
      </c>
      <c r="B1149" s="31" t="s">
        <v>2798</v>
      </c>
      <c r="C1149" s="31" t="s">
        <v>2799</v>
      </c>
      <c r="D1149" s="32" t="s">
        <v>22</v>
      </c>
      <c r="E1149" s="28" t="s">
        <v>71</v>
      </c>
      <c r="F1149" s="33"/>
      <c r="G1149" s="32" t="s">
        <v>72</v>
      </c>
      <c r="H1149" s="31" t="s">
        <v>1334</v>
      </c>
      <c r="I1149" s="31" t="s">
        <v>2309</v>
      </c>
      <c r="J1149" s="31"/>
      <c r="K1149" s="31"/>
      <c r="L1149" s="31" t="s">
        <v>75</v>
      </c>
    </row>
    <row r="1150">
      <c r="A1150" s="36">
        <v>45791.0</v>
      </c>
      <c r="B1150" s="31" t="s">
        <v>2299</v>
      </c>
      <c r="C1150" s="31" t="s">
        <v>2800</v>
      </c>
      <c r="D1150" s="32" t="s">
        <v>10</v>
      </c>
      <c r="E1150" s="28" t="s">
        <v>71</v>
      </c>
      <c r="F1150" s="33">
        <v>8.285299131E9</v>
      </c>
      <c r="G1150" s="32" t="s">
        <v>54</v>
      </c>
      <c r="H1150" s="31" t="s">
        <v>54</v>
      </c>
      <c r="I1150" s="31" t="s">
        <v>1056</v>
      </c>
      <c r="J1150" s="31"/>
      <c r="K1150" s="31"/>
      <c r="L1150" s="31" t="s">
        <v>78</v>
      </c>
    </row>
    <row r="1151">
      <c r="A1151" s="36">
        <v>45792.0</v>
      </c>
      <c r="B1151" s="31" t="s">
        <v>2801</v>
      </c>
      <c r="C1151" s="31" t="s">
        <v>2802</v>
      </c>
      <c r="D1151" s="32" t="s">
        <v>28</v>
      </c>
      <c r="E1151" s="28" t="s">
        <v>71</v>
      </c>
      <c r="F1151" s="33" t="s">
        <v>2803</v>
      </c>
      <c r="G1151" s="32" t="s">
        <v>72</v>
      </c>
      <c r="H1151" s="31" t="s">
        <v>2804</v>
      </c>
      <c r="I1151" s="31" t="s">
        <v>1073</v>
      </c>
      <c r="J1151" s="31"/>
      <c r="K1151" s="31"/>
      <c r="L1151" s="31" t="s">
        <v>75</v>
      </c>
    </row>
    <row r="1152">
      <c r="A1152" s="36">
        <v>45792.0</v>
      </c>
      <c r="B1152" s="31" t="s">
        <v>2805</v>
      </c>
      <c r="C1152" s="31" t="s">
        <v>2806</v>
      </c>
      <c r="D1152" s="32" t="s">
        <v>22</v>
      </c>
      <c r="E1152" s="28" t="s">
        <v>71</v>
      </c>
      <c r="F1152" s="33"/>
      <c r="G1152" s="32" t="s">
        <v>72</v>
      </c>
      <c r="H1152" s="31" t="s">
        <v>1334</v>
      </c>
      <c r="I1152" s="31" t="s">
        <v>1121</v>
      </c>
      <c r="J1152" s="31"/>
      <c r="K1152" s="31"/>
      <c r="L1152" s="31" t="s">
        <v>75</v>
      </c>
    </row>
    <row r="1153">
      <c r="A1153" s="36">
        <v>45796.0</v>
      </c>
      <c r="B1153" s="31" t="s">
        <v>2807</v>
      </c>
      <c r="C1153" s="31" t="s">
        <v>2808</v>
      </c>
      <c r="D1153" s="32" t="s">
        <v>22</v>
      </c>
      <c r="E1153" s="28" t="s">
        <v>71</v>
      </c>
      <c r="F1153" s="33"/>
      <c r="G1153" s="32" t="s">
        <v>72</v>
      </c>
      <c r="H1153" s="31" t="s">
        <v>2229</v>
      </c>
      <c r="I1153" s="31" t="s">
        <v>1240</v>
      </c>
      <c r="J1153" s="31"/>
      <c r="K1153" s="31"/>
      <c r="L1153" s="31" t="s">
        <v>75</v>
      </c>
    </row>
    <row r="1154">
      <c r="A1154" s="36">
        <v>45803.0</v>
      </c>
      <c r="B1154" s="31" t="s">
        <v>2809</v>
      </c>
      <c r="C1154" s="31" t="s">
        <v>2810</v>
      </c>
      <c r="D1154" s="32" t="s">
        <v>14</v>
      </c>
      <c r="E1154" s="28" t="s">
        <v>71</v>
      </c>
      <c r="F1154" s="33"/>
      <c r="G1154" s="32" t="s">
        <v>72</v>
      </c>
      <c r="H1154" s="31" t="s">
        <v>1107</v>
      </c>
      <c r="I1154" s="31" t="s">
        <v>1206</v>
      </c>
      <c r="J1154" s="31"/>
      <c r="K1154" s="31"/>
      <c r="L1154" s="31" t="s">
        <v>75</v>
      </c>
    </row>
    <row r="1155">
      <c r="A1155" s="36">
        <v>45803.0</v>
      </c>
      <c r="B1155" s="31" t="s">
        <v>2811</v>
      </c>
      <c r="C1155" s="31" t="s">
        <v>2812</v>
      </c>
      <c r="D1155" s="32" t="s">
        <v>22</v>
      </c>
      <c r="E1155" s="28" t="s">
        <v>71</v>
      </c>
      <c r="F1155" s="33"/>
      <c r="G1155" s="32" t="s">
        <v>72</v>
      </c>
      <c r="H1155" s="31" t="s">
        <v>2813</v>
      </c>
      <c r="I1155" s="31" t="s">
        <v>1445</v>
      </c>
      <c r="J1155" s="31"/>
      <c r="K1155" s="31"/>
      <c r="L1155" s="31" t="s">
        <v>78</v>
      </c>
    </row>
    <row r="1156">
      <c r="A1156" s="36">
        <v>45803.0</v>
      </c>
      <c r="B1156" s="31" t="s">
        <v>2814</v>
      </c>
      <c r="C1156" s="31" t="s">
        <v>2815</v>
      </c>
      <c r="D1156" s="32" t="s">
        <v>30</v>
      </c>
      <c r="E1156" s="28" t="s">
        <v>71</v>
      </c>
      <c r="F1156" s="33"/>
      <c r="G1156" s="32" t="s">
        <v>72</v>
      </c>
      <c r="H1156" s="31" t="s">
        <v>2816</v>
      </c>
      <c r="I1156" s="31" t="s">
        <v>1089</v>
      </c>
      <c r="J1156" s="31"/>
      <c r="K1156" s="31"/>
      <c r="L1156" s="31" t="s">
        <v>78</v>
      </c>
    </row>
    <row r="1157">
      <c r="A1157" s="36">
        <v>45803.0</v>
      </c>
      <c r="B1157" s="31" t="s">
        <v>2817</v>
      </c>
      <c r="C1157" s="31" t="s">
        <v>2818</v>
      </c>
      <c r="D1157" s="32" t="s">
        <v>28</v>
      </c>
      <c r="E1157" s="28" t="s">
        <v>71</v>
      </c>
      <c r="F1157" s="33">
        <v>9.986516267E9</v>
      </c>
      <c r="G1157" s="32" t="s">
        <v>72</v>
      </c>
      <c r="H1157" s="31" t="s">
        <v>2819</v>
      </c>
      <c r="I1157" s="31" t="s">
        <v>1905</v>
      </c>
      <c r="J1157" s="31"/>
      <c r="K1157" s="34" t="s">
        <v>2820</v>
      </c>
      <c r="L1157" s="34" t="s">
        <v>78</v>
      </c>
    </row>
    <row r="1158">
      <c r="A1158" s="36">
        <v>45803.0</v>
      </c>
      <c r="B1158" s="31" t="s">
        <v>2821</v>
      </c>
      <c r="C1158" s="31" t="s">
        <v>2822</v>
      </c>
      <c r="D1158" s="32" t="s">
        <v>22</v>
      </c>
      <c r="E1158" s="28" t="s">
        <v>71</v>
      </c>
      <c r="F1158" s="33"/>
      <c r="G1158" s="32" t="s">
        <v>72</v>
      </c>
      <c r="H1158" s="31" t="s">
        <v>2823</v>
      </c>
      <c r="I1158" s="31" t="s">
        <v>2181</v>
      </c>
      <c r="J1158" s="31"/>
      <c r="K1158" s="31"/>
      <c r="L1158" s="31" t="s">
        <v>75</v>
      </c>
    </row>
    <row r="1159">
      <c r="A1159" s="36">
        <v>45805.0</v>
      </c>
      <c r="B1159" s="31" t="s">
        <v>2824</v>
      </c>
      <c r="C1159" s="31" t="s">
        <v>2825</v>
      </c>
      <c r="D1159" s="32" t="s">
        <v>22</v>
      </c>
      <c r="E1159" s="28" t="s">
        <v>71</v>
      </c>
      <c r="F1159" s="33">
        <v>8.971800272E9</v>
      </c>
      <c r="G1159" s="32" t="s">
        <v>54</v>
      </c>
      <c r="H1159" s="31" t="s">
        <v>2506</v>
      </c>
      <c r="I1159" s="31" t="s">
        <v>1240</v>
      </c>
      <c r="J1159" s="31"/>
      <c r="K1159" s="31"/>
      <c r="L1159" s="31" t="s">
        <v>78</v>
      </c>
    </row>
    <row r="1160">
      <c r="A1160" s="36">
        <v>45805.0</v>
      </c>
      <c r="B1160" s="31" t="s">
        <v>1584</v>
      </c>
      <c r="C1160" s="31" t="s">
        <v>2826</v>
      </c>
      <c r="D1160" s="32" t="s">
        <v>22</v>
      </c>
      <c r="E1160" s="28" t="s">
        <v>71</v>
      </c>
      <c r="F1160" s="33" t="s">
        <v>2827</v>
      </c>
      <c r="G1160" s="32" t="s">
        <v>72</v>
      </c>
      <c r="H1160" s="31" t="s">
        <v>2828</v>
      </c>
      <c r="I1160" s="31" t="s">
        <v>1243</v>
      </c>
      <c r="J1160" s="31"/>
      <c r="K1160" s="31"/>
      <c r="L1160" s="31" t="s">
        <v>78</v>
      </c>
    </row>
    <row r="1161">
      <c r="A1161" s="36">
        <v>45805.0</v>
      </c>
      <c r="B1161" s="31" t="s">
        <v>2829</v>
      </c>
      <c r="C1161" s="31" t="s">
        <v>2830</v>
      </c>
      <c r="D1161" s="32" t="s">
        <v>22</v>
      </c>
      <c r="E1161" s="28" t="s">
        <v>71</v>
      </c>
      <c r="F1161" s="33" t="s">
        <v>2831</v>
      </c>
      <c r="G1161" s="32" t="s">
        <v>72</v>
      </c>
      <c r="H1161" s="31" t="s">
        <v>2256</v>
      </c>
      <c r="I1161" s="31" t="s">
        <v>1085</v>
      </c>
      <c r="J1161" s="31"/>
      <c r="K1161" s="31"/>
      <c r="L1161" s="31" t="s">
        <v>75</v>
      </c>
    </row>
    <row r="1162">
      <c r="A1162" s="36">
        <v>45806.0</v>
      </c>
      <c r="B1162" s="31" t="s">
        <v>2832</v>
      </c>
      <c r="C1162" s="31" t="s">
        <v>2833</v>
      </c>
      <c r="D1162" s="32" t="s">
        <v>14</v>
      </c>
      <c r="E1162" s="28" t="s">
        <v>71</v>
      </c>
      <c r="F1162" s="33" t="s">
        <v>2834</v>
      </c>
      <c r="G1162" s="32" t="s">
        <v>72</v>
      </c>
      <c r="H1162" s="31" t="s">
        <v>1020</v>
      </c>
      <c r="I1162" s="31" t="s">
        <v>1331</v>
      </c>
      <c r="J1162" s="31"/>
      <c r="K1162" s="31"/>
      <c r="L1162" s="31" t="s">
        <v>78</v>
      </c>
    </row>
    <row r="1163">
      <c r="A1163" s="36">
        <v>45810.0</v>
      </c>
      <c r="B1163" s="31" t="s">
        <v>2835</v>
      </c>
      <c r="C1163" s="31" t="s">
        <v>2836</v>
      </c>
      <c r="D1163" s="32" t="s">
        <v>21</v>
      </c>
      <c r="E1163" s="28" t="s">
        <v>71</v>
      </c>
      <c r="F1163" s="33"/>
      <c r="G1163" s="32" t="s">
        <v>72</v>
      </c>
      <c r="H1163" s="31" t="s">
        <v>1186</v>
      </c>
      <c r="I1163" s="31" t="s">
        <v>1187</v>
      </c>
      <c r="J1163" s="31"/>
      <c r="K1163" s="31"/>
      <c r="L1163" s="31" t="s">
        <v>75</v>
      </c>
    </row>
    <row r="1164">
      <c r="A1164" s="36">
        <v>45810.0</v>
      </c>
      <c r="B1164" s="31" t="s">
        <v>2837</v>
      </c>
      <c r="C1164" s="31" t="s">
        <v>2838</v>
      </c>
      <c r="D1164" s="32" t="s">
        <v>25</v>
      </c>
      <c r="E1164" s="28" t="s">
        <v>71</v>
      </c>
      <c r="F1164" s="33" t="s">
        <v>2839</v>
      </c>
      <c r="G1164" s="32" t="s">
        <v>72</v>
      </c>
      <c r="H1164" s="31" t="s">
        <v>2840</v>
      </c>
      <c r="I1164" s="31" t="s">
        <v>1315</v>
      </c>
      <c r="J1164" s="31"/>
      <c r="K1164" s="31"/>
      <c r="L1164" s="31" t="s">
        <v>75</v>
      </c>
    </row>
    <row r="1165">
      <c r="A1165" s="36">
        <v>45810.0</v>
      </c>
      <c r="B1165" s="31" t="s">
        <v>2841</v>
      </c>
      <c r="C1165" s="31" t="s">
        <v>2842</v>
      </c>
      <c r="D1165" s="32" t="s">
        <v>14</v>
      </c>
      <c r="E1165" s="28" t="s">
        <v>71</v>
      </c>
      <c r="F1165" s="33"/>
      <c r="G1165" s="32" t="s">
        <v>1273</v>
      </c>
      <c r="H1165" s="31" t="s">
        <v>1199</v>
      </c>
      <c r="I1165" s="31" t="s">
        <v>1695</v>
      </c>
      <c r="J1165" s="31"/>
      <c r="K1165" s="31"/>
      <c r="L1165" s="31" t="s">
        <v>75</v>
      </c>
    </row>
    <row r="1166">
      <c r="A1166" s="36">
        <v>45813.0</v>
      </c>
      <c r="B1166" s="31" t="s">
        <v>2843</v>
      </c>
      <c r="C1166" s="31" t="s">
        <v>2844</v>
      </c>
      <c r="D1166" s="30" t="s">
        <v>1531</v>
      </c>
      <c r="E1166" s="28" t="s">
        <v>71</v>
      </c>
      <c r="F1166" s="33"/>
      <c r="G1166" s="32" t="s">
        <v>72</v>
      </c>
      <c r="H1166" s="31" t="s">
        <v>2845</v>
      </c>
      <c r="I1166" s="31" t="s">
        <v>1530</v>
      </c>
      <c r="J1166" s="31"/>
      <c r="K1166" s="31"/>
      <c r="L1166" s="31" t="s">
        <v>75</v>
      </c>
    </row>
    <row r="1167">
      <c r="A1167" s="36">
        <v>45814.0</v>
      </c>
      <c r="B1167" s="31" t="s">
        <v>2846</v>
      </c>
      <c r="C1167" s="31" t="s">
        <v>2847</v>
      </c>
      <c r="D1167" s="32" t="s">
        <v>36</v>
      </c>
      <c r="E1167" s="28" t="s">
        <v>71</v>
      </c>
      <c r="F1167" s="33">
        <v>8.285299131E9</v>
      </c>
      <c r="G1167" s="32" t="s">
        <v>54</v>
      </c>
      <c r="H1167" s="31" t="s">
        <v>54</v>
      </c>
      <c r="I1167" s="31" t="s">
        <v>1491</v>
      </c>
      <c r="J1167" s="31"/>
      <c r="K1167" s="31"/>
      <c r="L1167" s="31" t="s">
        <v>78</v>
      </c>
    </row>
    <row r="1168">
      <c r="A1168" s="36">
        <v>45817.0</v>
      </c>
      <c r="B1168" s="31" t="s">
        <v>2848</v>
      </c>
      <c r="C1168" s="31" t="s">
        <v>2849</v>
      </c>
      <c r="D1168" s="32" t="s">
        <v>30</v>
      </c>
      <c r="E1168" s="28" t="s">
        <v>71</v>
      </c>
      <c r="F1168" s="33" t="s">
        <v>2850</v>
      </c>
      <c r="G1168" s="32" t="s">
        <v>72</v>
      </c>
      <c r="H1168" s="31" t="s">
        <v>2851</v>
      </c>
      <c r="I1168" s="31" t="s">
        <v>1351</v>
      </c>
      <c r="J1168" s="31"/>
      <c r="K1168" s="31"/>
      <c r="L1168" s="31" t="s">
        <v>78</v>
      </c>
    </row>
    <row r="1169">
      <c r="A1169" s="36">
        <v>45818.0</v>
      </c>
      <c r="B1169" s="31" t="s">
        <v>2852</v>
      </c>
      <c r="C1169" s="31" t="s">
        <v>2853</v>
      </c>
      <c r="D1169" s="32" t="s">
        <v>14</v>
      </c>
      <c r="E1169" s="28" t="s">
        <v>71</v>
      </c>
      <c r="F1169" s="33"/>
      <c r="G1169" s="32" t="s">
        <v>72</v>
      </c>
      <c r="H1169" s="31" t="s">
        <v>2168</v>
      </c>
      <c r="I1169" s="31" t="s">
        <v>2752</v>
      </c>
      <c r="J1169" s="31"/>
      <c r="K1169" s="31"/>
      <c r="L1169" s="31" t="s">
        <v>75</v>
      </c>
    </row>
    <row r="1170">
      <c r="A1170" s="36">
        <v>45820.0</v>
      </c>
      <c r="B1170" s="31" t="s">
        <v>2854</v>
      </c>
      <c r="C1170" s="31" t="s">
        <v>2855</v>
      </c>
      <c r="D1170" s="32" t="s">
        <v>30</v>
      </c>
      <c r="E1170" s="28" t="s">
        <v>71</v>
      </c>
      <c r="F1170" s="33">
        <v>9.4505375E9</v>
      </c>
      <c r="G1170" s="32" t="s">
        <v>54</v>
      </c>
      <c r="H1170" s="31" t="s">
        <v>2506</v>
      </c>
      <c r="I1170" s="31" t="s">
        <v>1323</v>
      </c>
      <c r="J1170" s="31"/>
      <c r="K1170" s="31"/>
      <c r="L1170" s="31" t="s">
        <v>78</v>
      </c>
    </row>
    <row r="1171">
      <c r="A1171" s="36">
        <v>45821.0</v>
      </c>
      <c r="B1171" s="31" t="s">
        <v>2856</v>
      </c>
      <c r="C1171" s="31" t="s">
        <v>2857</v>
      </c>
      <c r="D1171" s="32" t="s">
        <v>14</v>
      </c>
      <c r="E1171" s="28" t="s">
        <v>71</v>
      </c>
      <c r="F1171" s="33" t="s">
        <v>2858</v>
      </c>
      <c r="G1171" s="32" t="s">
        <v>72</v>
      </c>
      <c r="H1171" s="31" t="s">
        <v>2293</v>
      </c>
      <c r="I1171" s="31" t="s">
        <v>1206</v>
      </c>
      <c r="J1171" s="31"/>
      <c r="K1171" s="31"/>
      <c r="L1171" s="31" t="s">
        <v>78</v>
      </c>
    </row>
    <row r="1172">
      <c r="A1172" s="36">
        <v>45824.0</v>
      </c>
      <c r="B1172" s="31" t="s">
        <v>2859</v>
      </c>
      <c r="C1172" s="31" t="s">
        <v>2860</v>
      </c>
      <c r="D1172" s="32" t="s">
        <v>14</v>
      </c>
      <c r="E1172" s="28" t="s">
        <v>71</v>
      </c>
      <c r="F1172" s="33"/>
      <c r="G1172" s="32" t="s">
        <v>72</v>
      </c>
      <c r="H1172" s="31" t="s">
        <v>1047</v>
      </c>
      <c r="I1172" s="31" t="s">
        <v>1048</v>
      </c>
      <c r="J1172" s="31"/>
      <c r="K1172" s="31"/>
      <c r="L1172" s="31" t="s">
        <v>75</v>
      </c>
    </row>
    <row r="1173">
      <c r="A1173" s="36">
        <v>45824.0</v>
      </c>
      <c r="B1173" s="31" t="s">
        <v>2861</v>
      </c>
      <c r="C1173" s="31" t="s">
        <v>2862</v>
      </c>
      <c r="D1173" s="32" t="s">
        <v>14</v>
      </c>
      <c r="E1173" s="28" t="s">
        <v>71</v>
      </c>
      <c r="F1173" s="33"/>
      <c r="G1173" s="32" t="s">
        <v>72</v>
      </c>
      <c r="H1173" s="31" t="s">
        <v>1020</v>
      </c>
      <c r="I1173" s="31" t="s">
        <v>1054</v>
      </c>
      <c r="J1173" s="31"/>
      <c r="K1173" s="31"/>
      <c r="L1173" s="31" t="s">
        <v>75</v>
      </c>
    </row>
    <row r="1174">
      <c r="A1174" s="36">
        <v>45824.0</v>
      </c>
      <c r="B1174" s="31" t="s">
        <v>2863</v>
      </c>
      <c r="C1174" s="31" t="s">
        <v>2864</v>
      </c>
      <c r="D1174" s="32" t="s">
        <v>30</v>
      </c>
      <c r="E1174" s="28" t="s">
        <v>71</v>
      </c>
      <c r="F1174" s="33"/>
      <c r="G1174" s="32" t="s">
        <v>72</v>
      </c>
      <c r="H1174" s="31" t="s">
        <v>2865</v>
      </c>
      <c r="I1174" s="31" t="s">
        <v>1905</v>
      </c>
      <c r="J1174" s="31"/>
      <c r="K1174" s="31"/>
      <c r="L1174" s="31" t="s">
        <v>78</v>
      </c>
    </row>
    <row r="1175">
      <c r="A1175" s="36">
        <v>45824.0</v>
      </c>
      <c r="B1175" s="31" t="s">
        <v>2866</v>
      </c>
      <c r="C1175" s="31" t="s">
        <v>2867</v>
      </c>
      <c r="D1175" s="32" t="s">
        <v>36</v>
      </c>
      <c r="E1175" s="28" t="s">
        <v>71</v>
      </c>
      <c r="F1175" s="33">
        <v>9.871073021E9</v>
      </c>
      <c r="G1175" s="32" t="s">
        <v>54</v>
      </c>
      <c r="H1175" s="31" t="s">
        <v>54</v>
      </c>
      <c r="I1175" s="31" t="s">
        <v>1491</v>
      </c>
      <c r="J1175" s="31"/>
      <c r="K1175" s="31"/>
      <c r="L1175" s="31" t="s">
        <v>78</v>
      </c>
    </row>
    <row r="1176">
      <c r="A1176" s="36">
        <v>45824.0</v>
      </c>
      <c r="B1176" s="31" t="s">
        <v>2868</v>
      </c>
      <c r="C1176" s="31" t="s">
        <v>2869</v>
      </c>
      <c r="D1176" s="32" t="s">
        <v>36</v>
      </c>
      <c r="E1176" s="28" t="s">
        <v>71</v>
      </c>
      <c r="F1176" s="33">
        <v>9.871073021E9</v>
      </c>
      <c r="G1176" s="32" t="s">
        <v>54</v>
      </c>
      <c r="H1176" s="31" t="s">
        <v>54</v>
      </c>
      <c r="I1176" s="31" t="s">
        <v>1491</v>
      </c>
      <c r="J1176" s="31"/>
      <c r="K1176" s="31"/>
      <c r="L1176" s="31" t="s">
        <v>78</v>
      </c>
    </row>
    <row r="1177">
      <c r="A1177" s="36">
        <v>45824.0</v>
      </c>
      <c r="B1177" s="31" t="s">
        <v>2870</v>
      </c>
      <c r="C1177" s="31" t="s">
        <v>2871</v>
      </c>
      <c r="D1177" s="32" t="s">
        <v>16</v>
      </c>
      <c r="E1177" s="28" t="s">
        <v>71</v>
      </c>
      <c r="F1177" s="33"/>
      <c r="G1177" s="32" t="s">
        <v>72</v>
      </c>
      <c r="H1177" s="31" t="s">
        <v>2872</v>
      </c>
      <c r="I1177" s="31" t="s">
        <v>1017</v>
      </c>
      <c r="J1177" s="31"/>
      <c r="K1177" s="31"/>
      <c r="L1177" s="31" t="s">
        <v>75</v>
      </c>
    </row>
    <row r="1178">
      <c r="A1178" s="41">
        <v>45826.0</v>
      </c>
      <c r="B1178" s="31" t="s">
        <v>2873</v>
      </c>
      <c r="C1178" s="34" t="s">
        <v>2874</v>
      </c>
      <c r="D1178" s="35" t="s">
        <v>14</v>
      </c>
      <c r="E1178" s="28" t="s">
        <v>71</v>
      </c>
      <c r="F1178" s="33">
        <v>7.905281157E9</v>
      </c>
      <c r="G1178" s="32" t="s">
        <v>72</v>
      </c>
      <c r="H1178" s="31" t="s">
        <v>1020</v>
      </c>
      <c r="I1178" s="31" t="s">
        <v>1054</v>
      </c>
      <c r="J1178" s="31"/>
      <c r="K1178" s="31"/>
      <c r="L1178" s="31" t="s">
        <v>75</v>
      </c>
    </row>
    <row r="1179">
      <c r="A1179" s="41">
        <v>45826.0</v>
      </c>
      <c r="B1179" s="31" t="s">
        <v>2875</v>
      </c>
      <c r="C1179" s="34" t="s">
        <v>2876</v>
      </c>
      <c r="D1179" s="35" t="s">
        <v>14</v>
      </c>
      <c r="E1179" s="28" t="s">
        <v>71</v>
      </c>
      <c r="F1179" s="33">
        <v>7.905281157E9</v>
      </c>
      <c r="G1179" s="35" t="s">
        <v>72</v>
      </c>
      <c r="H1179" s="31" t="s">
        <v>1047</v>
      </c>
      <c r="I1179" s="31" t="s">
        <v>1048</v>
      </c>
      <c r="J1179" s="31"/>
      <c r="K1179" s="31"/>
      <c r="L1179" s="31" t="s">
        <v>75</v>
      </c>
    </row>
    <row r="1180">
      <c r="A1180" s="41">
        <v>45826.0</v>
      </c>
      <c r="B1180" s="31" t="s">
        <v>2877</v>
      </c>
      <c r="C1180" s="34" t="s">
        <v>2878</v>
      </c>
      <c r="D1180" s="35" t="s">
        <v>21</v>
      </c>
      <c r="E1180" s="28" t="s">
        <v>71</v>
      </c>
      <c r="F1180" s="33">
        <v>9.620902465E9</v>
      </c>
      <c r="G1180" s="35" t="s">
        <v>2590</v>
      </c>
      <c r="H1180" s="31" t="s">
        <v>1186</v>
      </c>
      <c r="I1180" s="34" t="s">
        <v>1187</v>
      </c>
      <c r="J1180" s="34"/>
      <c r="K1180" s="31"/>
      <c r="L1180" s="31" t="s">
        <v>75</v>
      </c>
    </row>
    <row r="1181">
      <c r="A1181" s="41">
        <v>45826.0</v>
      </c>
      <c r="B1181" s="31" t="s">
        <v>2879</v>
      </c>
      <c r="C1181" s="34" t="s">
        <v>2880</v>
      </c>
      <c r="D1181" s="35" t="s">
        <v>16</v>
      </c>
      <c r="E1181" s="28" t="s">
        <v>71</v>
      </c>
      <c r="F1181" s="33">
        <v>7.045656488E9</v>
      </c>
      <c r="G1181" s="35" t="s">
        <v>72</v>
      </c>
      <c r="H1181" s="31" t="s">
        <v>2881</v>
      </c>
      <c r="I1181" s="34" t="s">
        <v>1017</v>
      </c>
      <c r="J1181" s="34"/>
      <c r="K1181" s="31"/>
      <c r="L1181" s="31" t="s">
        <v>75</v>
      </c>
    </row>
    <row r="1182">
      <c r="A1182" s="41">
        <v>45827.0</v>
      </c>
      <c r="B1182" s="31" t="s">
        <v>2882</v>
      </c>
      <c r="C1182" s="34" t="s">
        <v>2883</v>
      </c>
      <c r="D1182" s="35" t="s">
        <v>22</v>
      </c>
      <c r="E1182" s="28" t="s">
        <v>71</v>
      </c>
      <c r="F1182" s="42">
        <v>9.71526573352E11</v>
      </c>
      <c r="G1182" s="35" t="s">
        <v>72</v>
      </c>
      <c r="H1182" s="34" t="s">
        <v>2884</v>
      </c>
      <c r="I1182" s="34" t="s">
        <v>1243</v>
      </c>
      <c r="J1182" s="34"/>
      <c r="K1182" s="31"/>
      <c r="L1182" s="31" t="s">
        <v>75</v>
      </c>
    </row>
    <row r="1183">
      <c r="A1183" s="41">
        <v>45827.0</v>
      </c>
      <c r="B1183" s="31" t="s">
        <v>2885</v>
      </c>
      <c r="C1183" s="34" t="s">
        <v>2886</v>
      </c>
      <c r="D1183" s="35" t="s">
        <v>14</v>
      </c>
      <c r="E1183" s="28" t="s">
        <v>71</v>
      </c>
      <c r="F1183" s="33">
        <v>8.707324037E9</v>
      </c>
      <c r="G1183" s="35" t="s">
        <v>72</v>
      </c>
      <c r="H1183" s="31" t="s">
        <v>1425</v>
      </c>
      <c r="I1183" s="34" t="s">
        <v>1054</v>
      </c>
      <c r="J1183" s="34"/>
      <c r="K1183" s="31"/>
      <c r="L1183" s="31" t="s">
        <v>78</v>
      </c>
    </row>
    <row r="1184">
      <c r="A1184" s="41">
        <v>45828.0</v>
      </c>
      <c r="B1184" s="31" t="s">
        <v>2887</v>
      </c>
      <c r="C1184" s="34" t="s">
        <v>2888</v>
      </c>
      <c r="D1184" s="35" t="s">
        <v>33</v>
      </c>
      <c r="E1184" s="28" t="s">
        <v>71</v>
      </c>
      <c r="F1184" s="42">
        <v>9.311102095E9</v>
      </c>
      <c r="G1184" s="35" t="s">
        <v>54</v>
      </c>
      <c r="H1184" s="31" t="s">
        <v>1870</v>
      </c>
      <c r="I1184" s="34" t="s">
        <v>1135</v>
      </c>
      <c r="J1184" s="34"/>
      <c r="K1184" s="31"/>
      <c r="L1184" s="31" t="s">
        <v>78</v>
      </c>
    </row>
    <row r="1185">
      <c r="A1185" s="41">
        <v>45831.0</v>
      </c>
      <c r="B1185" s="31" t="s">
        <v>2889</v>
      </c>
      <c r="C1185" s="34" t="s">
        <v>2890</v>
      </c>
      <c r="D1185" s="35" t="s">
        <v>33</v>
      </c>
      <c r="E1185" s="28" t="s">
        <v>71</v>
      </c>
      <c r="F1185" s="42">
        <v>8.307508841E9</v>
      </c>
      <c r="G1185" s="35" t="s">
        <v>72</v>
      </c>
      <c r="H1185" s="34" t="s">
        <v>2220</v>
      </c>
      <c r="I1185" s="34" t="s">
        <v>1287</v>
      </c>
      <c r="J1185" s="34"/>
      <c r="K1185" s="31"/>
      <c r="L1185" s="31" t="s">
        <v>75</v>
      </c>
    </row>
    <row r="1186">
      <c r="A1186" s="41">
        <v>45831.0</v>
      </c>
      <c r="B1186" s="31" t="s">
        <v>2891</v>
      </c>
      <c r="C1186" s="34" t="s">
        <v>2892</v>
      </c>
      <c r="D1186" s="35" t="s">
        <v>14</v>
      </c>
      <c r="E1186" s="28" t="s">
        <v>71</v>
      </c>
      <c r="F1186" s="42">
        <v>6.377898557E9</v>
      </c>
      <c r="G1186" s="35" t="s">
        <v>72</v>
      </c>
      <c r="H1186" s="34" t="s">
        <v>1020</v>
      </c>
      <c r="I1186" s="34" t="s">
        <v>1054</v>
      </c>
      <c r="J1186" s="34"/>
      <c r="K1186" s="31"/>
      <c r="L1186" s="31" t="s">
        <v>75</v>
      </c>
    </row>
    <row r="1187">
      <c r="A1187" s="41">
        <v>45832.0</v>
      </c>
      <c r="B1187" s="31" t="s">
        <v>2893</v>
      </c>
      <c r="C1187" s="26" t="s">
        <v>2894</v>
      </c>
      <c r="D1187" s="35" t="s">
        <v>25</v>
      </c>
      <c r="E1187" s="28" t="s">
        <v>71</v>
      </c>
      <c r="F1187" s="42">
        <v>8.920697235E9</v>
      </c>
      <c r="G1187" s="35" t="s">
        <v>72</v>
      </c>
      <c r="H1187" s="34" t="s">
        <v>25</v>
      </c>
      <c r="I1187" s="34" t="s">
        <v>1315</v>
      </c>
      <c r="J1187" s="34"/>
      <c r="K1187" s="31"/>
      <c r="L1187" s="31" t="s">
        <v>75</v>
      </c>
    </row>
    <row r="1188">
      <c r="A1188" s="41">
        <v>45832.0</v>
      </c>
      <c r="B1188" s="31" t="s">
        <v>2895</v>
      </c>
      <c r="C1188" s="34" t="s">
        <v>2896</v>
      </c>
      <c r="D1188" s="35" t="s">
        <v>14</v>
      </c>
      <c r="E1188" s="28" t="s">
        <v>71</v>
      </c>
      <c r="F1188" s="42">
        <v>9.818721712E9</v>
      </c>
      <c r="G1188" s="35" t="s">
        <v>72</v>
      </c>
      <c r="H1188" s="34" t="s">
        <v>1020</v>
      </c>
      <c r="I1188" s="34" t="s">
        <v>1054</v>
      </c>
      <c r="J1188" s="34"/>
      <c r="K1188" s="31"/>
      <c r="L1188" s="31" t="s">
        <v>75</v>
      </c>
    </row>
    <row r="1189">
      <c r="A1189" s="41">
        <v>45833.0</v>
      </c>
      <c r="B1189" s="31" t="s">
        <v>2897</v>
      </c>
      <c r="C1189" s="34" t="s">
        <v>2898</v>
      </c>
      <c r="D1189" s="35" t="s">
        <v>28</v>
      </c>
      <c r="E1189" s="28" t="s">
        <v>71</v>
      </c>
      <c r="F1189" s="42">
        <v>9.650410727E9</v>
      </c>
      <c r="G1189" s="35" t="s">
        <v>72</v>
      </c>
      <c r="H1189" s="34" t="s">
        <v>2804</v>
      </c>
      <c r="I1189" s="34" t="s">
        <v>1077</v>
      </c>
      <c r="J1189" s="34"/>
      <c r="K1189" s="31"/>
      <c r="L1189" s="31" t="s">
        <v>75</v>
      </c>
    </row>
    <row r="1190">
      <c r="A1190" s="41">
        <v>45833.0</v>
      </c>
      <c r="B1190" s="31" t="s">
        <v>2899</v>
      </c>
      <c r="C1190" s="26" t="s">
        <v>2900</v>
      </c>
      <c r="D1190" s="35" t="s">
        <v>30</v>
      </c>
      <c r="E1190" s="28" t="s">
        <v>71</v>
      </c>
      <c r="F1190" s="42">
        <v>8.800929377E9</v>
      </c>
      <c r="G1190" s="35" t="s">
        <v>1043</v>
      </c>
      <c r="H1190" s="34" t="s">
        <v>2901</v>
      </c>
      <c r="I1190" s="34" t="s">
        <v>1622</v>
      </c>
      <c r="J1190" s="34"/>
      <c r="K1190" s="31"/>
      <c r="L1190" s="31" t="s">
        <v>75</v>
      </c>
    </row>
    <row r="1191">
      <c r="A1191" s="41">
        <v>45833.0</v>
      </c>
      <c r="B1191" s="31" t="s">
        <v>2902</v>
      </c>
      <c r="C1191" s="34" t="s">
        <v>2903</v>
      </c>
      <c r="D1191" s="35" t="s">
        <v>25</v>
      </c>
      <c r="E1191" s="28" t="s">
        <v>71</v>
      </c>
      <c r="F1191" s="42">
        <v>8.860553986E9</v>
      </c>
      <c r="G1191" s="35" t="s">
        <v>72</v>
      </c>
      <c r="H1191" s="34" t="s">
        <v>2904</v>
      </c>
      <c r="I1191" s="34" t="s">
        <v>1315</v>
      </c>
      <c r="J1191" s="34"/>
      <c r="K1191" s="31"/>
      <c r="L1191" s="31" t="s">
        <v>75</v>
      </c>
    </row>
    <row r="1192">
      <c r="A1192" s="41">
        <v>45839.0</v>
      </c>
      <c r="B1192" s="31" t="s">
        <v>992</v>
      </c>
      <c r="C1192" s="34" t="s">
        <v>2905</v>
      </c>
      <c r="D1192" s="35" t="s">
        <v>14</v>
      </c>
      <c r="E1192" s="28" t="s">
        <v>71</v>
      </c>
      <c r="F1192" s="42">
        <v>7.351995584E9</v>
      </c>
      <c r="G1192" s="35" t="s">
        <v>1043</v>
      </c>
      <c r="H1192" s="34" t="s">
        <v>1050</v>
      </c>
      <c r="I1192" s="34" t="s">
        <v>1044</v>
      </c>
      <c r="J1192" s="34"/>
      <c r="K1192" s="31"/>
      <c r="L1192" s="31" t="s">
        <v>75</v>
      </c>
    </row>
    <row r="1193">
      <c r="A1193" s="41">
        <v>45839.0</v>
      </c>
      <c r="B1193" s="31" t="s">
        <v>2906</v>
      </c>
      <c r="C1193" s="34" t="s">
        <v>2907</v>
      </c>
      <c r="D1193" s="35" t="s">
        <v>14</v>
      </c>
      <c r="E1193" s="28" t="s">
        <v>71</v>
      </c>
      <c r="F1193" s="42">
        <v>9.454876178E9</v>
      </c>
      <c r="G1193" s="35" t="s">
        <v>1043</v>
      </c>
      <c r="H1193" s="34" t="s">
        <v>1050</v>
      </c>
      <c r="I1193" s="34" t="s">
        <v>1044</v>
      </c>
      <c r="J1193" s="34"/>
      <c r="K1193" s="31"/>
      <c r="L1193" s="31" t="s">
        <v>75</v>
      </c>
    </row>
    <row r="1194">
      <c r="A1194" s="41">
        <v>45839.0</v>
      </c>
      <c r="B1194" s="31" t="s">
        <v>2908</v>
      </c>
      <c r="C1194" s="34" t="s">
        <v>2909</v>
      </c>
      <c r="D1194" s="35" t="s">
        <v>14</v>
      </c>
      <c r="E1194" s="28" t="s">
        <v>71</v>
      </c>
      <c r="F1194" s="42">
        <v>9.454876178E9</v>
      </c>
      <c r="G1194" s="35" t="s">
        <v>1043</v>
      </c>
      <c r="H1194" s="34" t="s">
        <v>1050</v>
      </c>
      <c r="I1194" s="34" t="s">
        <v>1044</v>
      </c>
      <c r="J1194" s="34"/>
      <c r="K1194" s="31"/>
      <c r="L1194" s="31" t="s">
        <v>75</v>
      </c>
    </row>
    <row r="1195">
      <c r="A1195" s="41">
        <v>45839.0</v>
      </c>
      <c r="B1195" s="31" t="s">
        <v>2910</v>
      </c>
      <c r="C1195" s="34" t="s">
        <v>2911</v>
      </c>
      <c r="D1195" s="35" t="s">
        <v>14</v>
      </c>
      <c r="E1195" s="28" t="s">
        <v>71</v>
      </c>
      <c r="F1195" s="42">
        <v>8.879837243E9</v>
      </c>
      <c r="G1195" s="35" t="s">
        <v>1043</v>
      </c>
      <c r="H1195" s="34" t="s">
        <v>1050</v>
      </c>
      <c r="I1195" s="34" t="s">
        <v>1044</v>
      </c>
      <c r="J1195" s="34"/>
      <c r="K1195" s="31"/>
      <c r="L1195" s="31" t="s">
        <v>75</v>
      </c>
    </row>
    <row r="1196">
      <c r="A1196" s="41">
        <v>45839.0</v>
      </c>
      <c r="B1196" s="31" t="s">
        <v>2912</v>
      </c>
      <c r="C1196" s="34" t="s">
        <v>2913</v>
      </c>
      <c r="D1196" s="35" t="s">
        <v>28</v>
      </c>
      <c r="E1196" s="28" t="s">
        <v>71</v>
      </c>
      <c r="F1196" s="42">
        <v>8.052818224E9</v>
      </c>
      <c r="G1196" s="35" t="s">
        <v>72</v>
      </c>
      <c r="H1196" s="34" t="s">
        <v>2681</v>
      </c>
      <c r="I1196" s="34" t="s">
        <v>1075</v>
      </c>
      <c r="J1196" s="34"/>
      <c r="K1196" s="31"/>
      <c r="L1196" s="31" t="s">
        <v>75</v>
      </c>
    </row>
    <row r="1197">
      <c r="A1197" s="41">
        <v>45839.0</v>
      </c>
      <c r="B1197" s="31" t="s">
        <v>2914</v>
      </c>
      <c r="C1197" s="34" t="s">
        <v>2915</v>
      </c>
      <c r="D1197" s="35" t="s">
        <v>28</v>
      </c>
      <c r="E1197" s="28" t="s">
        <v>71</v>
      </c>
      <c r="F1197" s="42">
        <v>7.042560555E9</v>
      </c>
      <c r="G1197" s="35" t="s">
        <v>72</v>
      </c>
      <c r="H1197" s="34" t="s">
        <v>2220</v>
      </c>
      <c r="I1197" s="34" t="s">
        <v>1075</v>
      </c>
      <c r="J1197" s="34"/>
      <c r="K1197" s="31"/>
      <c r="L1197" s="31" t="s">
        <v>75</v>
      </c>
    </row>
    <row r="1198">
      <c r="A1198" s="41">
        <v>45839.0</v>
      </c>
      <c r="B1198" s="31" t="s">
        <v>2916</v>
      </c>
      <c r="C1198" s="34" t="s">
        <v>2917</v>
      </c>
      <c r="D1198" s="35" t="s">
        <v>30</v>
      </c>
      <c r="E1198" s="28" t="s">
        <v>71</v>
      </c>
      <c r="F1198" s="42">
        <v>6.306812055E9</v>
      </c>
      <c r="G1198" s="35" t="s">
        <v>72</v>
      </c>
      <c r="H1198" s="34" t="s">
        <v>1088</v>
      </c>
      <c r="I1198" s="34" t="s">
        <v>1089</v>
      </c>
      <c r="J1198" s="34"/>
      <c r="K1198" s="31"/>
      <c r="L1198" s="31" t="s">
        <v>75</v>
      </c>
    </row>
    <row r="1199">
      <c r="A1199" s="41">
        <v>45839.0</v>
      </c>
      <c r="B1199" s="31" t="s">
        <v>2918</v>
      </c>
      <c r="C1199" s="34" t="s">
        <v>2919</v>
      </c>
      <c r="D1199" s="35" t="s">
        <v>14</v>
      </c>
      <c r="E1199" s="28" t="s">
        <v>71</v>
      </c>
      <c r="F1199" s="42">
        <v>8.38381803E9</v>
      </c>
      <c r="G1199" s="35" t="s">
        <v>72</v>
      </c>
      <c r="H1199" s="34" t="s">
        <v>1020</v>
      </c>
      <c r="I1199" s="34" t="s">
        <v>1054</v>
      </c>
      <c r="J1199" s="34"/>
      <c r="K1199" s="31"/>
      <c r="L1199" s="31" t="s">
        <v>75</v>
      </c>
    </row>
    <row r="1200">
      <c r="A1200" s="41">
        <v>45839.0</v>
      </c>
      <c r="B1200" s="31" t="s">
        <v>2920</v>
      </c>
      <c r="C1200" s="34" t="s">
        <v>2921</v>
      </c>
      <c r="D1200" s="35" t="s">
        <v>14</v>
      </c>
      <c r="E1200" s="28" t="s">
        <v>71</v>
      </c>
      <c r="F1200" s="42">
        <v>9.91114076E9</v>
      </c>
      <c r="G1200" s="35" t="s">
        <v>72</v>
      </c>
      <c r="H1200" s="34" t="s">
        <v>1020</v>
      </c>
      <c r="I1200" s="34" t="s">
        <v>1054</v>
      </c>
      <c r="J1200" s="34"/>
      <c r="K1200" s="31"/>
      <c r="L1200" s="31" t="s">
        <v>75</v>
      </c>
    </row>
    <row r="1201">
      <c r="A1201" s="41">
        <v>45839.0</v>
      </c>
      <c r="B1201" s="31" t="s">
        <v>2922</v>
      </c>
      <c r="C1201" s="34" t="s">
        <v>2923</v>
      </c>
      <c r="D1201" s="35" t="s">
        <v>14</v>
      </c>
      <c r="E1201" s="28" t="s">
        <v>71</v>
      </c>
      <c r="F1201" s="42">
        <v>7.08266058E9</v>
      </c>
      <c r="G1201" s="35" t="s">
        <v>72</v>
      </c>
      <c r="H1201" s="34" t="s">
        <v>1020</v>
      </c>
      <c r="I1201" s="34" t="s">
        <v>1054</v>
      </c>
      <c r="J1201" s="34"/>
      <c r="K1201" s="31"/>
      <c r="L1201" s="31" t="s">
        <v>75</v>
      </c>
    </row>
    <row r="1202">
      <c r="A1202" s="41">
        <v>45839.0</v>
      </c>
      <c r="B1202" s="31" t="s">
        <v>2924</v>
      </c>
      <c r="C1202" s="34" t="s">
        <v>2925</v>
      </c>
      <c r="D1202" s="35" t="s">
        <v>14</v>
      </c>
      <c r="E1202" s="28" t="s">
        <v>71</v>
      </c>
      <c r="F1202" s="42">
        <v>8.058777117E9</v>
      </c>
      <c r="G1202" s="35" t="s">
        <v>72</v>
      </c>
      <c r="H1202" s="34" t="s">
        <v>1020</v>
      </c>
      <c r="I1202" s="34" t="s">
        <v>1054</v>
      </c>
      <c r="J1202" s="34"/>
      <c r="K1202" s="31"/>
      <c r="L1202" s="31" t="s">
        <v>75</v>
      </c>
    </row>
    <row r="1203">
      <c r="A1203" s="41">
        <v>45839.0</v>
      </c>
      <c r="B1203" s="31" t="s">
        <v>2926</v>
      </c>
      <c r="C1203" s="34" t="s">
        <v>2927</v>
      </c>
      <c r="D1203" s="35" t="s">
        <v>14</v>
      </c>
      <c r="E1203" s="28" t="s">
        <v>71</v>
      </c>
      <c r="F1203" s="42">
        <v>9.627856216E9</v>
      </c>
      <c r="G1203" s="35" t="s">
        <v>72</v>
      </c>
      <c r="H1203" s="34" t="s">
        <v>1107</v>
      </c>
      <c r="I1203" s="34" t="s">
        <v>1054</v>
      </c>
      <c r="J1203" s="34"/>
      <c r="K1203" s="31"/>
      <c r="L1203" s="31" t="s">
        <v>75</v>
      </c>
    </row>
    <row r="1204">
      <c r="A1204" s="41">
        <v>45839.0</v>
      </c>
      <c r="B1204" s="31" t="s">
        <v>2928</v>
      </c>
      <c r="C1204" s="34" t="s">
        <v>2929</v>
      </c>
      <c r="D1204" s="35" t="s">
        <v>30</v>
      </c>
      <c r="E1204" s="28" t="s">
        <v>71</v>
      </c>
      <c r="F1204" s="42">
        <v>8.28175943E9</v>
      </c>
      <c r="G1204" s="35" t="s">
        <v>72</v>
      </c>
      <c r="H1204" s="34" t="s">
        <v>2930</v>
      </c>
      <c r="I1204" s="34" t="s">
        <v>1040</v>
      </c>
      <c r="J1204" s="34"/>
      <c r="K1204" s="31"/>
      <c r="L1204" s="31" t="s">
        <v>78</v>
      </c>
    </row>
    <row r="1205">
      <c r="A1205" s="41">
        <v>45840.0</v>
      </c>
      <c r="B1205" s="31" t="s">
        <v>2931</v>
      </c>
      <c r="C1205" s="34" t="s">
        <v>2932</v>
      </c>
      <c r="D1205" s="35" t="s">
        <v>22</v>
      </c>
      <c r="E1205" s="28" t="s">
        <v>71</v>
      </c>
      <c r="F1205" s="42">
        <v>7.300161616E9</v>
      </c>
      <c r="G1205" s="35" t="s">
        <v>72</v>
      </c>
      <c r="H1205" s="34" t="s">
        <v>1120</v>
      </c>
      <c r="I1205" s="34" t="s">
        <v>1226</v>
      </c>
      <c r="J1205" s="34"/>
      <c r="K1205" s="31"/>
      <c r="L1205" s="31" t="s">
        <v>75</v>
      </c>
    </row>
    <row r="1206">
      <c r="A1206" s="41">
        <v>45840.0</v>
      </c>
      <c r="B1206" s="31" t="s">
        <v>2933</v>
      </c>
      <c r="C1206" s="34" t="s">
        <v>2934</v>
      </c>
      <c r="D1206" s="35" t="s">
        <v>22</v>
      </c>
      <c r="E1206" s="28" t="s">
        <v>71</v>
      </c>
      <c r="F1206" s="42">
        <v>8.107707491E9</v>
      </c>
      <c r="G1206" s="35" t="s">
        <v>72</v>
      </c>
      <c r="H1206" s="34" t="s">
        <v>1234</v>
      </c>
      <c r="I1206" s="34" t="s">
        <v>1226</v>
      </c>
      <c r="J1206" s="34"/>
      <c r="K1206" s="31"/>
      <c r="L1206" s="31" t="s">
        <v>75</v>
      </c>
    </row>
    <row r="1207">
      <c r="A1207" s="41">
        <v>45841.0</v>
      </c>
      <c r="B1207" s="31" t="s">
        <v>2746</v>
      </c>
      <c r="C1207" s="34" t="s">
        <v>2935</v>
      </c>
      <c r="D1207" s="35" t="s">
        <v>14</v>
      </c>
      <c r="E1207" s="28" t="s">
        <v>71</v>
      </c>
      <c r="F1207" s="42">
        <v>8.802988898E9</v>
      </c>
      <c r="G1207" s="35" t="s">
        <v>72</v>
      </c>
      <c r="H1207" s="34" t="s">
        <v>2936</v>
      </c>
      <c r="I1207" s="34" t="s">
        <v>1026</v>
      </c>
      <c r="J1207" s="34"/>
      <c r="K1207" s="31"/>
      <c r="L1207" s="31" t="s">
        <v>75</v>
      </c>
    </row>
    <row r="1208">
      <c r="A1208" s="41">
        <v>45841.0</v>
      </c>
      <c r="B1208" s="31" t="s">
        <v>2937</v>
      </c>
      <c r="C1208" s="31" t="s">
        <v>2938</v>
      </c>
      <c r="D1208" s="35" t="s">
        <v>14</v>
      </c>
      <c r="E1208" s="28" t="s">
        <v>71</v>
      </c>
      <c r="F1208" s="42">
        <v>9.91008153E9</v>
      </c>
      <c r="G1208" s="35" t="s">
        <v>72</v>
      </c>
      <c r="H1208" s="34" t="s">
        <v>1020</v>
      </c>
      <c r="I1208" s="34" t="s">
        <v>1054</v>
      </c>
      <c r="J1208" s="34"/>
      <c r="K1208" s="31"/>
      <c r="L1208" s="31" t="s">
        <v>75</v>
      </c>
    </row>
    <row r="1209">
      <c r="A1209" s="41">
        <v>45841.0</v>
      </c>
      <c r="B1209" s="31" t="s">
        <v>2939</v>
      </c>
      <c r="C1209" s="34" t="s">
        <v>2940</v>
      </c>
      <c r="D1209" s="32" t="s">
        <v>42</v>
      </c>
      <c r="E1209" s="28" t="s">
        <v>71</v>
      </c>
      <c r="F1209" s="42">
        <v>8.377983498E9</v>
      </c>
      <c r="G1209" s="35" t="s">
        <v>72</v>
      </c>
      <c r="H1209" s="34" t="s">
        <v>2941</v>
      </c>
      <c r="I1209" s="34" t="s">
        <v>1549</v>
      </c>
      <c r="J1209" s="34"/>
      <c r="K1209" s="31"/>
      <c r="L1209" s="31" t="s">
        <v>75</v>
      </c>
    </row>
    <row r="1210">
      <c r="A1210" s="41">
        <v>45845.0</v>
      </c>
      <c r="B1210" s="31" t="s">
        <v>2942</v>
      </c>
      <c r="C1210" s="34" t="s">
        <v>2943</v>
      </c>
      <c r="D1210" s="35" t="s">
        <v>22</v>
      </c>
      <c r="E1210" s="28" t="s">
        <v>71</v>
      </c>
      <c r="F1210" s="33">
        <v>8.505851867E9</v>
      </c>
      <c r="G1210" s="35" t="s">
        <v>72</v>
      </c>
      <c r="H1210" s="31" t="s">
        <v>1290</v>
      </c>
      <c r="I1210" s="34" t="s">
        <v>1240</v>
      </c>
      <c r="J1210" s="34"/>
      <c r="K1210" s="31"/>
      <c r="L1210" s="31" t="s">
        <v>75</v>
      </c>
    </row>
    <row r="1211">
      <c r="A1211" s="41">
        <v>45845.0</v>
      </c>
      <c r="B1211" s="31" t="s">
        <v>2944</v>
      </c>
      <c r="C1211" s="34" t="s">
        <v>2945</v>
      </c>
      <c r="D1211" s="35" t="s">
        <v>14</v>
      </c>
      <c r="E1211" s="28" t="s">
        <v>71</v>
      </c>
      <c r="F1211" s="33">
        <v>7.016704521E9</v>
      </c>
      <c r="G1211" s="35" t="s">
        <v>72</v>
      </c>
      <c r="H1211" s="34" t="s">
        <v>1020</v>
      </c>
      <c r="I1211" s="34" t="s">
        <v>1054</v>
      </c>
      <c r="J1211" s="34"/>
      <c r="K1211" s="31"/>
      <c r="L1211" s="31" t="s">
        <v>75</v>
      </c>
    </row>
    <row r="1212">
      <c r="A1212" s="41">
        <v>45845.0</v>
      </c>
      <c r="B1212" s="31" t="s">
        <v>2946</v>
      </c>
      <c r="C1212" s="34" t="s">
        <v>2947</v>
      </c>
      <c r="D1212" s="35" t="s">
        <v>22</v>
      </c>
      <c r="E1212" s="28" t="s">
        <v>71</v>
      </c>
      <c r="F1212" s="33">
        <v>7.011994789E9</v>
      </c>
      <c r="G1212" s="35" t="s">
        <v>72</v>
      </c>
      <c r="H1212" s="31" t="s">
        <v>1234</v>
      </c>
      <c r="I1212" s="34" t="s">
        <v>1226</v>
      </c>
      <c r="J1212" s="34"/>
      <c r="K1212" s="31"/>
      <c r="L1212" s="31" t="s">
        <v>75</v>
      </c>
    </row>
    <row r="1213">
      <c r="A1213" s="41">
        <v>45845.0</v>
      </c>
      <c r="B1213" s="31" t="s">
        <v>2948</v>
      </c>
      <c r="C1213" s="34" t="s">
        <v>2949</v>
      </c>
      <c r="D1213" s="35" t="s">
        <v>47</v>
      </c>
      <c r="E1213" s="28" t="s">
        <v>71</v>
      </c>
      <c r="F1213" s="42">
        <v>8.800139945E9</v>
      </c>
      <c r="G1213" s="35" t="s">
        <v>72</v>
      </c>
      <c r="H1213" s="34" t="s">
        <v>2029</v>
      </c>
      <c r="I1213" s="34" t="s">
        <v>1210</v>
      </c>
      <c r="J1213" s="34"/>
      <c r="K1213" s="31"/>
      <c r="L1213" s="31" t="s">
        <v>75</v>
      </c>
    </row>
    <row r="1214">
      <c r="A1214" s="41">
        <v>45845.0</v>
      </c>
      <c r="B1214" s="31" t="s">
        <v>2950</v>
      </c>
      <c r="C1214" s="34" t="s">
        <v>2951</v>
      </c>
      <c r="D1214" s="35" t="s">
        <v>14</v>
      </c>
      <c r="E1214" s="28" t="s">
        <v>71</v>
      </c>
      <c r="F1214" s="33">
        <v>9.079032566E9</v>
      </c>
      <c r="G1214" s="35" t="s">
        <v>72</v>
      </c>
      <c r="H1214" s="31" t="s">
        <v>2952</v>
      </c>
      <c r="I1214" s="34" t="s">
        <v>1026</v>
      </c>
      <c r="J1214" s="34"/>
      <c r="K1214" s="31"/>
      <c r="L1214" s="31" t="s">
        <v>75</v>
      </c>
    </row>
    <row r="1215">
      <c r="A1215" s="41">
        <v>45846.0</v>
      </c>
      <c r="B1215" s="31" t="s">
        <v>2953</v>
      </c>
      <c r="C1215" s="34" t="s">
        <v>2954</v>
      </c>
      <c r="D1215" s="35" t="s">
        <v>17</v>
      </c>
      <c r="E1215" s="28" t="s">
        <v>71</v>
      </c>
      <c r="F1215" s="42">
        <v>9.810057361E9</v>
      </c>
      <c r="G1215" s="35" t="s">
        <v>72</v>
      </c>
      <c r="H1215" s="34" t="s">
        <v>2768</v>
      </c>
      <c r="I1215" s="34" t="s">
        <v>1813</v>
      </c>
      <c r="J1215" s="34"/>
      <c r="K1215" s="31"/>
      <c r="L1215" s="31" t="s">
        <v>78</v>
      </c>
    </row>
    <row r="1216">
      <c r="A1216" s="41">
        <v>45846.0</v>
      </c>
      <c r="B1216" s="31" t="s">
        <v>2955</v>
      </c>
      <c r="C1216" s="34" t="s">
        <v>2956</v>
      </c>
      <c r="D1216" s="35" t="s">
        <v>30</v>
      </c>
      <c r="E1216" s="28" t="s">
        <v>71</v>
      </c>
      <c r="F1216" s="42">
        <v>9.599165055E9</v>
      </c>
      <c r="G1216" s="35" t="s">
        <v>54</v>
      </c>
      <c r="H1216" s="31" t="s">
        <v>1870</v>
      </c>
      <c r="I1216" s="34" t="s">
        <v>1017</v>
      </c>
      <c r="J1216" s="34"/>
      <c r="K1216" s="34" t="s">
        <v>2957</v>
      </c>
      <c r="L1216" s="34" t="s">
        <v>78</v>
      </c>
    </row>
    <row r="1217">
      <c r="A1217" s="41">
        <v>45847.0</v>
      </c>
      <c r="B1217" s="31" t="s">
        <v>2958</v>
      </c>
      <c r="C1217" s="34" t="s">
        <v>2959</v>
      </c>
      <c r="D1217" s="35" t="s">
        <v>22</v>
      </c>
      <c r="E1217" s="28" t="s">
        <v>71</v>
      </c>
      <c r="F1217" s="42">
        <v>8.800858905E9</v>
      </c>
      <c r="G1217" s="35" t="s">
        <v>72</v>
      </c>
      <c r="H1217" s="31" t="s">
        <v>1234</v>
      </c>
      <c r="I1217" s="34" t="s">
        <v>1226</v>
      </c>
      <c r="J1217" s="34"/>
      <c r="K1217" s="31"/>
      <c r="L1217" s="31" t="s">
        <v>75</v>
      </c>
    </row>
    <row r="1218">
      <c r="A1218" s="41">
        <v>45848.0</v>
      </c>
      <c r="B1218" s="31" t="s">
        <v>2960</v>
      </c>
      <c r="C1218" s="34" t="s">
        <v>2961</v>
      </c>
      <c r="D1218" s="35" t="s">
        <v>47</v>
      </c>
      <c r="E1218" s="28" t="s">
        <v>71</v>
      </c>
      <c r="F1218" s="42">
        <v>9.811757816E9</v>
      </c>
      <c r="G1218" s="35" t="s">
        <v>72</v>
      </c>
      <c r="H1218" s="34" t="s">
        <v>2962</v>
      </c>
      <c r="I1218" s="34" t="s">
        <v>2236</v>
      </c>
      <c r="J1218" s="34"/>
      <c r="K1218" s="31"/>
      <c r="L1218" s="31" t="s">
        <v>75</v>
      </c>
    </row>
    <row r="1219">
      <c r="A1219" s="41">
        <v>45852.0</v>
      </c>
      <c r="B1219" s="31" t="s">
        <v>2963</v>
      </c>
      <c r="C1219" s="34" t="s">
        <v>2964</v>
      </c>
      <c r="D1219" s="35" t="s">
        <v>22</v>
      </c>
      <c r="E1219" s="28" t="s">
        <v>71</v>
      </c>
      <c r="F1219" s="42">
        <v>9.027131902E9</v>
      </c>
      <c r="G1219" s="35" t="s">
        <v>72</v>
      </c>
      <c r="H1219" s="34" t="s">
        <v>1120</v>
      </c>
      <c r="I1219" s="34" t="s">
        <v>1226</v>
      </c>
      <c r="J1219" s="34"/>
      <c r="K1219" s="31"/>
      <c r="L1219" s="31" t="s">
        <v>75</v>
      </c>
    </row>
    <row r="1220">
      <c r="A1220" s="41">
        <v>45852.0</v>
      </c>
      <c r="B1220" s="31" t="s">
        <v>2965</v>
      </c>
      <c r="C1220" s="34" t="s">
        <v>2966</v>
      </c>
      <c r="D1220" s="35" t="s">
        <v>14</v>
      </c>
      <c r="E1220" s="28" t="s">
        <v>71</v>
      </c>
      <c r="F1220" s="33">
        <v>6.376307503E9</v>
      </c>
      <c r="G1220" s="35" t="s">
        <v>72</v>
      </c>
      <c r="H1220" s="34" t="s">
        <v>1603</v>
      </c>
      <c r="I1220" s="34" t="s">
        <v>1206</v>
      </c>
      <c r="J1220" s="34"/>
      <c r="K1220" s="31"/>
      <c r="L1220" s="31" t="s">
        <v>75</v>
      </c>
    </row>
    <row r="1221">
      <c r="A1221" s="41">
        <v>45852.0</v>
      </c>
      <c r="B1221" s="31" t="s">
        <v>2967</v>
      </c>
      <c r="C1221" s="34" t="s">
        <v>2968</v>
      </c>
      <c r="D1221" s="35" t="s">
        <v>33</v>
      </c>
      <c r="E1221" s="28" t="s">
        <v>71</v>
      </c>
      <c r="F1221" s="42">
        <v>8.218697445E9</v>
      </c>
      <c r="G1221" s="35" t="s">
        <v>72</v>
      </c>
      <c r="H1221" s="31" t="s">
        <v>2220</v>
      </c>
      <c r="I1221" s="34" t="s">
        <v>1678</v>
      </c>
      <c r="J1221" s="34"/>
      <c r="K1221" s="31"/>
      <c r="L1221" s="31" t="s">
        <v>75</v>
      </c>
    </row>
    <row r="1222">
      <c r="A1222" s="41">
        <v>45852.0</v>
      </c>
      <c r="B1222" s="31" t="s">
        <v>2969</v>
      </c>
      <c r="C1222" s="34" t="s">
        <v>2970</v>
      </c>
      <c r="D1222" s="35" t="s">
        <v>33</v>
      </c>
      <c r="E1222" s="28" t="s">
        <v>71</v>
      </c>
      <c r="F1222" s="42">
        <v>8.76621264E9</v>
      </c>
      <c r="G1222" s="35" t="s">
        <v>72</v>
      </c>
      <c r="H1222" s="34" t="s">
        <v>2971</v>
      </c>
      <c r="I1222" s="34" t="s">
        <v>2009</v>
      </c>
      <c r="J1222" s="34"/>
      <c r="K1222" s="31"/>
      <c r="L1222" s="31" t="s">
        <v>75</v>
      </c>
    </row>
    <row r="1223">
      <c r="A1223" s="41">
        <v>45852.0</v>
      </c>
      <c r="B1223" s="31" t="s">
        <v>2972</v>
      </c>
      <c r="C1223" s="34" t="s">
        <v>2973</v>
      </c>
      <c r="D1223" s="35" t="s">
        <v>14</v>
      </c>
      <c r="E1223" s="28" t="s">
        <v>71</v>
      </c>
      <c r="F1223" s="33">
        <v>9.55772251E9</v>
      </c>
      <c r="G1223" s="35" t="s">
        <v>72</v>
      </c>
      <c r="H1223" s="34" t="s">
        <v>1425</v>
      </c>
      <c r="I1223" s="34" t="s">
        <v>1885</v>
      </c>
      <c r="J1223" s="34"/>
      <c r="K1223" s="31"/>
      <c r="L1223" s="31" t="s">
        <v>75</v>
      </c>
    </row>
    <row r="1224">
      <c r="A1224" s="41">
        <v>45852.0</v>
      </c>
      <c r="B1224" s="31" t="s">
        <v>2974</v>
      </c>
      <c r="C1224" s="34" t="s">
        <v>2975</v>
      </c>
      <c r="D1224" s="35" t="s">
        <v>28</v>
      </c>
      <c r="E1224" s="28" t="s">
        <v>71</v>
      </c>
      <c r="F1224" s="42">
        <v>9.789930425E9</v>
      </c>
      <c r="G1224" s="35" t="s">
        <v>72</v>
      </c>
      <c r="H1224" s="34" t="s">
        <v>2976</v>
      </c>
      <c r="I1224" s="34" t="s">
        <v>1073</v>
      </c>
      <c r="J1224" s="34"/>
      <c r="K1224" s="31"/>
      <c r="L1224" s="31" t="s">
        <v>75</v>
      </c>
    </row>
    <row r="1225">
      <c r="A1225" s="41">
        <v>45852.0</v>
      </c>
      <c r="B1225" s="31" t="s">
        <v>2977</v>
      </c>
      <c r="C1225" s="34" t="s">
        <v>2978</v>
      </c>
      <c r="D1225" s="35" t="s">
        <v>47</v>
      </c>
      <c r="E1225" s="28" t="s">
        <v>71</v>
      </c>
      <c r="F1225" s="42">
        <v>8.336947134E9</v>
      </c>
      <c r="G1225" s="35" t="s">
        <v>72</v>
      </c>
      <c r="H1225" s="34" t="s">
        <v>2979</v>
      </c>
      <c r="I1225" s="34" t="s">
        <v>1210</v>
      </c>
      <c r="J1225" s="34"/>
      <c r="K1225" s="31"/>
      <c r="L1225" s="31" t="s">
        <v>75</v>
      </c>
    </row>
    <row r="1226">
      <c r="A1226" s="41">
        <v>45852.0</v>
      </c>
      <c r="B1226" s="31" t="s">
        <v>2980</v>
      </c>
      <c r="C1226" s="34" t="s">
        <v>2981</v>
      </c>
      <c r="D1226" s="35" t="s">
        <v>14</v>
      </c>
      <c r="E1226" s="28" t="s">
        <v>71</v>
      </c>
      <c r="F1226" s="33">
        <v>8.290725134E9</v>
      </c>
      <c r="G1226" s="35" t="s">
        <v>72</v>
      </c>
      <c r="H1226" s="31" t="s">
        <v>1107</v>
      </c>
      <c r="I1226" s="34" t="s">
        <v>1054</v>
      </c>
      <c r="J1226" s="34"/>
      <c r="K1226" s="31"/>
      <c r="L1226" s="31" t="s">
        <v>75</v>
      </c>
    </row>
    <row r="1227">
      <c r="A1227" s="41">
        <v>45853.0</v>
      </c>
      <c r="B1227" s="31" t="s">
        <v>2982</v>
      </c>
      <c r="C1227" s="34" t="s">
        <v>2983</v>
      </c>
      <c r="D1227" s="35" t="s">
        <v>14</v>
      </c>
      <c r="E1227" s="28" t="s">
        <v>71</v>
      </c>
      <c r="F1227" s="33">
        <v>9.873871865E9</v>
      </c>
      <c r="G1227" s="35" t="s">
        <v>72</v>
      </c>
      <c r="H1227" s="34" t="s">
        <v>2984</v>
      </c>
      <c r="I1227" s="34" t="s">
        <v>1026</v>
      </c>
      <c r="J1227" s="34"/>
      <c r="K1227" s="31"/>
      <c r="L1227" s="31" t="s">
        <v>75</v>
      </c>
    </row>
    <row r="1228">
      <c r="A1228" s="41">
        <v>45853.0</v>
      </c>
      <c r="B1228" s="31" t="s">
        <v>2985</v>
      </c>
      <c r="C1228" s="34" t="s">
        <v>2986</v>
      </c>
      <c r="D1228" s="35" t="s">
        <v>30</v>
      </c>
      <c r="E1228" s="28" t="s">
        <v>71</v>
      </c>
      <c r="F1228" s="42">
        <v>9.873871865E9</v>
      </c>
      <c r="G1228" s="35" t="s">
        <v>72</v>
      </c>
      <c r="H1228" s="31" t="s">
        <v>2987</v>
      </c>
      <c r="I1228" s="34" t="s">
        <v>1323</v>
      </c>
      <c r="J1228" s="34"/>
      <c r="K1228" s="31"/>
      <c r="L1228" s="31" t="s">
        <v>75</v>
      </c>
    </row>
    <row r="1229">
      <c r="A1229" s="41">
        <v>45854.0</v>
      </c>
      <c r="B1229" s="31" t="s">
        <v>2988</v>
      </c>
      <c r="C1229" s="34" t="s">
        <v>2989</v>
      </c>
      <c r="D1229" s="35" t="s">
        <v>28</v>
      </c>
      <c r="E1229" s="28" t="s">
        <v>71</v>
      </c>
      <c r="F1229" s="42">
        <v>9.971165914E9</v>
      </c>
      <c r="G1229" s="35" t="s">
        <v>72</v>
      </c>
      <c r="H1229" s="34" t="s">
        <v>2990</v>
      </c>
      <c r="I1229" s="34" t="s">
        <v>1905</v>
      </c>
      <c r="J1229" s="34"/>
      <c r="K1229" s="31"/>
      <c r="L1229" s="31" t="s">
        <v>78</v>
      </c>
    </row>
    <row r="1230">
      <c r="A1230" s="41">
        <v>45854.0</v>
      </c>
      <c r="B1230" s="31" t="s">
        <v>2991</v>
      </c>
      <c r="C1230" s="34" t="s">
        <v>2992</v>
      </c>
      <c r="D1230" s="35" t="s">
        <v>14</v>
      </c>
      <c r="E1230" s="28" t="s">
        <v>71</v>
      </c>
      <c r="F1230" s="33">
        <v>7.814693142E9</v>
      </c>
      <c r="G1230" s="35" t="s">
        <v>72</v>
      </c>
      <c r="H1230" s="31" t="s">
        <v>1020</v>
      </c>
      <c r="I1230" s="34" t="s">
        <v>1054</v>
      </c>
      <c r="J1230" s="34"/>
      <c r="K1230" s="31"/>
      <c r="L1230" s="31" t="s">
        <v>78</v>
      </c>
    </row>
    <row r="1231">
      <c r="A1231" s="41">
        <v>45854.0</v>
      </c>
      <c r="B1231" s="31" t="s">
        <v>2993</v>
      </c>
      <c r="C1231" s="34" t="s">
        <v>2994</v>
      </c>
      <c r="D1231" s="35" t="s">
        <v>14</v>
      </c>
      <c r="E1231" s="28" t="s">
        <v>71</v>
      </c>
      <c r="F1231" s="42">
        <v>8.989845685E9</v>
      </c>
      <c r="G1231" s="35" t="s">
        <v>72</v>
      </c>
      <c r="H1231" s="34" t="s">
        <v>1107</v>
      </c>
      <c r="I1231" s="34" t="s">
        <v>1054</v>
      </c>
      <c r="J1231" s="34"/>
      <c r="K1231" s="31"/>
      <c r="L1231" s="31" t="s">
        <v>75</v>
      </c>
    </row>
    <row r="1232">
      <c r="A1232" s="41">
        <v>45859.0</v>
      </c>
      <c r="B1232" s="31" t="s">
        <v>2995</v>
      </c>
      <c r="C1232" s="34" t="s">
        <v>2996</v>
      </c>
      <c r="D1232" s="35" t="s">
        <v>30</v>
      </c>
      <c r="E1232" s="28" t="s">
        <v>71</v>
      </c>
      <c r="F1232" s="33">
        <v>7.876400575E9</v>
      </c>
      <c r="G1232" s="35" t="s">
        <v>72</v>
      </c>
      <c r="H1232" s="31" t="s">
        <v>2997</v>
      </c>
      <c r="I1232" s="34" t="s">
        <v>1323</v>
      </c>
      <c r="J1232" s="34"/>
      <c r="K1232" s="31"/>
      <c r="L1232" s="31" t="s">
        <v>75</v>
      </c>
    </row>
    <row r="1233">
      <c r="A1233" s="41">
        <v>45859.0</v>
      </c>
      <c r="B1233" s="31" t="s">
        <v>2998</v>
      </c>
      <c r="C1233" s="34" t="s">
        <v>2999</v>
      </c>
      <c r="D1233" s="35" t="s">
        <v>14</v>
      </c>
      <c r="E1233" s="28" t="s">
        <v>71</v>
      </c>
      <c r="F1233" s="42">
        <v>7.724872387E9</v>
      </c>
      <c r="G1233" s="35" t="s">
        <v>72</v>
      </c>
      <c r="H1233" s="34" t="s">
        <v>3000</v>
      </c>
      <c r="I1233" s="34" t="s">
        <v>1206</v>
      </c>
      <c r="J1233" s="34"/>
      <c r="K1233" s="31"/>
      <c r="L1233" s="31" t="s">
        <v>75</v>
      </c>
    </row>
    <row r="1234">
      <c r="A1234" s="41">
        <v>45859.0</v>
      </c>
      <c r="B1234" s="31" t="s">
        <v>3001</v>
      </c>
      <c r="C1234" s="34" t="s">
        <v>3002</v>
      </c>
      <c r="D1234" s="35" t="s">
        <v>28</v>
      </c>
      <c r="E1234" s="28" t="s">
        <v>71</v>
      </c>
      <c r="F1234" s="42">
        <v>8.756475324E9</v>
      </c>
      <c r="G1234" s="35" t="s">
        <v>72</v>
      </c>
      <c r="H1234" s="34" t="s">
        <v>3003</v>
      </c>
      <c r="I1234" s="34" t="s">
        <v>1075</v>
      </c>
      <c r="J1234" s="34"/>
      <c r="K1234" s="31"/>
      <c r="L1234" s="31" t="s">
        <v>75</v>
      </c>
    </row>
    <row r="1235">
      <c r="A1235" s="41">
        <v>45859.0</v>
      </c>
      <c r="B1235" s="31" t="s">
        <v>3004</v>
      </c>
      <c r="C1235" s="34" t="s">
        <v>3005</v>
      </c>
      <c r="D1235" s="35" t="s">
        <v>14</v>
      </c>
      <c r="E1235" s="28" t="s">
        <v>71</v>
      </c>
      <c r="F1235" s="33">
        <v>9.960683139E9</v>
      </c>
      <c r="G1235" s="35" t="s">
        <v>72</v>
      </c>
      <c r="H1235" s="34" t="s">
        <v>1020</v>
      </c>
      <c r="I1235" s="34" t="s">
        <v>1054</v>
      </c>
      <c r="J1235" s="34"/>
      <c r="K1235" s="31"/>
      <c r="L1235" s="31" t="s">
        <v>75</v>
      </c>
    </row>
    <row r="1236">
      <c r="A1236" s="41">
        <v>45859.0</v>
      </c>
      <c r="B1236" s="31" t="s">
        <v>3006</v>
      </c>
      <c r="C1236" s="34" t="s">
        <v>3007</v>
      </c>
      <c r="D1236" s="35" t="s">
        <v>22</v>
      </c>
      <c r="E1236" s="28" t="s">
        <v>71</v>
      </c>
      <c r="F1236" s="33">
        <v>9.452766237E9</v>
      </c>
      <c r="G1236" s="35" t="s">
        <v>72</v>
      </c>
      <c r="H1236" s="34" t="s">
        <v>2333</v>
      </c>
      <c r="I1236" s="34" t="s">
        <v>1240</v>
      </c>
      <c r="J1236" s="34"/>
      <c r="K1236" s="31"/>
      <c r="L1236" s="31" t="s">
        <v>75</v>
      </c>
    </row>
    <row r="1237">
      <c r="A1237" s="41">
        <v>45859.0</v>
      </c>
      <c r="B1237" s="31" t="s">
        <v>3008</v>
      </c>
      <c r="C1237" s="34" t="s">
        <v>3009</v>
      </c>
      <c r="D1237" s="35" t="s">
        <v>14</v>
      </c>
      <c r="E1237" s="28" t="s">
        <v>71</v>
      </c>
      <c r="F1237" s="42">
        <v>7.037244374E9</v>
      </c>
      <c r="G1237" s="35" t="s">
        <v>72</v>
      </c>
      <c r="H1237" s="34" t="s">
        <v>3010</v>
      </c>
      <c r="I1237" s="34" t="s">
        <v>1044</v>
      </c>
      <c r="J1237" s="34"/>
      <c r="K1237" s="31"/>
      <c r="L1237" s="31" t="s">
        <v>75</v>
      </c>
    </row>
    <row r="1238">
      <c r="A1238" s="41">
        <v>45859.0</v>
      </c>
      <c r="B1238" s="31" t="s">
        <v>3011</v>
      </c>
      <c r="C1238" s="34" t="s">
        <v>3012</v>
      </c>
      <c r="D1238" s="35" t="s">
        <v>21</v>
      </c>
      <c r="E1238" s="28" t="s">
        <v>71</v>
      </c>
      <c r="F1238" s="42">
        <v>8.799772124E9</v>
      </c>
      <c r="G1238" s="35" t="s">
        <v>1043</v>
      </c>
      <c r="H1238" s="34" t="s">
        <v>1043</v>
      </c>
      <c r="I1238" s="34" t="s">
        <v>1164</v>
      </c>
      <c r="J1238" s="34"/>
      <c r="K1238" s="31"/>
      <c r="L1238" s="31" t="s">
        <v>75</v>
      </c>
    </row>
    <row r="1239">
      <c r="A1239" s="41">
        <v>45859.0</v>
      </c>
      <c r="B1239" s="31" t="s">
        <v>3013</v>
      </c>
      <c r="C1239" s="34" t="s">
        <v>3014</v>
      </c>
      <c r="D1239" s="35" t="s">
        <v>21</v>
      </c>
      <c r="E1239" s="28" t="s">
        <v>71</v>
      </c>
      <c r="F1239" s="42">
        <v>7.727823377E9</v>
      </c>
      <c r="G1239" s="35" t="s">
        <v>1043</v>
      </c>
      <c r="H1239" s="34" t="s">
        <v>1043</v>
      </c>
      <c r="I1239" s="34" t="s">
        <v>1164</v>
      </c>
      <c r="J1239" s="34"/>
      <c r="K1239" s="31"/>
      <c r="L1239" s="31" t="s">
        <v>75</v>
      </c>
    </row>
    <row r="1240">
      <c r="A1240" s="41">
        <v>45859.0</v>
      </c>
      <c r="B1240" s="31" t="s">
        <v>3015</v>
      </c>
      <c r="C1240" s="34" t="s">
        <v>3016</v>
      </c>
      <c r="D1240" s="35" t="s">
        <v>21</v>
      </c>
      <c r="E1240" s="28" t="s">
        <v>71</v>
      </c>
      <c r="F1240" s="42">
        <v>9.517260232E9</v>
      </c>
      <c r="G1240" s="35" t="s">
        <v>1043</v>
      </c>
      <c r="H1240" s="34" t="s">
        <v>1043</v>
      </c>
      <c r="I1240" s="34" t="s">
        <v>1164</v>
      </c>
      <c r="J1240" s="34"/>
      <c r="K1240" s="31"/>
      <c r="L1240" s="31" t="s">
        <v>75</v>
      </c>
    </row>
    <row r="1241">
      <c r="A1241" s="41">
        <v>45859.0</v>
      </c>
      <c r="B1241" s="31" t="s">
        <v>3017</v>
      </c>
      <c r="C1241" s="34" t="s">
        <v>3018</v>
      </c>
      <c r="D1241" s="35" t="s">
        <v>21</v>
      </c>
      <c r="E1241" s="28" t="s">
        <v>71</v>
      </c>
      <c r="F1241" s="42">
        <v>9.760119031E9</v>
      </c>
      <c r="G1241" s="35" t="s">
        <v>1043</v>
      </c>
      <c r="H1241" s="34" t="s">
        <v>1043</v>
      </c>
      <c r="I1241" s="34" t="s">
        <v>1164</v>
      </c>
      <c r="J1241" s="34"/>
      <c r="K1241" s="31"/>
      <c r="L1241" s="31" t="s">
        <v>75</v>
      </c>
    </row>
    <row r="1242">
      <c r="A1242" s="41">
        <v>45859.0</v>
      </c>
      <c r="B1242" s="31" t="s">
        <v>3019</v>
      </c>
      <c r="C1242" s="34" t="s">
        <v>3020</v>
      </c>
      <c r="D1242" s="35" t="s">
        <v>21</v>
      </c>
      <c r="E1242" s="28" t="s">
        <v>71</v>
      </c>
      <c r="F1242" s="42">
        <v>7.042962369E9</v>
      </c>
      <c r="G1242" s="35" t="s">
        <v>1043</v>
      </c>
      <c r="H1242" s="34" t="s">
        <v>1043</v>
      </c>
      <c r="I1242" s="34" t="s">
        <v>1164</v>
      </c>
      <c r="J1242" s="34"/>
      <c r="K1242" s="31"/>
      <c r="L1242" s="31" t="s">
        <v>75</v>
      </c>
    </row>
    <row r="1243">
      <c r="A1243" s="41">
        <v>45859.0</v>
      </c>
      <c r="B1243" s="31" t="s">
        <v>3021</v>
      </c>
      <c r="C1243" s="34" t="s">
        <v>3022</v>
      </c>
      <c r="D1243" s="35" t="s">
        <v>21</v>
      </c>
      <c r="E1243" s="28" t="s">
        <v>71</v>
      </c>
      <c r="F1243" s="42">
        <v>9.911594894E9</v>
      </c>
      <c r="G1243" s="35" t="s">
        <v>1043</v>
      </c>
      <c r="H1243" s="34" t="s">
        <v>1043</v>
      </c>
      <c r="I1243" s="34" t="s">
        <v>1164</v>
      </c>
      <c r="J1243" s="34"/>
      <c r="K1243" s="31"/>
      <c r="L1243" s="31" t="s">
        <v>75</v>
      </c>
    </row>
    <row r="1244">
      <c r="A1244" s="41">
        <v>45859.0</v>
      </c>
      <c r="B1244" s="31" t="s">
        <v>3023</v>
      </c>
      <c r="C1244" s="34" t="s">
        <v>3024</v>
      </c>
      <c r="D1244" s="35" t="s">
        <v>21</v>
      </c>
      <c r="E1244" s="28" t="s">
        <v>71</v>
      </c>
      <c r="F1244" s="42">
        <v>9.990826708E9</v>
      </c>
      <c r="G1244" s="35" t="s">
        <v>1043</v>
      </c>
      <c r="H1244" s="34" t="s">
        <v>1043</v>
      </c>
      <c r="I1244" s="34" t="s">
        <v>1164</v>
      </c>
      <c r="J1244" s="34"/>
      <c r="K1244" s="31"/>
      <c r="L1244" s="31" t="s">
        <v>75</v>
      </c>
    </row>
    <row r="1245">
      <c r="A1245" s="41">
        <v>45861.0</v>
      </c>
      <c r="B1245" s="31" t="s">
        <v>3025</v>
      </c>
      <c r="C1245" s="34" t="s">
        <v>3026</v>
      </c>
      <c r="D1245" s="35" t="s">
        <v>14</v>
      </c>
      <c r="E1245" s="28" t="s">
        <v>71</v>
      </c>
      <c r="F1245" s="42">
        <v>7.004926261E9</v>
      </c>
      <c r="G1245" s="35" t="s">
        <v>1043</v>
      </c>
      <c r="H1245" s="34" t="s">
        <v>3010</v>
      </c>
      <c r="I1245" s="34" t="s">
        <v>1044</v>
      </c>
      <c r="J1245" s="34"/>
      <c r="K1245" s="31"/>
      <c r="L1245" s="31" t="s">
        <v>75</v>
      </c>
    </row>
    <row r="1246">
      <c r="A1246" s="41">
        <v>45861.0</v>
      </c>
      <c r="B1246" s="31" t="s">
        <v>3027</v>
      </c>
      <c r="C1246" s="34" t="s">
        <v>3028</v>
      </c>
      <c r="D1246" s="35" t="s">
        <v>14</v>
      </c>
      <c r="E1246" s="28" t="s">
        <v>71</v>
      </c>
      <c r="F1246" s="42">
        <v>9.729481062E9</v>
      </c>
      <c r="G1246" s="35" t="s">
        <v>1043</v>
      </c>
      <c r="H1246" s="34" t="s">
        <v>3010</v>
      </c>
      <c r="I1246" s="34" t="s">
        <v>1044</v>
      </c>
      <c r="J1246" s="34"/>
      <c r="K1246" s="31"/>
      <c r="L1246" s="31" t="s">
        <v>75</v>
      </c>
    </row>
    <row r="1247">
      <c r="A1247" s="41">
        <v>45861.0</v>
      </c>
      <c r="B1247" s="31" t="s">
        <v>3029</v>
      </c>
      <c r="C1247" s="34" t="s">
        <v>3030</v>
      </c>
      <c r="D1247" s="35" t="s">
        <v>14</v>
      </c>
      <c r="E1247" s="28" t="s">
        <v>71</v>
      </c>
      <c r="F1247" s="42">
        <v>7.014710326E9</v>
      </c>
      <c r="G1247" s="35" t="s">
        <v>72</v>
      </c>
      <c r="H1247" s="34" t="s">
        <v>1020</v>
      </c>
      <c r="I1247" s="34" t="s">
        <v>1054</v>
      </c>
      <c r="J1247" s="34"/>
      <c r="K1247" s="31"/>
      <c r="L1247" s="31" t="s">
        <v>75</v>
      </c>
    </row>
    <row r="1248">
      <c r="A1248" s="41">
        <v>45861.0</v>
      </c>
      <c r="B1248" s="31" t="s">
        <v>3031</v>
      </c>
      <c r="C1248" s="34" t="s">
        <v>3032</v>
      </c>
      <c r="D1248" s="35" t="s">
        <v>14</v>
      </c>
      <c r="E1248" s="28" t="s">
        <v>71</v>
      </c>
      <c r="F1248" s="42">
        <v>9.582029214E9</v>
      </c>
      <c r="G1248" s="35" t="s">
        <v>72</v>
      </c>
      <c r="H1248" s="34" t="s">
        <v>1020</v>
      </c>
      <c r="I1248" s="34" t="s">
        <v>1048</v>
      </c>
      <c r="J1248" s="34"/>
      <c r="K1248" s="31"/>
      <c r="L1248" s="31" t="s">
        <v>75</v>
      </c>
    </row>
    <row r="1249">
      <c r="A1249" s="41">
        <v>45861.0</v>
      </c>
      <c r="B1249" s="31" t="s">
        <v>3033</v>
      </c>
      <c r="C1249" s="34" t="s">
        <v>3034</v>
      </c>
      <c r="D1249" s="35" t="s">
        <v>21</v>
      </c>
      <c r="E1249" s="28" t="s">
        <v>71</v>
      </c>
      <c r="F1249" s="42">
        <v>7.387728226E9</v>
      </c>
      <c r="G1249" s="35" t="s">
        <v>72</v>
      </c>
      <c r="H1249" s="34" t="s">
        <v>3035</v>
      </c>
      <c r="I1249" s="34" t="s">
        <v>1066</v>
      </c>
      <c r="J1249" s="34"/>
      <c r="K1249" s="31"/>
      <c r="L1249" s="31" t="s">
        <v>75</v>
      </c>
    </row>
    <row r="1250">
      <c r="A1250" s="41">
        <v>45862.0</v>
      </c>
      <c r="B1250" s="31" t="s">
        <v>3036</v>
      </c>
      <c r="C1250" s="34" t="s">
        <v>3037</v>
      </c>
      <c r="D1250" s="35" t="s">
        <v>14</v>
      </c>
      <c r="E1250" s="28" t="s">
        <v>71</v>
      </c>
      <c r="F1250" s="42">
        <v>9.650747053E9</v>
      </c>
      <c r="G1250" s="35" t="s">
        <v>2590</v>
      </c>
      <c r="H1250" s="34" t="s">
        <v>1270</v>
      </c>
      <c r="I1250" s="34" t="s">
        <v>1026</v>
      </c>
      <c r="J1250" s="34"/>
      <c r="K1250" s="31"/>
      <c r="L1250" s="31" t="s">
        <v>75</v>
      </c>
    </row>
    <row r="1251">
      <c r="A1251" s="41">
        <v>45862.0</v>
      </c>
      <c r="B1251" s="31" t="s">
        <v>3038</v>
      </c>
      <c r="C1251" s="34" t="s">
        <v>3039</v>
      </c>
      <c r="D1251" s="35" t="s">
        <v>14</v>
      </c>
      <c r="E1251" s="28" t="s">
        <v>71</v>
      </c>
      <c r="F1251" s="42">
        <v>7.987784663E9</v>
      </c>
      <c r="G1251" s="35" t="s">
        <v>72</v>
      </c>
      <c r="H1251" s="34" t="s">
        <v>1107</v>
      </c>
      <c r="I1251" s="34" t="s">
        <v>1885</v>
      </c>
      <c r="J1251" s="34"/>
      <c r="K1251" s="31"/>
      <c r="L1251" s="31" t="s">
        <v>75</v>
      </c>
    </row>
    <row r="1252">
      <c r="A1252" s="41">
        <v>45862.0</v>
      </c>
      <c r="B1252" s="31" t="s">
        <v>3040</v>
      </c>
      <c r="C1252" s="34" t="s">
        <v>3041</v>
      </c>
      <c r="D1252" s="35" t="s">
        <v>14</v>
      </c>
      <c r="E1252" s="28" t="s">
        <v>71</v>
      </c>
      <c r="F1252" s="42">
        <v>9.923966736E9</v>
      </c>
      <c r="G1252" s="35" t="s">
        <v>72</v>
      </c>
      <c r="H1252" s="34" t="s">
        <v>1020</v>
      </c>
      <c r="I1252" s="34" t="s">
        <v>1054</v>
      </c>
      <c r="J1252" s="34"/>
      <c r="K1252" s="31"/>
      <c r="L1252" s="31" t="s">
        <v>75</v>
      </c>
    </row>
    <row r="1253">
      <c r="A1253" s="41">
        <v>45863.0</v>
      </c>
      <c r="B1253" s="31" t="s">
        <v>3042</v>
      </c>
      <c r="C1253" s="34" t="s">
        <v>3043</v>
      </c>
      <c r="D1253" s="35" t="s">
        <v>17</v>
      </c>
      <c r="E1253" s="28" t="s">
        <v>71</v>
      </c>
      <c r="F1253" s="42">
        <v>9.871516081E9</v>
      </c>
      <c r="G1253" s="35" t="s">
        <v>72</v>
      </c>
      <c r="H1253" s="34" t="s">
        <v>2453</v>
      </c>
      <c r="I1253" s="34" t="s">
        <v>1813</v>
      </c>
      <c r="J1253" s="34"/>
      <c r="K1253" s="31"/>
      <c r="L1253" s="31" t="s">
        <v>75</v>
      </c>
    </row>
    <row r="1254">
      <c r="A1254" s="41">
        <v>45867.0</v>
      </c>
      <c r="B1254" s="31" t="s">
        <v>3044</v>
      </c>
      <c r="C1254" s="34" t="s">
        <v>3045</v>
      </c>
      <c r="D1254" s="35" t="s">
        <v>21</v>
      </c>
      <c r="E1254" s="28" t="s">
        <v>71</v>
      </c>
      <c r="F1254" s="42">
        <v>9.718324386E9</v>
      </c>
      <c r="G1254" s="35" t="s">
        <v>1043</v>
      </c>
      <c r="H1254" s="34" t="s">
        <v>1043</v>
      </c>
      <c r="I1254" s="34" t="s">
        <v>1164</v>
      </c>
      <c r="J1254" s="34"/>
      <c r="K1254" s="31"/>
      <c r="L1254" s="31" t="s">
        <v>75</v>
      </c>
    </row>
    <row r="1255">
      <c r="A1255" s="41">
        <v>45867.0</v>
      </c>
      <c r="B1255" s="31" t="s">
        <v>3046</v>
      </c>
      <c r="C1255" s="34" t="s">
        <v>3047</v>
      </c>
      <c r="D1255" s="35" t="s">
        <v>21</v>
      </c>
      <c r="E1255" s="28" t="s">
        <v>71</v>
      </c>
      <c r="F1255" s="42">
        <v>8.595622247E9</v>
      </c>
      <c r="G1255" s="35" t="s">
        <v>1043</v>
      </c>
      <c r="H1255" s="34" t="s">
        <v>1043</v>
      </c>
      <c r="I1255" s="34" t="s">
        <v>1164</v>
      </c>
      <c r="J1255" s="34"/>
      <c r="K1255" s="31"/>
      <c r="L1255" s="31" t="s">
        <v>75</v>
      </c>
    </row>
    <row r="1256">
      <c r="A1256" s="41">
        <v>45867.0</v>
      </c>
      <c r="B1256" s="31" t="s">
        <v>3048</v>
      </c>
      <c r="C1256" s="34" t="s">
        <v>3049</v>
      </c>
      <c r="D1256" s="35" t="s">
        <v>21</v>
      </c>
      <c r="E1256" s="28" t="s">
        <v>71</v>
      </c>
      <c r="F1256" s="42">
        <v>7.668504605E9</v>
      </c>
      <c r="G1256" s="35" t="s">
        <v>1043</v>
      </c>
      <c r="H1256" s="34" t="s">
        <v>1043</v>
      </c>
      <c r="I1256" s="34" t="s">
        <v>1164</v>
      </c>
      <c r="J1256" s="34"/>
      <c r="K1256" s="31"/>
      <c r="L1256" s="31" t="s">
        <v>75</v>
      </c>
    </row>
    <row r="1257">
      <c r="A1257" s="41">
        <v>45867.0</v>
      </c>
      <c r="B1257" s="31" t="s">
        <v>3050</v>
      </c>
      <c r="C1257" s="34" t="s">
        <v>3051</v>
      </c>
      <c r="D1257" s="35" t="s">
        <v>21</v>
      </c>
      <c r="E1257" s="28" t="s">
        <v>71</v>
      </c>
      <c r="F1257" s="42">
        <v>8.510039493E9</v>
      </c>
      <c r="G1257" s="35" t="s">
        <v>1043</v>
      </c>
      <c r="H1257" s="34" t="s">
        <v>1043</v>
      </c>
      <c r="I1257" s="34" t="s">
        <v>1164</v>
      </c>
      <c r="J1257" s="34"/>
      <c r="K1257" s="31"/>
      <c r="L1257" s="31" t="s">
        <v>75</v>
      </c>
    </row>
    <row r="1258">
      <c r="A1258" s="41">
        <v>45867.0</v>
      </c>
      <c r="B1258" s="31" t="s">
        <v>3052</v>
      </c>
      <c r="C1258" s="34" t="s">
        <v>3053</v>
      </c>
      <c r="D1258" s="35" t="s">
        <v>21</v>
      </c>
      <c r="E1258" s="28" t="s">
        <v>71</v>
      </c>
      <c r="F1258" s="42">
        <v>8.75061282E9</v>
      </c>
      <c r="G1258" s="35" t="s">
        <v>1043</v>
      </c>
      <c r="H1258" s="34" t="s">
        <v>1043</v>
      </c>
      <c r="I1258" s="34" t="s">
        <v>1164</v>
      </c>
      <c r="J1258" s="34"/>
      <c r="K1258" s="31"/>
      <c r="L1258" s="31" t="s">
        <v>75</v>
      </c>
    </row>
    <row r="1259">
      <c r="A1259" s="41">
        <v>45870.0</v>
      </c>
      <c r="B1259" s="31" t="s">
        <v>3054</v>
      </c>
      <c r="C1259" s="34" t="s">
        <v>3055</v>
      </c>
      <c r="D1259" s="35" t="s">
        <v>36</v>
      </c>
      <c r="E1259" s="28" t="s">
        <v>71</v>
      </c>
      <c r="F1259" s="42">
        <v>9.311807082E9</v>
      </c>
      <c r="G1259" s="35" t="s">
        <v>72</v>
      </c>
      <c r="H1259" s="34" t="s">
        <v>3056</v>
      </c>
      <c r="I1259" s="34" t="s">
        <v>1582</v>
      </c>
      <c r="J1259" s="34"/>
      <c r="K1259" s="31"/>
      <c r="L1259" s="31" t="s">
        <v>75</v>
      </c>
    </row>
    <row r="1260">
      <c r="A1260" s="41">
        <v>45870.0</v>
      </c>
      <c r="B1260" s="31" t="s">
        <v>3057</v>
      </c>
      <c r="C1260" s="34" t="s">
        <v>3058</v>
      </c>
      <c r="D1260" s="35" t="s">
        <v>28</v>
      </c>
      <c r="E1260" s="28" t="s">
        <v>71</v>
      </c>
      <c r="F1260" s="42">
        <v>8.336947103E9</v>
      </c>
      <c r="G1260" s="35" t="s">
        <v>72</v>
      </c>
      <c r="H1260" s="34" t="s">
        <v>2976</v>
      </c>
      <c r="I1260" s="34" t="s">
        <v>1073</v>
      </c>
      <c r="J1260" s="34"/>
      <c r="K1260" s="31"/>
      <c r="L1260" s="31" t="s">
        <v>75</v>
      </c>
    </row>
    <row r="1261">
      <c r="A1261" s="41">
        <v>45870.0</v>
      </c>
      <c r="B1261" s="31" t="s">
        <v>3059</v>
      </c>
      <c r="C1261" s="34" t="s">
        <v>3060</v>
      </c>
      <c r="D1261" s="35" t="s">
        <v>14</v>
      </c>
      <c r="E1261" s="28" t="s">
        <v>71</v>
      </c>
      <c r="F1261" s="42">
        <v>9.306009854E9</v>
      </c>
      <c r="G1261" s="35" t="s">
        <v>72</v>
      </c>
      <c r="H1261" s="34" t="s">
        <v>1020</v>
      </c>
      <c r="I1261" s="34" t="s">
        <v>1486</v>
      </c>
      <c r="J1261" s="34"/>
      <c r="K1261" s="31"/>
      <c r="L1261" s="31" t="s">
        <v>75</v>
      </c>
    </row>
    <row r="1262">
      <c r="A1262" s="41">
        <v>45870.0</v>
      </c>
      <c r="B1262" s="31" t="s">
        <v>3061</v>
      </c>
      <c r="C1262" s="34" t="s">
        <v>3062</v>
      </c>
      <c r="D1262" s="35" t="s">
        <v>14</v>
      </c>
      <c r="E1262" s="28" t="s">
        <v>71</v>
      </c>
      <c r="F1262" s="42">
        <v>9.729526265E9</v>
      </c>
      <c r="G1262" s="35" t="s">
        <v>72</v>
      </c>
      <c r="H1262" s="34" t="s">
        <v>1020</v>
      </c>
      <c r="I1262" s="34" t="s">
        <v>1029</v>
      </c>
      <c r="J1262" s="34"/>
      <c r="K1262" s="31"/>
      <c r="L1262" s="31" t="s">
        <v>75</v>
      </c>
    </row>
    <row r="1263">
      <c r="A1263" s="41">
        <v>45870.0</v>
      </c>
      <c r="B1263" s="31" t="s">
        <v>3063</v>
      </c>
      <c r="C1263" s="34" t="s">
        <v>3064</v>
      </c>
      <c r="D1263" s="35" t="s">
        <v>14</v>
      </c>
      <c r="E1263" s="28" t="s">
        <v>71</v>
      </c>
      <c r="F1263" s="42">
        <v>7.042028562E9</v>
      </c>
      <c r="G1263" s="35" t="s">
        <v>72</v>
      </c>
      <c r="H1263" s="34" t="s">
        <v>1107</v>
      </c>
      <c r="I1263" s="34" t="s">
        <v>1486</v>
      </c>
      <c r="J1263" s="34"/>
      <c r="K1263" s="31"/>
      <c r="L1263" s="31" t="s">
        <v>75</v>
      </c>
    </row>
    <row r="1264">
      <c r="A1264" s="41">
        <v>45870.0</v>
      </c>
      <c r="B1264" s="31" t="s">
        <v>3065</v>
      </c>
      <c r="C1264" s="34" t="s">
        <v>3066</v>
      </c>
      <c r="D1264" s="35" t="s">
        <v>22</v>
      </c>
      <c r="E1264" s="28" t="s">
        <v>71</v>
      </c>
      <c r="F1264" s="42">
        <v>9.654131905E9</v>
      </c>
      <c r="G1264" s="35" t="s">
        <v>72</v>
      </c>
      <c r="H1264" s="34" t="s">
        <v>1290</v>
      </c>
      <c r="I1264" s="34" t="s">
        <v>1240</v>
      </c>
      <c r="J1264" s="34"/>
      <c r="K1264" s="31"/>
      <c r="L1264" s="31" t="s">
        <v>75</v>
      </c>
    </row>
    <row r="1265">
      <c r="A1265" s="41">
        <v>45870.0</v>
      </c>
      <c r="B1265" s="31" t="s">
        <v>3067</v>
      </c>
      <c r="C1265" s="34" t="s">
        <v>3068</v>
      </c>
      <c r="D1265" s="35" t="s">
        <v>14</v>
      </c>
      <c r="E1265" s="28" t="s">
        <v>71</v>
      </c>
      <c r="F1265" s="42">
        <v>7.014410598E9</v>
      </c>
      <c r="G1265" s="35" t="s">
        <v>72</v>
      </c>
      <c r="H1265" s="34" t="s">
        <v>3069</v>
      </c>
      <c r="I1265" s="34" t="s">
        <v>1026</v>
      </c>
      <c r="J1265" s="34"/>
      <c r="K1265" s="31"/>
      <c r="L1265" s="31" t="s">
        <v>75</v>
      </c>
    </row>
    <row r="1266">
      <c r="A1266" s="41">
        <v>45870.0</v>
      </c>
      <c r="B1266" s="31" t="s">
        <v>3070</v>
      </c>
      <c r="C1266" s="34" t="s">
        <v>3071</v>
      </c>
      <c r="D1266" s="35" t="s">
        <v>22</v>
      </c>
      <c r="E1266" s="28" t="s">
        <v>71</v>
      </c>
      <c r="F1266" s="42">
        <v>9.31003049E9</v>
      </c>
      <c r="G1266" s="35" t="s">
        <v>72</v>
      </c>
      <c r="H1266" s="34" t="s">
        <v>1234</v>
      </c>
      <c r="I1266" s="34" t="s">
        <v>1226</v>
      </c>
      <c r="J1266" s="34"/>
      <c r="K1266" s="31"/>
      <c r="L1266" s="31" t="s">
        <v>78</v>
      </c>
    </row>
    <row r="1267">
      <c r="A1267" s="41">
        <v>45870.0</v>
      </c>
      <c r="B1267" s="31" t="s">
        <v>3072</v>
      </c>
      <c r="C1267" s="34" t="s">
        <v>3073</v>
      </c>
      <c r="D1267" s="35" t="s">
        <v>14</v>
      </c>
      <c r="E1267" s="28" t="s">
        <v>71</v>
      </c>
      <c r="F1267" s="42">
        <v>8.936991575E9</v>
      </c>
      <c r="G1267" s="35" t="s">
        <v>72</v>
      </c>
      <c r="H1267" s="34" t="s">
        <v>1270</v>
      </c>
      <c r="I1267" s="34" t="s">
        <v>1026</v>
      </c>
      <c r="J1267" s="34"/>
      <c r="K1267" s="31"/>
      <c r="L1267" s="31" t="s">
        <v>75</v>
      </c>
    </row>
    <row r="1268">
      <c r="A1268" s="41">
        <v>45871.0</v>
      </c>
      <c r="B1268" s="31" t="s">
        <v>3074</v>
      </c>
      <c r="C1268" s="34" t="s">
        <v>3075</v>
      </c>
      <c r="D1268" s="35" t="s">
        <v>22</v>
      </c>
      <c r="E1268" s="28" t="s">
        <v>71</v>
      </c>
      <c r="F1268" s="42">
        <v>7.052070386E9</v>
      </c>
      <c r="G1268" s="35" t="s">
        <v>72</v>
      </c>
      <c r="H1268" s="34" t="s">
        <v>2171</v>
      </c>
      <c r="I1268" s="34" t="s">
        <v>2826</v>
      </c>
      <c r="J1268" s="34"/>
      <c r="K1268" s="31"/>
      <c r="L1268" s="31" t="s">
        <v>75</v>
      </c>
    </row>
    <row r="1269">
      <c r="A1269" s="41">
        <v>45873.0</v>
      </c>
      <c r="B1269" s="31" t="s">
        <v>3076</v>
      </c>
      <c r="C1269" s="34" t="s">
        <v>3077</v>
      </c>
      <c r="D1269" s="35" t="s">
        <v>22</v>
      </c>
      <c r="E1269" s="28" t="s">
        <v>71</v>
      </c>
      <c r="F1269" s="42">
        <v>8.44880063E9</v>
      </c>
      <c r="G1269" s="35" t="s">
        <v>1273</v>
      </c>
      <c r="H1269" s="34" t="s">
        <v>3078</v>
      </c>
      <c r="I1269" s="34" t="s">
        <v>2883</v>
      </c>
      <c r="J1269" s="34"/>
      <c r="K1269" s="31"/>
      <c r="L1269" s="31" t="s">
        <v>75</v>
      </c>
    </row>
    <row r="1270">
      <c r="A1270" s="41">
        <v>45873.0</v>
      </c>
      <c r="B1270" s="31" t="s">
        <v>3079</v>
      </c>
      <c r="C1270" s="34" t="s">
        <v>3080</v>
      </c>
      <c r="D1270" s="35" t="s">
        <v>22</v>
      </c>
      <c r="E1270" s="28" t="s">
        <v>71</v>
      </c>
      <c r="F1270" s="42">
        <v>7.889073885E9</v>
      </c>
      <c r="G1270" s="35" t="s">
        <v>1273</v>
      </c>
      <c r="H1270" s="34" t="s">
        <v>3078</v>
      </c>
      <c r="I1270" s="34" t="s">
        <v>2883</v>
      </c>
      <c r="J1270" s="34"/>
      <c r="K1270" s="31"/>
      <c r="L1270" s="31" t="s">
        <v>75</v>
      </c>
    </row>
    <row r="1271">
      <c r="A1271" s="41">
        <v>45873.0</v>
      </c>
      <c r="B1271" s="31" t="s">
        <v>3081</v>
      </c>
      <c r="C1271" s="34" t="s">
        <v>3082</v>
      </c>
      <c r="D1271" s="35" t="s">
        <v>22</v>
      </c>
      <c r="E1271" s="28" t="s">
        <v>71</v>
      </c>
      <c r="F1271" s="42">
        <v>7.355543935E9</v>
      </c>
      <c r="G1271" s="35" t="s">
        <v>1273</v>
      </c>
      <c r="H1271" s="34" t="s">
        <v>3078</v>
      </c>
      <c r="I1271" s="34" t="s">
        <v>2883</v>
      </c>
      <c r="J1271" s="34"/>
      <c r="K1271" s="31"/>
      <c r="L1271" s="31" t="s">
        <v>75</v>
      </c>
    </row>
    <row r="1272">
      <c r="A1272" s="41">
        <v>45873.0</v>
      </c>
      <c r="B1272" s="31" t="s">
        <v>3083</v>
      </c>
      <c r="C1272" s="34" t="s">
        <v>3084</v>
      </c>
      <c r="D1272" s="35" t="s">
        <v>22</v>
      </c>
      <c r="E1272" s="28" t="s">
        <v>71</v>
      </c>
      <c r="F1272" s="42">
        <v>8.287276145E9</v>
      </c>
      <c r="G1272" s="35" t="s">
        <v>72</v>
      </c>
      <c r="H1272" s="34" t="s">
        <v>1120</v>
      </c>
      <c r="I1272" s="34" t="s">
        <v>2883</v>
      </c>
      <c r="J1272" s="34"/>
      <c r="K1272" s="31"/>
      <c r="L1272" s="31" t="s">
        <v>75</v>
      </c>
    </row>
    <row r="1273">
      <c r="A1273" s="41">
        <v>45873.0</v>
      </c>
      <c r="B1273" s="31" t="s">
        <v>3085</v>
      </c>
      <c r="C1273" s="34" t="s">
        <v>3086</v>
      </c>
      <c r="D1273" s="35" t="s">
        <v>36</v>
      </c>
      <c r="E1273" s="28" t="s">
        <v>71</v>
      </c>
      <c r="F1273" s="42">
        <v>7.879651191E9</v>
      </c>
      <c r="G1273" s="35" t="s">
        <v>72</v>
      </c>
      <c r="H1273" s="34" t="s">
        <v>3087</v>
      </c>
      <c r="I1273" s="34" t="s">
        <v>1491</v>
      </c>
      <c r="J1273" s="34"/>
      <c r="K1273" s="31"/>
      <c r="L1273" s="31" t="s">
        <v>75</v>
      </c>
    </row>
    <row r="1274">
      <c r="A1274" s="41">
        <v>45873.0</v>
      </c>
      <c r="B1274" s="31" t="s">
        <v>3088</v>
      </c>
      <c r="C1274" s="34" t="s">
        <v>3089</v>
      </c>
      <c r="D1274" s="35" t="s">
        <v>16</v>
      </c>
      <c r="E1274" s="28" t="s">
        <v>71</v>
      </c>
      <c r="F1274" s="42">
        <v>9.760734315E9</v>
      </c>
      <c r="G1274" s="35" t="s">
        <v>72</v>
      </c>
      <c r="H1274" s="34" t="s">
        <v>3090</v>
      </c>
      <c r="I1274" s="34" t="s">
        <v>2871</v>
      </c>
      <c r="J1274" s="34"/>
      <c r="K1274" s="31"/>
      <c r="L1274" s="31" t="s">
        <v>75</v>
      </c>
    </row>
    <row r="1275">
      <c r="A1275" s="41">
        <v>45873.0</v>
      </c>
      <c r="B1275" s="31" t="s">
        <v>3091</v>
      </c>
      <c r="C1275" s="34" t="s">
        <v>3092</v>
      </c>
      <c r="D1275" s="35" t="s">
        <v>14</v>
      </c>
      <c r="E1275" s="28" t="s">
        <v>71</v>
      </c>
      <c r="F1275" s="42">
        <v>8.901166654E9</v>
      </c>
      <c r="G1275" s="35" t="s">
        <v>72</v>
      </c>
      <c r="H1275" s="34" t="s">
        <v>3093</v>
      </c>
      <c r="I1275" s="34" t="s">
        <v>1048</v>
      </c>
      <c r="J1275" s="34"/>
      <c r="K1275" s="31"/>
      <c r="L1275" s="31" t="s">
        <v>75</v>
      </c>
    </row>
    <row r="1276">
      <c r="A1276" s="41">
        <v>45873.0</v>
      </c>
      <c r="B1276" s="31" t="s">
        <v>3094</v>
      </c>
      <c r="C1276" s="34" t="s">
        <v>3095</v>
      </c>
      <c r="D1276" s="35" t="s">
        <v>14</v>
      </c>
      <c r="E1276" s="28" t="s">
        <v>71</v>
      </c>
      <c r="F1276" s="42">
        <v>8.603546937E9</v>
      </c>
      <c r="G1276" s="35" t="s">
        <v>72</v>
      </c>
      <c r="H1276" s="34" t="s">
        <v>1020</v>
      </c>
      <c r="I1276" s="34" t="s">
        <v>1486</v>
      </c>
      <c r="J1276" s="34"/>
      <c r="K1276" s="31"/>
      <c r="L1276" s="31" t="s">
        <v>75</v>
      </c>
    </row>
    <row r="1277">
      <c r="A1277" s="41">
        <v>45873.0</v>
      </c>
      <c r="B1277" s="31" t="s">
        <v>3096</v>
      </c>
      <c r="C1277" s="34" t="s">
        <v>3097</v>
      </c>
      <c r="D1277" s="35" t="s">
        <v>33</v>
      </c>
      <c r="E1277" s="28" t="s">
        <v>71</v>
      </c>
      <c r="F1277" s="42">
        <v>9.87191995E9</v>
      </c>
      <c r="G1277" s="35" t="s">
        <v>72</v>
      </c>
      <c r="H1277" s="34" t="s">
        <v>3098</v>
      </c>
      <c r="I1277" s="34" t="s">
        <v>1129</v>
      </c>
      <c r="J1277" s="34"/>
      <c r="K1277" s="31"/>
      <c r="L1277" s="31" t="s">
        <v>75</v>
      </c>
    </row>
    <row r="1278">
      <c r="A1278" s="41">
        <v>45873.0</v>
      </c>
      <c r="B1278" s="31" t="s">
        <v>3099</v>
      </c>
      <c r="C1278" s="34" t="s">
        <v>3100</v>
      </c>
      <c r="D1278" s="35" t="s">
        <v>10</v>
      </c>
      <c r="E1278" s="28" t="s">
        <v>71</v>
      </c>
      <c r="F1278" s="42">
        <v>9.778736778E9</v>
      </c>
      <c r="G1278" s="35" t="s">
        <v>72</v>
      </c>
      <c r="H1278" s="34" t="s">
        <v>3101</v>
      </c>
      <c r="I1278" s="34" t="s">
        <v>1510</v>
      </c>
      <c r="J1278" s="34"/>
      <c r="K1278" s="31"/>
      <c r="L1278" s="31" t="s">
        <v>78</v>
      </c>
    </row>
    <row r="1279">
      <c r="A1279" s="41">
        <v>45873.0</v>
      </c>
      <c r="B1279" s="31" t="s">
        <v>3102</v>
      </c>
      <c r="C1279" s="34" t="s">
        <v>3103</v>
      </c>
      <c r="D1279" s="35" t="s">
        <v>10</v>
      </c>
      <c r="E1279" s="28" t="s">
        <v>71</v>
      </c>
      <c r="F1279" s="42">
        <v>7.60210894E9</v>
      </c>
      <c r="G1279" s="35" t="s">
        <v>72</v>
      </c>
      <c r="H1279" s="34" t="s">
        <v>3101</v>
      </c>
      <c r="I1279" s="34" t="s">
        <v>1056</v>
      </c>
      <c r="J1279" s="34"/>
      <c r="K1279" s="31"/>
      <c r="L1279" s="31" t="s">
        <v>75</v>
      </c>
    </row>
    <row r="1280">
      <c r="A1280" s="41">
        <v>45873.0</v>
      </c>
      <c r="B1280" s="31" t="s">
        <v>1578</v>
      </c>
      <c r="C1280" s="34" t="s">
        <v>3104</v>
      </c>
      <c r="D1280" s="32" t="s">
        <v>14</v>
      </c>
      <c r="E1280" s="28" t="s">
        <v>71</v>
      </c>
      <c r="F1280" s="42">
        <v>6.306875871E9</v>
      </c>
      <c r="G1280" s="35" t="s">
        <v>72</v>
      </c>
      <c r="H1280" s="34" t="s">
        <v>1020</v>
      </c>
      <c r="I1280" s="31" t="s">
        <v>1206</v>
      </c>
      <c r="J1280" s="31"/>
      <c r="K1280" s="31"/>
      <c r="L1280" s="31" t="s">
        <v>75</v>
      </c>
    </row>
    <row r="1281">
      <c r="A1281" s="41">
        <v>45874.0</v>
      </c>
      <c r="B1281" s="31" t="s">
        <v>3105</v>
      </c>
      <c r="C1281" s="34" t="s">
        <v>3106</v>
      </c>
      <c r="D1281" s="35" t="s">
        <v>22</v>
      </c>
      <c r="E1281" s="28" t="s">
        <v>71</v>
      </c>
      <c r="F1281" s="42">
        <v>6.20524417E9</v>
      </c>
      <c r="G1281" s="35" t="s">
        <v>72</v>
      </c>
      <c r="H1281" s="34" t="s">
        <v>2171</v>
      </c>
      <c r="I1281" s="34" t="s">
        <v>2826</v>
      </c>
      <c r="J1281" s="34"/>
      <c r="K1281" s="31"/>
      <c r="L1281" s="31" t="s">
        <v>75</v>
      </c>
    </row>
    <row r="1282">
      <c r="A1282" s="41">
        <v>45874.0</v>
      </c>
      <c r="B1282" s="31" t="s">
        <v>599</v>
      </c>
      <c r="C1282" s="34" t="s">
        <v>3107</v>
      </c>
      <c r="D1282" s="35" t="s">
        <v>14</v>
      </c>
      <c r="E1282" s="28" t="s">
        <v>71</v>
      </c>
      <c r="F1282" s="42">
        <v>9.939147728E9</v>
      </c>
      <c r="G1282" s="35" t="s">
        <v>72</v>
      </c>
      <c r="H1282" s="34" t="s">
        <v>1020</v>
      </c>
      <c r="I1282" s="34" t="s">
        <v>1206</v>
      </c>
      <c r="J1282" s="34"/>
      <c r="K1282" s="31"/>
      <c r="L1282" s="31" t="s">
        <v>75</v>
      </c>
    </row>
    <row r="1283">
      <c r="A1283" s="41">
        <v>45875.0</v>
      </c>
      <c r="B1283" s="31" t="s">
        <v>3108</v>
      </c>
      <c r="C1283" s="34" t="s">
        <v>3109</v>
      </c>
      <c r="D1283" s="35" t="s">
        <v>14</v>
      </c>
      <c r="E1283" s="28" t="s">
        <v>71</v>
      </c>
      <c r="F1283" s="42">
        <v>9.810385222E9</v>
      </c>
      <c r="G1283" s="35" t="s">
        <v>72</v>
      </c>
      <c r="H1283" s="34" t="s">
        <v>3110</v>
      </c>
      <c r="I1283" s="34" t="s">
        <v>1026</v>
      </c>
      <c r="J1283" s="34"/>
      <c r="K1283" s="31"/>
      <c r="L1283" s="31" t="s">
        <v>75</v>
      </c>
    </row>
    <row r="1284">
      <c r="A1284" s="41">
        <v>45875.0</v>
      </c>
      <c r="B1284" s="31" t="s">
        <v>3111</v>
      </c>
      <c r="C1284" s="34" t="s">
        <v>3112</v>
      </c>
      <c r="D1284" s="35" t="s">
        <v>21</v>
      </c>
      <c r="E1284" s="28" t="s">
        <v>71</v>
      </c>
      <c r="F1284" s="42">
        <v>8.769859292E9</v>
      </c>
      <c r="G1284" s="35" t="s">
        <v>72</v>
      </c>
      <c r="H1284" s="34" t="s">
        <v>1052</v>
      </c>
      <c r="I1284" s="34" t="s">
        <v>1164</v>
      </c>
      <c r="J1284" s="34"/>
      <c r="K1284" s="31"/>
      <c r="L1284" s="31" t="s">
        <v>78</v>
      </c>
    </row>
    <row r="1285">
      <c r="A1285" s="41">
        <v>45880.0</v>
      </c>
      <c r="B1285" s="31" t="s">
        <v>3113</v>
      </c>
      <c r="C1285" s="34" t="s">
        <v>3114</v>
      </c>
      <c r="D1285" s="35" t="s">
        <v>36</v>
      </c>
      <c r="E1285" s="28" t="s">
        <v>71</v>
      </c>
      <c r="F1285" s="42">
        <v>9.910449161E9</v>
      </c>
      <c r="G1285" s="35" t="s">
        <v>2590</v>
      </c>
      <c r="H1285" s="34" t="s">
        <v>3115</v>
      </c>
      <c r="I1285" s="34" t="s">
        <v>1491</v>
      </c>
      <c r="J1285" s="34"/>
      <c r="K1285" s="31"/>
      <c r="L1285" s="31" t="s">
        <v>78</v>
      </c>
    </row>
    <row r="1286">
      <c r="A1286" s="41">
        <v>45880.0</v>
      </c>
      <c r="B1286" s="31" t="s">
        <v>3116</v>
      </c>
      <c r="C1286" s="34" t="s">
        <v>3117</v>
      </c>
      <c r="D1286" s="35" t="s">
        <v>14</v>
      </c>
      <c r="E1286" s="28" t="s">
        <v>71</v>
      </c>
      <c r="F1286" s="42">
        <v>9.818843226E9</v>
      </c>
      <c r="G1286" s="35" t="s">
        <v>72</v>
      </c>
      <c r="H1286" s="34" t="s">
        <v>1107</v>
      </c>
      <c r="I1286" s="34" t="s">
        <v>1206</v>
      </c>
      <c r="J1286" s="34"/>
      <c r="K1286" s="31"/>
      <c r="L1286" s="31" t="s">
        <v>78</v>
      </c>
    </row>
    <row r="1287">
      <c r="A1287" s="41">
        <v>45880.0</v>
      </c>
      <c r="B1287" s="31" t="s">
        <v>3118</v>
      </c>
      <c r="C1287" s="34" t="s">
        <v>3119</v>
      </c>
      <c r="D1287" s="35" t="s">
        <v>22</v>
      </c>
      <c r="E1287" s="28" t="s">
        <v>71</v>
      </c>
      <c r="F1287" s="42">
        <v>7.062198344E9</v>
      </c>
      <c r="G1287" s="35" t="s">
        <v>72</v>
      </c>
      <c r="H1287" s="34" t="s">
        <v>3120</v>
      </c>
      <c r="I1287" s="34" t="s">
        <v>2818</v>
      </c>
      <c r="J1287" s="34"/>
      <c r="K1287" s="31"/>
      <c r="L1287" s="31" t="s">
        <v>75</v>
      </c>
    </row>
    <row r="1288">
      <c r="A1288" s="41">
        <v>45880.0</v>
      </c>
      <c r="B1288" s="31" t="s">
        <v>3121</v>
      </c>
      <c r="C1288" s="34" t="s">
        <v>3122</v>
      </c>
      <c r="D1288" s="35" t="s">
        <v>22</v>
      </c>
      <c r="E1288" s="28" t="s">
        <v>71</v>
      </c>
      <c r="F1288" s="42">
        <v>9.65028027E9</v>
      </c>
      <c r="G1288" s="35" t="s">
        <v>72</v>
      </c>
      <c r="H1288" s="34" t="s">
        <v>1234</v>
      </c>
      <c r="I1288" s="34" t="s">
        <v>2883</v>
      </c>
      <c r="J1288" s="34"/>
      <c r="K1288" s="31"/>
      <c r="L1288" s="31" t="s">
        <v>75</v>
      </c>
    </row>
    <row r="1289">
      <c r="A1289" s="41">
        <v>45880.0</v>
      </c>
      <c r="B1289" s="31" t="s">
        <v>3123</v>
      </c>
      <c r="C1289" s="34" t="s">
        <v>3124</v>
      </c>
      <c r="D1289" s="35" t="s">
        <v>14</v>
      </c>
      <c r="E1289" s="28" t="s">
        <v>71</v>
      </c>
      <c r="F1289" s="42">
        <v>6.39720539E9</v>
      </c>
      <c r="G1289" s="35" t="s">
        <v>72</v>
      </c>
      <c r="H1289" s="34" t="s">
        <v>1107</v>
      </c>
      <c r="I1289" s="34" t="s">
        <v>1331</v>
      </c>
      <c r="J1289" s="34"/>
      <c r="K1289" s="31"/>
      <c r="L1289" s="31" t="s">
        <v>75</v>
      </c>
    </row>
    <row r="1290">
      <c r="A1290" s="41">
        <v>45880.0</v>
      </c>
      <c r="B1290" s="31" t="s">
        <v>3125</v>
      </c>
      <c r="C1290" s="34" t="s">
        <v>3126</v>
      </c>
      <c r="D1290" s="35" t="s">
        <v>14</v>
      </c>
      <c r="E1290" s="28" t="s">
        <v>71</v>
      </c>
      <c r="F1290" s="42">
        <v>7.017828698E9</v>
      </c>
      <c r="G1290" s="35" t="s">
        <v>72</v>
      </c>
      <c r="H1290" s="34" t="s">
        <v>1047</v>
      </c>
      <c r="I1290" s="34" t="s">
        <v>1048</v>
      </c>
      <c r="J1290" s="34"/>
      <c r="K1290" s="31"/>
      <c r="L1290" s="31" t="s">
        <v>75</v>
      </c>
    </row>
    <row r="1291">
      <c r="A1291" s="41">
        <v>45880.0</v>
      </c>
      <c r="B1291" s="31" t="s">
        <v>3127</v>
      </c>
      <c r="C1291" s="34" t="s">
        <v>3128</v>
      </c>
      <c r="D1291" s="35" t="s">
        <v>14</v>
      </c>
      <c r="E1291" s="28" t="s">
        <v>71</v>
      </c>
      <c r="F1291" s="42">
        <v>6.386695044E9</v>
      </c>
      <c r="G1291" s="35" t="s">
        <v>72</v>
      </c>
      <c r="H1291" s="34" t="s">
        <v>1270</v>
      </c>
      <c r="I1291" s="34" t="s">
        <v>1026</v>
      </c>
      <c r="J1291" s="34"/>
      <c r="K1291" s="31"/>
      <c r="L1291" s="31" t="s">
        <v>75</v>
      </c>
    </row>
    <row r="1292">
      <c r="A1292" s="41">
        <v>45880.0</v>
      </c>
      <c r="B1292" s="31" t="s">
        <v>3129</v>
      </c>
      <c r="C1292" s="34" t="s">
        <v>3130</v>
      </c>
      <c r="D1292" s="35" t="s">
        <v>14</v>
      </c>
      <c r="E1292" s="28" t="s">
        <v>71</v>
      </c>
      <c r="F1292" s="42">
        <v>9.170647101E9</v>
      </c>
      <c r="G1292" s="35" t="s">
        <v>72</v>
      </c>
      <c r="H1292" s="34" t="s">
        <v>1107</v>
      </c>
      <c r="I1292" s="34" t="s">
        <v>1883</v>
      </c>
      <c r="J1292" s="34"/>
      <c r="K1292" s="31"/>
      <c r="L1292" s="31" t="s">
        <v>75</v>
      </c>
    </row>
    <row r="1293">
      <c r="A1293" s="41">
        <v>45880.0</v>
      </c>
      <c r="B1293" s="31" t="s">
        <v>3131</v>
      </c>
      <c r="C1293" s="34" t="s">
        <v>3132</v>
      </c>
      <c r="D1293" s="35" t="s">
        <v>16</v>
      </c>
      <c r="E1293" s="28" t="s">
        <v>71</v>
      </c>
      <c r="F1293" s="42">
        <v>7.838050853E9</v>
      </c>
      <c r="G1293" s="35" t="s">
        <v>72</v>
      </c>
      <c r="H1293" s="34" t="s">
        <v>3133</v>
      </c>
      <c r="I1293" s="34" t="s">
        <v>1017</v>
      </c>
      <c r="J1293" s="34"/>
      <c r="K1293" s="31"/>
      <c r="L1293" s="31" t="s">
        <v>75</v>
      </c>
    </row>
    <row r="1294">
      <c r="A1294" s="41">
        <v>45880.0</v>
      </c>
      <c r="B1294" s="31" t="s">
        <v>3134</v>
      </c>
      <c r="C1294" s="34" t="s">
        <v>3135</v>
      </c>
      <c r="D1294" s="35" t="s">
        <v>22</v>
      </c>
      <c r="E1294" s="28" t="s">
        <v>71</v>
      </c>
      <c r="F1294" s="42">
        <v>9.18585925454E11</v>
      </c>
      <c r="G1294" s="35" t="s">
        <v>72</v>
      </c>
      <c r="H1294" s="34" t="s">
        <v>1120</v>
      </c>
      <c r="I1294" s="34" t="s">
        <v>1226</v>
      </c>
      <c r="J1294" s="34"/>
      <c r="K1294" s="31"/>
      <c r="L1294" s="31" t="s">
        <v>75</v>
      </c>
    </row>
    <row r="1295">
      <c r="A1295" s="41">
        <v>45880.0</v>
      </c>
      <c r="B1295" s="31" t="s">
        <v>3136</v>
      </c>
      <c r="C1295" s="34" t="s">
        <v>3137</v>
      </c>
      <c r="D1295" s="35" t="s">
        <v>14</v>
      </c>
      <c r="E1295" s="28" t="s">
        <v>71</v>
      </c>
      <c r="F1295" s="42">
        <v>7.017021315E9</v>
      </c>
      <c r="G1295" s="35" t="s">
        <v>72</v>
      </c>
      <c r="H1295" s="34" t="s">
        <v>3138</v>
      </c>
      <c r="I1295" s="34" t="s">
        <v>1206</v>
      </c>
      <c r="J1295" s="34"/>
      <c r="K1295" s="31"/>
      <c r="L1295" s="31" t="s">
        <v>75</v>
      </c>
    </row>
    <row r="1296">
      <c r="A1296" s="41">
        <v>45881.0</v>
      </c>
      <c r="B1296" s="31" t="s">
        <v>3139</v>
      </c>
      <c r="C1296" s="34" t="s">
        <v>3140</v>
      </c>
      <c r="D1296" s="35" t="s">
        <v>21</v>
      </c>
      <c r="E1296" s="28" t="s">
        <v>71</v>
      </c>
      <c r="F1296" s="42">
        <v>9.667593883E9</v>
      </c>
      <c r="G1296" s="35" t="s">
        <v>1043</v>
      </c>
      <c r="H1296" s="34" t="s">
        <v>1859</v>
      </c>
      <c r="I1296" s="34" t="s">
        <v>1164</v>
      </c>
      <c r="J1296" s="34"/>
      <c r="K1296" s="31"/>
      <c r="L1296" s="31" t="s">
        <v>75</v>
      </c>
    </row>
    <row r="1297">
      <c r="A1297" s="41">
        <v>45881.0</v>
      </c>
      <c r="B1297" s="31" t="s">
        <v>3141</v>
      </c>
      <c r="C1297" s="34" t="s">
        <v>3142</v>
      </c>
      <c r="D1297" s="35" t="s">
        <v>21</v>
      </c>
      <c r="E1297" s="28" t="s">
        <v>71</v>
      </c>
      <c r="F1297" s="42">
        <v>8.377976869E9</v>
      </c>
      <c r="G1297" s="35" t="s">
        <v>1043</v>
      </c>
      <c r="H1297" s="34" t="s">
        <v>1859</v>
      </c>
      <c r="I1297" s="34" t="s">
        <v>1164</v>
      </c>
      <c r="J1297" s="34"/>
      <c r="K1297" s="31"/>
      <c r="L1297" s="31" t="s">
        <v>75</v>
      </c>
    </row>
    <row r="1298">
      <c r="A1298" s="41">
        <v>45881.0</v>
      </c>
      <c r="B1298" s="31" t="s">
        <v>3143</v>
      </c>
      <c r="C1298" s="34" t="s">
        <v>3144</v>
      </c>
      <c r="D1298" s="35" t="s">
        <v>21</v>
      </c>
      <c r="E1298" s="28" t="s">
        <v>71</v>
      </c>
      <c r="F1298" s="42">
        <v>9.870340776E9</v>
      </c>
      <c r="G1298" s="35" t="s">
        <v>1043</v>
      </c>
      <c r="H1298" s="34" t="s">
        <v>1859</v>
      </c>
      <c r="I1298" s="34" t="s">
        <v>1164</v>
      </c>
      <c r="J1298" s="34"/>
      <c r="K1298" s="31"/>
      <c r="L1298" s="31" t="s">
        <v>75</v>
      </c>
    </row>
    <row r="1299">
      <c r="A1299" s="41">
        <v>45881.0</v>
      </c>
      <c r="B1299" s="31" t="s">
        <v>3145</v>
      </c>
      <c r="C1299" s="34" t="s">
        <v>3146</v>
      </c>
      <c r="D1299" s="35" t="s">
        <v>21</v>
      </c>
      <c r="E1299" s="28" t="s">
        <v>71</v>
      </c>
      <c r="F1299" s="42">
        <v>9.079589535E9</v>
      </c>
      <c r="G1299" s="35" t="s">
        <v>1043</v>
      </c>
      <c r="H1299" s="34" t="s">
        <v>1859</v>
      </c>
      <c r="I1299" s="34" t="s">
        <v>1164</v>
      </c>
      <c r="J1299" s="34"/>
      <c r="K1299" s="31"/>
      <c r="L1299" s="31" t="s">
        <v>75</v>
      </c>
    </row>
    <row r="1300">
      <c r="A1300" s="41">
        <v>45881.0</v>
      </c>
      <c r="B1300" s="31" t="s">
        <v>3147</v>
      </c>
      <c r="C1300" s="34" t="s">
        <v>3148</v>
      </c>
      <c r="D1300" s="35" t="s">
        <v>21</v>
      </c>
      <c r="E1300" s="28" t="s">
        <v>71</v>
      </c>
      <c r="F1300" s="42">
        <v>6.393128232E9</v>
      </c>
      <c r="G1300" s="35" t="s">
        <v>1043</v>
      </c>
      <c r="H1300" s="34" t="s">
        <v>1859</v>
      </c>
      <c r="I1300" s="34" t="s">
        <v>1164</v>
      </c>
      <c r="J1300" s="34"/>
      <c r="K1300" s="31"/>
      <c r="L1300" s="31" t="s">
        <v>75</v>
      </c>
    </row>
    <row r="1301">
      <c r="A1301" s="41">
        <v>45881.0</v>
      </c>
      <c r="B1301" s="31" t="s">
        <v>891</v>
      </c>
      <c r="C1301" s="34" t="s">
        <v>3149</v>
      </c>
      <c r="D1301" s="35" t="s">
        <v>21</v>
      </c>
      <c r="E1301" s="28" t="s">
        <v>71</v>
      </c>
      <c r="F1301" s="42">
        <v>9.354855976E9</v>
      </c>
      <c r="G1301" s="35" t="s">
        <v>1043</v>
      </c>
      <c r="H1301" s="34" t="s">
        <v>1859</v>
      </c>
      <c r="I1301" s="34" t="s">
        <v>1164</v>
      </c>
      <c r="J1301" s="34"/>
      <c r="K1301" s="31"/>
      <c r="L1301" s="31" t="s">
        <v>75</v>
      </c>
    </row>
    <row r="1302">
      <c r="A1302" s="41">
        <v>45882.0</v>
      </c>
      <c r="B1302" s="31" t="s">
        <v>3150</v>
      </c>
      <c r="C1302" s="34" t="s">
        <v>3151</v>
      </c>
      <c r="D1302" s="35" t="s">
        <v>14</v>
      </c>
      <c r="E1302" s="28" t="s">
        <v>71</v>
      </c>
      <c r="F1302" s="42">
        <v>9.899750971E9</v>
      </c>
      <c r="G1302" s="35" t="s">
        <v>72</v>
      </c>
      <c r="H1302" s="34" t="s">
        <v>3152</v>
      </c>
      <c r="I1302" s="34" t="s">
        <v>2826</v>
      </c>
      <c r="J1302" s="34"/>
      <c r="K1302" s="31"/>
      <c r="L1302" s="31" t="s">
        <v>75</v>
      </c>
    </row>
    <row r="1303">
      <c r="A1303" s="41">
        <v>45883.0</v>
      </c>
      <c r="B1303" s="31" t="s">
        <v>3153</v>
      </c>
      <c r="C1303" s="34" t="s">
        <v>3154</v>
      </c>
      <c r="D1303" s="35" t="s">
        <v>14</v>
      </c>
      <c r="E1303" s="28" t="s">
        <v>71</v>
      </c>
      <c r="F1303" s="42">
        <v>9.112271103E9</v>
      </c>
      <c r="G1303" s="35" t="s">
        <v>72</v>
      </c>
      <c r="H1303" s="34" t="s">
        <v>3155</v>
      </c>
      <c r="I1303" s="34" t="s">
        <v>1044</v>
      </c>
      <c r="J1303" s="34"/>
      <c r="K1303" s="31"/>
      <c r="L1303" s="31" t="s">
        <v>75</v>
      </c>
    </row>
    <row r="1304">
      <c r="A1304" s="41">
        <v>45883.0</v>
      </c>
      <c r="B1304" s="31" t="s">
        <v>3156</v>
      </c>
      <c r="C1304" s="34" t="s">
        <v>3157</v>
      </c>
      <c r="D1304" s="35" t="s">
        <v>14</v>
      </c>
      <c r="E1304" s="28" t="s">
        <v>71</v>
      </c>
      <c r="F1304" s="42">
        <v>8.586910575E9</v>
      </c>
      <c r="G1304" s="35" t="s">
        <v>72</v>
      </c>
      <c r="H1304" s="34" t="s">
        <v>1107</v>
      </c>
      <c r="I1304" s="34" t="s">
        <v>1331</v>
      </c>
      <c r="J1304" s="34"/>
      <c r="K1304" s="31"/>
      <c r="L1304" s="31" t="s">
        <v>75</v>
      </c>
    </row>
    <row r="1305">
      <c r="A1305" s="41">
        <v>45883.0</v>
      </c>
      <c r="B1305" s="31" t="s">
        <v>3158</v>
      </c>
      <c r="C1305" s="34" t="s">
        <v>3159</v>
      </c>
      <c r="D1305" s="35" t="s">
        <v>14</v>
      </c>
      <c r="E1305" s="28" t="s">
        <v>71</v>
      </c>
      <c r="F1305" s="42">
        <v>9.868079082E9</v>
      </c>
      <c r="G1305" s="35" t="s">
        <v>72</v>
      </c>
      <c r="H1305" s="34" t="s">
        <v>1425</v>
      </c>
      <c r="I1305" s="34" t="s">
        <v>1486</v>
      </c>
      <c r="J1305" s="34"/>
      <c r="K1305" s="31"/>
      <c r="L1305" s="31" t="s">
        <v>75</v>
      </c>
    </row>
    <row r="1306">
      <c r="A1306" s="41">
        <v>45883.0</v>
      </c>
      <c r="B1306" s="31" t="s">
        <v>3160</v>
      </c>
      <c r="C1306" s="34" t="s">
        <v>3161</v>
      </c>
      <c r="D1306" s="35" t="s">
        <v>14</v>
      </c>
      <c r="E1306" s="28" t="s">
        <v>71</v>
      </c>
      <c r="F1306" s="42">
        <v>7.669583772E9</v>
      </c>
      <c r="G1306" s="35" t="s">
        <v>72</v>
      </c>
      <c r="H1306" s="34" t="s">
        <v>1884</v>
      </c>
      <c r="I1306" s="34" t="s">
        <v>1054</v>
      </c>
      <c r="J1306" s="34"/>
      <c r="K1306" s="31"/>
      <c r="L1306" s="31" t="s">
        <v>75</v>
      </c>
    </row>
    <row r="1307">
      <c r="A1307" s="41">
        <v>45887.0</v>
      </c>
      <c r="B1307" s="31" t="s">
        <v>3162</v>
      </c>
      <c r="C1307" s="34" t="s">
        <v>3163</v>
      </c>
      <c r="D1307" s="35" t="s">
        <v>36</v>
      </c>
      <c r="E1307" s="28" t="s">
        <v>71</v>
      </c>
      <c r="F1307" s="42">
        <v>8.527549214E9</v>
      </c>
      <c r="G1307" s="35" t="s">
        <v>72</v>
      </c>
      <c r="H1307" s="34" t="s">
        <v>3056</v>
      </c>
      <c r="I1307" s="34" t="s">
        <v>3114</v>
      </c>
      <c r="J1307" s="34"/>
      <c r="K1307" s="31"/>
      <c r="L1307" s="31" t="s">
        <v>75</v>
      </c>
    </row>
    <row r="1308">
      <c r="A1308" s="41">
        <v>45887.0</v>
      </c>
      <c r="B1308" s="31" t="s">
        <v>3164</v>
      </c>
      <c r="C1308" s="34" t="s">
        <v>3165</v>
      </c>
      <c r="D1308" s="35" t="s">
        <v>14</v>
      </c>
      <c r="E1308" s="28" t="s">
        <v>71</v>
      </c>
      <c r="F1308" s="42">
        <v>8.769021407E9</v>
      </c>
      <c r="G1308" s="35" t="s">
        <v>72</v>
      </c>
      <c r="H1308" s="34" t="s">
        <v>1107</v>
      </c>
      <c r="I1308" s="34" t="s">
        <v>1054</v>
      </c>
      <c r="J1308" s="34"/>
      <c r="K1308" s="31"/>
      <c r="L1308" s="31" t="s">
        <v>75</v>
      </c>
    </row>
    <row r="1309">
      <c r="A1309" s="41">
        <v>45887.0</v>
      </c>
      <c r="B1309" s="31" t="s">
        <v>3166</v>
      </c>
      <c r="C1309" s="34" t="s">
        <v>3167</v>
      </c>
      <c r="D1309" s="35" t="s">
        <v>28</v>
      </c>
      <c r="E1309" s="28" t="s">
        <v>71</v>
      </c>
      <c r="F1309" s="42">
        <v>9.619239003E9</v>
      </c>
      <c r="G1309" s="35" t="s">
        <v>72</v>
      </c>
      <c r="H1309" s="34" t="s">
        <v>3168</v>
      </c>
      <c r="I1309" s="34" t="s">
        <v>1905</v>
      </c>
      <c r="J1309" s="34"/>
      <c r="K1309" s="31"/>
      <c r="L1309" s="31" t="s">
        <v>75</v>
      </c>
    </row>
    <row r="1310">
      <c r="A1310" s="41">
        <v>45887.0</v>
      </c>
      <c r="B1310" s="31" t="s">
        <v>3169</v>
      </c>
      <c r="C1310" s="34" t="s">
        <v>3170</v>
      </c>
      <c r="D1310" s="35" t="s">
        <v>14</v>
      </c>
      <c r="E1310" s="28" t="s">
        <v>71</v>
      </c>
      <c r="F1310" s="42">
        <v>7.09093892E9</v>
      </c>
      <c r="G1310" s="35" t="s">
        <v>72</v>
      </c>
      <c r="H1310" s="31" t="s">
        <v>1107</v>
      </c>
      <c r="I1310" s="34" t="s">
        <v>1054</v>
      </c>
      <c r="J1310" s="34"/>
      <c r="K1310" s="31"/>
      <c r="L1310" s="31" t="s">
        <v>75</v>
      </c>
    </row>
    <row r="1311">
      <c r="A1311" s="41">
        <v>45887.0</v>
      </c>
      <c r="B1311" s="31" t="s">
        <v>3171</v>
      </c>
      <c r="C1311" s="34" t="s">
        <v>3172</v>
      </c>
      <c r="D1311" s="35" t="s">
        <v>14</v>
      </c>
      <c r="E1311" s="28" t="s">
        <v>71</v>
      </c>
      <c r="F1311" s="42">
        <v>7.61819085E9</v>
      </c>
      <c r="G1311" s="35" t="s">
        <v>72</v>
      </c>
      <c r="H1311" s="34" t="s">
        <v>1020</v>
      </c>
      <c r="I1311" s="34" t="s">
        <v>1054</v>
      </c>
      <c r="J1311" s="34"/>
      <c r="K1311" s="31"/>
      <c r="L1311" s="31" t="s">
        <v>75</v>
      </c>
    </row>
    <row r="1312">
      <c r="A1312" s="41">
        <v>45887.0</v>
      </c>
      <c r="B1312" s="31" t="s">
        <v>3173</v>
      </c>
      <c r="C1312" s="34" t="s">
        <v>3174</v>
      </c>
      <c r="D1312" s="35" t="s">
        <v>14</v>
      </c>
      <c r="E1312" s="28" t="s">
        <v>71</v>
      </c>
      <c r="F1312" s="42">
        <v>8.860377218E9</v>
      </c>
      <c r="G1312" s="35" t="s">
        <v>72</v>
      </c>
      <c r="H1312" s="34" t="s">
        <v>3175</v>
      </c>
      <c r="I1312" s="34" t="s">
        <v>1054</v>
      </c>
      <c r="J1312" s="34"/>
      <c r="K1312" s="31"/>
      <c r="L1312" s="31" t="s">
        <v>75</v>
      </c>
    </row>
    <row r="1313">
      <c r="A1313" s="41">
        <v>45887.0</v>
      </c>
      <c r="B1313" s="31" t="s">
        <v>3176</v>
      </c>
      <c r="C1313" s="34" t="s">
        <v>3177</v>
      </c>
      <c r="D1313" s="35" t="s">
        <v>14</v>
      </c>
      <c r="E1313" s="28" t="s">
        <v>71</v>
      </c>
      <c r="F1313" s="42">
        <v>7.011326999E9</v>
      </c>
      <c r="G1313" s="35" t="s">
        <v>72</v>
      </c>
      <c r="H1313" s="34" t="s">
        <v>1107</v>
      </c>
      <c r="I1313" s="34" t="s">
        <v>1486</v>
      </c>
      <c r="J1313" s="34"/>
      <c r="K1313" s="31"/>
      <c r="L1313" s="31" t="s">
        <v>75</v>
      </c>
    </row>
    <row r="1314">
      <c r="A1314" s="41">
        <v>45887.0</v>
      </c>
      <c r="B1314" s="31" t="s">
        <v>3178</v>
      </c>
      <c r="C1314" s="34" t="s">
        <v>3179</v>
      </c>
      <c r="D1314" s="35" t="s">
        <v>22</v>
      </c>
      <c r="E1314" s="28" t="s">
        <v>71</v>
      </c>
      <c r="F1314" s="42">
        <v>9.999761847E9</v>
      </c>
      <c r="G1314" s="35" t="s">
        <v>72</v>
      </c>
      <c r="H1314" s="34" t="s">
        <v>1234</v>
      </c>
      <c r="I1314" s="34" t="s">
        <v>1226</v>
      </c>
      <c r="J1314" s="34"/>
      <c r="K1314" s="31"/>
      <c r="L1314" s="31" t="s">
        <v>75</v>
      </c>
    </row>
    <row r="1315">
      <c r="A1315" s="41">
        <v>45887.0</v>
      </c>
      <c r="B1315" s="31" t="s">
        <v>3180</v>
      </c>
      <c r="C1315" s="34" t="s">
        <v>3181</v>
      </c>
      <c r="D1315" s="35" t="s">
        <v>30</v>
      </c>
      <c r="E1315" s="28" t="s">
        <v>71</v>
      </c>
      <c r="F1315" s="42">
        <v>9.599759157E9</v>
      </c>
      <c r="G1315" s="35" t="s">
        <v>72</v>
      </c>
      <c r="H1315" s="34" t="s">
        <v>3182</v>
      </c>
      <c r="I1315" s="34" t="s">
        <v>1077</v>
      </c>
      <c r="J1315" s="34"/>
      <c r="K1315" s="31"/>
      <c r="L1315" s="31" t="s">
        <v>75</v>
      </c>
    </row>
    <row r="1316">
      <c r="A1316" s="41">
        <v>45887.0</v>
      </c>
      <c r="B1316" s="31" t="s">
        <v>3183</v>
      </c>
      <c r="C1316" s="34" t="s">
        <v>3184</v>
      </c>
      <c r="D1316" s="35" t="s">
        <v>14</v>
      </c>
      <c r="E1316" s="28" t="s">
        <v>71</v>
      </c>
      <c r="F1316" s="42">
        <v>9.935710677E9</v>
      </c>
      <c r="G1316" s="35" t="s">
        <v>72</v>
      </c>
      <c r="H1316" s="34" t="s">
        <v>1020</v>
      </c>
      <c r="I1316" s="34" t="s">
        <v>1054</v>
      </c>
      <c r="J1316" s="34"/>
      <c r="K1316" s="31"/>
      <c r="L1316" s="31" t="s">
        <v>75</v>
      </c>
    </row>
    <row r="1317">
      <c r="A1317" s="41">
        <v>45887.0</v>
      </c>
      <c r="B1317" s="31" t="s">
        <v>3185</v>
      </c>
      <c r="C1317" s="34" t="s">
        <v>3186</v>
      </c>
      <c r="D1317" s="35" t="s">
        <v>22</v>
      </c>
      <c r="E1317" s="28" t="s">
        <v>71</v>
      </c>
      <c r="F1317" s="42">
        <v>9.599776805E9</v>
      </c>
      <c r="G1317" s="35" t="s">
        <v>72</v>
      </c>
      <c r="H1317" s="34" t="s">
        <v>3187</v>
      </c>
      <c r="I1317" s="34" t="s">
        <v>1226</v>
      </c>
      <c r="J1317" s="34"/>
      <c r="K1317" s="31"/>
      <c r="L1317" s="31" t="s">
        <v>75</v>
      </c>
    </row>
    <row r="1318">
      <c r="A1318" s="41">
        <v>45887.0</v>
      </c>
      <c r="B1318" s="31" t="s">
        <v>3188</v>
      </c>
      <c r="C1318" s="43" t="s">
        <v>3189</v>
      </c>
      <c r="D1318" s="35" t="s">
        <v>14</v>
      </c>
      <c r="E1318" s="28" t="s">
        <v>71</v>
      </c>
      <c r="F1318" s="42">
        <v>8.368534075E9</v>
      </c>
      <c r="G1318" s="35" t="s">
        <v>72</v>
      </c>
      <c r="H1318" s="34" t="s">
        <v>1020</v>
      </c>
      <c r="I1318" s="34" t="s">
        <v>1054</v>
      </c>
      <c r="J1318" s="34"/>
      <c r="K1318" s="34" t="s">
        <v>3190</v>
      </c>
      <c r="L1318" s="34" t="s">
        <v>78</v>
      </c>
    </row>
    <row r="1319">
      <c r="A1319" s="41">
        <v>45887.0</v>
      </c>
      <c r="B1319" s="31" t="s">
        <v>3191</v>
      </c>
      <c r="C1319" s="34" t="s">
        <v>3192</v>
      </c>
      <c r="D1319" s="35" t="s">
        <v>28</v>
      </c>
      <c r="E1319" s="28" t="s">
        <v>71</v>
      </c>
      <c r="F1319" s="42">
        <v>7.355291522E9</v>
      </c>
      <c r="G1319" s="35" t="s">
        <v>72</v>
      </c>
      <c r="H1319" s="34" t="s">
        <v>3193</v>
      </c>
      <c r="I1319" s="34" t="s">
        <v>2818</v>
      </c>
      <c r="J1319" s="34"/>
      <c r="K1319" s="31"/>
      <c r="L1319" s="31" t="s">
        <v>75</v>
      </c>
    </row>
    <row r="1320">
      <c r="A1320" s="41">
        <v>45887.0</v>
      </c>
      <c r="B1320" s="31" t="s">
        <v>3194</v>
      </c>
      <c r="C1320" s="34" t="s">
        <v>3195</v>
      </c>
      <c r="D1320" s="32" t="s">
        <v>42</v>
      </c>
      <c r="E1320" s="28" t="s">
        <v>71</v>
      </c>
      <c r="F1320" s="42">
        <v>8.130311217E9</v>
      </c>
      <c r="G1320" s="35" t="s">
        <v>72</v>
      </c>
      <c r="H1320" s="34" t="s">
        <v>3196</v>
      </c>
      <c r="I1320" s="34" t="s">
        <v>2361</v>
      </c>
      <c r="J1320" s="34"/>
      <c r="K1320" s="31"/>
      <c r="L1320" s="31" t="s">
        <v>75</v>
      </c>
    </row>
    <row r="1321">
      <c r="A1321" s="41">
        <v>45889.0</v>
      </c>
      <c r="B1321" s="31" t="s">
        <v>3197</v>
      </c>
      <c r="C1321" s="34" t="s">
        <v>3198</v>
      </c>
      <c r="D1321" s="35" t="s">
        <v>16</v>
      </c>
      <c r="E1321" s="28" t="s">
        <v>71</v>
      </c>
      <c r="F1321" s="42">
        <v>7.704087737E9</v>
      </c>
      <c r="G1321" s="35" t="s">
        <v>72</v>
      </c>
      <c r="H1321" s="34" t="s">
        <v>3199</v>
      </c>
      <c r="I1321" s="34" t="s">
        <v>1017</v>
      </c>
      <c r="J1321" s="34"/>
      <c r="K1321" s="31"/>
      <c r="L1321" s="31" t="s">
        <v>78</v>
      </c>
    </row>
    <row r="1322">
      <c r="A1322" s="41">
        <v>45890.0</v>
      </c>
      <c r="B1322" s="31" t="s">
        <v>3200</v>
      </c>
      <c r="C1322" s="34" t="s">
        <v>3201</v>
      </c>
      <c r="D1322" s="35" t="s">
        <v>21</v>
      </c>
      <c r="E1322" s="28" t="s">
        <v>71</v>
      </c>
      <c r="F1322" s="33"/>
      <c r="G1322" s="35" t="s">
        <v>1043</v>
      </c>
      <c r="H1322" s="34" t="s">
        <v>1052</v>
      </c>
      <c r="I1322" s="34" t="s">
        <v>1400</v>
      </c>
      <c r="J1322" s="34"/>
      <c r="K1322" s="31"/>
      <c r="L1322" s="31" t="s">
        <v>75</v>
      </c>
    </row>
    <row r="1323">
      <c r="A1323" s="37">
        <v>45910.0</v>
      </c>
      <c r="B1323" s="31" t="s">
        <v>2304</v>
      </c>
      <c r="C1323" s="34" t="s">
        <v>3202</v>
      </c>
      <c r="D1323" s="35" t="s">
        <v>21</v>
      </c>
      <c r="E1323" s="28" t="s">
        <v>71</v>
      </c>
      <c r="F1323" s="33"/>
      <c r="G1323" s="35" t="s">
        <v>54</v>
      </c>
      <c r="H1323" s="31"/>
      <c r="I1323" s="31"/>
      <c r="J1323" s="31"/>
      <c r="K1323" s="31"/>
      <c r="L1323" s="31" t="s">
        <v>78</v>
      </c>
    </row>
    <row r="1324">
      <c r="A1324" s="37">
        <v>45915.0</v>
      </c>
      <c r="B1324" s="31" t="s">
        <v>2385</v>
      </c>
      <c r="C1324" s="34" t="s">
        <v>3203</v>
      </c>
      <c r="D1324" s="35" t="s">
        <v>21</v>
      </c>
      <c r="E1324" s="28" t="s">
        <v>71</v>
      </c>
      <c r="F1324" s="33"/>
      <c r="G1324" s="35" t="s">
        <v>54</v>
      </c>
      <c r="H1324" s="31"/>
      <c r="I1324" s="31"/>
      <c r="J1324" s="31"/>
      <c r="K1324" s="31"/>
      <c r="L1324" s="31" t="s">
        <v>78</v>
      </c>
    </row>
    <row r="1325">
      <c r="A1325" s="37">
        <v>45917.0</v>
      </c>
      <c r="B1325" s="26" t="s">
        <v>3204</v>
      </c>
      <c r="C1325" s="34" t="s">
        <v>3205</v>
      </c>
      <c r="D1325" s="35" t="s">
        <v>47</v>
      </c>
      <c r="E1325" s="28" t="s">
        <v>71</v>
      </c>
      <c r="F1325" s="39" t="s">
        <v>3206</v>
      </c>
      <c r="G1325" s="35" t="s">
        <v>54</v>
      </c>
      <c r="H1325" s="31"/>
      <c r="I1325" s="26" t="s">
        <v>2073</v>
      </c>
      <c r="J1325" s="26"/>
      <c r="K1325" s="31"/>
      <c r="L1325" s="31" t="s">
        <v>78</v>
      </c>
    </row>
    <row r="1326">
      <c r="A1326" s="37">
        <v>45917.0</v>
      </c>
      <c r="B1326" s="26" t="s">
        <v>3207</v>
      </c>
      <c r="C1326" s="34" t="s">
        <v>3208</v>
      </c>
      <c r="D1326" s="35" t="s">
        <v>47</v>
      </c>
      <c r="E1326" s="28" t="s">
        <v>71</v>
      </c>
      <c r="F1326" s="39" t="s">
        <v>3206</v>
      </c>
      <c r="G1326" s="35" t="s">
        <v>54</v>
      </c>
      <c r="H1326" s="31"/>
      <c r="I1326" s="26" t="s">
        <v>2073</v>
      </c>
      <c r="J1326" s="26"/>
      <c r="K1326" s="31"/>
      <c r="L1326" s="31" t="s">
        <v>78</v>
      </c>
    </row>
    <row r="1327">
      <c r="A1327" s="37">
        <v>45917.0</v>
      </c>
      <c r="B1327" s="26" t="s">
        <v>3209</v>
      </c>
      <c r="C1327" s="34" t="s">
        <v>3210</v>
      </c>
      <c r="D1327" s="35" t="s">
        <v>47</v>
      </c>
      <c r="E1327" s="28" t="s">
        <v>71</v>
      </c>
      <c r="F1327" s="39" t="s">
        <v>3206</v>
      </c>
      <c r="G1327" s="35" t="s">
        <v>54</v>
      </c>
      <c r="H1327" s="31"/>
      <c r="I1327" s="26" t="s">
        <v>2073</v>
      </c>
      <c r="J1327" s="26"/>
      <c r="K1327" s="31"/>
      <c r="L1327" s="31" t="s">
        <v>78</v>
      </c>
    </row>
    <row r="1328">
      <c r="A1328" s="37">
        <v>45919.0</v>
      </c>
      <c r="B1328" s="31" t="s">
        <v>2596</v>
      </c>
      <c r="C1328" s="34" t="s">
        <v>3211</v>
      </c>
      <c r="D1328" s="35" t="s">
        <v>21</v>
      </c>
      <c r="E1328" s="28" t="s">
        <v>71</v>
      </c>
      <c r="F1328" s="33"/>
      <c r="G1328" s="35" t="s">
        <v>54</v>
      </c>
      <c r="H1328" s="31"/>
      <c r="I1328" s="31"/>
      <c r="J1328" s="31"/>
      <c r="K1328" s="31"/>
      <c r="L1328" s="31" t="s">
        <v>78</v>
      </c>
    </row>
    <row r="1329">
      <c r="A1329" s="41">
        <v>45922.0</v>
      </c>
      <c r="B1329" s="31" t="s">
        <v>3212</v>
      </c>
      <c r="C1329" s="34" t="s">
        <v>3213</v>
      </c>
      <c r="D1329" s="35" t="s">
        <v>16</v>
      </c>
      <c r="E1329" s="28" t="s">
        <v>71</v>
      </c>
      <c r="F1329" s="33"/>
      <c r="G1329" s="35" t="s">
        <v>72</v>
      </c>
      <c r="H1329" s="34" t="s">
        <v>3214</v>
      </c>
      <c r="I1329" s="34" t="s">
        <v>1017</v>
      </c>
      <c r="J1329" s="34"/>
      <c r="K1329" s="31"/>
      <c r="L1329" s="31" t="s">
        <v>75</v>
      </c>
    </row>
    <row r="1330">
      <c r="A1330" s="41">
        <v>45922.0</v>
      </c>
      <c r="B1330" s="31" t="s">
        <v>3215</v>
      </c>
      <c r="C1330" s="34" t="s">
        <v>3216</v>
      </c>
      <c r="D1330" s="35" t="s">
        <v>30</v>
      </c>
      <c r="E1330" s="28" t="s">
        <v>71</v>
      </c>
      <c r="F1330" s="33"/>
      <c r="G1330" s="35" t="s">
        <v>54</v>
      </c>
      <c r="H1330" s="31"/>
      <c r="I1330" s="26" t="s">
        <v>1464</v>
      </c>
      <c r="J1330" s="26"/>
      <c r="K1330" s="31"/>
      <c r="L1330" s="31" t="s">
        <v>78</v>
      </c>
    </row>
    <row r="1331">
      <c r="A1331" s="41">
        <v>45922.0</v>
      </c>
      <c r="B1331" s="31" t="s">
        <v>3217</v>
      </c>
      <c r="C1331" s="34" t="s">
        <v>3218</v>
      </c>
      <c r="D1331" s="35" t="s">
        <v>30</v>
      </c>
      <c r="E1331" s="28" t="s">
        <v>71</v>
      </c>
      <c r="F1331" s="33"/>
      <c r="G1331" s="35" t="s">
        <v>54</v>
      </c>
      <c r="H1331" s="31"/>
      <c r="I1331" s="26" t="s">
        <v>1464</v>
      </c>
      <c r="J1331" s="26"/>
      <c r="K1331" s="31"/>
      <c r="L1331" s="31" t="s">
        <v>78</v>
      </c>
    </row>
    <row r="1332">
      <c r="A1332" s="41">
        <v>45922.0</v>
      </c>
      <c r="B1332" s="31" t="s">
        <v>3219</v>
      </c>
      <c r="C1332" s="34" t="s">
        <v>3220</v>
      </c>
      <c r="D1332" s="35" t="s">
        <v>30</v>
      </c>
      <c r="E1332" s="28" t="s">
        <v>71</v>
      </c>
      <c r="F1332" s="33"/>
      <c r="G1332" s="35" t="s">
        <v>54</v>
      </c>
      <c r="H1332" s="31"/>
      <c r="I1332" s="26" t="s">
        <v>1464</v>
      </c>
      <c r="J1332" s="26"/>
      <c r="K1332" s="31"/>
      <c r="L1332" s="31" t="s">
        <v>78</v>
      </c>
    </row>
    <row r="1333">
      <c r="A1333" s="41">
        <v>45922.0</v>
      </c>
      <c r="B1333" s="31" t="s">
        <v>3221</v>
      </c>
      <c r="C1333" s="34" t="s">
        <v>3222</v>
      </c>
      <c r="D1333" s="35" t="s">
        <v>30</v>
      </c>
      <c r="E1333" s="28" t="s">
        <v>71</v>
      </c>
      <c r="F1333" s="33"/>
      <c r="G1333" s="35" t="s">
        <v>54</v>
      </c>
      <c r="H1333" s="31"/>
      <c r="I1333" s="26" t="s">
        <v>1464</v>
      </c>
      <c r="J1333" s="26"/>
      <c r="K1333" s="31"/>
      <c r="L1333" s="31" t="s">
        <v>78</v>
      </c>
    </row>
    <row r="1334">
      <c r="A1334" s="37">
        <v>45923.0</v>
      </c>
      <c r="B1334" s="31" t="s">
        <v>2634</v>
      </c>
      <c r="C1334" s="34" t="s">
        <v>3223</v>
      </c>
      <c r="D1334" s="35" t="s">
        <v>14</v>
      </c>
      <c r="E1334" s="28" t="s">
        <v>71</v>
      </c>
      <c r="F1334" s="33"/>
      <c r="G1334" s="35" t="s">
        <v>54</v>
      </c>
      <c r="H1334" s="31"/>
      <c r="I1334" s="31"/>
      <c r="J1334" s="31"/>
      <c r="K1334" s="31"/>
      <c r="L1334" s="31" t="s">
        <v>78</v>
      </c>
    </row>
    <row r="1335">
      <c r="A1335" s="37">
        <v>45923.0</v>
      </c>
      <c r="B1335" s="26" t="s">
        <v>3204</v>
      </c>
      <c r="C1335" s="34" t="s">
        <v>3224</v>
      </c>
      <c r="D1335" s="30" t="s">
        <v>21</v>
      </c>
      <c r="E1335" s="28" t="s">
        <v>71</v>
      </c>
      <c r="F1335" s="29">
        <v>9.990123068E9</v>
      </c>
      <c r="G1335" s="35" t="s">
        <v>54</v>
      </c>
      <c r="H1335" s="31"/>
      <c r="I1335" s="26" t="s">
        <v>3225</v>
      </c>
      <c r="J1335" s="26"/>
      <c r="K1335" s="31"/>
      <c r="L1335" s="31" t="s">
        <v>78</v>
      </c>
    </row>
    <row r="1336">
      <c r="A1336" s="37">
        <v>45923.0</v>
      </c>
      <c r="B1336" s="26" t="s">
        <v>1156</v>
      </c>
      <c r="C1336" s="34" t="s">
        <v>3226</v>
      </c>
      <c r="D1336" s="30" t="s">
        <v>47</v>
      </c>
      <c r="E1336" s="28" t="s">
        <v>71</v>
      </c>
      <c r="F1336" s="39" t="s">
        <v>3227</v>
      </c>
      <c r="G1336" s="35" t="s">
        <v>54</v>
      </c>
      <c r="H1336" s="31"/>
      <c r="I1336" s="26" t="s">
        <v>2028</v>
      </c>
      <c r="J1336" s="26"/>
      <c r="K1336" s="31"/>
      <c r="L1336" s="31" t="s">
        <v>78</v>
      </c>
    </row>
    <row r="1337">
      <c r="A1337" s="37">
        <v>45923.0</v>
      </c>
      <c r="B1337" s="26" t="s">
        <v>3207</v>
      </c>
      <c r="C1337" s="34" t="s">
        <v>3228</v>
      </c>
      <c r="D1337" s="30" t="s">
        <v>47</v>
      </c>
      <c r="E1337" s="28" t="s">
        <v>71</v>
      </c>
      <c r="F1337" s="39" t="s">
        <v>2125</v>
      </c>
      <c r="G1337" s="35" t="s">
        <v>54</v>
      </c>
      <c r="H1337" s="31"/>
      <c r="I1337" s="26" t="s">
        <v>2028</v>
      </c>
      <c r="J1337" s="26"/>
      <c r="K1337" s="31"/>
      <c r="L1337" s="31" t="s">
        <v>78</v>
      </c>
    </row>
    <row r="1338">
      <c r="A1338" s="37">
        <v>45923.0</v>
      </c>
      <c r="B1338" s="26" t="s">
        <v>3209</v>
      </c>
      <c r="C1338" s="34" t="s">
        <v>3229</v>
      </c>
      <c r="D1338" s="30" t="s">
        <v>47</v>
      </c>
      <c r="E1338" s="28" t="s">
        <v>71</v>
      </c>
      <c r="F1338" s="39" t="s">
        <v>3230</v>
      </c>
      <c r="G1338" s="35" t="s">
        <v>54</v>
      </c>
      <c r="H1338" s="31"/>
      <c r="I1338" s="26" t="s">
        <v>2028</v>
      </c>
      <c r="J1338" s="26"/>
      <c r="K1338" s="31"/>
      <c r="L1338" s="31" t="s">
        <v>78</v>
      </c>
    </row>
    <row r="1339">
      <c r="A1339" s="41">
        <v>45931.0</v>
      </c>
      <c r="B1339" s="31" t="s">
        <v>3231</v>
      </c>
      <c r="C1339" s="34" t="s">
        <v>3232</v>
      </c>
      <c r="D1339" s="35" t="s">
        <v>16</v>
      </c>
      <c r="E1339" s="28" t="s">
        <v>71</v>
      </c>
      <c r="F1339" s="42">
        <v>8.951540776E9</v>
      </c>
      <c r="G1339" s="35" t="s">
        <v>72</v>
      </c>
      <c r="H1339" s="34" t="s">
        <v>3233</v>
      </c>
      <c r="I1339" s="34" t="s">
        <v>1017</v>
      </c>
      <c r="J1339" s="34"/>
      <c r="K1339" s="31"/>
      <c r="L1339" s="31" t="s">
        <v>75</v>
      </c>
    </row>
    <row r="1340">
      <c r="A1340" s="41">
        <v>45931.0</v>
      </c>
      <c r="B1340" s="26" t="s">
        <v>3234</v>
      </c>
      <c r="C1340" s="26" t="s">
        <v>3235</v>
      </c>
      <c r="D1340" s="35" t="s">
        <v>16</v>
      </c>
      <c r="E1340" s="28" t="s">
        <v>71</v>
      </c>
      <c r="F1340" s="42">
        <v>9.681080862E9</v>
      </c>
      <c r="G1340" s="35" t="s">
        <v>72</v>
      </c>
      <c r="H1340" s="34" t="s">
        <v>3236</v>
      </c>
      <c r="I1340" s="34" t="s">
        <v>1017</v>
      </c>
      <c r="J1340" s="34"/>
      <c r="K1340" s="31"/>
      <c r="L1340" s="31" t="s">
        <v>75</v>
      </c>
    </row>
    <row r="1341">
      <c r="A1341" s="37">
        <v>45936.0</v>
      </c>
      <c r="B1341" s="26" t="s">
        <v>3237</v>
      </c>
      <c r="C1341" s="26" t="s">
        <v>74</v>
      </c>
      <c r="D1341" s="30" t="s">
        <v>28</v>
      </c>
      <c r="E1341" s="28" t="s">
        <v>71</v>
      </c>
      <c r="F1341" s="44" t="s">
        <v>3238</v>
      </c>
      <c r="G1341" s="35" t="s">
        <v>72</v>
      </c>
      <c r="H1341" s="26" t="s">
        <v>3239</v>
      </c>
      <c r="I1341" s="26" t="s">
        <v>2818</v>
      </c>
      <c r="J1341" s="26"/>
      <c r="K1341" s="31"/>
      <c r="L1341" s="31" t="s">
        <v>78</v>
      </c>
    </row>
    <row r="1342">
      <c r="A1342" s="37">
        <v>45937.0</v>
      </c>
      <c r="B1342" s="26" t="s">
        <v>3240</v>
      </c>
      <c r="C1342" s="26" t="s">
        <v>3241</v>
      </c>
      <c r="D1342" s="30" t="s">
        <v>33</v>
      </c>
      <c r="E1342" s="28" t="s">
        <v>71</v>
      </c>
      <c r="F1342" s="45" t="s">
        <v>1562</v>
      </c>
      <c r="G1342" s="35" t="s">
        <v>54</v>
      </c>
      <c r="H1342" s="31"/>
      <c r="I1342" s="31"/>
      <c r="J1342" s="31"/>
      <c r="K1342" s="26" t="s">
        <v>3242</v>
      </c>
      <c r="L1342" s="31" t="s">
        <v>78</v>
      </c>
    </row>
    <row r="1343">
      <c r="A1343" s="37">
        <v>45937.0</v>
      </c>
      <c r="B1343" s="26" t="s">
        <v>3243</v>
      </c>
      <c r="C1343" s="26" t="s">
        <v>3244</v>
      </c>
      <c r="D1343" s="30" t="s">
        <v>33</v>
      </c>
      <c r="E1343" s="28" t="s">
        <v>71</v>
      </c>
      <c r="F1343" s="45" t="s">
        <v>1562</v>
      </c>
      <c r="G1343" s="35" t="s">
        <v>54</v>
      </c>
      <c r="H1343" s="31"/>
      <c r="I1343" s="31"/>
      <c r="J1343" s="31"/>
      <c r="K1343" s="26" t="s">
        <v>3242</v>
      </c>
      <c r="L1343" s="31" t="s">
        <v>78</v>
      </c>
    </row>
    <row r="1344">
      <c r="A1344" s="37">
        <v>45937.0</v>
      </c>
      <c r="B1344" s="26" t="s">
        <v>3245</v>
      </c>
      <c r="C1344" s="26" t="s">
        <v>3246</v>
      </c>
      <c r="D1344" s="30" t="s">
        <v>33</v>
      </c>
      <c r="E1344" s="28" t="s">
        <v>71</v>
      </c>
      <c r="F1344" s="45" t="s">
        <v>1562</v>
      </c>
      <c r="G1344" s="35" t="s">
        <v>54</v>
      </c>
      <c r="H1344" s="31"/>
      <c r="I1344" s="31"/>
      <c r="J1344" s="31"/>
      <c r="K1344" s="26" t="s">
        <v>3242</v>
      </c>
      <c r="L1344" s="31" t="s">
        <v>78</v>
      </c>
    </row>
    <row r="1345">
      <c r="A1345" s="37">
        <v>45937.0</v>
      </c>
      <c r="B1345" s="26" t="s">
        <v>3247</v>
      </c>
      <c r="C1345" s="26" t="s">
        <v>3248</v>
      </c>
      <c r="D1345" s="30" t="s">
        <v>33</v>
      </c>
      <c r="E1345" s="28" t="s">
        <v>71</v>
      </c>
      <c r="F1345" s="45" t="s">
        <v>1562</v>
      </c>
      <c r="G1345" s="35" t="s">
        <v>54</v>
      </c>
      <c r="H1345" s="31"/>
      <c r="I1345" s="31"/>
      <c r="J1345" s="31"/>
      <c r="K1345" s="26" t="s">
        <v>3242</v>
      </c>
      <c r="L1345" s="31" t="s">
        <v>78</v>
      </c>
    </row>
    <row r="1346">
      <c r="A1346" s="37">
        <v>45937.0</v>
      </c>
      <c r="B1346" s="26" t="s">
        <v>3249</v>
      </c>
      <c r="C1346" s="26" t="s">
        <v>3250</v>
      </c>
      <c r="D1346" s="35" t="s">
        <v>16</v>
      </c>
      <c r="E1346" s="28" t="s">
        <v>71</v>
      </c>
      <c r="F1346" s="39" t="s">
        <v>3251</v>
      </c>
      <c r="G1346" s="35" t="s">
        <v>72</v>
      </c>
      <c r="H1346" s="26" t="s">
        <v>3252</v>
      </c>
      <c r="I1346" s="34" t="s">
        <v>1017</v>
      </c>
      <c r="J1346" s="34"/>
      <c r="K1346" s="31"/>
      <c r="L1346" s="31" t="s">
        <v>75</v>
      </c>
    </row>
    <row r="1347">
      <c r="A1347" s="37">
        <v>45937.0</v>
      </c>
      <c r="B1347" s="26" t="s">
        <v>3253</v>
      </c>
      <c r="C1347" s="26" t="s">
        <v>3254</v>
      </c>
      <c r="D1347" s="35" t="s">
        <v>16</v>
      </c>
      <c r="E1347" s="28" t="s">
        <v>71</v>
      </c>
      <c r="F1347" s="39" t="s">
        <v>3255</v>
      </c>
      <c r="G1347" s="35" t="s">
        <v>72</v>
      </c>
      <c r="H1347" s="26" t="s">
        <v>3256</v>
      </c>
      <c r="I1347" s="34" t="s">
        <v>1017</v>
      </c>
      <c r="J1347" s="34"/>
      <c r="K1347" s="31"/>
      <c r="L1347" s="31" t="s">
        <v>78</v>
      </c>
    </row>
    <row r="1348">
      <c r="A1348" s="37">
        <v>45937.0</v>
      </c>
      <c r="B1348" s="26" t="s">
        <v>3257</v>
      </c>
      <c r="C1348" s="26" t="s">
        <v>3258</v>
      </c>
      <c r="D1348" s="30" t="s">
        <v>28</v>
      </c>
      <c r="E1348" s="28" t="s">
        <v>71</v>
      </c>
      <c r="F1348" s="39" t="s">
        <v>2271</v>
      </c>
      <c r="G1348" s="30" t="s">
        <v>54</v>
      </c>
      <c r="H1348" s="26" t="s">
        <v>3259</v>
      </c>
      <c r="I1348" s="31"/>
      <c r="J1348" s="31"/>
      <c r="K1348" s="26" t="s">
        <v>3242</v>
      </c>
      <c r="L1348" s="31" t="s">
        <v>78</v>
      </c>
    </row>
    <row r="1349">
      <c r="A1349" s="37">
        <v>45939.0</v>
      </c>
      <c r="B1349" s="26" t="s">
        <v>3260</v>
      </c>
      <c r="C1349" s="26" t="s">
        <v>3261</v>
      </c>
      <c r="D1349" s="30" t="s">
        <v>28</v>
      </c>
      <c r="E1349" s="28" t="s">
        <v>71</v>
      </c>
      <c r="F1349" s="39" t="s">
        <v>3262</v>
      </c>
      <c r="G1349" s="30" t="s">
        <v>72</v>
      </c>
      <c r="H1349" s="26" t="s">
        <v>73</v>
      </c>
      <c r="I1349" s="26" t="s">
        <v>74</v>
      </c>
      <c r="J1349" s="26"/>
      <c r="K1349" s="31"/>
      <c r="L1349" s="31" t="s">
        <v>75</v>
      </c>
    </row>
    <row r="1350">
      <c r="A1350" s="37">
        <v>45940.0</v>
      </c>
      <c r="B1350" s="26" t="s">
        <v>3263</v>
      </c>
      <c r="C1350" s="26" t="s">
        <v>3264</v>
      </c>
      <c r="D1350" s="30" t="s">
        <v>22</v>
      </c>
      <c r="E1350" s="28" t="s">
        <v>71</v>
      </c>
      <c r="F1350" s="39" t="s">
        <v>3265</v>
      </c>
      <c r="G1350" s="30" t="s">
        <v>54</v>
      </c>
      <c r="H1350" s="26" t="s">
        <v>3266</v>
      </c>
      <c r="I1350" s="26" t="s">
        <v>1953</v>
      </c>
      <c r="J1350" s="26"/>
      <c r="K1350" s="26" t="s">
        <v>3267</v>
      </c>
      <c r="L1350" s="31" t="s">
        <v>78</v>
      </c>
    </row>
    <row r="1351">
      <c r="A1351" s="37">
        <v>45943.0</v>
      </c>
      <c r="B1351" s="26" t="s">
        <v>3268</v>
      </c>
      <c r="C1351" s="26" t="s">
        <v>3269</v>
      </c>
      <c r="D1351" s="30" t="s">
        <v>17</v>
      </c>
      <c r="E1351" s="28" t="s">
        <v>71</v>
      </c>
      <c r="F1351" s="29"/>
      <c r="G1351" s="30" t="s">
        <v>1043</v>
      </c>
      <c r="H1351" s="26" t="s">
        <v>3270</v>
      </c>
      <c r="I1351" s="26" t="s">
        <v>1125</v>
      </c>
      <c r="J1351" s="26"/>
      <c r="K1351" s="31"/>
      <c r="L1351" s="31" t="s">
        <v>75</v>
      </c>
    </row>
    <row r="1352">
      <c r="A1352" s="37">
        <v>45944.0</v>
      </c>
      <c r="B1352" s="46" t="s">
        <v>3271</v>
      </c>
      <c r="C1352" s="26" t="s">
        <v>3272</v>
      </c>
      <c r="D1352" s="30" t="s">
        <v>16</v>
      </c>
      <c r="E1352" s="28" t="s">
        <v>71</v>
      </c>
      <c r="F1352" s="39" t="s">
        <v>3273</v>
      </c>
      <c r="G1352" s="30" t="s">
        <v>72</v>
      </c>
      <c r="H1352" s="46" t="s">
        <v>3233</v>
      </c>
      <c r="I1352" s="26" t="s">
        <v>1017</v>
      </c>
      <c r="J1352" s="26"/>
      <c r="K1352" s="31"/>
      <c r="L1352" s="31" t="s">
        <v>78</v>
      </c>
    </row>
    <row r="1353">
      <c r="A1353" s="37">
        <v>45945.0</v>
      </c>
      <c r="B1353" s="26" t="s">
        <v>3274</v>
      </c>
      <c r="C1353" s="26" t="s">
        <v>3275</v>
      </c>
      <c r="D1353" s="30" t="s">
        <v>14</v>
      </c>
      <c r="E1353" s="28" t="s">
        <v>71</v>
      </c>
      <c r="F1353" s="39" t="s">
        <v>2525</v>
      </c>
      <c r="G1353" s="30" t="s">
        <v>54</v>
      </c>
      <c r="H1353" s="31"/>
      <c r="I1353" s="26" t="s">
        <v>1200</v>
      </c>
      <c r="J1353" s="26"/>
      <c r="K1353" s="31"/>
      <c r="L1353" s="31" t="s">
        <v>78</v>
      </c>
    </row>
    <row r="1354">
      <c r="A1354" s="37">
        <v>45946.0</v>
      </c>
      <c r="B1354" s="26" t="s">
        <v>3276</v>
      </c>
      <c r="C1354" s="26" t="s">
        <v>3277</v>
      </c>
      <c r="D1354" s="30" t="s">
        <v>16</v>
      </c>
      <c r="E1354" s="28" t="s">
        <v>71</v>
      </c>
      <c r="F1354" s="39" t="s">
        <v>2053</v>
      </c>
      <c r="G1354" s="30" t="s">
        <v>54</v>
      </c>
      <c r="H1354" s="26" t="s">
        <v>3278</v>
      </c>
      <c r="I1354" s="31"/>
      <c r="J1354" s="31"/>
      <c r="K1354" s="26" t="s">
        <v>3279</v>
      </c>
      <c r="L1354" s="31" t="s">
        <v>78</v>
      </c>
    </row>
    <row r="1355">
      <c r="A1355" s="37">
        <v>45946.0</v>
      </c>
      <c r="B1355" s="26" t="s">
        <v>3280</v>
      </c>
      <c r="C1355" s="26" t="s">
        <v>3281</v>
      </c>
      <c r="D1355" s="30" t="s">
        <v>16</v>
      </c>
      <c r="E1355" s="28" t="s">
        <v>71</v>
      </c>
      <c r="F1355" s="39" t="s">
        <v>2053</v>
      </c>
      <c r="G1355" s="30" t="s">
        <v>54</v>
      </c>
      <c r="H1355" s="26" t="s">
        <v>3282</v>
      </c>
      <c r="I1355" s="31"/>
      <c r="J1355" s="31"/>
      <c r="K1355" s="26" t="s">
        <v>3279</v>
      </c>
      <c r="L1355" s="31" t="s">
        <v>78</v>
      </c>
    </row>
    <row r="1356">
      <c r="A1356" s="37">
        <v>45946.0</v>
      </c>
      <c r="B1356" s="26" t="s">
        <v>3283</v>
      </c>
      <c r="C1356" s="26" t="s">
        <v>3284</v>
      </c>
      <c r="D1356" s="30" t="s">
        <v>16</v>
      </c>
      <c r="E1356" s="28" t="s">
        <v>71</v>
      </c>
      <c r="F1356" s="39" t="s">
        <v>2053</v>
      </c>
      <c r="G1356" s="30" t="s">
        <v>54</v>
      </c>
      <c r="H1356" s="26" t="s">
        <v>3285</v>
      </c>
      <c r="I1356" s="31"/>
      <c r="J1356" s="31"/>
      <c r="K1356" s="26" t="s">
        <v>3279</v>
      </c>
      <c r="L1356" s="31" t="s">
        <v>78</v>
      </c>
    </row>
    <row r="1357">
      <c r="A1357" s="37">
        <v>45947.0</v>
      </c>
      <c r="B1357" s="26" t="s">
        <v>3286</v>
      </c>
      <c r="C1357" s="26" t="s">
        <v>3287</v>
      </c>
      <c r="D1357" s="30" t="s">
        <v>16</v>
      </c>
      <c r="E1357" s="28" t="s">
        <v>71</v>
      </c>
      <c r="F1357" s="39" t="s">
        <v>3288</v>
      </c>
      <c r="G1357" s="30" t="s">
        <v>72</v>
      </c>
      <c r="H1357" s="26" t="s">
        <v>1506</v>
      </c>
      <c r="I1357" s="26" t="s">
        <v>3289</v>
      </c>
      <c r="J1357" s="26"/>
      <c r="K1357" s="31"/>
      <c r="L1357" s="31" t="s">
        <v>75</v>
      </c>
    </row>
    <row r="1358">
      <c r="A1358" s="37">
        <v>45954.0</v>
      </c>
      <c r="B1358" s="26" t="s">
        <v>3290</v>
      </c>
      <c r="C1358" s="26" t="s">
        <v>3291</v>
      </c>
      <c r="D1358" s="30" t="s">
        <v>16</v>
      </c>
      <c r="E1358" s="28" t="s">
        <v>71</v>
      </c>
      <c r="F1358" s="39" t="s">
        <v>3292</v>
      </c>
      <c r="G1358" s="30" t="s">
        <v>72</v>
      </c>
      <c r="H1358" s="26" t="s">
        <v>3233</v>
      </c>
      <c r="I1358" s="26" t="s">
        <v>1017</v>
      </c>
      <c r="J1358" s="26"/>
      <c r="K1358" s="26" t="s">
        <v>3293</v>
      </c>
      <c r="L1358" s="31" t="s">
        <v>75</v>
      </c>
    </row>
    <row r="1359">
      <c r="A1359" s="37">
        <v>45957.0</v>
      </c>
      <c r="B1359" s="26" t="s">
        <v>2032</v>
      </c>
      <c r="C1359" s="26" t="s">
        <v>3294</v>
      </c>
      <c r="D1359" s="30" t="s">
        <v>21</v>
      </c>
      <c r="E1359" s="28" t="s">
        <v>71</v>
      </c>
      <c r="F1359" s="33"/>
      <c r="G1359" s="35" t="s">
        <v>72</v>
      </c>
      <c r="H1359" s="26" t="s">
        <v>3295</v>
      </c>
      <c r="I1359" s="31"/>
      <c r="J1359" s="31"/>
      <c r="K1359" s="26" t="s">
        <v>3296</v>
      </c>
      <c r="L1359" s="31" t="s">
        <v>78</v>
      </c>
    </row>
    <row r="1360">
      <c r="A1360" s="37">
        <v>45957.0</v>
      </c>
      <c r="B1360" s="26" t="s">
        <v>3297</v>
      </c>
      <c r="C1360" s="26" t="s">
        <v>3298</v>
      </c>
      <c r="D1360" s="30" t="s">
        <v>21</v>
      </c>
      <c r="E1360" s="28" t="s">
        <v>71</v>
      </c>
      <c r="F1360" s="29"/>
      <c r="G1360" s="30" t="s">
        <v>54</v>
      </c>
      <c r="H1360" s="26" t="s">
        <v>3295</v>
      </c>
      <c r="I1360" s="31"/>
      <c r="J1360" s="31"/>
      <c r="K1360" s="26" t="s">
        <v>3296</v>
      </c>
      <c r="L1360" s="31" t="s">
        <v>78</v>
      </c>
    </row>
    <row r="1361">
      <c r="A1361" s="37">
        <v>45958.0</v>
      </c>
      <c r="B1361" s="31" t="s">
        <v>3299</v>
      </c>
      <c r="C1361" s="26" t="s">
        <v>3300</v>
      </c>
      <c r="D1361" s="30" t="s">
        <v>28</v>
      </c>
      <c r="E1361" s="28" t="s">
        <v>71</v>
      </c>
      <c r="F1361" s="39" t="s">
        <v>3301</v>
      </c>
      <c r="G1361" s="30" t="s">
        <v>72</v>
      </c>
      <c r="H1361" s="26" t="s">
        <v>3302</v>
      </c>
      <c r="I1361" s="26" t="s">
        <v>74</v>
      </c>
      <c r="J1361" s="26"/>
      <c r="K1361" s="31"/>
      <c r="L1361" s="31" t="s">
        <v>75</v>
      </c>
    </row>
    <row r="1362">
      <c r="A1362" s="37">
        <v>45958.0</v>
      </c>
      <c r="B1362" s="31" t="s">
        <v>3303</v>
      </c>
      <c r="C1362" s="26" t="s">
        <v>3304</v>
      </c>
      <c r="D1362" s="30" t="s">
        <v>16</v>
      </c>
      <c r="E1362" s="28" t="s">
        <v>71</v>
      </c>
      <c r="F1362" s="39" t="s">
        <v>3305</v>
      </c>
      <c r="G1362" s="30" t="s">
        <v>72</v>
      </c>
      <c r="H1362" s="31" t="s">
        <v>3306</v>
      </c>
      <c r="I1362" s="26" t="s">
        <v>1017</v>
      </c>
      <c r="J1362" s="26"/>
      <c r="K1362" s="31"/>
      <c r="L1362" s="31" t="s">
        <v>78</v>
      </c>
    </row>
    <row r="1363">
      <c r="A1363" s="37">
        <v>45958.0</v>
      </c>
      <c r="B1363" s="26" t="s">
        <v>3307</v>
      </c>
      <c r="C1363" s="26" t="s">
        <v>3308</v>
      </c>
      <c r="D1363" s="32"/>
      <c r="E1363" s="28" t="s">
        <v>71</v>
      </c>
      <c r="F1363" s="33"/>
      <c r="G1363" s="30" t="s">
        <v>3309</v>
      </c>
      <c r="H1363" s="26" t="s">
        <v>3310</v>
      </c>
      <c r="I1363" s="31"/>
      <c r="J1363" s="31"/>
      <c r="K1363" s="26" t="s">
        <v>3311</v>
      </c>
      <c r="L1363" s="31" t="s">
        <v>78</v>
      </c>
    </row>
    <row r="1364">
      <c r="A1364" s="37">
        <v>45958.0</v>
      </c>
      <c r="B1364" s="26" t="s">
        <v>3312</v>
      </c>
      <c r="C1364" s="26" t="s">
        <v>3313</v>
      </c>
      <c r="D1364" s="32"/>
      <c r="E1364" s="28" t="s">
        <v>71</v>
      </c>
      <c r="F1364" s="33"/>
      <c r="G1364" s="30" t="s">
        <v>3309</v>
      </c>
      <c r="H1364" s="26" t="s">
        <v>3314</v>
      </c>
      <c r="I1364" s="31"/>
      <c r="J1364" s="31"/>
      <c r="K1364" s="26" t="s">
        <v>3311</v>
      </c>
      <c r="L1364" s="31" t="s">
        <v>78</v>
      </c>
    </row>
    <row r="1365">
      <c r="A1365" s="37">
        <v>45958.0</v>
      </c>
      <c r="B1365" s="26" t="s">
        <v>3315</v>
      </c>
      <c r="C1365" s="26" t="s">
        <v>3316</v>
      </c>
      <c r="D1365" s="30" t="s">
        <v>3317</v>
      </c>
      <c r="E1365" s="28" t="s">
        <v>71</v>
      </c>
      <c r="F1365" s="39" t="s">
        <v>3318</v>
      </c>
      <c r="G1365" s="30" t="s">
        <v>3319</v>
      </c>
      <c r="H1365" s="26" t="s">
        <v>3320</v>
      </c>
      <c r="I1365" s="31"/>
      <c r="J1365" s="31"/>
      <c r="K1365" s="26" t="s">
        <v>3321</v>
      </c>
      <c r="L1365" s="31" t="s">
        <v>78</v>
      </c>
    </row>
    <row r="1366">
      <c r="A1366" s="37">
        <v>45958.0</v>
      </c>
      <c r="B1366" s="26" t="s">
        <v>3322</v>
      </c>
      <c r="C1366" s="26" t="s">
        <v>3323</v>
      </c>
      <c r="D1366" s="30" t="s">
        <v>3317</v>
      </c>
      <c r="E1366" s="28" t="s">
        <v>71</v>
      </c>
      <c r="F1366" s="39" t="s">
        <v>3324</v>
      </c>
      <c r="G1366" s="30" t="s">
        <v>3319</v>
      </c>
      <c r="H1366" s="26" t="s">
        <v>3325</v>
      </c>
      <c r="I1366" s="31"/>
      <c r="J1366" s="31"/>
      <c r="K1366" s="26" t="s">
        <v>3321</v>
      </c>
      <c r="L1366" s="31" t="s">
        <v>78</v>
      </c>
    </row>
    <row r="1367">
      <c r="A1367" s="37">
        <v>45958.0</v>
      </c>
      <c r="B1367" s="26" t="s">
        <v>1069</v>
      </c>
      <c r="C1367" s="26" t="s">
        <v>3326</v>
      </c>
      <c r="D1367" s="30" t="s">
        <v>3317</v>
      </c>
      <c r="E1367" s="28" t="s">
        <v>71</v>
      </c>
      <c r="F1367" s="33"/>
      <c r="G1367" s="30" t="s">
        <v>3319</v>
      </c>
      <c r="H1367" s="26" t="s">
        <v>3327</v>
      </c>
      <c r="I1367" s="31"/>
      <c r="J1367" s="31"/>
      <c r="K1367" s="26" t="s">
        <v>3321</v>
      </c>
      <c r="L1367" s="31" t="s">
        <v>78</v>
      </c>
    </row>
    <row r="1368">
      <c r="A1368" s="37">
        <v>45958.0</v>
      </c>
      <c r="B1368" s="26" t="s">
        <v>3328</v>
      </c>
      <c r="C1368" s="26" t="s">
        <v>3329</v>
      </c>
      <c r="D1368" s="30" t="s">
        <v>3317</v>
      </c>
      <c r="E1368" s="28" t="s">
        <v>71</v>
      </c>
      <c r="F1368" s="33"/>
      <c r="G1368" s="30" t="s">
        <v>3319</v>
      </c>
      <c r="H1368" s="26" t="s">
        <v>3330</v>
      </c>
      <c r="I1368" s="31"/>
      <c r="J1368" s="31"/>
      <c r="K1368" s="26" t="s">
        <v>3321</v>
      </c>
      <c r="L1368" s="31" t="s">
        <v>78</v>
      </c>
    </row>
    <row r="1369">
      <c r="A1369" s="37">
        <v>45958.0</v>
      </c>
      <c r="B1369" s="26" t="s">
        <v>3331</v>
      </c>
      <c r="C1369" s="26" t="s">
        <v>3332</v>
      </c>
      <c r="D1369" s="30" t="s">
        <v>3317</v>
      </c>
      <c r="E1369" s="28" t="s">
        <v>71</v>
      </c>
      <c r="F1369" s="33"/>
      <c r="G1369" s="30" t="s">
        <v>3319</v>
      </c>
      <c r="H1369" s="26" t="s">
        <v>3333</v>
      </c>
      <c r="I1369" s="31"/>
      <c r="J1369" s="31"/>
      <c r="K1369" s="26" t="s">
        <v>3321</v>
      </c>
      <c r="L1369" s="31" t="s">
        <v>78</v>
      </c>
    </row>
    <row r="1370">
      <c r="A1370" s="37">
        <v>45958.0</v>
      </c>
      <c r="B1370" s="26" t="s">
        <v>3334</v>
      </c>
      <c r="C1370" s="26" t="s">
        <v>3335</v>
      </c>
      <c r="D1370" s="30" t="s">
        <v>3317</v>
      </c>
      <c r="E1370" s="28" t="s">
        <v>71</v>
      </c>
      <c r="F1370" s="33"/>
      <c r="G1370" s="30" t="s">
        <v>3319</v>
      </c>
      <c r="H1370" s="26" t="s">
        <v>3336</v>
      </c>
      <c r="I1370" s="31"/>
      <c r="J1370" s="31"/>
      <c r="K1370" s="26" t="s">
        <v>3321</v>
      </c>
      <c r="L1370" s="31" t="s">
        <v>78</v>
      </c>
    </row>
    <row r="1371">
      <c r="A1371" s="37">
        <v>45958.0</v>
      </c>
      <c r="B1371" s="26" t="s">
        <v>3337</v>
      </c>
      <c r="C1371" s="26" t="s">
        <v>3338</v>
      </c>
      <c r="D1371" s="30" t="s">
        <v>3317</v>
      </c>
      <c r="E1371" s="28" t="s">
        <v>71</v>
      </c>
      <c r="F1371" s="33"/>
      <c r="G1371" s="30" t="s">
        <v>3319</v>
      </c>
      <c r="H1371" s="26" t="s">
        <v>3339</v>
      </c>
      <c r="I1371" s="31"/>
      <c r="J1371" s="31"/>
      <c r="K1371" s="26" t="s">
        <v>3321</v>
      </c>
      <c r="L1371" s="31" t="s">
        <v>78</v>
      </c>
    </row>
    <row r="1372">
      <c r="A1372" s="37">
        <v>45958.0</v>
      </c>
      <c r="B1372" s="26" t="s">
        <v>3340</v>
      </c>
      <c r="C1372" s="26" t="s">
        <v>3341</v>
      </c>
      <c r="D1372" s="30" t="s">
        <v>3317</v>
      </c>
      <c r="E1372" s="28" t="s">
        <v>71</v>
      </c>
      <c r="F1372" s="33"/>
      <c r="G1372" s="30" t="s">
        <v>3319</v>
      </c>
      <c r="H1372" s="26" t="s">
        <v>3342</v>
      </c>
      <c r="I1372" s="31"/>
      <c r="J1372" s="31"/>
      <c r="K1372" s="26" t="s">
        <v>3321</v>
      </c>
      <c r="L1372" s="31" t="s">
        <v>78</v>
      </c>
    </row>
    <row r="1373">
      <c r="A1373" s="37">
        <v>45958.0</v>
      </c>
      <c r="B1373" s="26" t="s">
        <v>3343</v>
      </c>
      <c r="C1373" s="26" t="s">
        <v>3344</v>
      </c>
      <c r="D1373" s="30" t="s">
        <v>3317</v>
      </c>
      <c r="E1373" s="28" t="s">
        <v>71</v>
      </c>
      <c r="F1373" s="33"/>
      <c r="G1373" s="30" t="s">
        <v>3319</v>
      </c>
      <c r="H1373" s="26" t="s">
        <v>3345</v>
      </c>
      <c r="I1373" s="31"/>
      <c r="J1373" s="31"/>
      <c r="K1373" s="26" t="s">
        <v>3321</v>
      </c>
      <c r="L1373" s="31" t="s">
        <v>78</v>
      </c>
    </row>
    <row r="1374">
      <c r="A1374" s="37">
        <v>45958.0</v>
      </c>
      <c r="B1374" s="26" t="s">
        <v>3346</v>
      </c>
      <c r="C1374" s="26" t="s">
        <v>3347</v>
      </c>
      <c r="D1374" s="30" t="s">
        <v>3317</v>
      </c>
      <c r="E1374" s="28" t="s">
        <v>71</v>
      </c>
      <c r="F1374" s="33"/>
      <c r="G1374" s="30" t="s">
        <v>3319</v>
      </c>
      <c r="H1374" s="26" t="s">
        <v>3348</v>
      </c>
      <c r="I1374" s="31"/>
      <c r="J1374" s="31"/>
      <c r="K1374" s="26" t="s">
        <v>3321</v>
      </c>
      <c r="L1374" s="31" t="s">
        <v>78</v>
      </c>
    </row>
    <row r="1375">
      <c r="A1375" s="37">
        <v>45958.0</v>
      </c>
      <c r="B1375" s="26" t="s">
        <v>3349</v>
      </c>
      <c r="C1375" s="26" t="s">
        <v>3350</v>
      </c>
      <c r="D1375" s="30" t="s">
        <v>3317</v>
      </c>
      <c r="E1375" s="28" t="s">
        <v>71</v>
      </c>
      <c r="F1375" s="33"/>
      <c r="G1375" s="30" t="s">
        <v>3319</v>
      </c>
      <c r="H1375" s="26"/>
      <c r="I1375" s="31"/>
      <c r="J1375" s="31"/>
      <c r="K1375" s="26" t="s">
        <v>3321</v>
      </c>
      <c r="L1375" s="31" t="s">
        <v>78</v>
      </c>
    </row>
    <row r="1376">
      <c r="A1376" s="37">
        <v>45958.0</v>
      </c>
      <c r="B1376" s="26" t="s">
        <v>3351</v>
      </c>
      <c r="C1376" s="26" t="s">
        <v>3352</v>
      </c>
      <c r="D1376" s="30" t="s">
        <v>3317</v>
      </c>
      <c r="E1376" s="28" t="s">
        <v>71</v>
      </c>
      <c r="F1376" s="39" t="s">
        <v>3353</v>
      </c>
      <c r="G1376" s="30" t="s">
        <v>3319</v>
      </c>
      <c r="H1376" s="26" t="s">
        <v>3354</v>
      </c>
      <c r="I1376" s="31"/>
      <c r="J1376" s="31"/>
      <c r="K1376" s="26" t="s">
        <v>3321</v>
      </c>
      <c r="L1376" s="31" t="s">
        <v>78</v>
      </c>
    </row>
    <row r="1377">
      <c r="A1377" s="37">
        <v>45958.0</v>
      </c>
      <c r="B1377" s="26" t="s">
        <v>3355</v>
      </c>
      <c r="C1377" s="26" t="s">
        <v>3356</v>
      </c>
      <c r="D1377" s="30" t="s">
        <v>3317</v>
      </c>
      <c r="E1377" s="28" t="s">
        <v>71</v>
      </c>
      <c r="F1377" s="33"/>
      <c r="G1377" s="30" t="s">
        <v>3319</v>
      </c>
      <c r="H1377" s="26" t="s">
        <v>3357</v>
      </c>
      <c r="I1377" s="31"/>
      <c r="J1377" s="31"/>
      <c r="K1377" s="26" t="s">
        <v>3321</v>
      </c>
      <c r="L1377" s="31" t="s">
        <v>78</v>
      </c>
    </row>
    <row r="1378">
      <c r="A1378" s="37">
        <v>45958.0</v>
      </c>
      <c r="B1378" s="26" t="s">
        <v>3358</v>
      </c>
      <c r="C1378" s="26" t="s">
        <v>3359</v>
      </c>
      <c r="D1378" s="30" t="s">
        <v>3317</v>
      </c>
      <c r="E1378" s="28" t="s">
        <v>71</v>
      </c>
      <c r="F1378" s="33"/>
      <c r="G1378" s="30" t="s">
        <v>3319</v>
      </c>
      <c r="H1378" s="26" t="s">
        <v>3360</v>
      </c>
      <c r="I1378" s="31"/>
      <c r="J1378" s="31"/>
      <c r="K1378" s="26" t="s">
        <v>3321</v>
      </c>
      <c r="L1378" s="31" t="s">
        <v>78</v>
      </c>
    </row>
    <row r="1379">
      <c r="A1379" s="37">
        <v>45958.0</v>
      </c>
      <c r="B1379" s="26" t="s">
        <v>3361</v>
      </c>
      <c r="C1379" s="26" t="s">
        <v>3362</v>
      </c>
      <c r="D1379" s="30" t="s">
        <v>3317</v>
      </c>
      <c r="E1379" s="28" t="s">
        <v>71</v>
      </c>
      <c r="F1379" s="33"/>
      <c r="G1379" s="30" t="s">
        <v>3319</v>
      </c>
      <c r="H1379" s="26" t="s">
        <v>3363</v>
      </c>
      <c r="I1379" s="31"/>
      <c r="J1379" s="31"/>
      <c r="K1379" s="26" t="s">
        <v>3321</v>
      </c>
      <c r="L1379" s="31" t="s">
        <v>78</v>
      </c>
    </row>
    <row r="1380">
      <c r="A1380" s="37">
        <v>45958.0</v>
      </c>
      <c r="B1380" s="26" t="s">
        <v>3364</v>
      </c>
      <c r="C1380" s="26" t="s">
        <v>3365</v>
      </c>
      <c r="D1380" s="30" t="s">
        <v>3317</v>
      </c>
      <c r="E1380" s="28" t="s">
        <v>71</v>
      </c>
      <c r="F1380" s="33"/>
      <c r="G1380" s="30" t="s">
        <v>3319</v>
      </c>
      <c r="H1380" s="26" t="s">
        <v>3366</v>
      </c>
      <c r="I1380" s="31"/>
      <c r="J1380" s="31"/>
      <c r="K1380" s="26" t="s">
        <v>3321</v>
      </c>
      <c r="L1380" s="31" t="s">
        <v>78</v>
      </c>
    </row>
    <row r="1381">
      <c r="A1381" s="37">
        <v>45958.0</v>
      </c>
      <c r="B1381" s="26" t="s">
        <v>3367</v>
      </c>
      <c r="C1381" s="26" t="s">
        <v>3368</v>
      </c>
      <c r="D1381" s="30" t="s">
        <v>3317</v>
      </c>
      <c r="E1381" s="28" t="s">
        <v>71</v>
      </c>
      <c r="F1381" s="33"/>
      <c r="G1381" s="30" t="s">
        <v>3319</v>
      </c>
      <c r="H1381" s="26" t="s">
        <v>3369</v>
      </c>
      <c r="I1381" s="31"/>
      <c r="J1381" s="31"/>
      <c r="K1381" s="26" t="s">
        <v>3321</v>
      </c>
      <c r="L1381" s="31" t="s">
        <v>78</v>
      </c>
    </row>
    <row r="1382">
      <c r="A1382" s="37">
        <v>45958.0</v>
      </c>
      <c r="B1382" s="26" t="s">
        <v>3370</v>
      </c>
      <c r="C1382" s="26" t="s">
        <v>3371</v>
      </c>
      <c r="D1382" s="30" t="s">
        <v>3317</v>
      </c>
      <c r="E1382" s="28" t="s">
        <v>71</v>
      </c>
      <c r="F1382" s="39" t="s">
        <v>3372</v>
      </c>
      <c r="G1382" s="30" t="s">
        <v>3319</v>
      </c>
      <c r="H1382" s="26" t="s">
        <v>3373</v>
      </c>
      <c r="I1382" s="31"/>
      <c r="J1382" s="31"/>
      <c r="K1382" s="26" t="s">
        <v>3321</v>
      </c>
      <c r="L1382" s="31" t="s">
        <v>78</v>
      </c>
    </row>
    <row r="1383">
      <c r="A1383" s="37">
        <v>45958.0</v>
      </c>
      <c r="B1383" s="26" t="s">
        <v>353</v>
      </c>
      <c r="C1383" s="26" t="s">
        <v>3374</v>
      </c>
      <c r="D1383" s="30" t="s">
        <v>3317</v>
      </c>
      <c r="E1383" s="28" t="s">
        <v>71</v>
      </c>
      <c r="F1383" s="33"/>
      <c r="G1383" s="30" t="s">
        <v>3319</v>
      </c>
      <c r="H1383" s="26" t="s">
        <v>3375</v>
      </c>
      <c r="I1383" s="31"/>
      <c r="J1383" s="31"/>
      <c r="K1383" s="26" t="s">
        <v>3321</v>
      </c>
      <c r="L1383" s="31" t="s">
        <v>78</v>
      </c>
    </row>
    <row r="1384">
      <c r="A1384" s="37">
        <v>45958.0</v>
      </c>
      <c r="B1384" s="26" t="s">
        <v>3376</v>
      </c>
      <c r="C1384" s="26" t="s">
        <v>3377</v>
      </c>
      <c r="D1384" s="30" t="s">
        <v>3317</v>
      </c>
      <c r="E1384" s="28" t="s">
        <v>71</v>
      </c>
      <c r="F1384" s="33"/>
      <c r="G1384" s="30" t="s">
        <v>3319</v>
      </c>
      <c r="H1384" s="26" t="s">
        <v>3378</v>
      </c>
      <c r="I1384" s="31"/>
      <c r="J1384" s="31"/>
      <c r="K1384" s="26" t="s">
        <v>3321</v>
      </c>
      <c r="L1384" s="31" t="s">
        <v>78</v>
      </c>
    </row>
    <row r="1385">
      <c r="A1385" s="37">
        <v>45961.0</v>
      </c>
      <c r="B1385" s="31" t="s">
        <v>1563</v>
      </c>
      <c r="C1385" s="31" t="s">
        <v>1564</v>
      </c>
      <c r="D1385" s="32" t="s">
        <v>33</v>
      </c>
      <c r="E1385" s="28" t="s">
        <v>71</v>
      </c>
      <c r="F1385" s="33" t="s">
        <v>1565</v>
      </c>
      <c r="G1385" s="32" t="s">
        <v>72</v>
      </c>
      <c r="H1385" s="31" t="s">
        <v>1566</v>
      </c>
      <c r="I1385" s="31" t="s">
        <v>1175</v>
      </c>
      <c r="J1385" s="31"/>
      <c r="K1385" s="26" t="s">
        <v>3379</v>
      </c>
      <c r="L1385" s="31" t="s">
        <v>78</v>
      </c>
    </row>
    <row r="1386">
      <c r="A1386" s="37">
        <v>45964.0</v>
      </c>
      <c r="B1386" s="26" t="s">
        <v>3380</v>
      </c>
      <c r="C1386" s="26" t="s">
        <v>3381</v>
      </c>
      <c r="D1386" s="30" t="s">
        <v>28</v>
      </c>
      <c r="E1386" s="28" t="s">
        <v>71</v>
      </c>
      <c r="F1386" s="39" t="s">
        <v>3382</v>
      </c>
      <c r="G1386" s="32" t="s">
        <v>72</v>
      </c>
      <c r="H1386" s="31" t="s">
        <v>3383</v>
      </c>
      <c r="I1386" s="26" t="s">
        <v>74</v>
      </c>
      <c r="J1386" s="26"/>
      <c r="K1386" s="31"/>
      <c r="L1386" s="31" t="s">
        <v>75</v>
      </c>
    </row>
    <row r="1387">
      <c r="A1387" s="37">
        <v>45964.0</v>
      </c>
      <c r="B1387" s="26" t="s">
        <v>3384</v>
      </c>
      <c r="C1387" s="26" t="s">
        <v>3385</v>
      </c>
      <c r="D1387" s="30" t="s">
        <v>28</v>
      </c>
      <c r="E1387" s="28" t="s">
        <v>71</v>
      </c>
      <c r="F1387" s="39" t="s">
        <v>3386</v>
      </c>
      <c r="G1387" s="32" t="s">
        <v>72</v>
      </c>
      <c r="H1387" s="31" t="s">
        <v>73</v>
      </c>
      <c r="I1387" s="26" t="s">
        <v>74</v>
      </c>
      <c r="J1387" s="26"/>
      <c r="K1387" s="31"/>
      <c r="L1387" s="31" t="s">
        <v>75</v>
      </c>
    </row>
    <row r="1388">
      <c r="A1388" s="37">
        <v>45964.0</v>
      </c>
      <c r="B1388" s="31" t="s">
        <v>2893</v>
      </c>
      <c r="C1388" s="34" t="s">
        <v>3387</v>
      </c>
      <c r="D1388" s="35" t="s">
        <v>25</v>
      </c>
      <c r="E1388" s="28" t="s">
        <v>71</v>
      </c>
      <c r="F1388" s="39" t="s">
        <v>3388</v>
      </c>
      <c r="G1388" s="35" t="s">
        <v>72</v>
      </c>
      <c r="H1388" s="26" t="s">
        <v>2904</v>
      </c>
      <c r="I1388" s="34" t="s">
        <v>1315</v>
      </c>
      <c r="J1388" s="34"/>
      <c r="K1388" s="26" t="s">
        <v>3379</v>
      </c>
      <c r="L1388" s="31" t="s">
        <v>75</v>
      </c>
    </row>
    <row r="1389">
      <c r="A1389" s="37">
        <v>45965.0</v>
      </c>
      <c r="B1389" s="26" t="s">
        <v>3389</v>
      </c>
      <c r="C1389" s="26" t="s">
        <v>3390</v>
      </c>
      <c r="D1389" s="30" t="s">
        <v>30</v>
      </c>
      <c r="E1389" s="28" t="s">
        <v>71</v>
      </c>
      <c r="F1389" s="39" t="s">
        <v>3391</v>
      </c>
      <c r="G1389" s="35" t="s">
        <v>72</v>
      </c>
      <c r="H1389" s="26" t="s">
        <v>2987</v>
      </c>
      <c r="I1389" s="26" t="s">
        <v>2849</v>
      </c>
      <c r="J1389" s="26"/>
      <c r="K1389" s="31"/>
      <c r="L1389" s="31" t="s">
        <v>78</v>
      </c>
    </row>
    <row r="1390">
      <c r="A1390" s="37">
        <v>45965.0</v>
      </c>
      <c r="B1390" s="31" t="s">
        <v>3392</v>
      </c>
      <c r="C1390" s="26" t="s">
        <v>3393</v>
      </c>
      <c r="D1390" s="30" t="s">
        <v>28</v>
      </c>
      <c r="E1390" s="28" t="s">
        <v>71</v>
      </c>
      <c r="F1390" s="39" t="s">
        <v>3394</v>
      </c>
      <c r="G1390" s="35" t="s">
        <v>72</v>
      </c>
      <c r="H1390" s="26" t="s">
        <v>3383</v>
      </c>
      <c r="I1390" s="26" t="s">
        <v>74</v>
      </c>
      <c r="J1390" s="26"/>
      <c r="K1390" s="31"/>
      <c r="L1390" s="31" t="s">
        <v>75</v>
      </c>
    </row>
    <row r="1391">
      <c r="A1391" s="37">
        <v>45967.0</v>
      </c>
      <c r="B1391" s="26" t="s">
        <v>3395</v>
      </c>
      <c r="C1391" s="26" t="s">
        <v>3396</v>
      </c>
      <c r="D1391" s="30" t="s">
        <v>3317</v>
      </c>
      <c r="E1391" s="28" t="s">
        <v>71</v>
      </c>
      <c r="F1391" s="39" t="s">
        <v>3397</v>
      </c>
      <c r="G1391" s="35" t="s">
        <v>72</v>
      </c>
      <c r="H1391" s="26" t="s">
        <v>3398</v>
      </c>
      <c r="I1391" s="26" t="s">
        <v>3399</v>
      </c>
      <c r="J1391" s="26"/>
      <c r="K1391" s="26" t="s">
        <v>3400</v>
      </c>
      <c r="L1391" s="31" t="s">
        <v>78</v>
      </c>
    </row>
    <row r="1392">
      <c r="A1392" s="37">
        <v>45967.0</v>
      </c>
      <c r="B1392" s="26" t="s">
        <v>3401</v>
      </c>
      <c r="C1392" s="26" t="s">
        <v>3402</v>
      </c>
      <c r="D1392" s="30" t="s">
        <v>3317</v>
      </c>
      <c r="E1392" s="28" t="s">
        <v>71</v>
      </c>
      <c r="F1392" s="39" t="s">
        <v>3403</v>
      </c>
      <c r="G1392" s="35" t="s">
        <v>72</v>
      </c>
      <c r="H1392" s="26" t="s">
        <v>3398</v>
      </c>
      <c r="I1392" s="26" t="s">
        <v>3404</v>
      </c>
      <c r="J1392" s="26"/>
      <c r="K1392" s="26" t="s">
        <v>3400</v>
      </c>
      <c r="L1392" s="31" t="s">
        <v>78</v>
      </c>
    </row>
    <row r="1393">
      <c r="A1393" s="37">
        <v>45967.0</v>
      </c>
      <c r="B1393" s="26" t="s">
        <v>3405</v>
      </c>
      <c r="C1393" s="26" t="s">
        <v>3406</v>
      </c>
      <c r="D1393" s="30" t="s">
        <v>3317</v>
      </c>
      <c r="E1393" s="28" t="s">
        <v>71</v>
      </c>
      <c r="F1393" s="39" t="s">
        <v>3407</v>
      </c>
      <c r="G1393" s="35" t="s">
        <v>72</v>
      </c>
      <c r="H1393" s="26" t="s">
        <v>3408</v>
      </c>
      <c r="I1393" s="26" t="s">
        <v>3409</v>
      </c>
      <c r="J1393" s="26"/>
      <c r="K1393" s="26" t="s">
        <v>3400</v>
      </c>
      <c r="L1393" s="31" t="s">
        <v>78</v>
      </c>
    </row>
    <row r="1394">
      <c r="A1394" s="37">
        <v>45968.0</v>
      </c>
      <c r="B1394" s="26" t="s">
        <v>3410</v>
      </c>
      <c r="C1394" s="26" t="s">
        <v>3411</v>
      </c>
      <c r="D1394" s="30" t="s">
        <v>3317</v>
      </c>
      <c r="E1394" s="28" t="s">
        <v>71</v>
      </c>
      <c r="F1394" s="39" t="s">
        <v>3412</v>
      </c>
      <c r="G1394" s="35" t="s">
        <v>72</v>
      </c>
      <c r="H1394" s="26" t="s">
        <v>3413</v>
      </c>
      <c r="I1394" s="26" t="s">
        <v>3414</v>
      </c>
      <c r="J1394" s="26"/>
      <c r="K1394" s="26" t="s">
        <v>3400</v>
      </c>
      <c r="L1394" s="31" t="s">
        <v>78</v>
      </c>
    </row>
    <row r="1395">
      <c r="A1395" s="37">
        <v>45968.0</v>
      </c>
      <c r="B1395" s="26" t="s">
        <v>3415</v>
      </c>
      <c r="C1395" s="31" t="s">
        <v>3416</v>
      </c>
      <c r="D1395" s="30" t="s">
        <v>3317</v>
      </c>
      <c r="E1395" s="28" t="s">
        <v>71</v>
      </c>
      <c r="F1395" s="39" t="s">
        <v>3417</v>
      </c>
      <c r="G1395" s="35" t="s">
        <v>72</v>
      </c>
      <c r="H1395" s="26" t="s">
        <v>3413</v>
      </c>
      <c r="I1395" s="26" t="s">
        <v>3418</v>
      </c>
      <c r="J1395" s="26"/>
      <c r="K1395" s="26" t="s">
        <v>3400</v>
      </c>
      <c r="L1395" s="31" t="s">
        <v>78</v>
      </c>
    </row>
    <row r="1396">
      <c r="A1396" s="37">
        <v>45968.0</v>
      </c>
      <c r="B1396" s="26" t="s">
        <v>1156</v>
      </c>
      <c r="C1396" s="26" t="s">
        <v>3419</v>
      </c>
      <c r="D1396" s="32"/>
      <c r="E1396" s="28" t="s">
        <v>71</v>
      </c>
      <c r="F1396" s="33"/>
      <c r="G1396" s="30" t="s">
        <v>54</v>
      </c>
      <c r="H1396" s="31"/>
      <c r="I1396" s="31"/>
      <c r="J1396" s="31"/>
      <c r="K1396" s="26" t="s">
        <v>3420</v>
      </c>
      <c r="L1396" s="31" t="s">
        <v>78</v>
      </c>
    </row>
    <row r="1397">
      <c r="A1397" s="37">
        <v>45968.0</v>
      </c>
      <c r="B1397" s="26" t="s">
        <v>3209</v>
      </c>
      <c r="C1397" s="26" t="s">
        <v>3421</v>
      </c>
      <c r="D1397" s="32"/>
      <c r="E1397" s="28" t="s">
        <v>71</v>
      </c>
      <c r="F1397" s="33"/>
      <c r="G1397" s="30" t="s">
        <v>54</v>
      </c>
      <c r="H1397" s="31"/>
      <c r="I1397" s="31"/>
      <c r="J1397" s="31"/>
      <c r="K1397" s="26" t="s">
        <v>3420</v>
      </c>
      <c r="L1397" s="31" t="s">
        <v>78</v>
      </c>
    </row>
    <row r="1398">
      <c r="A1398" s="37">
        <v>45968.0</v>
      </c>
      <c r="B1398" s="26" t="s">
        <v>3204</v>
      </c>
      <c r="C1398" s="26" t="s">
        <v>3422</v>
      </c>
      <c r="D1398" s="32"/>
      <c r="E1398" s="28" t="s">
        <v>71</v>
      </c>
      <c r="F1398" s="33"/>
      <c r="G1398" s="30" t="s">
        <v>54</v>
      </c>
      <c r="H1398" s="31"/>
      <c r="I1398" s="31"/>
      <c r="J1398" s="31"/>
      <c r="K1398" s="26" t="s">
        <v>3420</v>
      </c>
      <c r="L1398" s="31" t="s">
        <v>78</v>
      </c>
    </row>
    <row r="1399">
      <c r="A1399" s="37">
        <v>45968.0</v>
      </c>
      <c r="B1399" s="26" t="s">
        <v>3207</v>
      </c>
      <c r="C1399" s="26" t="s">
        <v>3423</v>
      </c>
      <c r="D1399" s="32"/>
      <c r="E1399" s="28" t="s">
        <v>71</v>
      </c>
      <c r="F1399" s="33"/>
      <c r="G1399" s="30" t="s">
        <v>54</v>
      </c>
      <c r="H1399" s="31"/>
      <c r="I1399" s="31"/>
      <c r="J1399" s="31"/>
      <c r="K1399" s="26" t="s">
        <v>3420</v>
      </c>
      <c r="L1399" s="31" t="s">
        <v>78</v>
      </c>
    </row>
    <row r="1400">
      <c r="A1400" s="37">
        <v>45968.0</v>
      </c>
      <c r="B1400" s="26" t="s">
        <v>3424</v>
      </c>
      <c r="C1400" s="26" t="s">
        <v>3425</v>
      </c>
      <c r="D1400" s="30" t="s">
        <v>33</v>
      </c>
      <c r="E1400" s="28" t="s">
        <v>71</v>
      </c>
      <c r="F1400" s="39" t="s">
        <v>3426</v>
      </c>
      <c r="G1400" s="35" t="s">
        <v>72</v>
      </c>
      <c r="H1400" s="26" t="s">
        <v>3427</v>
      </c>
      <c r="I1400" s="26" t="s">
        <v>1135</v>
      </c>
      <c r="J1400" s="26"/>
      <c r="K1400" s="26" t="s">
        <v>3428</v>
      </c>
      <c r="L1400" s="31" t="s">
        <v>78</v>
      </c>
    </row>
    <row r="1401">
      <c r="A1401" s="37">
        <v>45971.0</v>
      </c>
      <c r="B1401" s="26" t="s">
        <v>3429</v>
      </c>
      <c r="C1401" s="26" t="s">
        <v>3430</v>
      </c>
      <c r="D1401" s="30" t="s">
        <v>22</v>
      </c>
      <c r="E1401" s="28" t="s">
        <v>71</v>
      </c>
      <c r="F1401" s="39" t="s">
        <v>3431</v>
      </c>
      <c r="G1401" s="35" t="s">
        <v>72</v>
      </c>
      <c r="H1401" s="26" t="s">
        <v>3432</v>
      </c>
      <c r="I1401" s="26" t="s">
        <v>2181</v>
      </c>
      <c r="J1401" s="26"/>
      <c r="K1401" s="31"/>
      <c r="L1401" s="31" t="s">
        <v>75</v>
      </c>
    </row>
    <row r="1402">
      <c r="A1402" s="37">
        <v>45973.0</v>
      </c>
      <c r="B1402" s="26" t="s">
        <v>3433</v>
      </c>
      <c r="C1402" s="26" t="s">
        <v>3434</v>
      </c>
      <c r="D1402" s="30" t="s">
        <v>3317</v>
      </c>
      <c r="E1402" s="28" t="s">
        <v>71</v>
      </c>
      <c r="F1402" s="39" t="s">
        <v>3435</v>
      </c>
      <c r="G1402" s="35" t="s">
        <v>72</v>
      </c>
      <c r="H1402" s="26" t="s">
        <v>3436</v>
      </c>
      <c r="I1402" s="26" t="s">
        <v>3437</v>
      </c>
      <c r="J1402" s="26"/>
      <c r="K1402" s="26" t="s">
        <v>3400</v>
      </c>
      <c r="L1402" s="31" t="s">
        <v>78</v>
      </c>
    </row>
    <row r="1403">
      <c r="A1403" s="37">
        <v>45974.0</v>
      </c>
      <c r="B1403" s="26" t="s">
        <v>3204</v>
      </c>
      <c r="C1403" s="26" t="s">
        <v>3438</v>
      </c>
      <c r="D1403" s="30"/>
      <c r="E1403" s="28" t="s">
        <v>71</v>
      </c>
      <c r="F1403" s="33"/>
      <c r="G1403" s="30" t="s">
        <v>54</v>
      </c>
      <c r="H1403" s="31"/>
      <c r="I1403" s="26" t="s">
        <v>2689</v>
      </c>
      <c r="J1403" s="26"/>
      <c r="K1403" s="26" t="s">
        <v>3439</v>
      </c>
      <c r="L1403" s="31" t="s">
        <v>78</v>
      </c>
    </row>
    <row r="1404">
      <c r="A1404" s="37">
        <v>45976.0</v>
      </c>
      <c r="B1404" s="26" t="s">
        <v>3440</v>
      </c>
      <c r="C1404" s="26" t="s">
        <v>3441</v>
      </c>
      <c r="D1404" s="30" t="s">
        <v>3317</v>
      </c>
      <c r="E1404" s="28" t="s">
        <v>71</v>
      </c>
      <c r="F1404" s="39" t="s">
        <v>3442</v>
      </c>
      <c r="G1404" s="35" t="s">
        <v>72</v>
      </c>
      <c r="H1404" s="26" t="s">
        <v>3443</v>
      </c>
      <c r="I1404" s="26" t="s">
        <v>3444</v>
      </c>
      <c r="J1404" s="26"/>
      <c r="K1404" s="26" t="s">
        <v>3400</v>
      </c>
      <c r="L1404" s="31" t="s">
        <v>75</v>
      </c>
    </row>
    <row r="1405">
      <c r="A1405" s="37">
        <v>45976.0</v>
      </c>
      <c r="B1405" s="26" t="s">
        <v>3445</v>
      </c>
      <c r="C1405" s="26" t="s">
        <v>3446</v>
      </c>
      <c r="D1405" s="30" t="s">
        <v>3317</v>
      </c>
      <c r="E1405" s="28" t="s">
        <v>71</v>
      </c>
      <c r="F1405" s="39" t="s">
        <v>3447</v>
      </c>
      <c r="G1405" s="35" t="s">
        <v>72</v>
      </c>
      <c r="H1405" s="26" t="s">
        <v>3448</v>
      </c>
      <c r="I1405" s="26" t="s">
        <v>3449</v>
      </c>
      <c r="J1405" s="26"/>
      <c r="K1405" s="26" t="s">
        <v>3400</v>
      </c>
      <c r="L1405" s="31" t="s">
        <v>78</v>
      </c>
    </row>
    <row r="1406">
      <c r="A1406" s="37">
        <v>45979.0</v>
      </c>
      <c r="B1406" s="26" t="s">
        <v>3450</v>
      </c>
      <c r="C1406" s="26" t="s">
        <v>3451</v>
      </c>
      <c r="D1406" s="30" t="s">
        <v>3317</v>
      </c>
      <c r="E1406" s="28" t="s">
        <v>71</v>
      </c>
      <c r="F1406" s="39" t="s">
        <v>3452</v>
      </c>
      <c r="G1406" s="35" t="s">
        <v>72</v>
      </c>
      <c r="H1406" s="26" t="s">
        <v>3453</v>
      </c>
      <c r="I1406" s="26" t="s">
        <v>3454</v>
      </c>
      <c r="J1406" s="26"/>
      <c r="K1406" s="26" t="s">
        <v>3400</v>
      </c>
      <c r="L1406" s="31" t="s">
        <v>78</v>
      </c>
    </row>
    <row r="1407">
      <c r="A1407" s="37">
        <v>45979.0</v>
      </c>
      <c r="B1407" s="26" t="s">
        <v>3455</v>
      </c>
      <c r="C1407" s="26" t="s">
        <v>3456</v>
      </c>
      <c r="D1407" s="30" t="s">
        <v>3317</v>
      </c>
      <c r="E1407" s="28" t="s">
        <v>71</v>
      </c>
      <c r="F1407" s="39" t="s">
        <v>3457</v>
      </c>
      <c r="G1407" s="35" t="s">
        <v>72</v>
      </c>
      <c r="H1407" s="26" t="s">
        <v>3458</v>
      </c>
      <c r="I1407" s="26" t="s">
        <v>3459</v>
      </c>
      <c r="J1407" s="26"/>
      <c r="K1407" s="26" t="s">
        <v>3400</v>
      </c>
      <c r="L1407" s="31" t="s">
        <v>75</v>
      </c>
    </row>
    <row r="1408">
      <c r="A1408" s="37">
        <v>45979.0</v>
      </c>
      <c r="B1408" s="26" t="s">
        <v>3460</v>
      </c>
      <c r="C1408" s="26" t="s">
        <v>3461</v>
      </c>
      <c r="D1408" s="30" t="s">
        <v>28</v>
      </c>
      <c r="E1408" s="28" t="s">
        <v>71</v>
      </c>
      <c r="F1408" s="39" t="s">
        <v>3462</v>
      </c>
      <c r="G1408" s="35" t="s">
        <v>72</v>
      </c>
      <c r="H1408" s="26" t="s">
        <v>73</v>
      </c>
      <c r="I1408" s="26" t="s">
        <v>74</v>
      </c>
      <c r="J1408" s="26"/>
      <c r="K1408" s="26"/>
      <c r="L1408" s="31" t="s">
        <v>75</v>
      </c>
    </row>
    <row r="1409">
      <c r="A1409" s="37">
        <v>45979.0</v>
      </c>
      <c r="B1409" s="26" t="s">
        <v>3463</v>
      </c>
      <c r="C1409" s="26" t="s">
        <v>3464</v>
      </c>
      <c r="D1409" s="30" t="s">
        <v>25</v>
      </c>
      <c r="E1409" s="28" t="s">
        <v>71</v>
      </c>
      <c r="F1409" s="39" t="s">
        <v>3465</v>
      </c>
      <c r="G1409" s="35" t="s">
        <v>72</v>
      </c>
      <c r="H1409" s="26" t="s">
        <v>3466</v>
      </c>
      <c r="I1409" s="26" t="s">
        <v>1833</v>
      </c>
      <c r="J1409" s="26"/>
      <c r="K1409" s="26"/>
      <c r="L1409" s="31" t="s">
        <v>78</v>
      </c>
    </row>
    <row r="1410">
      <c r="A1410" s="37">
        <v>45980.0</v>
      </c>
      <c r="B1410" s="26" t="s">
        <v>3467</v>
      </c>
      <c r="C1410" s="26" t="s">
        <v>3468</v>
      </c>
      <c r="D1410" s="30" t="s">
        <v>3317</v>
      </c>
      <c r="E1410" s="28" t="s">
        <v>71</v>
      </c>
      <c r="F1410" s="39" t="s">
        <v>3469</v>
      </c>
      <c r="G1410" s="30" t="s">
        <v>72</v>
      </c>
      <c r="H1410" s="26" t="s">
        <v>3470</v>
      </c>
      <c r="I1410" s="31" t="s">
        <v>3471</v>
      </c>
      <c r="J1410" s="31"/>
      <c r="K1410" s="26"/>
      <c r="L1410" s="31" t="s">
        <v>78</v>
      </c>
    </row>
    <row r="1411">
      <c r="A1411" s="37">
        <v>45980.0</v>
      </c>
      <c r="B1411" s="26" t="s">
        <v>3472</v>
      </c>
      <c r="C1411" s="26" t="s">
        <v>3473</v>
      </c>
      <c r="D1411" s="30" t="s">
        <v>28</v>
      </c>
      <c r="E1411" s="28" t="s">
        <v>71</v>
      </c>
      <c r="F1411" s="39" t="s">
        <v>3474</v>
      </c>
      <c r="G1411" s="30" t="s">
        <v>72</v>
      </c>
      <c r="H1411" s="26" t="s">
        <v>73</v>
      </c>
      <c r="I1411" s="31" t="s">
        <v>74</v>
      </c>
      <c r="J1411" s="31"/>
      <c r="K1411" s="26"/>
      <c r="L1411" s="31" t="s">
        <v>75</v>
      </c>
    </row>
    <row r="1412">
      <c r="A1412" s="37">
        <v>45980.0</v>
      </c>
      <c r="B1412" s="26" t="s">
        <v>3475</v>
      </c>
      <c r="C1412" s="26" t="s">
        <v>3476</v>
      </c>
      <c r="D1412" s="30" t="s">
        <v>3317</v>
      </c>
      <c r="E1412" s="28" t="s">
        <v>71</v>
      </c>
      <c r="F1412" s="39" t="s">
        <v>3477</v>
      </c>
      <c r="G1412" s="30" t="s">
        <v>72</v>
      </c>
      <c r="H1412" s="26" t="s">
        <v>3478</v>
      </c>
      <c r="I1412" s="26" t="s">
        <v>3479</v>
      </c>
      <c r="J1412" s="26"/>
      <c r="K1412" s="26"/>
      <c r="L1412" s="31" t="s">
        <v>78</v>
      </c>
    </row>
    <row r="1413">
      <c r="A1413" s="37">
        <v>45982.0</v>
      </c>
      <c r="B1413" s="26" t="s">
        <v>3480</v>
      </c>
      <c r="C1413" s="26" t="s">
        <v>3481</v>
      </c>
      <c r="D1413" s="26" t="s">
        <v>3317</v>
      </c>
      <c r="E1413" s="28" t="s">
        <v>71</v>
      </c>
      <c r="F1413" s="39" t="s">
        <v>3482</v>
      </c>
      <c r="G1413" s="30" t="s">
        <v>72</v>
      </c>
      <c r="H1413" s="26" t="s">
        <v>3408</v>
      </c>
      <c r="I1413" s="26" t="s">
        <v>3483</v>
      </c>
      <c r="J1413" s="26"/>
      <c r="K1413" s="26"/>
      <c r="L1413" s="31" t="s">
        <v>75</v>
      </c>
    </row>
    <row r="1414">
      <c r="A1414" s="37">
        <v>45985.0</v>
      </c>
      <c r="B1414" s="26" t="s">
        <v>3484</v>
      </c>
      <c r="C1414" s="26" t="s">
        <v>3485</v>
      </c>
      <c r="D1414" s="26" t="s">
        <v>3317</v>
      </c>
      <c r="E1414" s="28" t="s">
        <v>71</v>
      </c>
      <c r="F1414" s="39" t="s">
        <v>3486</v>
      </c>
      <c r="G1414" s="30" t="s">
        <v>72</v>
      </c>
      <c r="H1414" s="31" t="s">
        <v>3470</v>
      </c>
      <c r="I1414" s="31" t="s">
        <v>3487</v>
      </c>
      <c r="J1414" s="31"/>
      <c r="K1414" s="26" t="s">
        <v>3488</v>
      </c>
      <c r="L1414" s="31" t="s">
        <v>78</v>
      </c>
    </row>
    <row r="1415">
      <c r="A1415" s="37">
        <v>45985.0</v>
      </c>
      <c r="B1415" s="26" t="s">
        <v>3489</v>
      </c>
      <c r="C1415" s="26" t="s">
        <v>3490</v>
      </c>
      <c r="D1415" s="26" t="s">
        <v>3317</v>
      </c>
      <c r="E1415" s="28" t="s">
        <v>71</v>
      </c>
      <c r="F1415" s="39" t="s">
        <v>3491</v>
      </c>
      <c r="G1415" s="30" t="s">
        <v>72</v>
      </c>
      <c r="H1415" s="31" t="s">
        <v>3470</v>
      </c>
      <c r="I1415" s="31" t="s">
        <v>3492</v>
      </c>
      <c r="J1415" s="31"/>
      <c r="K1415" s="26" t="s">
        <v>3493</v>
      </c>
      <c r="L1415" s="31" t="s">
        <v>78</v>
      </c>
    </row>
    <row r="1416">
      <c r="A1416" s="37">
        <v>45985.0</v>
      </c>
      <c r="B1416" s="26" t="s">
        <v>3494</v>
      </c>
      <c r="C1416" s="26" t="s">
        <v>3495</v>
      </c>
      <c r="D1416" s="26" t="s">
        <v>3317</v>
      </c>
      <c r="E1416" s="28" t="s">
        <v>71</v>
      </c>
      <c r="F1416" s="39" t="s">
        <v>3496</v>
      </c>
      <c r="G1416" s="30" t="s">
        <v>72</v>
      </c>
      <c r="H1416" s="31" t="s">
        <v>3470</v>
      </c>
      <c r="I1416" s="47" t="s">
        <v>3497</v>
      </c>
      <c r="J1416" s="47"/>
      <c r="K1416" s="26" t="s">
        <v>3498</v>
      </c>
      <c r="L1416" s="31" t="s">
        <v>78</v>
      </c>
    </row>
    <row r="1417">
      <c r="A1417" s="37">
        <v>45986.0</v>
      </c>
      <c r="B1417" s="26" t="s">
        <v>3499</v>
      </c>
      <c r="C1417" s="26" t="s">
        <v>3500</v>
      </c>
      <c r="D1417" s="32" t="s">
        <v>3317</v>
      </c>
      <c r="E1417" s="28" t="s">
        <v>71</v>
      </c>
      <c r="F1417" s="39" t="s">
        <v>3501</v>
      </c>
      <c r="G1417" s="30" t="s">
        <v>72</v>
      </c>
      <c r="H1417" s="26" t="s">
        <v>3502</v>
      </c>
      <c r="I1417" s="26" t="s">
        <v>3323</v>
      </c>
      <c r="J1417" s="26"/>
      <c r="K1417" s="26"/>
      <c r="L1417" s="31" t="s">
        <v>75</v>
      </c>
    </row>
    <row r="1418">
      <c r="A1418" s="37">
        <v>45986.0</v>
      </c>
      <c r="B1418" s="26" t="s">
        <v>3503</v>
      </c>
      <c r="C1418" s="26" t="s">
        <v>3504</v>
      </c>
      <c r="D1418" s="32"/>
      <c r="E1418" s="28" t="s">
        <v>71</v>
      </c>
      <c r="F1418" s="39" t="s">
        <v>2245</v>
      </c>
      <c r="G1418" s="30" t="s">
        <v>54</v>
      </c>
      <c r="H1418" s="31"/>
      <c r="I1418" s="31"/>
      <c r="J1418" s="31"/>
      <c r="K1418" s="26" t="s">
        <v>3505</v>
      </c>
      <c r="L1418" s="31" t="s">
        <v>78</v>
      </c>
    </row>
    <row r="1419">
      <c r="A1419" s="37">
        <v>45992.0</v>
      </c>
      <c r="B1419" s="26" t="s">
        <v>3506</v>
      </c>
      <c r="C1419" s="26" t="s">
        <v>3507</v>
      </c>
      <c r="D1419" s="30" t="s">
        <v>16</v>
      </c>
      <c r="E1419" s="28" t="s">
        <v>71</v>
      </c>
      <c r="F1419" s="39" t="s">
        <v>3508</v>
      </c>
      <c r="G1419" s="30" t="s">
        <v>72</v>
      </c>
      <c r="H1419" s="26" t="s">
        <v>2901</v>
      </c>
      <c r="I1419" s="26" t="s">
        <v>1017</v>
      </c>
      <c r="J1419" s="26" t="s">
        <v>3509</v>
      </c>
      <c r="K1419" s="26" t="s">
        <v>3509</v>
      </c>
      <c r="L1419" s="31" t="s">
        <v>75</v>
      </c>
    </row>
    <row r="1420">
      <c r="A1420" s="37">
        <v>45992.0</v>
      </c>
      <c r="B1420" s="26" t="s">
        <v>3510</v>
      </c>
      <c r="C1420" s="26" t="s">
        <v>3511</v>
      </c>
      <c r="D1420" s="32" t="s">
        <v>3317</v>
      </c>
      <c r="E1420" s="28" t="s">
        <v>71</v>
      </c>
      <c r="F1420" s="39" t="s">
        <v>3512</v>
      </c>
      <c r="G1420" s="30" t="s">
        <v>72</v>
      </c>
      <c r="H1420" s="26" t="s">
        <v>3256</v>
      </c>
      <c r="I1420" s="26" t="s">
        <v>3371</v>
      </c>
      <c r="J1420" s="26" t="s">
        <v>3513</v>
      </c>
      <c r="K1420" s="26" t="s">
        <v>3513</v>
      </c>
      <c r="L1420" s="31" t="s">
        <v>78</v>
      </c>
    </row>
    <row r="1421">
      <c r="A1421" s="37">
        <v>45992.0</v>
      </c>
      <c r="B1421" s="26" t="s">
        <v>3514</v>
      </c>
      <c r="C1421" s="26" t="s">
        <v>3515</v>
      </c>
      <c r="D1421" s="30" t="s">
        <v>3317</v>
      </c>
      <c r="E1421" s="28" t="s">
        <v>71</v>
      </c>
      <c r="F1421" s="39" t="s">
        <v>3516</v>
      </c>
      <c r="G1421" s="30" t="s">
        <v>72</v>
      </c>
      <c r="H1421" s="26" t="s">
        <v>3413</v>
      </c>
      <c r="I1421" s="26" t="s">
        <v>3350</v>
      </c>
      <c r="J1421" s="26" t="s">
        <v>3517</v>
      </c>
      <c r="K1421" s="26" t="s">
        <v>3518</v>
      </c>
      <c r="L1421" s="31" t="s">
        <v>75</v>
      </c>
    </row>
    <row r="1422">
      <c r="A1422" s="37">
        <v>45992.0</v>
      </c>
      <c r="B1422" s="26" t="s">
        <v>3519</v>
      </c>
      <c r="C1422" s="26" t="s">
        <v>3520</v>
      </c>
      <c r="D1422" s="30" t="s">
        <v>3317</v>
      </c>
      <c r="E1422" s="28" t="s">
        <v>71</v>
      </c>
      <c r="F1422" s="39" t="s">
        <v>3521</v>
      </c>
      <c r="G1422" s="30" t="s">
        <v>72</v>
      </c>
      <c r="H1422" s="26" t="s">
        <v>3413</v>
      </c>
      <c r="I1422" s="26" t="s">
        <v>3350</v>
      </c>
      <c r="J1422" s="26" t="s">
        <v>3522</v>
      </c>
      <c r="K1422" s="26" t="s">
        <v>3522</v>
      </c>
      <c r="L1422" s="31" t="s">
        <v>78</v>
      </c>
    </row>
    <row r="1423">
      <c r="A1423" s="37">
        <v>45992.0</v>
      </c>
      <c r="B1423" s="26" t="s">
        <v>3523</v>
      </c>
      <c r="C1423" s="26" t="s">
        <v>3524</v>
      </c>
      <c r="D1423" s="30" t="s">
        <v>3317</v>
      </c>
      <c r="E1423" s="28" t="s">
        <v>71</v>
      </c>
      <c r="F1423" s="39" t="s">
        <v>3525</v>
      </c>
      <c r="G1423" s="30" t="s">
        <v>72</v>
      </c>
      <c r="H1423" s="26" t="s">
        <v>3526</v>
      </c>
      <c r="I1423" s="26" t="s">
        <v>3316</v>
      </c>
      <c r="J1423" s="26" t="s">
        <v>3527</v>
      </c>
      <c r="K1423" s="26" t="s">
        <v>3527</v>
      </c>
      <c r="L1423" s="31" t="s">
        <v>78</v>
      </c>
    </row>
    <row r="1424">
      <c r="A1424" s="37">
        <v>45992.0</v>
      </c>
      <c r="B1424" s="26" t="s">
        <v>3528</v>
      </c>
      <c r="C1424" s="26" t="s">
        <v>3529</v>
      </c>
      <c r="D1424" s="30" t="s">
        <v>3317</v>
      </c>
      <c r="E1424" s="28" t="s">
        <v>71</v>
      </c>
      <c r="F1424" s="39" t="s">
        <v>3530</v>
      </c>
      <c r="G1424" s="30" t="s">
        <v>72</v>
      </c>
      <c r="H1424" s="26" t="s">
        <v>3531</v>
      </c>
      <c r="I1424" s="26" t="s">
        <v>3350</v>
      </c>
      <c r="J1424" s="26" t="s">
        <v>3532</v>
      </c>
      <c r="K1424" s="26" t="s">
        <v>3532</v>
      </c>
      <c r="L1424" s="31" t="s">
        <v>78</v>
      </c>
    </row>
    <row r="1425">
      <c r="A1425" s="37">
        <v>45992.0</v>
      </c>
      <c r="B1425" s="26" t="s">
        <v>3533</v>
      </c>
      <c r="C1425" s="26" t="s">
        <v>3534</v>
      </c>
      <c r="D1425" s="30" t="s">
        <v>47</v>
      </c>
      <c r="E1425" s="28" t="s">
        <v>71</v>
      </c>
      <c r="F1425" s="39" t="s">
        <v>3535</v>
      </c>
      <c r="G1425" s="30" t="s">
        <v>72</v>
      </c>
      <c r="H1425" s="26" t="s">
        <v>3536</v>
      </c>
      <c r="I1425" s="26" t="s">
        <v>1380</v>
      </c>
      <c r="J1425" s="26" t="s">
        <v>3537</v>
      </c>
      <c r="K1425" s="26" t="s">
        <v>3537</v>
      </c>
      <c r="L1425" s="31" t="s">
        <v>78</v>
      </c>
    </row>
    <row r="1426">
      <c r="A1426" s="37">
        <v>45992.0</v>
      </c>
      <c r="B1426" s="26" t="s">
        <v>3538</v>
      </c>
      <c r="C1426" s="26" t="s">
        <v>3539</v>
      </c>
      <c r="D1426" s="30" t="s">
        <v>3317</v>
      </c>
      <c r="E1426" s="28" t="s">
        <v>71</v>
      </c>
      <c r="F1426" s="39" t="s">
        <v>3540</v>
      </c>
      <c r="G1426" s="30" t="s">
        <v>72</v>
      </c>
      <c r="H1426" s="26" t="s">
        <v>3541</v>
      </c>
      <c r="I1426" s="26" t="s">
        <v>1089</v>
      </c>
      <c r="J1426" s="26" t="s">
        <v>3542</v>
      </c>
      <c r="K1426" s="26" t="s">
        <v>3542</v>
      </c>
      <c r="L1426" s="31" t="s">
        <v>75</v>
      </c>
    </row>
    <row r="1427">
      <c r="A1427" s="37">
        <v>45992.0</v>
      </c>
      <c r="B1427" s="26" t="s">
        <v>3543</v>
      </c>
      <c r="C1427" s="26" t="s">
        <v>3544</v>
      </c>
      <c r="D1427" s="30" t="s">
        <v>3317</v>
      </c>
      <c r="E1427" s="28" t="s">
        <v>71</v>
      </c>
      <c r="F1427" s="39" t="s">
        <v>3545</v>
      </c>
      <c r="G1427" s="30" t="s">
        <v>72</v>
      </c>
      <c r="H1427" s="26" t="s">
        <v>3546</v>
      </c>
      <c r="I1427" s="26" t="s">
        <v>3371</v>
      </c>
      <c r="J1427" s="26"/>
      <c r="K1427" s="26" t="s">
        <v>3547</v>
      </c>
      <c r="L1427" s="31" t="s">
        <v>75</v>
      </c>
    </row>
    <row r="1428">
      <c r="A1428" s="37">
        <v>45993.0</v>
      </c>
      <c r="B1428" s="26" t="s">
        <v>3548</v>
      </c>
      <c r="C1428" s="26" t="s">
        <v>3549</v>
      </c>
      <c r="D1428" s="30" t="s">
        <v>3317</v>
      </c>
      <c r="E1428" s="28" t="s">
        <v>71</v>
      </c>
      <c r="F1428" s="39" t="s">
        <v>3550</v>
      </c>
      <c r="G1428" s="30" t="s">
        <v>72</v>
      </c>
      <c r="H1428" s="26" t="s">
        <v>3551</v>
      </c>
      <c r="I1428" s="26" t="s">
        <v>3350</v>
      </c>
      <c r="J1428" s="26"/>
      <c r="K1428" s="26"/>
      <c r="L1428" s="31" t="s">
        <v>78</v>
      </c>
    </row>
    <row r="1429">
      <c r="A1429" s="37">
        <v>45994.0</v>
      </c>
      <c r="B1429" s="26" t="s">
        <v>3552</v>
      </c>
      <c r="C1429" s="26" t="s">
        <v>3553</v>
      </c>
      <c r="D1429" s="30" t="s">
        <v>3317</v>
      </c>
      <c r="E1429" s="28" t="s">
        <v>71</v>
      </c>
      <c r="F1429" s="39" t="s">
        <v>3554</v>
      </c>
      <c r="G1429" s="30" t="s">
        <v>72</v>
      </c>
      <c r="H1429" s="26" t="s">
        <v>3555</v>
      </c>
      <c r="I1429" s="26" t="s">
        <v>3323</v>
      </c>
      <c r="J1429" s="26"/>
      <c r="K1429" s="26" t="s">
        <v>3556</v>
      </c>
      <c r="L1429" s="31" t="s">
        <v>78</v>
      </c>
    </row>
    <row r="1430">
      <c r="A1430" s="37">
        <v>45995.0</v>
      </c>
      <c r="B1430" s="26" t="s">
        <v>891</v>
      </c>
      <c r="C1430" s="26" t="s">
        <v>3557</v>
      </c>
      <c r="D1430" s="30" t="s">
        <v>33</v>
      </c>
      <c r="E1430" s="28" t="s">
        <v>71</v>
      </c>
      <c r="F1430" s="39" t="s">
        <v>3558</v>
      </c>
      <c r="G1430" s="30" t="s">
        <v>72</v>
      </c>
      <c r="H1430" s="26" t="s">
        <v>3559</v>
      </c>
      <c r="I1430" s="26" t="s">
        <v>3425</v>
      </c>
      <c r="J1430" s="26"/>
      <c r="K1430" s="26"/>
      <c r="L1430" s="31" t="s">
        <v>75</v>
      </c>
    </row>
    <row r="1431">
      <c r="A1431" s="37">
        <v>45999.0</v>
      </c>
      <c r="B1431" s="26" t="s">
        <v>3560</v>
      </c>
      <c r="C1431" s="26" t="s">
        <v>3561</v>
      </c>
      <c r="D1431" s="30" t="s">
        <v>53</v>
      </c>
      <c r="E1431" s="28" t="s">
        <v>71</v>
      </c>
      <c r="F1431" s="39" t="s">
        <v>3562</v>
      </c>
      <c r="G1431" s="30" t="s">
        <v>72</v>
      </c>
      <c r="H1431" s="26" t="s">
        <v>3563</v>
      </c>
      <c r="I1431" s="26" t="s">
        <v>3308</v>
      </c>
      <c r="J1431" s="26" t="s">
        <v>3564</v>
      </c>
      <c r="K1431" s="26"/>
      <c r="L1431" s="31" t="s">
        <v>78</v>
      </c>
    </row>
    <row r="1432">
      <c r="A1432" s="37">
        <v>45999.0</v>
      </c>
      <c r="B1432" s="26" t="s">
        <v>3565</v>
      </c>
      <c r="C1432" s="26" t="s">
        <v>3566</v>
      </c>
      <c r="D1432" s="30" t="s">
        <v>3317</v>
      </c>
      <c r="E1432" s="28" t="s">
        <v>71</v>
      </c>
      <c r="F1432" s="39" t="s">
        <v>3567</v>
      </c>
      <c r="G1432" s="30" t="s">
        <v>72</v>
      </c>
      <c r="H1432" s="26" t="s">
        <v>3470</v>
      </c>
      <c r="I1432" s="26" t="s">
        <v>3350</v>
      </c>
      <c r="J1432" s="26"/>
      <c r="K1432" s="26"/>
      <c r="L1432" s="31" t="s">
        <v>78</v>
      </c>
    </row>
    <row r="1433">
      <c r="A1433" s="37">
        <v>46000.0</v>
      </c>
      <c r="B1433" s="26" t="s">
        <v>3568</v>
      </c>
      <c r="C1433" s="26" t="s">
        <v>3569</v>
      </c>
      <c r="D1433" s="30" t="s">
        <v>3317</v>
      </c>
      <c r="E1433" s="28" t="s">
        <v>71</v>
      </c>
      <c r="F1433" s="39" t="s">
        <v>3570</v>
      </c>
      <c r="G1433" s="30" t="s">
        <v>72</v>
      </c>
      <c r="H1433" s="26" t="s">
        <v>3571</v>
      </c>
      <c r="I1433" s="26" t="s">
        <v>3323</v>
      </c>
      <c r="J1433" s="26" t="s">
        <v>3572</v>
      </c>
      <c r="K1433" s="26"/>
      <c r="L1433" s="31" t="s">
        <v>78</v>
      </c>
    </row>
    <row r="1434">
      <c r="A1434" s="37">
        <v>46000.0</v>
      </c>
      <c r="B1434" s="26" t="s">
        <v>3573</v>
      </c>
      <c r="C1434" s="26" t="s">
        <v>3574</v>
      </c>
      <c r="D1434" s="30" t="s">
        <v>3317</v>
      </c>
      <c r="E1434" s="28" t="s">
        <v>71</v>
      </c>
      <c r="F1434" s="39" t="s">
        <v>3372</v>
      </c>
      <c r="G1434" s="30" t="s">
        <v>54</v>
      </c>
      <c r="H1434" s="30" t="s">
        <v>3317</v>
      </c>
      <c r="I1434" s="26" t="s">
        <v>3371</v>
      </c>
      <c r="J1434" s="26"/>
      <c r="K1434" s="26"/>
      <c r="L1434" s="31" t="s">
        <v>78</v>
      </c>
    </row>
    <row r="1435">
      <c r="A1435" s="37">
        <v>46001.0</v>
      </c>
      <c r="B1435" s="26" t="s">
        <v>2107</v>
      </c>
      <c r="C1435" s="26" t="s">
        <v>3575</v>
      </c>
      <c r="D1435" s="30" t="s">
        <v>3317</v>
      </c>
      <c r="E1435" s="28" t="s">
        <v>71</v>
      </c>
      <c r="F1435" s="39" t="s">
        <v>3576</v>
      </c>
      <c r="G1435" s="30" t="s">
        <v>72</v>
      </c>
      <c r="H1435" s="26" t="s">
        <v>3256</v>
      </c>
      <c r="I1435" s="26" t="s">
        <v>3524</v>
      </c>
      <c r="J1435" s="26" t="s">
        <v>3577</v>
      </c>
      <c r="K1435" s="26"/>
      <c r="L1435" s="31" t="s">
        <v>78</v>
      </c>
    </row>
    <row r="1436">
      <c r="A1436" s="37">
        <v>46001.0</v>
      </c>
      <c r="B1436" s="26" t="s">
        <v>3578</v>
      </c>
      <c r="C1436" s="26" t="s">
        <v>3579</v>
      </c>
      <c r="D1436" s="30" t="s">
        <v>3317</v>
      </c>
      <c r="E1436" s="28" t="s">
        <v>71</v>
      </c>
      <c r="F1436" s="39" t="s">
        <v>3580</v>
      </c>
      <c r="G1436" s="30" t="s">
        <v>72</v>
      </c>
      <c r="H1436" s="30" t="s">
        <v>3581</v>
      </c>
      <c r="I1436" s="26" t="s">
        <v>3323</v>
      </c>
      <c r="J1436" s="26" t="s">
        <v>3582</v>
      </c>
      <c r="K1436" s="26"/>
      <c r="L1436" s="31" t="s">
        <v>75</v>
      </c>
    </row>
    <row r="1437">
      <c r="A1437" s="37">
        <v>46002.0</v>
      </c>
      <c r="B1437" s="31" t="s">
        <v>3583</v>
      </c>
      <c r="C1437" s="26" t="s">
        <v>3584</v>
      </c>
      <c r="D1437" s="30" t="s">
        <v>3317</v>
      </c>
      <c r="E1437" s="28" t="s">
        <v>71</v>
      </c>
      <c r="F1437" s="39" t="s">
        <v>3585</v>
      </c>
      <c r="G1437" s="30" t="s">
        <v>72</v>
      </c>
      <c r="H1437" s="31" t="s">
        <v>3586</v>
      </c>
      <c r="I1437" s="26" t="s">
        <v>3335</v>
      </c>
      <c r="J1437" s="26" t="s">
        <v>3587</v>
      </c>
      <c r="K1437" s="26"/>
      <c r="L1437" s="31" t="s">
        <v>78</v>
      </c>
    </row>
    <row r="1438">
      <c r="A1438" s="37">
        <v>46002.0</v>
      </c>
      <c r="B1438" s="31" t="s">
        <v>3588</v>
      </c>
      <c r="C1438" s="26" t="s">
        <v>3589</v>
      </c>
      <c r="D1438" s="30" t="s">
        <v>30</v>
      </c>
      <c r="E1438" s="28" t="s">
        <v>71</v>
      </c>
      <c r="F1438" s="39" t="s">
        <v>3590</v>
      </c>
      <c r="G1438" s="30" t="s">
        <v>72</v>
      </c>
      <c r="H1438" s="26" t="s">
        <v>2997</v>
      </c>
      <c r="I1438" s="26" t="s">
        <v>1351</v>
      </c>
      <c r="J1438" s="26" t="s">
        <v>3591</v>
      </c>
      <c r="K1438" s="26"/>
      <c r="L1438" s="31" t="s">
        <v>75</v>
      </c>
    </row>
    <row r="1439">
      <c r="A1439" s="37">
        <v>46006.0</v>
      </c>
      <c r="B1439" s="26" t="s">
        <v>3592</v>
      </c>
      <c r="C1439" s="26" t="s">
        <v>3593</v>
      </c>
      <c r="D1439" s="30" t="s">
        <v>33</v>
      </c>
      <c r="E1439" s="28" t="s">
        <v>71</v>
      </c>
      <c r="F1439" s="39" t="s">
        <v>3594</v>
      </c>
      <c r="G1439" s="30" t="s">
        <v>72</v>
      </c>
      <c r="H1439" s="31" t="s">
        <v>3595</v>
      </c>
      <c r="I1439" s="26" t="s">
        <v>1380</v>
      </c>
      <c r="J1439" s="26" t="s">
        <v>3596</v>
      </c>
      <c r="K1439" s="26"/>
      <c r="L1439" s="31" t="s">
        <v>75</v>
      </c>
    </row>
    <row r="1440">
      <c r="A1440" s="37">
        <v>46006.0</v>
      </c>
      <c r="B1440" s="26" t="s">
        <v>3597</v>
      </c>
      <c r="C1440" s="26" t="s">
        <v>3598</v>
      </c>
      <c r="D1440" s="30" t="s">
        <v>3317</v>
      </c>
      <c r="E1440" s="28" t="s">
        <v>71</v>
      </c>
      <c r="F1440" s="39" t="s">
        <v>3599</v>
      </c>
      <c r="G1440" s="30" t="s">
        <v>72</v>
      </c>
      <c r="H1440" s="26" t="s">
        <v>3470</v>
      </c>
      <c r="I1440" s="26" t="s">
        <v>3350</v>
      </c>
      <c r="J1440" s="26" t="s">
        <v>3600</v>
      </c>
      <c r="K1440" s="26"/>
      <c r="L1440" s="31" t="s">
        <v>78</v>
      </c>
    </row>
    <row r="1441">
      <c r="A1441" s="37">
        <v>46006.0</v>
      </c>
      <c r="B1441" s="26" t="s">
        <v>3601</v>
      </c>
      <c r="C1441" s="26" t="s">
        <v>3602</v>
      </c>
      <c r="D1441" s="30" t="s">
        <v>3317</v>
      </c>
      <c r="E1441" s="28" t="s">
        <v>71</v>
      </c>
      <c r="F1441" s="39" t="s">
        <v>3603</v>
      </c>
      <c r="G1441" s="30" t="s">
        <v>72</v>
      </c>
      <c r="H1441" s="26" t="s">
        <v>3604</v>
      </c>
      <c r="I1441" s="26" t="s">
        <v>3371</v>
      </c>
      <c r="J1441" s="26" t="s">
        <v>3605</v>
      </c>
      <c r="K1441" s="26"/>
      <c r="L1441" s="31" t="s">
        <v>78</v>
      </c>
    </row>
    <row r="1442">
      <c r="A1442" s="37">
        <v>46006.0</v>
      </c>
      <c r="B1442" s="26" t="s">
        <v>3606</v>
      </c>
      <c r="C1442" s="26" t="s">
        <v>3607</v>
      </c>
      <c r="D1442" s="30" t="s">
        <v>3317</v>
      </c>
      <c r="E1442" s="28" t="s">
        <v>71</v>
      </c>
      <c r="F1442" s="39" t="s">
        <v>3608</v>
      </c>
      <c r="G1442" s="30" t="s">
        <v>72</v>
      </c>
      <c r="H1442" s="26" t="s">
        <v>3470</v>
      </c>
      <c r="I1442" s="26" t="s">
        <v>3350</v>
      </c>
      <c r="J1442" s="26" t="s">
        <v>3609</v>
      </c>
      <c r="K1442" s="26"/>
      <c r="L1442" s="31" t="s">
        <v>78</v>
      </c>
    </row>
    <row r="1443">
      <c r="A1443" s="37">
        <v>46006.0</v>
      </c>
      <c r="B1443" s="26" t="s">
        <v>3610</v>
      </c>
      <c r="C1443" s="26" t="s">
        <v>3611</v>
      </c>
      <c r="D1443" s="30" t="s">
        <v>3317</v>
      </c>
      <c r="E1443" s="28" t="s">
        <v>71</v>
      </c>
      <c r="F1443" s="39" t="s">
        <v>3612</v>
      </c>
      <c r="G1443" s="30" t="s">
        <v>72</v>
      </c>
      <c r="H1443" s="26" t="s">
        <v>3586</v>
      </c>
      <c r="I1443" s="26" t="s">
        <v>3335</v>
      </c>
      <c r="J1443" s="26" t="s">
        <v>3613</v>
      </c>
      <c r="K1443" s="26"/>
      <c r="L1443" s="31" t="s">
        <v>78</v>
      </c>
    </row>
    <row r="1444">
      <c r="A1444" s="37">
        <v>46006.0</v>
      </c>
      <c r="B1444" s="26" t="s">
        <v>3614</v>
      </c>
      <c r="C1444" s="26" t="s">
        <v>3615</v>
      </c>
      <c r="D1444" s="30" t="s">
        <v>3317</v>
      </c>
      <c r="E1444" s="28" t="s">
        <v>71</v>
      </c>
      <c r="F1444" s="39" t="s">
        <v>3616</v>
      </c>
      <c r="G1444" s="30" t="s">
        <v>72</v>
      </c>
      <c r="H1444" s="26" t="s">
        <v>3617</v>
      </c>
      <c r="I1444" s="26" t="s">
        <v>3524</v>
      </c>
      <c r="J1444" s="26" t="s">
        <v>3618</v>
      </c>
      <c r="K1444" s="26"/>
      <c r="L1444" s="31" t="s">
        <v>78</v>
      </c>
    </row>
    <row r="1445">
      <c r="A1445" s="37">
        <v>46006.0</v>
      </c>
      <c r="B1445" s="26" t="s">
        <v>3619</v>
      </c>
      <c r="C1445" s="26" t="s">
        <v>3620</v>
      </c>
      <c r="D1445" s="30" t="s">
        <v>3317</v>
      </c>
      <c r="E1445" s="28" t="s">
        <v>71</v>
      </c>
      <c r="F1445" s="39" t="s">
        <v>3621</v>
      </c>
      <c r="G1445" s="30" t="s">
        <v>72</v>
      </c>
      <c r="H1445" s="26" t="s">
        <v>3586</v>
      </c>
      <c r="I1445" s="26" t="s">
        <v>3335</v>
      </c>
      <c r="J1445" s="26" t="s">
        <v>3622</v>
      </c>
      <c r="K1445" s="26"/>
      <c r="L1445" s="31" t="s">
        <v>78</v>
      </c>
    </row>
    <row r="1446">
      <c r="A1446" s="37">
        <v>46008.0</v>
      </c>
      <c r="B1446" s="26" t="s">
        <v>3623</v>
      </c>
      <c r="C1446" s="26" t="s">
        <v>3624</v>
      </c>
      <c r="D1446" s="30" t="s">
        <v>3317</v>
      </c>
      <c r="E1446" s="28" t="s">
        <v>71</v>
      </c>
      <c r="F1446" s="39" t="s">
        <v>3625</v>
      </c>
      <c r="G1446" s="30" t="s">
        <v>72</v>
      </c>
      <c r="H1446" s="26" t="s">
        <v>3617</v>
      </c>
      <c r="I1446" s="26" t="s">
        <v>3524</v>
      </c>
      <c r="J1446" s="26" t="s">
        <v>3626</v>
      </c>
      <c r="K1446" s="26"/>
      <c r="L1446" s="31" t="s">
        <v>78</v>
      </c>
    </row>
    <row r="1447">
      <c r="A1447" s="37">
        <v>46008.0</v>
      </c>
      <c r="B1447" s="26" t="s">
        <v>3627</v>
      </c>
      <c r="C1447" s="26" t="s">
        <v>3628</v>
      </c>
      <c r="D1447" s="30" t="s">
        <v>3317</v>
      </c>
      <c r="E1447" s="28" t="s">
        <v>71</v>
      </c>
      <c r="F1447" s="39" t="s">
        <v>3629</v>
      </c>
      <c r="G1447" s="30" t="s">
        <v>72</v>
      </c>
      <c r="H1447" s="26" t="s">
        <v>3256</v>
      </c>
      <c r="I1447" s="26" t="s">
        <v>3524</v>
      </c>
      <c r="J1447" s="26" t="s">
        <v>3630</v>
      </c>
      <c r="K1447" s="26"/>
      <c r="L1447" s="31" t="s">
        <v>78</v>
      </c>
    </row>
    <row r="1448">
      <c r="A1448" s="37">
        <v>46008.0</v>
      </c>
      <c r="B1448" s="26" t="s">
        <v>3631</v>
      </c>
      <c r="C1448" s="26" t="s">
        <v>3632</v>
      </c>
      <c r="D1448" s="32" t="s">
        <v>78</v>
      </c>
      <c r="E1448" s="28" t="s">
        <v>71</v>
      </c>
      <c r="F1448" s="33" t="s">
        <v>78</v>
      </c>
      <c r="G1448" s="30" t="s">
        <v>54</v>
      </c>
      <c r="H1448" s="31" t="s">
        <v>78</v>
      </c>
      <c r="I1448" s="26" t="s">
        <v>1135</v>
      </c>
      <c r="J1448" s="38"/>
      <c r="K1448" s="26" t="s">
        <v>3633</v>
      </c>
      <c r="L1448" s="31" t="s">
        <v>78</v>
      </c>
    </row>
    <row r="1449">
      <c r="A1449" s="37">
        <v>46009.0</v>
      </c>
      <c r="B1449" s="26" t="s">
        <v>3634</v>
      </c>
      <c r="C1449" s="26" t="s">
        <v>3635</v>
      </c>
      <c r="D1449" s="32" t="s">
        <v>28</v>
      </c>
      <c r="E1449" s="28" t="s">
        <v>71</v>
      </c>
      <c r="F1449" s="33" t="str">
        <f>IFERROR(__xludf.DUMMYFUNCTION("IFERROR(
    IF(AND(ISNUMBER(VLOOKUP(J1449,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LEN(VLOOKUP(J1449,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VLOOKUP(J1449,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VLOOKUP(J1449,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"),"+919816049605")</f>
        <v>+919816049605</v>
      </c>
      <c r="G1449" s="30" t="s">
        <v>72</v>
      </c>
      <c r="H1449" s="31" t="s">
        <v>3636</v>
      </c>
      <c r="I1449" s="26" t="s">
        <v>1056</v>
      </c>
      <c r="J1449" s="48" t="s">
        <v>3637</v>
      </c>
      <c r="K1449" s="26"/>
      <c r="L1449" s="31" t="s">
        <v>78</v>
      </c>
    </row>
    <row r="1450">
      <c r="A1450" s="37">
        <v>46010.0</v>
      </c>
      <c r="B1450" s="26" t="s">
        <v>3638</v>
      </c>
      <c r="C1450" s="26" t="s">
        <v>3639</v>
      </c>
      <c r="D1450" s="32" t="s">
        <v>16</v>
      </c>
      <c r="E1450" s="28" t="s">
        <v>71</v>
      </c>
      <c r="F1450" s="33" t="str">
        <f>IFERROR(__xludf.DUMMYFUNCTION("IFERROR(
    IF(AND(ISNUMBER(VLOOKUP(J1450,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LEN(VLOOKUP(J1450,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VLOOKUP(J1450,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VLOOKUP(J1450,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"),"+919711797129")</f>
        <v>+919711797129</v>
      </c>
      <c r="G1450" s="30" t="s">
        <v>72</v>
      </c>
      <c r="H1450" s="31" t="s">
        <v>3199</v>
      </c>
      <c r="I1450" s="31" t="s">
        <v>1017</v>
      </c>
      <c r="J1450" s="49" t="s">
        <v>3640</v>
      </c>
      <c r="K1450" s="26"/>
      <c r="L1450" s="31" t="s">
        <v>75</v>
      </c>
    </row>
    <row r="1451">
      <c r="A1451" s="37">
        <v>46010.0</v>
      </c>
      <c r="B1451" s="26" t="s">
        <v>3641</v>
      </c>
      <c r="C1451" s="26" t="s">
        <v>3642</v>
      </c>
      <c r="D1451" s="32" t="s">
        <v>16</v>
      </c>
      <c r="E1451" s="28" t="s">
        <v>71</v>
      </c>
      <c r="F1451" s="33" t="str">
        <f>IFERROR(__xludf.DUMMYFUNCTION("IFERROR(
    IF(AND(ISNUMBER(VLOOKUP(J1451,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LEN(VLOOKUP(J1451,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VLOOKUP(J1451,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VLOOKUP(J1451,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"),"+918800249850")</f>
        <v>+918800249850</v>
      </c>
      <c r="G1451" s="30" t="s">
        <v>1043</v>
      </c>
      <c r="H1451" s="31" t="s">
        <v>3643</v>
      </c>
      <c r="I1451" s="31" t="s">
        <v>1017</v>
      </c>
      <c r="J1451" s="49" t="s">
        <v>3644</v>
      </c>
      <c r="K1451" s="26"/>
      <c r="L1451" s="31" t="s">
        <v>75</v>
      </c>
    </row>
    <row r="1452">
      <c r="A1452" s="37">
        <v>46013.0</v>
      </c>
      <c r="B1452" s="26" t="s">
        <v>3645</v>
      </c>
      <c r="C1452" s="26" t="s">
        <v>3646</v>
      </c>
      <c r="D1452" s="32" t="s">
        <v>3317</v>
      </c>
      <c r="E1452" s="28" t="s">
        <v>71</v>
      </c>
      <c r="F1452" s="33" t="str">
        <f>IFERROR(__xludf.DUMMYFUNCTION("IFERROR(
    IF(AND(ISNUMBER(VLOOKUP(J1452,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LEN(VLOOKUP(J1452,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VLOOKUP(J1452,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VLOOKUP(J1452,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"),"+919987082413")</f>
        <v>+919987082413</v>
      </c>
      <c r="G1452" s="30" t="s">
        <v>72</v>
      </c>
      <c r="H1452" s="31" t="str">
        <f>IFERROR(__xludf.DUMMYFUNCTION("IFERROR(VLOOKUP(J1452,{IMPORTRANGE(""1xFrklApkRqApw6hS49w9Le1ELcHrQ5f2FJdiVs8ztHg"", ""Joining &amp; Induction Tracker!F:F""),IMPORTRANGE(""1xFrklApkRqApw6hS49w9Le1ELcHrQ5f2FJdiVs8ztHg"", ""Joining &amp; Induction Tracker!B:B"")},2,0),"""")"),"Video Editor")</f>
        <v>Video Editor</v>
      </c>
      <c r="I1452" s="26" t="s">
        <v>3350</v>
      </c>
      <c r="J1452" s="48" t="s">
        <v>3647</v>
      </c>
      <c r="K1452" s="26"/>
      <c r="L1452" s="31" t="s">
        <v>78</v>
      </c>
    </row>
    <row r="1453">
      <c r="A1453" s="37">
        <v>46013.0</v>
      </c>
      <c r="B1453" s="26" t="s">
        <v>3648</v>
      </c>
      <c r="C1453" s="26" t="s">
        <v>3649</v>
      </c>
      <c r="D1453" s="32" t="s">
        <v>3317</v>
      </c>
      <c r="E1453" s="28" t="s">
        <v>71</v>
      </c>
      <c r="F1453" s="39" t="s">
        <v>3650</v>
      </c>
      <c r="G1453" s="30" t="s">
        <v>54</v>
      </c>
      <c r="H1453" s="30" t="s">
        <v>54</v>
      </c>
      <c r="I1453" s="26" t="s">
        <v>3350</v>
      </c>
      <c r="J1453" s="38"/>
      <c r="K1453" s="26" t="s">
        <v>3651</v>
      </c>
      <c r="L1453" s="31" t="s">
        <v>78</v>
      </c>
    </row>
    <row r="1454">
      <c r="A1454" s="37">
        <v>46013.0</v>
      </c>
      <c r="B1454" s="26" t="s">
        <v>3652</v>
      </c>
      <c r="C1454" s="26" t="s">
        <v>3653</v>
      </c>
      <c r="D1454" s="32" t="s">
        <v>3317</v>
      </c>
      <c r="E1454" s="28" t="s">
        <v>71</v>
      </c>
      <c r="F1454" s="39" t="s">
        <v>3650</v>
      </c>
      <c r="G1454" s="30" t="s">
        <v>54</v>
      </c>
      <c r="H1454" s="30" t="s">
        <v>54</v>
      </c>
      <c r="I1454" s="26" t="s">
        <v>3350</v>
      </c>
      <c r="J1454" s="38"/>
      <c r="K1454" s="26" t="s">
        <v>3654</v>
      </c>
      <c r="L1454" s="31" t="s">
        <v>78</v>
      </c>
    </row>
    <row r="1455">
      <c r="A1455" s="37">
        <v>46013.0</v>
      </c>
      <c r="B1455" s="26" t="s">
        <v>3655</v>
      </c>
      <c r="C1455" s="26" t="s">
        <v>3656</v>
      </c>
      <c r="D1455" s="32" t="s">
        <v>3317</v>
      </c>
      <c r="E1455" s="28" t="s">
        <v>71</v>
      </c>
      <c r="F1455" s="39" t="s">
        <v>3650</v>
      </c>
      <c r="G1455" s="30" t="s">
        <v>54</v>
      </c>
      <c r="H1455" s="30" t="s">
        <v>54</v>
      </c>
      <c r="I1455" s="26" t="s">
        <v>3350</v>
      </c>
      <c r="J1455" s="38"/>
      <c r="K1455" s="26" t="s">
        <v>3657</v>
      </c>
      <c r="L1455" s="31" t="s">
        <v>78</v>
      </c>
    </row>
    <row r="1456">
      <c r="A1456" s="37">
        <v>46013.0</v>
      </c>
      <c r="B1456" s="26" t="s">
        <v>3658</v>
      </c>
      <c r="C1456" s="26" t="s">
        <v>3659</v>
      </c>
      <c r="D1456" s="32" t="s">
        <v>3317</v>
      </c>
      <c r="E1456" s="28" t="s">
        <v>71</v>
      </c>
      <c r="F1456" s="39" t="s">
        <v>3650</v>
      </c>
      <c r="G1456" s="30" t="s">
        <v>54</v>
      </c>
      <c r="H1456" s="30" t="s">
        <v>54</v>
      </c>
      <c r="I1456" s="26" t="s">
        <v>3350</v>
      </c>
      <c r="J1456" s="38"/>
      <c r="K1456" s="26" t="s">
        <v>3660</v>
      </c>
      <c r="L1456" s="31" t="s">
        <v>78</v>
      </c>
    </row>
    <row r="1457">
      <c r="A1457" s="37">
        <v>46013.0</v>
      </c>
      <c r="B1457" s="26" t="s">
        <v>3661</v>
      </c>
      <c r="C1457" s="26" t="s">
        <v>3662</v>
      </c>
      <c r="D1457" s="32" t="s">
        <v>3317</v>
      </c>
      <c r="E1457" s="28" t="s">
        <v>71</v>
      </c>
      <c r="F1457" s="39" t="s">
        <v>3650</v>
      </c>
      <c r="G1457" s="30" t="s">
        <v>54</v>
      </c>
      <c r="H1457" s="30" t="s">
        <v>54</v>
      </c>
      <c r="I1457" s="26" t="s">
        <v>3350</v>
      </c>
      <c r="J1457" s="38"/>
      <c r="K1457" s="26" t="s">
        <v>3663</v>
      </c>
      <c r="L1457" s="31" t="s">
        <v>78</v>
      </c>
    </row>
    <row r="1458">
      <c r="A1458" s="37">
        <v>46013.0</v>
      </c>
      <c r="B1458" s="26" t="s">
        <v>3664</v>
      </c>
      <c r="C1458" s="26" t="s">
        <v>3665</v>
      </c>
      <c r="D1458" s="32" t="s">
        <v>3317</v>
      </c>
      <c r="E1458" s="28" t="s">
        <v>71</v>
      </c>
      <c r="F1458" s="39" t="s">
        <v>3650</v>
      </c>
      <c r="G1458" s="30" t="s">
        <v>54</v>
      </c>
      <c r="H1458" s="30" t="s">
        <v>54</v>
      </c>
      <c r="I1458" s="26" t="s">
        <v>3350</v>
      </c>
      <c r="J1458" s="38"/>
      <c r="K1458" s="26" t="s">
        <v>3666</v>
      </c>
      <c r="L1458" s="31" t="s">
        <v>78</v>
      </c>
    </row>
    <row r="1459">
      <c r="A1459" s="37">
        <v>46014.0</v>
      </c>
      <c r="B1459" s="26" t="s">
        <v>3667</v>
      </c>
      <c r="C1459" s="26" t="s">
        <v>3668</v>
      </c>
      <c r="D1459" s="32" t="s">
        <v>3317</v>
      </c>
      <c r="E1459" s="28" t="s">
        <v>71</v>
      </c>
      <c r="F1459" s="39" t="s">
        <v>3669</v>
      </c>
      <c r="G1459" s="30" t="s">
        <v>72</v>
      </c>
      <c r="H1459" s="31" t="str">
        <f>IFERROR(__xludf.DUMMYFUNCTION("IFERROR(VLOOKUP(J1459,{IMPORTRANGE(""1xFrklApkRqApw6hS49w9Le1ELcHrQ5f2FJdiVs8ztHg"", ""Joining &amp; Induction Tracker!F:F""),IMPORTRANGE(""1xFrklApkRqApw6hS49w9Le1ELcHrQ5f2FJdiVs8ztHg"", ""Joining &amp; Induction Tracker!B:B"")},2,0),"""")"),"Promo Video Editor- Contractual")</f>
        <v>Promo Video Editor- Contractual</v>
      </c>
      <c r="I1459" s="26" t="s">
        <v>3350</v>
      </c>
      <c r="J1459" s="49" t="s">
        <v>3670</v>
      </c>
      <c r="K1459" s="26" t="s">
        <v>3671</v>
      </c>
      <c r="L1459" s="31" t="s">
        <v>78</v>
      </c>
    </row>
    <row r="1460">
      <c r="A1460" s="37">
        <v>46014.0</v>
      </c>
      <c r="B1460" s="26" t="s">
        <v>3672</v>
      </c>
      <c r="C1460" s="26" t="s">
        <v>3673</v>
      </c>
      <c r="D1460" s="32" t="s">
        <v>3317</v>
      </c>
      <c r="E1460" s="28" t="s">
        <v>71</v>
      </c>
      <c r="F1460" s="39" t="s">
        <v>3674</v>
      </c>
      <c r="G1460" s="30" t="s">
        <v>72</v>
      </c>
      <c r="H1460" s="31" t="str">
        <f>IFERROR(__xludf.DUMMYFUNCTION("IFERROR(VLOOKUP(J1460,{IMPORTRANGE(""1xFrklApkRqApw6hS49w9Le1ELcHrQ5f2FJdiVs8ztHg"", ""Joining &amp; Induction Tracker!F:F""),IMPORTRANGE(""1xFrklApkRqApw6hS49w9Le1ELcHrQ5f2FJdiVs8ztHg"", ""Joining &amp; Induction Tracker!B:B"")},2,0),"""")"),"QC Executive - Contract")</f>
        <v>QC Executive - Contract</v>
      </c>
      <c r="I1460" s="26" t="s">
        <v>3371</v>
      </c>
      <c r="J1460" s="49" t="s">
        <v>3675</v>
      </c>
      <c r="K1460" s="26" t="s">
        <v>3676</v>
      </c>
      <c r="L1460" s="31" t="s">
        <v>75</v>
      </c>
    </row>
    <row r="1461">
      <c r="A1461" s="37">
        <v>46015.0</v>
      </c>
      <c r="B1461" s="26" t="s">
        <v>3677</v>
      </c>
      <c r="C1461" s="26" t="s">
        <v>3678</v>
      </c>
      <c r="D1461" s="32" t="s">
        <v>3317</v>
      </c>
      <c r="E1461" s="28" t="s">
        <v>71</v>
      </c>
      <c r="F1461" s="33" t="str">
        <f>IFERROR(__xludf.DUMMYFUNCTION("IFERROR(
    IF(AND(ISNUMBER(VLOOKUP(J1461,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"),"+917972240735")</f>
        <v>+917972240735</v>
      </c>
      <c r="G1461" s="30" t="s">
        <v>1043</v>
      </c>
      <c r="H1461" s="31" t="str">
        <f>IFERROR(__xludf.DUMMYFUNCTION("IFERROR(VLOOKUP(J1461,{IMPORTRANGE(""1xFrklApkRqApw6hS49w9Le1ELcHrQ5f2FJdiVs8ztHg"", ""Joining &amp; Induction Tracker!F:F""),IMPORTRANGE(""1xFrklApkRqApw6hS49w9Le1ELcHrQ5f2FJdiVs8ztHg"", ""Joining &amp; Induction Tracker!B:B"")},2,0),"""")"),"Promo Quality Control- Associate-Contractual")</f>
        <v>Promo Quality Control- Associate-Contractual</v>
      </c>
      <c r="I1461" s="26" t="s">
        <v>3371</v>
      </c>
      <c r="J1461" s="49" t="s">
        <v>3679</v>
      </c>
      <c r="K1461" s="26"/>
      <c r="L1461" s="31" t="s">
        <v>78</v>
      </c>
    </row>
    <row r="1462">
      <c r="A1462" s="37">
        <v>46015.0</v>
      </c>
      <c r="B1462" s="26" t="s">
        <v>3680</v>
      </c>
      <c r="C1462" s="26" t="s">
        <v>3681</v>
      </c>
      <c r="D1462" s="32" t="s">
        <v>3317</v>
      </c>
      <c r="E1462" s="28" t="s">
        <v>71</v>
      </c>
      <c r="F1462" s="33" t="str">
        <f>IFERROR(__xludf.DUMMYFUNCTION("IFERROR(
    IF(AND(ISNUMBER(VLOOKUP(J1462,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"),"+919920396455")</f>
        <v>+919920396455</v>
      </c>
      <c r="G1462" s="30" t="s">
        <v>72</v>
      </c>
      <c r="H1462" s="31" t="str">
        <f>IFERROR(__xludf.DUMMYFUNCTION("IFERROR(VLOOKUP(J1462,{IMPORTRANGE(""1xFrklApkRqApw6hS49w9Le1ELcHrQ5f2FJdiVs8ztHg"", ""Joining &amp; Induction Tracker!F:F""),IMPORTRANGE(""1xFrklApkRqApw6hS49w9Le1ELcHrQ5f2FJdiVs8ztHg"", ""Joining &amp; Induction Tracker!B:B"")},2,0),"""")"),"Video Editor")</f>
        <v>Video Editor</v>
      </c>
      <c r="I1462" s="26" t="s">
        <v>3350</v>
      </c>
      <c r="J1462" s="49" t="s">
        <v>3682</v>
      </c>
      <c r="K1462" s="26"/>
      <c r="L1462" s="31" t="s">
        <v>78</v>
      </c>
    </row>
    <row r="1463">
      <c r="A1463" s="37">
        <v>46015.0</v>
      </c>
      <c r="B1463" s="26" t="s">
        <v>3683</v>
      </c>
      <c r="C1463" s="26" t="s">
        <v>3684</v>
      </c>
      <c r="D1463" s="32" t="s">
        <v>3317</v>
      </c>
      <c r="E1463" s="28" t="s">
        <v>71</v>
      </c>
      <c r="F1463" s="33" t="str">
        <f>IFERROR(__xludf.DUMMYFUNCTION("IFERROR(
    IF(AND(ISNUMBER(VLOOKUP(J1463,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LEN(VLOOKUP(J1463,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VLOOKUP(J1463,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VLOOKUP(J1463,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"),"+919888029314")</f>
        <v>+919888029314</v>
      </c>
      <c r="G1463" s="30" t="s">
        <v>72</v>
      </c>
      <c r="H1463" s="31" t="str">
        <f>IFERROR(__xludf.DUMMYFUNCTION("IFERROR(VLOOKUP(J1463,{IMPORTRANGE(""1xFrklApkRqApw6hS49w9Le1ELcHrQ5f2FJdiVs8ztHg"", ""Joining &amp; Induction Tracker!F:F""),IMPORTRANGE(""1xFrklApkRqApw6hS49w9Le1ELcHrQ5f2FJdiVs8ztHg"", ""Joining &amp; Induction Tracker!B:B"")},2,0),"""")"),"Associate Video Editor")</f>
        <v>Associate Video Editor</v>
      </c>
      <c r="I1463" s="26" t="s">
        <v>3350</v>
      </c>
      <c r="J1463" s="49" t="s">
        <v>3685</v>
      </c>
      <c r="K1463" s="26"/>
      <c r="L1463" s="31" t="s">
        <v>78</v>
      </c>
    </row>
    <row r="1464">
      <c r="A1464" s="37">
        <v>46015.0</v>
      </c>
      <c r="B1464" s="26" t="s">
        <v>3686</v>
      </c>
      <c r="C1464" s="26" t="s">
        <v>3687</v>
      </c>
      <c r="D1464" s="32" t="s">
        <v>3317</v>
      </c>
      <c r="E1464" s="28" t="s">
        <v>71</v>
      </c>
      <c r="F1464" s="33" t="str">
        <f>IFERROR(__xludf.DUMMYFUNCTION("IFERROR(
    IF(AND(ISNUMBER(VLOOKUP(J1464,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LEN(VLOOKUP(J1464,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VLOOKUP(J1464,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VLOOKUP(J1464,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"),"+917439019277")</f>
        <v>+917439019277</v>
      </c>
      <c r="G1464" s="30" t="s">
        <v>1043</v>
      </c>
      <c r="H1464" s="31" t="str">
        <f>IFERROR(__xludf.DUMMYFUNCTION("IFERROR(VLOOKUP(J1464,{IMPORTRANGE(""1xFrklApkRqApw6hS49w9Le1ELcHrQ5f2FJdiVs8ztHg"", ""Joining &amp; Induction Tracker!F:F""),IMPORTRANGE(""1xFrklApkRqApw6hS49w9Le1ELcHrQ5f2FJdiVs8ztHg"", ""Joining &amp; Induction Tracker!B:B"")},2,0),"""")"),"Promo writer - Contractual")</f>
        <v>Promo writer - Contractual</v>
      </c>
      <c r="I1464" s="26" t="s">
        <v>3350</v>
      </c>
      <c r="J1464" s="49" t="s">
        <v>3688</v>
      </c>
      <c r="K1464" s="26"/>
      <c r="L1464" s="31" t="s">
        <v>75</v>
      </c>
    </row>
    <row r="1465">
      <c r="A1465" s="37">
        <v>46015.0</v>
      </c>
      <c r="B1465" s="26" t="s">
        <v>3689</v>
      </c>
      <c r="C1465" s="26" t="s">
        <v>3690</v>
      </c>
      <c r="D1465" s="32" t="s">
        <v>3317</v>
      </c>
      <c r="E1465" s="28" t="s">
        <v>71</v>
      </c>
      <c r="F1465" s="33" t="str">
        <f>IFERROR(__xludf.DUMMYFUNCTION("IFERROR(
    IF(AND(ISNUMBER(VLOOKUP(J1465,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LEN(VLOOKUP(J1465,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VLOOKUP(J1465,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VLOOKUP(J1465,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"),"+919767022878")</f>
        <v>+919767022878</v>
      </c>
      <c r="G1465" s="30" t="s">
        <v>72</v>
      </c>
      <c r="H1465" s="31" t="str">
        <f>IFERROR(__xludf.DUMMYFUNCTION("IFERROR(VLOOKUP(J1465,{IMPORTRANGE(""1xFrklApkRqApw6hS49w9Le1ELcHrQ5f2FJdiVs8ztHg"", ""Joining &amp; Induction Tracker!F:F""),IMPORTRANGE(""1xFrklApkRqApw6hS49w9Le1ELcHrQ5f2FJdiVs8ztHg"", ""Joining &amp; Induction Tracker!B:B"")},2,0),"""")"),"Promo Video Editor")</f>
        <v>Promo Video Editor</v>
      </c>
      <c r="I1465" s="26" t="s">
        <v>3350</v>
      </c>
      <c r="J1465" s="49" t="s">
        <v>3691</v>
      </c>
      <c r="K1465" s="26"/>
      <c r="L1465" s="31" t="s">
        <v>78</v>
      </c>
    </row>
    <row r="1466">
      <c r="A1466" s="37">
        <v>46015.0</v>
      </c>
      <c r="B1466" s="26" t="s">
        <v>3692</v>
      </c>
      <c r="C1466" s="26" t="s">
        <v>3693</v>
      </c>
      <c r="D1466" s="32" t="s">
        <v>3317</v>
      </c>
      <c r="E1466" s="28" t="s">
        <v>71</v>
      </c>
      <c r="F1466" s="33" t="str">
        <f>IFERROR(__xludf.DUMMYFUNCTION("IFERROR(
    IF(AND(ISNUMBER(VLOOKUP(J1466,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LEN(VLOOKUP(J1466,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VLOOKUP(J1466,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VLOOKUP(J1466,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"),"+919082626110")</f>
        <v>+919082626110</v>
      </c>
      <c r="G1466" s="30" t="s">
        <v>72</v>
      </c>
      <c r="H1466" s="31" t="str">
        <f>IFERROR(__xludf.DUMMYFUNCTION("IFERROR(VLOOKUP(J1466,{IMPORTRANGE(""1xFrklApkRqApw6hS49w9Le1ELcHrQ5f2FJdiVs8ztHg"", ""Joining &amp; Induction Tracker!F:F""),IMPORTRANGE(""1xFrklApkRqApw6hS49w9Le1ELcHrQ5f2FJdiVs8ztHg"", ""Joining &amp; Induction Tracker!B:B"")},2,0),"""")"),"Promo Video Editor")</f>
        <v>Promo Video Editor</v>
      </c>
      <c r="I1466" s="26" t="s">
        <v>3524</v>
      </c>
      <c r="J1466" s="49" t="s">
        <v>3694</v>
      </c>
      <c r="K1466" s="26" t="str">
        <f>IFERROR(__xludf.DUMMYFUNCTION("IFERROR(
    IF(AND(ISNUMBER(VLOOKUP(J1466,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LEN(VLOOKUP(J1466,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VLOOKUP(J1466,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VLOOKUP(J1466,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"),"+919082626110")</f>
        <v>+919082626110</v>
      </c>
      <c r="L1466" s="31" t="s">
        <v>78</v>
      </c>
    </row>
    <row r="1467">
      <c r="A1467" s="37">
        <v>46015.0</v>
      </c>
      <c r="B1467" s="26" t="s">
        <v>3695</v>
      </c>
      <c r="C1467" s="26" t="s">
        <v>3696</v>
      </c>
      <c r="D1467" s="32" t="s">
        <v>3317</v>
      </c>
      <c r="E1467" s="28" t="s">
        <v>71</v>
      </c>
      <c r="F1467" s="33" t="str">
        <f>IFERROR(__xludf.DUMMYFUNCTION("IFERROR(
    IF(AND(ISNUMBER(VLOOKUP(J1467,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LEN(VLOOKUP(J1467,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VLOOKUP(J1467,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VLOOKUP(J1467,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"),"+916386851540")</f>
        <v>+916386851540</v>
      </c>
      <c r="G1467" s="30" t="s">
        <v>1043</v>
      </c>
      <c r="H1467" s="31" t="str">
        <f>IFERROR(__xludf.DUMMYFUNCTION("IFERROR(VLOOKUP(J1467,{IMPORTRANGE(""1xFrklApkRqApw6hS49w9Le1ELcHrQ5f2FJdiVs8ztHg"", ""Joining &amp; Induction Tracker!F:F""),IMPORTRANGE(""1xFrklApkRqApw6hS49w9Le1ELcHrQ5f2FJdiVs8ztHg"", ""Joining &amp; Induction Tracker!B:B"")},2,0),"""")"),"Sound Designer cum VO Artist - Contractual ")</f>
        <v>Sound Designer cum VO Artist - Contractual </v>
      </c>
      <c r="I1467" s="26" t="s">
        <v>3524</v>
      </c>
      <c r="J1467" s="49" t="s">
        <v>3697</v>
      </c>
      <c r="K1467" s="26" t="str">
        <f>IF(AND(ISNUMBER(F1467), LEN(F1467) = 10), "+91" &amp; F1467, F1467)</f>
        <v>+916386851540</v>
      </c>
      <c r="L1467" s="31" t="s">
        <v>75</v>
      </c>
    </row>
    <row r="1468">
      <c r="A1468" s="37">
        <v>46015.0</v>
      </c>
      <c r="B1468" s="26" t="s">
        <v>3698</v>
      </c>
      <c r="C1468" s="26" t="s">
        <v>3699</v>
      </c>
      <c r="D1468" s="30" t="s">
        <v>14</v>
      </c>
      <c r="E1468" s="28" t="s">
        <v>71</v>
      </c>
      <c r="F1468" s="39" t="s">
        <v>3700</v>
      </c>
      <c r="G1468" s="30" t="s">
        <v>54</v>
      </c>
      <c r="H1468" s="30" t="s">
        <v>54</v>
      </c>
      <c r="I1468" s="26" t="s">
        <v>1486</v>
      </c>
      <c r="J1468" s="48" t="s">
        <v>3701</v>
      </c>
      <c r="K1468" s="26"/>
      <c r="L1468" s="31" t="s">
        <v>78</v>
      </c>
    </row>
    <row r="1469">
      <c r="A1469" s="37">
        <v>46015.0</v>
      </c>
      <c r="B1469" s="26" t="s">
        <v>3702</v>
      </c>
      <c r="C1469" s="26" t="s">
        <v>3703</v>
      </c>
      <c r="D1469" s="30" t="s">
        <v>14</v>
      </c>
      <c r="E1469" s="28" t="s">
        <v>71</v>
      </c>
      <c r="F1469" s="39" t="s">
        <v>3700</v>
      </c>
      <c r="G1469" s="30" t="s">
        <v>54</v>
      </c>
      <c r="H1469" s="30" t="s">
        <v>54</v>
      </c>
      <c r="I1469" s="26" t="s">
        <v>1486</v>
      </c>
      <c r="J1469" s="48" t="s">
        <v>3701</v>
      </c>
      <c r="K1469" s="26"/>
      <c r="L1469" s="31" t="s">
        <v>78</v>
      </c>
    </row>
    <row r="1470">
      <c r="A1470" s="37">
        <v>46015.0</v>
      </c>
      <c r="B1470" s="26" t="s">
        <v>3704</v>
      </c>
      <c r="C1470" s="26" t="s">
        <v>3705</v>
      </c>
      <c r="D1470" s="30" t="s">
        <v>14</v>
      </c>
      <c r="E1470" s="28" t="s">
        <v>71</v>
      </c>
      <c r="F1470" s="39" t="s">
        <v>3700</v>
      </c>
      <c r="G1470" s="30" t="s">
        <v>54</v>
      </c>
      <c r="H1470" s="30" t="s">
        <v>54</v>
      </c>
      <c r="I1470" s="26" t="s">
        <v>1486</v>
      </c>
      <c r="J1470" s="48" t="s">
        <v>3701</v>
      </c>
      <c r="K1470" s="26"/>
      <c r="L1470" s="31" t="s">
        <v>78</v>
      </c>
    </row>
    <row r="1471">
      <c r="A1471" s="37">
        <v>46015.0</v>
      </c>
      <c r="B1471" s="26" t="s">
        <v>3706</v>
      </c>
      <c r="C1471" s="26" t="s">
        <v>3707</v>
      </c>
      <c r="D1471" s="30" t="s">
        <v>14</v>
      </c>
      <c r="E1471" s="28" t="s">
        <v>71</v>
      </c>
      <c r="F1471" s="39" t="s">
        <v>3700</v>
      </c>
      <c r="G1471" s="30" t="s">
        <v>54</v>
      </c>
      <c r="H1471" s="30" t="s">
        <v>54</v>
      </c>
      <c r="I1471" s="26" t="s">
        <v>1486</v>
      </c>
      <c r="J1471" s="48" t="s">
        <v>3701</v>
      </c>
      <c r="K1471" s="26"/>
      <c r="L1471" s="31" t="s">
        <v>78</v>
      </c>
    </row>
    <row r="1472">
      <c r="A1472" s="37">
        <v>46015.0</v>
      </c>
      <c r="B1472" s="26" t="s">
        <v>3708</v>
      </c>
      <c r="C1472" s="26" t="s">
        <v>3709</v>
      </c>
      <c r="D1472" s="30" t="s">
        <v>14</v>
      </c>
      <c r="E1472" s="28" t="s">
        <v>71</v>
      </c>
      <c r="F1472" s="39" t="s">
        <v>3700</v>
      </c>
      <c r="G1472" s="30" t="s">
        <v>54</v>
      </c>
      <c r="H1472" s="30" t="s">
        <v>54</v>
      </c>
      <c r="I1472" s="26" t="s">
        <v>1486</v>
      </c>
      <c r="J1472" s="48" t="s">
        <v>3701</v>
      </c>
      <c r="K1472" s="26"/>
      <c r="L1472" s="31" t="s">
        <v>78</v>
      </c>
    </row>
    <row r="1473">
      <c r="A1473" s="37">
        <v>46024.0</v>
      </c>
      <c r="B1473" s="26" t="s">
        <v>2325</v>
      </c>
      <c r="C1473" s="26" t="s">
        <v>3710</v>
      </c>
      <c r="D1473" s="30" t="s">
        <v>28</v>
      </c>
      <c r="E1473" s="28" t="s">
        <v>71</v>
      </c>
      <c r="F1473" s="39" t="s">
        <v>3711</v>
      </c>
      <c r="G1473" s="30" t="s">
        <v>72</v>
      </c>
      <c r="H1473" s="26" t="s">
        <v>3712</v>
      </c>
      <c r="I1473" s="26" t="s">
        <v>3635</v>
      </c>
      <c r="J1473" s="48" t="s">
        <v>3713</v>
      </c>
      <c r="K1473" s="26"/>
      <c r="L1473" s="31" t="s">
        <v>78</v>
      </c>
    </row>
    <row r="1474">
      <c r="A1474" s="37">
        <v>46024.0</v>
      </c>
      <c r="B1474" s="26" t="s">
        <v>3714</v>
      </c>
      <c r="C1474" s="26" t="s">
        <v>3715</v>
      </c>
      <c r="D1474" s="30" t="s">
        <v>16</v>
      </c>
      <c r="E1474" s="28" t="s">
        <v>71</v>
      </c>
      <c r="F1474" s="39" t="s">
        <v>3716</v>
      </c>
      <c r="G1474" s="30" t="s">
        <v>72</v>
      </c>
      <c r="H1474" s="26" t="s">
        <v>3717</v>
      </c>
      <c r="I1474" s="26" t="s">
        <v>1017</v>
      </c>
      <c r="J1474" s="48" t="s">
        <v>3718</v>
      </c>
      <c r="K1474" s="26"/>
      <c r="L1474" s="31" t="s">
        <v>78</v>
      </c>
    </row>
    <row r="1475">
      <c r="A1475" s="37">
        <v>46024.0</v>
      </c>
      <c r="B1475" s="26" t="s">
        <v>3719</v>
      </c>
      <c r="C1475" s="26" t="s">
        <v>3720</v>
      </c>
      <c r="D1475" s="30" t="s">
        <v>3317</v>
      </c>
      <c r="E1475" s="30" t="s">
        <v>71</v>
      </c>
      <c r="F1475" s="39" t="s">
        <v>3721</v>
      </c>
      <c r="G1475" s="30" t="s">
        <v>72</v>
      </c>
      <c r="H1475" s="26" t="s">
        <v>3722</v>
      </c>
      <c r="I1475" s="26" t="s">
        <v>3350</v>
      </c>
      <c r="J1475" s="48" t="s">
        <v>3723</v>
      </c>
      <c r="K1475" s="26"/>
      <c r="L1475" s="31" t="s">
        <v>78</v>
      </c>
    </row>
    <row r="1476">
      <c r="A1476" s="37">
        <v>46024.0</v>
      </c>
      <c r="B1476" s="26" t="s">
        <v>3724</v>
      </c>
      <c r="C1476" s="26" t="s">
        <v>3725</v>
      </c>
      <c r="D1476" s="30" t="s">
        <v>3317</v>
      </c>
      <c r="E1476" s="30" t="s">
        <v>71</v>
      </c>
      <c r="F1476" s="39" t="s">
        <v>3726</v>
      </c>
      <c r="G1476" s="30" t="s">
        <v>72</v>
      </c>
      <c r="H1476" s="26" t="s">
        <v>3408</v>
      </c>
      <c r="I1476" s="26" t="s">
        <v>3350</v>
      </c>
      <c r="J1476" s="48" t="s">
        <v>3727</v>
      </c>
      <c r="K1476" s="26"/>
      <c r="L1476" s="31" t="s">
        <v>78</v>
      </c>
    </row>
    <row r="1477">
      <c r="A1477" s="37">
        <v>46027.0</v>
      </c>
      <c r="B1477" s="26" t="s">
        <v>3728</v>
      </c>
      <c r="C1477" s="26" t="s">
        <v>3729</v>
      </c>
      <c r="D1477" s="32" t="s">
        <v>3317</v>
      </c>
      <c r="E1477" s="30" t="s">
        <v>71</v>
      </c>
      <c r="F1477" s="39" t="s">
        <v>3730</v>
      </c>
      <c r="G1477" s="30" t="s">
        <v>72</v>
      </c>
      <c r="H1477" s="31" t="str">
        <f>IFERROR(__xludf.DUMMYFUNCTION("IFERROR(VLOOKUP(J1477,{IMPORTRANGE(""1xFrklApkRqApw6hS49w9Le1ELcHrQ5f2FJdiVs8ztHg"", ""Joining &amp; Induction Tracker!F:F""),IMPORTRANGE(""1xFrklApkRqApw6hS49w9Le1ELcHrQ5f2FJdiVs8ztHg"", ""Joining &amp; Induction Tracker!B:B"")},2,0),"""")"),"Sound Engineer")</f>
        <v>Sound Engineer</v>
      </c>
      <c r="I1477" s="26" t="s">
        <v>3350</v>
      </c>
      <c r="J1477" s="34" t="s">
        <v>3731</v>
      </c>
      <c r="K1477" s="26"/>
      <c r="L1477" s="31" t="s">
        <v>78</v>
      </c>
    </row>
    <row r="1478">
      <c r="A1478" s="37">
        <v>46027.0</v>
      </c>
      <c r="B1478" s="26" t="s">
        <v>3732</v>
      </c>
      <c r="C1478" s="26" t="s">
        <v>3733</v>
      </c>
      <c r="D1478" s="32" t="s">
        <v>3317</v>
      </c>
      <c r="E1478" s="30" t="s">
        <v>71</v>
      </c>
      <c r="F1478" s="33" t="str">
        <f>IFERROR(__xludf.DUMMYFUNCTION("IFERROR(
    IF(AND(ISNUMBER(VLOOKUP(J1478,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LEN(VLOOKUP(J1478,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VLOOKUP(J1478,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VLOOKUP(J1478,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"),"+917738589363")</f>
        <v>+917738589363</v>
      </c>
      <c r="G1478" s="30" t="s">
        <v>72</v>
      </c>
      <c r="H1478" s="31" t="str">
        <f>IFERROR(__xludf.DUMMYFUNCTION("IFERROR(VLOOKUP(J1478,{IMPORTRANGE(""1xFrklApkRqApw6hS49w9Le1ELcHrQ5f2FJdiVs8ztHg"", ""Joining &amp; Induction Tracker!F:F""),IMPORTRANGE(""1xFrklApkRqApw6hS49w9Le1ELcHrQ5f2FJdiVs8ztHg"", ""Joining &amp; Induction Tracker!B:B"")},2,0),"""")"),"Senior Video Editor ( Creative Team Lead )")</f>
        <v>Senior Video Editor ( Creative Team Lead )</v>
      </c>
      <c r="I1478" s="26" t="s">
        <v>3350</v>
      </c>
      <c r="J1478" s="34" t="s">
        <v>3564</v>
      </c>
      <c r="K1478" s="26"/>
      <c r="L1478" s="31" t="s">
        <v>78</v>
      </c>
    </row>
    <row r="1479">
      <c r="A1479" s="37">
        <v>46027.0</v>
      </c>
      <c r="B1479" s="26" t="s">
        <v>3734</v>
      </c>
      <c r="C1479" s="26" t="s">
        <v>3735</v>
      </c>
      <c r="D1479" s="32" t="s">
        <v>3317</v>
      </c>
      <c r="E1479" s="30" t="s">
        <v>71</v>
      </c>
      <c r="F1479" s="33" t="str">
        <f>IFERROR(__xludf.DUMMYFUNCTION("IFERROR(
    IF(AND(ISNUMBER(VLOOKUP(J1479,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LEN(VLOOKUP(J1479,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VLOOKUP(J1479,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VLOOKUP(J1479,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"),"+919930696394")</f>
        <v>+919930696394</v>
      </c>
      <c r="G1479" s="30" t="s">
        <v>72</v>
      </c>
      <c r="H1479" s="31" t="str">
        <f>IFERROR(__xludf.DUMMYFUNCTION("IFERROR(VLOOKUP(J1479,{IMPORTRANGE(""1xFrklApkRqApw6hS49w9Le1ELcHrQ5f2FJdiVs8ztHg"", ""Joining &amp; Induction Tracker!F:F""),IMPORTRANGE(""1xFrklApkRqApw6hS49w9Le1ELcHrQ5f2FJdiVs8ztHg"", ""Joining &amp; Induction Tracker!B:B"")},2,0),"""")"),"Producer (Content)")</f>
        <v>Producer (Content)</v>
      </c>
      <c r="I1479" s="26" t="s">
        <v>3335</v>
      </c>
      <c r="J1479" s="34" t="s">
        <v>3736</v>
      </c>
      <c r="K1479" s="26"/>
      <c r="L1479" s="31" t="s">
        <v>78</v>
      </c>
    </row>
    <row r="1480">
      <c r="A1480" s="37">
        <v>46027.0</v>
      </c>
      <c r="B1480" s="26" t="s">
        <v>3737</v>
      </c>
      <c r="C1480" s="26" t="s">
        <v>3738</v>
      </c>
      <c r="D1480" s="32" t="s">
        <v>22</v>
      </c>
      <c r="E1480" s="30" t="s">
        <v>71</v>
      </c>
      <c r="F1480" s="33" t="str">
        <f>IFERROR(__xludf.DUMMYFUNCTION("IFERROR(
    IF(AND(ISNUMBER(VLOOKUP(J1480,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LEN(VLOOKUP(J1480,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VLOOKUP(J1480,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VLOOKUP(J1480,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"),"+919990088859")</f>
        <v>+919990088859</v>
      </c>
      <c r="G1480" s="30" t="s">
        <v>72</v>
      </c>
      <c r="H1480" s="31" t="str">
        <f>IFERROR(__xludf.DUMMYFUNCTION("IFERROR(VLOOKUP(J1480,{IMPORTRANGE(""1xFrklApkRqApw6hS49w9Le1ELcHrQ5f2FJdiVs8ztHg"", ""Joining &amp; Induction Tracker!F:F""),IMPORTRANGE(""1xFrklApkRqApw6hS49w9Le1ELcHrQ5f2FJdiVs8ztHg"", ""Joining &amp; Induction Tracker!B:B"")},2,0),"""")"),"Senior Machine Learning Engineer")</f>
        <v>Senior Machine Learning Engineer</v>
      </c>
      <c r="I1480" s="31" t="s">
        <v>2181</v>
      </c>
      <c r="J1480" s="26" t="s">
        <v>3739</v>
      </c>
      <c r="K1480" s="26"/>
      <c r="L1480" s="31" t="s">
        <v>78</v>
      </c>
    </row>
    <row r="1481">
      <c r="A1481" s="37">
        <v>46027.0</v>
      </c>
      <c r="B1481" s="26" t="s">
        <v>3740</v>
      </c>
      <c r="C1481" s="26" t="s">
        <v>3741</v>
      </c>
      <c r="D1481" s="32" t="s">
        <v>33</v>
      </c>
      <c r="E1481" s="30" t="s">
        <v>71</v>
      </c>
      <c r="F1481" s="33" t="str">
        <f>IFERROR(__xludf.DUMMYFUNCTION("IFERROR(
    IF(AND(ISNUMBER(VLOOKUP(J1481,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LEN(VLOOKUP(J1481,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VLOOKUP(J1481,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VLOOKUP(J1481,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"),"+918950819562")</f>
        <v>+918950819562</v>
      </c>
      <c r="G1481" s="30" t="s">
        <v>72</v>
      </c>
      <c r="H1481" s="31" t="str">
        <f>IFERROR(__xludf.DUMMYFUNCTION("IFERROR(VLOOKUP(J1481,{IMPORTRANGE(""1xFrklApkRqApw6hS49w9Le1ELcHrQ5f2FJdiVs8ztHg"", ""Joining &amp; Induction Tracker!F:F""),IMPORTRANGE(""1xFrklApkRqApw6hS49w9Le1ELcHrQ5f2FJdiVs8ztHg"", ""Joining &amp; Induction Tracker!B:B"")},2,0),"""")"),"CA Intern")</f>
        <v>CA Intern</v>
      </c>
      <c r="I1481" s="26" t="s">
        <v>3425</v>
      </c>
      <c r="J1481" s="34" t="s">
        <v>3742</v>
      </c>
      <c r="K1481" s="26"/>
      <c r="L1481" s="31" t="s">
        <v>78</v>
      </c>
    </row>
    <row r="1482">
      <c r="A1482" s="37">
        <v>46027.0</v>
      </c>
      <c r="B1482" s="26" t="s">
        <v>3743</v>
      </c>
      <c r="C1482" s="26" t="s">
        <v>3744</v>
      </c>
      <c r="D1482" s="32" t="s">
        <v>3317</v>
      </c>
      <c r="E1482" s="30" t="s">
        <v>71</v>
      </c>
      <c r="F1482" s="33" t="str">
        <f>IFERROR(__xludf.DUMMYFUNCTION("IFERROR(
    IF(AND(ISNUMBER(VLOOKUP(J1482,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LEN(VLOOKUP(J1482,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VLOOKUP(J1482,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VLOOKUP(J1482,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"),"+917300601787")</f>
        <v>+917300601787</v>
      </c>
      <c r="G1482" s="30" t="s">
        <v>72</v>
      </c>
      <c r="H1482" s="31" t="str">
        <f>IFERROR(__xludf.DUMMYFUNCTION("IFERROR(VLOOKUP(J1482,{IMPORTRANGE(""1xFrklApkRqApw6hS49w9Le1ELcHrQ5f2FJdiVs8ztHg"", ""Joining &amp; Induction Tracker!F:F""),IMPORTRANGE(""1xFrklApkRqApw6hS49w9Le1ELcHrQ5f2FJdiVs8ztHg"", ""Joining &amp; Induction Tracker!B:B"")},2,0),"""")"),"Associate Video Editor")</f>
        <v>Associate Video Editor</v>
      </c>
      <c r="I1482" s="26" t="s">
        <v>3350</v>
      </c>
      <c r="J1482" s="34" t="s">
        <v>3745</v>
      </c>
      <c r="K1482" s="26"/>
      <c r="L1482" s="31" t="s">
        <v>78</v>
      </c>
    </row>
    <row r="1483">
      <c r="A1483" s="37">
        <v>46027.0</v>
      </c>
      <c r="B1483" s="26" t="s">
        <v>3746</v>
      </c>
      <c r="C1483" s="26" t="s">
        <v>3747</v>
      </c>
      <c r="D1483" s="32" t="s">
        <v>3317</v>
      </c>
      <c r="E1483" s="30" t="s">
        <v>71</v>
      </c>
      <c r="F1483" s="33" t="str">
        <f>IFERROR(__xludf.DUMMYFUNCTION("IFERROR(
    IF(AND(ISNUMBER(VLOOKUP(J1483,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LEN(VLOOKUP(J1483,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VLOOKUP(J1483,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VLOOKUP(J1483,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"),"+918340624094")</f>
        <v>+918340624094</v>
      </c>
      <c r="G1483" s="30" t="s">
        <v>72</v>
      </c>
      <c r="H1483" s="31" t="str">
        <f>IFERROR(__xludf.DUMMYFUNCTION("IFERROR(VLOOKUP(J1483,{IMPORTRANGE(""1xFrklApkRqApw6hS49w9Le1ELcHrQ5f2FJdiVs8ztHg"", ""Joining &amp; Induction Tracker!F:F""),IMPORTRANGE(""1xFrklApkRqApw6hS49w9Le1ELcHrQ5f2FJdiVs8ztHg"", ""Joining &amp; Induction Tracker!B:B"")},2,0),"""")"),"Promo Editor-Contractual")</f>
        <v>Promo Editor-Contractual</v>
      </c>
      <c r="I1483" s="26" t="s">
        <v>3524</v>
      </c>
      <c r="J1483" s="34" t="s">
        <v>3748</v>
      </c>
      <c r="K1483" s="26"/>
      <c r="L1483" s="31" t="s">
        <v>78</v>
      </c>
    </row>
    <row r="1484">
      <c r="A1484" s="37">
        <v>46027.0</v>
      </c>
      <c r="B1484" s="26" t="s">
        <v>3749</v>
      </c>
      <c r="C1484" s="26" t="s">
        <v>3750</v>
      </c>
      <c r="D1484" s="32" t="s">
        <v>3317</v>
      </c>
      <c r="E1484" s="30" t="s">
        <v>71</v>
      </c>
      <c r="F1484" s="33" t="str">
        <f>IFERROR(__xludf.DUMMYFUNCTION("IFERROR(
    IF(AND(ISNUMBER(VLOOKUP(J1484,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LEN(VLOOKUP(J1484,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VLOOKUP(J1484,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VLOOKUP(J1484,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"),"+919307756774")</f>
        <v>+919307756774</v>
      </c>
      <c r="G1484" s="30" t="s">
        <v>72</v>
      </c>
      <c r="H1484" s="31" t="str">
        <f>IFERROR(__xludf.DUMMYFUNCTION("IFERROR(VLOOKUP(J1484,{IMPORTRANGE(""1xFrklApkRqApw6hS49w9Le1ELcHrQ5f2FJdiVs8ztHg"", ""Joining &amp; Induction Tracker!F:F""),IMPORTRANGE(""1xFrklApkRqApw6hS49w9Le1ELcHrQ5f2FJdiVs8ztHg"", ""Joining &amp; Induction Tracker!B:B"")},2,0),"""")"),"Video Editor")</f>
        <v>Video Editor</v>
      </c>
      <c r="I1484" s="26" t="s">
        <v>3350</v>
      </c>
      <c r="J1484" s="34" t="s">
        <v>3751</v>
      </c>
      <c r="K1484" s="26"/>
      <c r="L1484" s="31" t="s">
        <v>78</v>
      </c>
    </row>
    <row r="1485">
      <c r="A1485" s="37">
        <v>46027.0</v>
      </c>
      <c r="B1485" s="26" t="s">
        <v>3752</v>
      </c>
      <c r="C1485" s="26" t="s">
        <v>3753</v>
      </c>
      <c r="D1485" s="32" t="s">
        <v>3317</v>
      </c>
      <c r="E1485" s="30" t="s">
        <v>71</v>
      </c>
      <c r="F1485" s="33" t="str">
        <f>IFERROR(__xludf.DUMMYFUNCTION("IFERROR(
    IF(AND(ISNUMBER(VLOOKUP(J1485,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LEN(VLOOKUP(J1485,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VLOOKUP(J1485,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VLOOKUP(J1485,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"),"+919833386587")</f>
        <v>+919833386587</v>
      </c>
      <c r="G1485" s="30" t="s">
        <v>72</v>
      </c>
      <c r="H1485" s="31" t="str">
        <f>IFERROR(__xludf.DUMMYFUNCTION("IFERROR(VLOOKUP(J1485,{IMPORTRANGE(""1xFrklApkRqApw6hS49w9Le1ELcHrQ5f2FJdiVs8ztHg"", ""Joining &amp; Induction Tracker!F:F""),IMPORTRANGE(""1xFrklApkRqApw6hS49w9Le1ELcHrQ5f2FJdiVs8ztHg"", ""Joining &amp; Induction Tracker!B:B"")},2,0),"""")"),"Sound Engineer - Final mix and master")</f>
        <v>Sound Engineer - Final mix and master</v>
      </c>
      <c r="I1485" s="26" t="s">
        <v>3350</v>
      </c>
      <c r="J1485" s="34" t="s">
        <v>3754</v>
      </c>
      <c r="K1485" s="26"/>
      <c r="L1485" s="31" t="s">
        <v>78</v>
      </c>
    </row>
    <row r="1486">
      <c r="A1486" s="37">
        <v>46029.0</v>
      </c>
      <c r="B1486" s="26" t="s">
        <v>1851</v>
      </c>
      <c r="C1486" s="26" t="s">
        <v>3755</v>
      </c>
      <c r="D1486" s="32" t="s">
        <v>21</v>
      </c>
      <c r="E1486" s="30" t="s">
        <v>71</v>
      </c>
      <c r="F1486" s="39" t="s">
        <v>3756</v>
      </c>
      <c r="G1486" s="32" t="s">
        <v>1043</v>
      </c>
      <c r="H1486" s="31" t="s">
        <v>21</v>
      </c>
      <c r="I1486" s="31" t="s">
        <v>1400</v>
      </c>
      <c r="J1486" s="38"/>
      <c r="K1486" s="26" t="s">
        <v>3757</v>
      </c>
      <c r="L1486" s="31" t="s">
        <v>78</v>
      </c>
    </row>
    <row r="1487">
      <c r="A1487" s="37">
        <v>46029.0</v>
      </c>
      <c r="B1487" s="26" t="s">
        <v>2464</v>
      </c>
      <c r="C1487" s="26" t="s">
        <v>3758</v>
      </c>
      <c r="D1487" s="32" t="s">
        <v>21</v>
      </c>
      <c r="E1487" s="30" t="s">
        <v>71</v>
      </c>
      <c r="F1487" s="39" t="s">
        <v>3759</v>
      </c>
      <c r="G1487" s="32" t="s">
        <v>1043</v>
      </c>
      <c r="H1487" s="31" t="s">
        <v>21</v>
      </c>
      <c r="I1487" s="26" t="s">
        <v>1164</v>
      </c>
      <c r="J1487" s="38"/>
      <c r="K1487" s="26" t="s">
        <v>3757</v>
      </c>
      <c r="L1487" s="31" t="s">
        <v>78</v>
      </c>
    </row>
    <row r="1488">
      <c r="A1488" s="37">
        <v>46029.0</v>
      </c>
      <c r="B1488" s="26" t="s">
        <v>3760</v>
      </c>
      <c r="C1488" s="26" t="s">
        <v>3761</v>
      </c>
      <c r="D1488" s="32" t="s">
        <v>3317</v>
      </c>
      <c r="E1488" s="30" t="s">
        <v>71</v>
      </c>
      <c r="F1488" s="39" t="s">
        <v>3650</v>
      </c>
      <c r="G1488" s="30" t="s">
        <v>54</v>
      </c>
      <c r="H1488" s="26" t="s">
        <v>54</v>
      </c>
      <c r="I1488" s="26" t="s">
        <v>3350</v>
      </c>
      <c r="J1488" s="38"/>
      <c r="K1488" s="26"/>
      <c r="L1488" s="31" t="s">
        <v>78</v>
      </c>
    </row>
    <row r="1489">
      <c r="A1489" s="37">
        <v>46029.0</v>
      </c>
      <c r="B1489" s="26" t="s">
        <v>3762</v>
      </c>
      <c r="C1489" s="26" t="s">
        <v>3763</v>
      </c>
      <c r="D1489" s="32" t="s">
        <v>3317</v>
      </c>
      <c r="E1489" s="30" t="s">
        <v>71</v>
      </c>
      <c r="F1489" s="39" t="s">
        <v>3650</v>
      </c>
      <c r="G1489" s="30" t="s">
        <v>54</v>
      </c>
      <c r="H1489" s="26" t="s">
        <v>54</v>
      </c>
      <c r="I1489" s="26" t="s">
        <v>3350</v>
      </c>
      <c r="J1489" s="38"/>
      <c r="K1489" s="26"/>
      <c r="L1489" s="31" t="s">
        <v>78</v>
      </c>
    </row>
    <row r="1490">
      <c r="A1490" s="37">
        <v>46030.0</v>
      </c>
      <c r="B1490" s="26" t="s">
        <v>3764</v>
      </c>
      <c r="C1490" s="26" t="s">
        <v>3765</v>
      </c>
      <c r="D1490" s="32" t="s">
        <v>28</v>
      </c>
      <c r="E1490" s="30" t="s">
        <v>71</v>
      </c>
      <c r="F1490" s="33" t="str">
        <f>IFERROR(__xludf.DUMMYFUNCTION("IFERROR(
    IF(AND(ISNUMBER(VLOOKUP(J1490,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"),"+917303312567")</f>
        <v>+917303312567</v>
      </c>
      <c r="G1490" s="30" t="s">
        <v>72</v>
      </c>
      <c r="H1490" s="31" t="str">
        <f>IFERROR(__xludf.DUMMYFUNCTION("IFERROR(VLOOKUP(J1490,{IMPORTRANGE(""1xFrklApkRqApw6hS49w9Le1ELcHrQ5f2FJdiVs8ztHg"", ""Joining &amp; Induction Tracker!F:F""),IMPORTRANGE(""1xFrklApkRqApw6hS49w9Le1ELcHrQ5f2FJdiVs8ztHg"", ""Joining &amp; Induction Tracker!B:B"")},2,0),"""")"),"Associate- Operations")</f>
        <v>Associate- Operations</v>
      </c>
      <c r="I1490" s="26" t="s">
        <v>3635</v>
      </c>
      <c r="J1490" s="31" t="s">
        <v>3766</v>
      </c>
      <c r="K1490" s="26"/>
      <c r="L1490" s="31" t="s">
        <v>78</v>
      </c>
    </row>
    <row r="1491">
      <c r="A1491" s="37">
        <v>46030.0</v>
      </c>
      <c r="B1491" s="26" t="s">
        <v>3767</v>
      </c>
      <c r="C1491" s="26" t="s">
        <v>3768</v>
      </c>
      <c r="D1491" s="32" t="s">
        <v>3317</v>
      </c>
      <c r="E1491" s="30" t="s">
        <v>71</v>
      </c>
      <c r="F1491" s="33" t="str">
        <f>IFERROR(__xludf.DUMMYFUNCTION("IFERROR(
    IF(AND(ISNUMBER(VLOOKUP(J1491,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"),"+917355484976")</f>
        <v>+917355484976</v>
      </c>
      <c r="G1491" s="30" t="s">
        <v>72</v>
      </c>
      <c r="H1491" s="31" t="str">
        <f>IFERROR(__xludf.DUMMYFUNCTION("IFERROR(VLOOKUP(J1491,{IMPORTRANGE(""1xFrklApkRqApw6hS49w9Le1ELcHrQ5f2FJdiVs8ztHg"", ""Joining &amp; Induction Tracker!F:F""),IMPORTRANGE(""1xFrklApkRqApw6hS49w9Le1ELcHrQ5f2FJdiVs8ztHg"", ""Joining &amp; Induction Tracker!B:B"")},2,0),"""")"),"Promo writer")</f>
        <v>Promo writer</v>
      </c>
      <c r="I1491" s="26" t="s">
        <v>3323</v>
      </c>
      <c r="J1491" s="31" t="s">
        <v>3769</v>
      </c>
      <c r="K1491" s="26"/>
      <c r="L1491" s="31" t="s">
        <v>78</v>
      </c>
    </row>
    <row r="1492">
      <c r="A1492" s="37">
        <v>46031.0</v>
      </c>
      <c r="B1492" s="26" t="s">
        <v>3770</v>
      </c>
      <c r="C1492" s="26" t="s">
        <v>3771</v>
      </c>
      <c r="D1492" s="32" t="s">
        <v>28</v>
      </c>
      <c r="E1492" s="30" t="s">
        <v>71</v>
      </c>
      <c r="F1492" s="33" t="str">
        <f>IFERROR(__xludf.DUMMYFUNCTION("IFERROR(
    IF(AND(ISNUMBER(VLOOKUP(J1492,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"),"+919953326930")</f>
        <v>+919953326930</v>
      </c>
      <c r="G1492" s="30" t="s">
        <v>72</v>
      </c>
      <c r="H1492" s="31" t="str">
        <f>IFERROR(__xludf.DUMMYFUNCTION("IFERROR(VLOOKUP(J1492,{IMPORTRANGE(""1xFrklApkRqApw6hS49w9Le1ELcHrQ5f2FJdiVs8ztHg"", ""Joining &amp; Induction Tracker!F:F""),IMPORTRANGE(""1xFrklApkRqApw6hS49w9Le1ELcHrQ5f2FJdiVs8ztHg"", ""Joining &amp; Induction Tracker!B:B"")},2,0),"""")"),"Senior Manager- Operations")</f>
        <v>Senior Manager- Operations</v>
      </c>
      <c r="I1492" s="26" t="s">
        <v>3635</v>
      </c>
      <c r="J1492" s="49" t="s">
        <v>3772</v>
      </c>
      <c r="K1492" s="26"/>
      <c r="L1492" s="31" t="s">
        <v>78</v>
      </c>
    </row>
    <row r="1493">
      <c r="A1493" s="37">
        <v>46034.0</v>
      </c>
      <c r="B1493" s="26" t="s">
        <v>3773</v>
      </c>
      <c r="C1493" s="26" t="s">
        <v>3774</v>
      </c>
      <c r="D1493" s="32" t="s">
        <v>33</v>
      </c>
      <c r="E1493" s="30" t="s">
        <v>71</v>
      </c>
      <c r="F1493" s="33" t="str">
        <f>IFERROR(__xludf.DUMMYFUNCTION("IFERROR(
    IF(AND(ISNUMBER(VLOOKUP(J1493,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LEN(VLOOKUP(J1493,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VLOOKUP(J1493,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VLOOKUP(J1493,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"),"+918950200704")</f>
        <v>+918950200704</v>
      </c>
      <c r="G1493" s="30" t="s">
        <v>72</v>
      </c>
      <c r="H1493" s="31" t="str">
        <f>IFERROR(__xludf.DUMMYFUNCTION("IFERROR(VLOOKUP(J1493,{IMPORTRANGE(""1xFrklApkRqApw6hS49w9Le1ELcHrQ5f2FJdiVs8ztHg"", ""Joining &amp; Induction Tracker!F:F""),IMPORTRANGE(""1xFrklApkRqApw6hS49w9Le1ELcHrQ5f2FJdiVs8ztHg"", ""Joining &amp; Induction Tracker!B:B"")},2,0),"""")"),"CA Intern")</f>
        <v>CA Intern</v>
      </c>
      <c r="I1493" s="26" t="s">
        <v>1380</v>
      </c>
      <c r="J1493" s="48" t="s">
        <v>3775</v>
      </c>
      <c r="K1493" s="26"/>
      <c r="L1493" s="31" t="s">
        <v>75</v>
      </c>
    </row>
    <row r="1494">
      <c r="A1494" s="37">
        <v>46034.0</v>
      </c>
      <c r="B1494" s="26" t="s">
        <v>3776</v>
      </c>
      <c r="C1494" s="26" t="s">
        <v>3777</v>
      </c>
      <c r="D1494" s="32" t="s">
        <v>3317</v>
      </c>
      <c r="E1494" s="30" t="s">
        <v>71</v>
      </c>
      <c r="F1494" s="33" t="str">
        <f>IFERROR(__xludf.DUMMYFUNCTION("IFERROR(
    IF(AND(ISNUMBER(VLOOKUP(J1494,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LEN(VLOOKUP(J1494,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VLOOKUP(J1494,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VLOOKUP(J1494,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"),"+917506843803")</f>
        <v>+917506843803</v>
      </c>
      <c r="G1494" s="30" t="s">
        <v>72</v>
      </c>
      <c r="H1494" s="31" t="str">
        <f>IFERROR(__xludf.DUMMYFUNCTION("IFERROR(VLOOKUP(J1494,{IMPORTRANGE(""1xFrklApkRqApw6hS49w9Le1ELcHrQ5f2FJdiVs8ztHg"", ""Joining &amp; Induction Tracker!F:F""),IMPORTRANGE(""1xFrklApkRqApw6hS49w9Le1ELcHrQ5f2FJdiVs8ztHg"", ""Joining &amp; Induction Tracker!B:B"")},2,0),"""")"),"Senior Producer")</f>
        <v>Senior Producer</v>
      </c>
      <c r="I1494" s="26" t="s">
        <v>3335</v>
      </c>
      <c r="J1494" s="49" t="s">
        <v>3778</v>
      </c>
      <c r="K1494" s="26"/>
      <c r="L1494" s="31" t="s">
        <v>78</v>
      </c>
    </row>
    <row r="1495">
      <c r="A1495" s="37">
        <v>46035.0</v>
      </c>
      <c r="B1495" s="26" t="s">
        <v>3779</v>
      </c>
      <c r="C1495" s="26" t="s">
        <v>3780</v>
      </c>
      <c r="D1495" s="32" t="s">
        <v>33</v>
      </c>
      <c r="E1495" s="30" t="s">
        <v>71</v>
      </c>
      <c r="F1495" s="33" t="str">
        <f>IFERROR(__xludf.DUMMYFUNCTION("IFERROR(
    IF(AND(ISNUMBER(VLOOKUP(J1495,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LEN(VLOOKUP(J1495,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VLOOKUP(J1495,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VLOOKUP(J1495,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"),"+919312414201")</f>
        <v>+919312414201</v>
      </c>
      <c r="G1495" s="30" t="s">
        <v>1273</v>
      </c>
      <c r="H1495" s="31" t="str">
        <f>IFERROR(__xludf.DUMMYFUNCTION("IFERROR(VLOOKUP(J1495,{IMPORTRANGE(""1xFrklApkRqApw6hS49w9Le1ELcHrQ5f2FJdiVs8ztHg"", ""Joining &amp; Induction Tracker!F:F""),IMPORTRANGE(""1xFrklApkRqApw6hS49w9Le1ELcHrQ5f2FJdiVs8ztHg"", ""Joining &amp; Induction Tracker!B:B"")},2,0),"""")"),"CA Intern")</f>
        <v>CA Intern</v>
      </c>
      <c r="I1495" s="26" t="s">
        <v>1380</v>
      </c>
      <c r="J1495" s="49" t="s">
        <v>3781</v>
      </c>
      <c r="K1495" s="26"/>
      <c r="L1495" s="31" t="s">
        <v>75</v>
      </c>
    </row>
    <row r="1496">
      <c r="A1496" s="37">
        <v>46035.0</v>
      </c>
      <c r="B1496" s="26" t="s">
        <v>3782</v>
      </c>
      <c r="C1496" s="26" t="s">
        <v>3783</v>
      </c>
      <c r="D1496" s="32" t="s">
        <v>78</v>
      </c>
      <c r="E1496" s="30" t="s">
        <v>71</v>
      </c>
      <c r="F1496" s="33" t="str">
        <f>IFERROR(__xludf.DUMMYFUNCTION("IFERROR(
    IF(AND(ISNUMBER(VLOOKUP(J1496,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LEN(VLOOKUP(J1496,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VLOOKUP(J1496,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VLOOKUP(J1496,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496" s="30" t="s">
        <v>54</v>
      </c>
      <c r="H1496" s="26" t="s">
        <v>54</v>
      </c>
      <c r="I1496" s="26" t="s">
        <v>2329</v>
      </c>
      <c r="J1496" s="38"/>
      <c r="K1496" s="26" t="s">
        <v>3784</v>
      </c>
      <c r="L1496" s="31" t="s">
        <v>78</v>
      </c>
    </row>
    <row r="1497">
      <c r="A1497" s="37">
        <v>46036.0</v>
      </c>
      <c r="B1497" s="26" t="s">
        <v>3785</v>
      </c>
      <c r="C1497" s="26" t="s">
        <v>3786</v>
      </c>
      <c r="D1497" s="30" t="s">
        <v>3317</v>
      </c>
      <c r="E1497" s="30" t="s">
        <v>71</v>
      </c>
      <c r="F1497" s="33" t="str">
        <f>IFERROR(__xludf.DUMMYFUNCTION("IFERROR(
    IF(AND(ISNUMBER(VLOOKUP(J1497,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LEN(VLOOKUP(J1497,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VLOOKUP(J1497,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VLOOKUP(J1497,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497" s="30" t="s">
        <v>54</v>
      </c>
      <c r="H1497" s="31" t="str">
        <f>IFERROR(__xludf.DUMMYFUNCTION("IFERROR(VLOOKUP(J1497,{IMPORTRANGE(""1xFrklApkRqApw6hS49w9Le1ELcHrQ5f2FJdiVs8ztHg"", ""Joining &amp; Induction Tracker!F:F""),IMPORTRANGE(""1xFrklApkRqApw6hS49w9Le1ELcHrQ5f2FJdiVs8ztHg"", ""Joining &amp; Induction Tracker!B:B"")},2,0),"""")"),"")</f>
        <v/>
      </c>
      <c r="I1497" s="26" t="s">
        <v>3350</v>
      </c>
      <c r="J1497" s="38"/>
      <c r="K1497" s="26"/>
      <c r="L1497" s="31" t="s">
        <v>78</v>
      </c>
    </row>
    <row r="1498">
      <c r="A1498" s="37">
        <v>46037.0</v>
      </c>
      <c r="B1498" s="26" t="s">
        <v>3787</v>
      </c>
      <c r="C1498" s="26" t="s">
        <v>3788</v>
      </c>
      <c r="D1498" s="32" t="s">
        <v>3317</v>
      </c>
      <c r="E1498" s="30" t="s">
        <v>71</v>
      </c>
      <c r="F1498" s="33" t="str">
        <f>IFERROR(__xludf.DUMMYFUNCTION("IFERROR(
    IF(AND(ISNUMBER(VLOOKUP(J1498,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LEN(VLOOKUP(J1498,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VLOOKUP(J1498,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VLOOKUP(J1498,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"),"+918692042116")</f>
        <v>+918692042116</v>
      </c>
      <c r="G1498" s="30" t="s">
        <v>72</v>
      </c>
      <c r="H1498" s="31" t="str">
        <f>IFERROR(__xludf.DUMMYFUNCTION("IFERROR(VLOOKUP(J1498,{IMPORTRANGE(""1xFrklApkRqApw6hS49w9Le1ELcHrQ5f2FJdiVs8ztHg"", ""Joining &amp; Induction Tracker!F:F""),IMPORTRANGE(""1xFrklApkRqApw6hS49w9Le1ELcHrQ5f2FJdiVs8ztHg"", ""Joining &amp; Induction Tracker!B:B"")},2,0),"""")"),"Graphic Designer")</f>
        <v>Graphic Designer</v>
      </c>
      <c r="I1498" s="26" t="s">
        <v>3332</v>
      </c>
      <c r="J1498" s="49" t="s">
        <v>3789</v>
      </c>
      <c r="K1498" s="26"/>
      <c r="L1498" s="31" t="s">
        <v>78</v>
      </c>
    </row>
    <row r="1499">
      <c r="A1499" s="37">
        <v>46045.0</v>
      </c>
      <c r="B1499" s="26" t="s">
        <v>3790</v>
      </c>
      <c r="C1499" s="26" t="s">
        <v>3791</v>
      </c>
      <c r="D1499" s="32" t="s">
        <v>3317</v>
      </c>
      <c r="E1499" s="30" t="s">
        <v>71</v>
      </c>
      <c r="F1499" s="33" t="str">
        <f>IFERROR(__xludf.DUMMYFUNCTION("IFERROR(
    IF(AND(ISNUMBER(VLOOKUP(J1499,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LEN(VLOOKUP(J1499,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VLOOKUP(J1499,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VLOOKUP(J1499,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"),"+918779797773")</f>
        <v>+918779797773</v>
      </c>
      <c r="G1499" s="30" t="s">
        <v>72</v>
      </c>
      <c r="H1499" s="31" t="str">
        <f>IFERROR(__xludf.DUMMYFUNCTION("IFERROR(VLOOKUP(J1499,{IMPORTRANGE(""1xFrklApkRqApw6hS49w9Le1ELcHrQ5f2FJdiVs8ztHg"", ""Joining &amp; Induction Tracker!F:F""),IMPORTRANGE(""1xFrklApkRqApw6hS49w9Le1ELcHrQ5f2FJdiVs8ztHg"", ""Joining &amp; Induction Tracker!B:B"")},2,0),"""")"),"Music Producer")</f>
        <v>Music Producer</v>
      </c>
      <c r="I1499" s="26" t="s">
        <v>3350</v>
      </c>
      <c r="J1499" s="49" t="s">
        <v>3792</v>
      </c>
      <c r="K1499" s="26"/>
      <c r="L1499" s="31" t="s">
        <v>78</v>
      </c>
    </row>
    <row r="1500">
      <c r="A1500" s="37">
        <v>46050.0</v>
      </c>
      <c r="B1500" s="26" t="s">
        <v>3793</v>
      </c>
      <c r="C1500" s="26" t="s">
        <v>3794</v>
      </c>
      <c r="D1500" s="32" t="s">
        <v>78</v>
      </c>
      <c r="E1500" s="30" t="s">
        <v>71</v>
      </c>
      <c r="F1500" s="33" t="str">
        <f>IFERROR(__xludf.DUMMYFUNCTION("IFERROR(
    IF(AND(ISNUMBER(VLOOKUP(J1500,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00" s="30" t="s">
        <v>54</v>
      </c>
      <c r="H1500" s="30" t="s">
        <v>54</v>
      </c>
      <c r="I1500" s="26" t="s">
        <v>2826</v>
      </c>
      <c r="J1500" s="38"/>
      <c r="K1500" s="26" t="s">
        <v>3795</v>
      </c>
      <c r="L1500" s="31" t="s">
        <v>78</v>
      </c>
    </row>
    <row r="1501">
      <c r="A1501" s="37">
        <v>46055.0</v>
      </c>
      <c r="B1501" s="26" t="s">
        <v>3796</v>
      </c>
      <c r="C1501" s="26" t="s">
        <v>3797</v>
      </c>
      <c r="D1501" s="32" t="s">
        <v>3317</v>
      </c>
      <c r="E1501" s="30" t="s">
        <v>71</v>
      </c>
      <c r="F1501" s="33" t="str">
        <f>IFERROR(__xludf.DUMMYFUNCTION("IFERROR(
    IF(AND(ISNUMBER(VLOOKUP(J1501,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"),"+919930613916")</f>
        <v>+919930613916</v>
      </c>
      <c r="G1501" s="30" t="s">
        <v>72</v>
      </c>
      <c r="H1501" s="31" t="str">
        <f>IFERROR(__xludf.DUMMYFUNCTION("IFERROR(VLOOKUP(J1501,{IMPORTRANGE(""1xFrklApkRqApw6hS49w9Le1ELcHrQ5f2FJdiVs8ztHg"", ""Joining &amp; Induction Tracker!F:F""),IMPORTRANGE(""1xFrklApkRqApw6hS49w9Le1ELcHrQ5f2FJdiVs8ztHg"", ""Joining &amp; Induction Tracker!B:B"")},2,0),"""")"),"Video Editor")</f>
        <v>Video Editor</v>
      </c>
      <c r="I1501" s="26" t="s">
        <v>3350</v>
      </c>
      <c r="J1501" s="49" t="s">
        <v>3798</v>
      </c>
      <c r="K1501" s="26"/>
      <c r="L1501" s="31" t="s">
        <v>78</v>
      </c>
    </row>
    <row r="1502">
      <c r="A1502" s="37">
        <v>46055.0</v>
      </c>
      <c r="B1502" s="26" t="s">
        <v>3799</v>
      </c>
      <c r="C1502" s="26" t="s">
        <v>3800</v>
      </c>
      <c r="D1502" s="32" t="s">
        <v>3317</v>
      </c>
      <c r="E1502" s="30" t="s">
        <v>71</v>
      </c>
      <c r="F1502" s="33" t="str">
        <f>IFERROR(__xludf.DUMMYFUNCTION("IFERROR(
    IF(AND(ISNUMBER(VLOOKUP(J1502,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"),"+918459900944")</f>
        <v>+918459900944</v>
      </c>
      <c r="G1502" s="30" t="s">
        <v>72</v>
      </c>
      <c r="H1502" s="31" t="str">
        <f>IFERROR(__xludf.DUMMYFUNCTION("IFERROR(VLOOKUP(J1502,{IMPORTRANGE(""1xFrklApkRqApw6hS49w9Le1ELcHrQ5f2FJdiVs8ztHg"", ""Joining &amp; Induction Tracker!F:F""),IMPORTRANGE(""1xFrklApkRqApw6hS49w9Le1ELcHrQ5f2FJdiVs8ztHg"", ""Joining &amp; Induction Tracker!B:B"")},2,0),"""")"),"Video Editor")</f>
        <v>Video Editor</v>
      </c>
      <c r="I1502" s="26" t="s">
        <v>3350</v>
      </c>
      <c r="J1502" s="49" t="s">
        <v>3801</v>
      </c>
      <c r="K1502" s="26"/>
      <c r="L1502" s="31" t="s">
        <v>78</v>
      </c>
    </row>
    <row r="1503">
      <c r="A1503" s="37">
        <v>46057.0</v>
      </c>
      <c r="B1503" s="26" t="str">
        <f>IFERROR(__xludf.DUMMYFUNCTION("IFERROR(VLOOKUP(J1503,{IMPORTRANGE(""1xFrklApkRqApw6hS49w9Le1ELcHrQ5f2FJdiVs8ztHg"", ""Joining &amp; Induction Tracker!F:F""),IMPORTRANGE(""1xFrklApkRqApw6hS49w9Le1ELcHrQ5f2FJdiVs8ztHg"", ""Joining &amp; Induction Tracker!A:A"")},2,0),"""")"),"Tanvi Kaur")</f>
        <v>Tanvi Kaur</v>
      </c>
      <c r="C1503" s="26" t="s">
        <v>3802</v>
      </c>
      <c r="D1503" s="32" t="str">
        <f>IFERROR(__xludf.DUMMYFUNCTION("IFERROR(VLOOKUP(J1503,{IMPORTRANGE(""1xFrklApkRqApw6hS49w9Le1ELcHrQ5f2FJdiVs8ztHg"", ""Joining &amp; Induction Tracker!F:F""),IMPORTRANGE(""1xFrklApkRqApw6hS49w9Le1ELcHrQ5f2FJdiVs8ztHg"", ""Joining &amp; Induction Tracker!C:C"")},2,0),"""")"),"Digital Marketing")</f>
        <v>Digital Marketing</v>
      </c>
      <c r="E1503" s="30" t="s">
        <v>71</v>
      </c>
      <c r="F1503" s="33" t="str">
        <f>IFERROR(__xludf.DUMMYFUNCTION("IFERROR(
    IF(AND(ISNUMBER(VLOOKUP(J1503,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LEN(VLOOKUP(J1503,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VLOOKUP(J1503,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VLOOKUP(J1503,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"),"+919711661515")</f>
        <v>+919711661515</v>
      </c>
      <c r="G1503" s="30" t="s">
        <v>72</v>
      </c>
      <c r="H1503" s="31" t="str">
        <f>IFERROR(__xludf.DUMMYFUNCTION("IFERROR(VLOOKUP(J1503,{IMPORTRANGE(""1xFrklApkRqApw6hS49w9Le1ELcHrQ5f2FJdiVs8ztHg"", ""Joining &amp; Induction Tracker!F:F""),IMPORTRANGE(""1xFrklApkRqApw6hS49w9Le1ELcHrQ5f2FJdiVs8ztHg"", ""Joining &amp; Induction Tracker!B:B"")},2,0),"""")"),"Associate- Digital Marketing")</f>
        <v>Associate- Digital Marketing</v>
      </c>
      <c r="I1503" s="26" t="s">
        <v>1351</v>
      </c>
      <c r="J1503" s="49" t="s">
        <v>3803</v>
      </c>
      <c r="K1503" s="26"/>
      <c r="L1503" s="31" t="s">
        <v>78</v>
      </c>
    </row>
    <row r="1504">
      <c r="A1504" s="37">
        <f>IFERROR(__xludf.DUMMYFUNCTION("IFERROR(VLOOKUP(J1504,{IMPORTRANGE(""1xFrklApkRqApw6hS49w9Le1ELcHrQ5f2FJdiVs8ztHg"", ""Joining &amp; Induction Tracker!F:F""),IMPORTRANGE(""1xFrklApkRqApw6hS49w9Le1ELcHrQ5f2FJdiVs8ztHg"", ""Joining &amp; Induction Tracker!J:J"")},2,0),"""")"),46058.0)</f>
        <v>46058</v>
      </c>
      <c r="B1504" s="26" t="str">
        <f>IFERROR(__xludf.DUMMYFUNCTION("IFERROR(VLOOKUP(J1504,{IMPORTRANGE(""1xFrklApkRqApw6hS49w9Le1ELcHrQ5f2FJdiVs8ztHg"", ""Joining &amp; Induction Tracker!F:F""),IMPORTRANGE(""1xFrklApkRqApw6hS49w9Le1ELcHrQ5f2FJdiVs8ztHg"", ""Joining &amp; Induction Tracker!A:A"")},2,0),"""")"),"Yash Naresh Tatkare")</f>
        <v>Yash Naresh Tatkare</v>
      </c>
      <c r="C1504" s="26" t="s">
        <v>3804</v>
      </c>
      <c r="D1504" s="32" t="str">
        <f>IFERROR(__xludf.DUMMYFUNCTION("IFERROR(VLOOKUP(J1504,{IMPORTRANGE(""1xFrklApkRqApw6hS49w9Le1ELcHrQ5f2FJdiVs8ztHg"", ""Joining &amp; Induction Tracker!F:F""),IMPORTRANGE(""1xFrklApkRqApw6hS49w9Le1ELcHrQ5f2FJdiVs8ztHg"", ""Joining &amp; Induction Tracker!C:C"")},2,0),"""")"),"Vertical Tv")</f>
        <v>Vertical Tv</v>
      </c>
      <c r="E1504" s="30" t="s">
        <v>71</v>
      </c>
      <c r="F1504" s="33" t="str">
        <f>IFERROR(__xludf.DUMMYFUNCTION("IFERROR(
    IF(AND(ISNUMBER(VLOOKUP(J1504,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LEN(VLOOKUP(J1504,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VLOOKUP(J1504,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VLOOKUP(J1504,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"),"+919004066044")</f>
        <v>+919004066044</v>
      </c>
      <c r="G1504" s="30" t="s">
        <v>72</v>
      </c>
      <c r="H1504" s="31" t="str">
        <f>IFERROR(__xludf.DUMMYFUNCTION("IFERROR(VLOOKUP(J1504,{IMPORTRANGE(""1xFrklApkRqApw6hS49w9Le1ELcHrQ5f2FJdiVs8ztHg"", ""Joining &amp; Induction Tracker!F:F""),IMPORTRANGE(""1xFrklApkRqApw6hS49w9Le1ELcHrQ5f2FJdiVs8ztHg"", ""Joining &amp; Induction Tracker!B:B"")},2,0),"""")"),"Video Editor")</f>
        <v>Video Editor</v>
      </c>
      <c r="I1504" s="26" t="s">
        <v>3350</v>
      </c>
      <c r="J1504" s="49" t="s">
        <v>3805</v>
      </c>
      <c r="K1504" s="26"/>
      <c r="L1504" s="31" t="s">
        <v>78</v>
      </c>
    </row>
    <row r="1505">
      <c r="A1505" s="37">
        <v>46059.0</v>
      </c>
      <c r="B1505" s="5" t="s">
        <v>3806</v>
      </c>
      <c r="C1505" s="26" t="s">
        <v>3807</v>
      </c>
      <c r="D1505" s="32" t="s">
        <v>21</v>
      </c>
      <c r="E1505" s="30" t="s">
        <v>71</v>
      </c>
      <c r="F1505" s="33" t="str">
        <f>IFERROR(__xludf.DUMMYFUNCTION("IFERROR(
    IF(AND(ISNUMBER(VLOOKUP(J1505,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LEN(VLOOKUP(J1505,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VLOOKUP(J1505,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VLOOKUP(J1505,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05" s="30" t="s">
        <v>54</v>
      </c>
      <c r="H1505" s="30" t="s">
        <v>54</v>
      </c>
      <c r="I1505" s="26" t="s">
        <v>1164</v>
      </c>
      <c r="J1505" s="38"/>
      <c r="K1505" s="26" t="s">
        <v>3808</v>
      </c>
      <c r="L1505" s="31" t="s">
        <v>78</v>
      </c>
    </row>
    <row r="1506">
      <c r="A1506" s="37">
        <f>IFERROR(__xludf.DUMMYFUNCTION("IFERROR(VLOOKUP(J1506,{IMPORTRANGE(""1xFrklApkRqApw6hS49w9Le1ELcHrQ5f2FJdiVs8ztHg"", ""Joining &amp; Induction Tracker!F:F""),IMPORTRANGE(""1xFrklApkRqApw6hS49w9Le1ELcHrQ5f2FJdiVs8ztHg"", ""Joining &amp; Induction Tracker!J:J"")},2,0),"""")"),46062.0)</f>
        <v>46062</v>
      </c>
      <c r="B1506" s="26" t="str">
        <f>IFERROR(__xludf.DUMMYFUNCTION("IFERROR(VLOOKUP(J1506,{IMPORTRANGE(""1xFrklApkRqApw6hS49w9Le1ELcHrQ5f2FJdiVs8ztHg"", ""Joining &amp; Induction Tracker!F:F""),IMPORTRANGE(""1xFrklApkRqApw6hS49w9Le1ELcHrQ5f2FJdiVs8ztHg"", ""Joining &amp; Induction Tracker!A:A"")},2,0),"""")"),"Vivek Nana Vairal")</f>
        <v>Vivek Nana Vairal</v>
      </c>
      <c r="C1506" s="26" t="s">
        <v>3809</v>
      </c>
      <c r="D1506" s="32" t="str">
        <f>IFERROR(__xludf.DUMMYFUNCTION("IFERROR(VLOOKUP(J1506,{IMPORTRANGE(""1xFrklApkRqApw6hS49w9Le1ELcHrQ5f2FJdiVs8ztHg"", ""Joining &amp; Induction Tracker!F:F""),IMPORTRANGE(""1xFrklApkRqApw6hS49w9Le1ELcHrQ5f2FJdiVs8ztHg"", ""Joining &amp; Induction Tracker!C:C"")},2,0),"""")"),"Vertical Tv")</f>
        <v>Vertical Tv</v>
      </c>
      <c r="E1506" s="30" t="s">
        <v>71</v>
      </c>
      <c r="F1506" s="33" t="str">
        <f>IFERROR(__xludf.DUMMYFUNCTION("IFERROR(
    IF(AND(ISNUMBER(VLOOKUP(J1506,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LEN(VLOOKUP(J1506,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VLOOKUP(J1506,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VLOOKUP(J1506,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"),"+919833227062")</f>
        <v>+919833227062</v>
      </c>
      <c r="G1506" s="30" t="s">
        <v>72</v>
      </c>
      <c r="H1506" s="31" t="str">
        <f>IFERROR(__xludf.DUMMYFUNCTION("IFERROR(VLOOKUP(J1506,{IMPORTRANGE(""1xFrklApkRqApw6hS49w9Le1ELcHrQ5f2FJdiVs8ztHg"", ""Joining &amp; Induction Tracker!F:F""),IMPORTRANGE(""1xFrklApkRqApw6hS49w9Le1ELcHrQ5f2FJdiVs8ztHg"", ""Joining &amp; Induction Tracker!B:B"")},2,0),"""")"),"Video Editor")</f>
        <v>Video Editor</v>
      </c>
      <c r="I1506" s="26" t="s">
        <v>3350</v>
      </c>
      <c r="J1506" s="38" t="s">
        <v>3810</v>
      </c>
      <c r="K1506" s="26"/>
      <c r="L1506" s="31" t="s">
        <v>78</v>
      </c>
    </row>
    <row r="1507">
      <c r="A1507" s="37">
        <v>46063.0</v>
      </c>
      <c r="B1507" s="31" t="s">
        <v>2283</v>
      </c>
      <c r="C1507" s="31" t="s">
        <v>3811</v>
      </c>
      <c r="D1507" s="32" t="s">
        <v>30</v>
      </c>
      <c r="E1507" s="30" t="s">
        <v>71</v>
      </c>
      <c r="F1507" s="33" t="str">
        <f>IFERROR(__xludf.DUMMYFUNCTION("IFERROR(
    IF(AND(ISNUMBER(VLOOKUP(J1507,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LEN(VLOOKUP(J1507,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VLOOKUP(J1507,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VLOOKUP(J1507,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07" s="32" t="s">
        <v>72</v>
      </c>
      <c r="H1507" s="31" t="s">
        <v>2285</v>
      </c>
      <c r="I1507" s="31" t="s">
        <v>2091</v>
      </c>
      <c r="J1507" s="38"/>
      <c r="K1507" s="26" t="s">
        <v>3812</v>
      </c>
      <c r="L1507" s="31" t="s">
        <v>78</v>
      </c>
    </row>
    <row r="1508">
      <c r="A1508" s="37">
        <v>46063.0</v>
      </c>
      <c r="B1508" s="31" t="s">
        <v>2899</v>
      </c>
      <c r="C1508" s="34" t="s">
        <v>3813</v>
      </c>
      <c r="D1508" s="50" t="s">
        <v>30</v>
      </c>
      <c r="E1508" s="30" t="s">
        <v>71</v>
      </c>
      <c r="F1508" s="42">
        <v>8.800929377E9</v>
      </c>
      <c r="G1508" s="50" t="s">
        <v>1043</v>
      </c>
      <c r="H1508" s="34" t="s">
        <v>2901</v>
      </c>
      <c r="I1508" s="34" t="s">
        <v>1622</v>
      </c>
      <c r="J1508" s="38"/>
      <c r="K1508" s="26" t="s">
        <v>3812</v>
      </c>
      <c r="L1508" s="31" t="s">
        <v>78</v>
      </c>
    </row>
    <row r="1509">
      <c r="A1509" s="37">
        <v>46069.0</v>
      </c>
      <c r="B1509" s="26" t="str">
        <f>IFERROR(__xludf.DUMMYFUNCTION("IFERROR(VLOOKUP(J1509,{IMPORTRANGE(""1xFrklApkRqApw6hS49w9Le1ELcHrQ5f2FJdiVs8ztHg"", ""Joining &amp; Induction Tracker!F:F""),IMPORTRANGE(""1xFrklApkRqApw6hS49w9Le1ELcHrQ5f2FJdiVs8ztHg"", ""Joining &amp; Induction Tracker!A:A"")},2,0),"""")"),"Tanya Vishal")</f>
        <v>Tanya Vishal</v>
      </c>
      <c r="C1509" s="26" t="s">
        <v>3814</v>
      </c>
      <c r="D1509" s="32" t="str">
        <f>IFERROR(__xludf.DUMMYFUNCTION("IFERROR(VLOOKUP(J1509,{IMPORTRANGE(""1xFrklApkRqApw6hS49w9Le1ELcHrQ5f2FJdiVs8ztHg"", ""Joining &amp; Induction Tracker!F:F""),IMPORTRANGE(""1xFrklApkRqApw6hS49w9Le1ELcHrQ5f2FJdiVs8ztHg"", ""Joining &amp; Induction Tracker!C:C"")},2,0),"""")"),"Vertical Tv")</f>
        <v>Vertical Tv</v>
      </c>
      <c r="E1509" s="30" t="s">
        <v>71</v>
      </c>
      <c r="F1509" s="33" t="str">
        <f>IFERROR(__xludf.DUMMYFUNCTION("IFERROR(
    IF(AND(ISNUMBER(VLOOKUP(J1509,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LEN(VLOOKUP(J1509,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VLOOKUP(J1509,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VLOOKUP(J1509,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"),"+917019110380")</f>
        <v>+917019110380</v>
      </c>
      <c r="G1509" s="30" t="s">
        <v>72</v>
      </c>
      <c r="H1509" s="31" t="str">
        <f>IFERROR(__xludf.DUMMYFUNCTION("IFERROR(VLOOKUP(J1509,{IMPORTRANGE(""1xFrklApkRqApw6hS49w9Le1ELcHrQ5f2FJdiVs8ztHg"", ""Joining &amp; Induction Tracker!F:F""),IMPORTRANGE(""1xFrklApkRqApw6hS49w9Le1ELcHrQ5f2FJdiVs8ztHg"", ""Joining &amp; Induction Tracker!B:B"")},2,0),"""")"),"Social Strategist")</f>
        <v>Social Strategist</v>
      </c>
      <c r="I1509" s="26" t="s">
        <v>3323</v>
      </c>
      <c r="J1509" s="48" t="s">
        <v>3815</v>
      </c>
      <c r="K1509" s="26"/>
      <c r="L1509" s="31" t="s">
        <v>78</v>
      </c>
    </row>
    <row r="1510">
      <c r="A1510" s="37">
        <f>IFERROR(__xludf.DUMMYFUNCTION("IFERROR(VLOOKUP(J1510,{IMPORTRANGE(""1xFrklApkRqApw6hS49w9Le1ELcHrQ5f2FJdiVs8ztHg"", ""Joining &amp; Induction Tracker!F:F""),IMPORTRANGE(""1xFrklApkRqApw6hS49w9Le1ELcHrQ5f2FJdiVs8ztHg"", ""Joining &amp; Induction Tracker!J:J"")},2,0),"""")"),46083.0)</f>
        <v>46083</v>
      </c>
      <c r="B1510" s="26" t="str">
        <f>IFERROR(__xludf.DUMMYFUNCTION("IFERROR(VLOOKUP(J1510,{IMPORTRANGE(""1xFrklApkRqApw6hS49w9Le1ELcHrQ5f2FJdiVs8ztHg"", ""Joining &amp; Induction Tracker!F:F""),IMPORTRANGE(""1xFrklApkRqApw6hS49w9Le1ELcHrQ5f2FJdiVs8ztHg"", ""Joining &amp; Induction Tracker!A:A"")},2,0),"""")"),"Shreya Chhabra")</f>
        <v>Shreya Chhabra</v>
      </c>
      <c r="C1510" s="26" t="s">
        <v>3816</v>
      </c>
      <c r="D1510" s="32" t="str">
        <f>IFERROR(__xludf.DUMMYFUNCTION("IFERROR(VLOOKUP(J1510,{IMPORTRANGE(""1xFrklApkRqApw6hS49w9Le1ELcHrQ5f2FJdiVs8ztHg"", ""Joining &amp; Induction Tracker!F:F""),IMPORTRANGE(""1xFrklApkRqApw6hS49w9Le1ELcHrQ5f2FJdiVs8ztHg"", ""Joining &amp; Induction Tracker!C:C"")},2,0),"""")"),"Brand Marketing")</f>
        <v>Brand Marketing</v>
      </c>
      <c r="E1510" s="30" t="s">
        <v>71</v>
      </c>
      <c r="F1510" s="33" t="str">
        <f>IFERROR(__xludf.DUMMYFUNCTION("IFERROR(
    IF(AND(ISNUMBER(VLOOKUP(J1510,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"),"+919136229232")</f>
        <v>+919136229232</v>
      </c>
      <c r="G1510" s="30" t="s">
        <v>1273</v>
      </c>
      <c r="H1510" s="31" t="str">
        <f>IFERROR(__xludf.DUMMYFUNCTION("IFERROR(VLOOKUP(J1510,{IMPORTRANGE(""1xFrklApkRqApw6hS49w9Le1ELcHrQ5f2FJdiVs8ztHg"", ""Joining &amp; Induction Tracker!F:F""),IMPORTRANGE(""1xFrklApkRqApw6hS49w9Le1ELcHrQ5f2FJdiVs8ztHg"", ""Joining &amp; Induction Tracker!B:B"")},2,0),"""")"),"Marketing Intern")</f>
        <v>Marketing Intern</v>
      </c>
      <c r="I1510" s="34" t="s">
        <v>3198</v>
      </c>
      <c r="J1510" s="49" t="s">
        <v>3817</v>
      </c>
      <c r="K1510" s="26"/>
      <c r="L1510" s="31" t="s">
        <v>78</v>
      </c>
    </row>
    <row r="1511">
      <c r="A1511" s="37">
        <v>46084.0</v>
      </c>
      <c r="B1511" s="26" t="str">
        <f>IFERROR(__xludf.DUMMYFUNCTION("IFERROR(VLOOKUP(J1511,{IMPORTRANGE(""1xFrklApkRqApw6hS49w9Le1ELcHrQ5f2FJdiVs8ztHg"", ""Joining &amp; Induction Tracker!F:F""),IMPORTRANGE(""1xFrklApkRqApw6hS49w9Le1ELcHrQ5f2FJdiVs8ztHg"", ""Joining &amp; Induction Tracker!A:A"")},2,0),"""")"),"Yash Sinha")</f>
        <v>Yash Sinha</v>
      </c>
      <c r="C1511" s="26" t="s">
        <v>3818</v>
      </c>
      <c r="D1511" s="32" t="str">
        <f>IFERROR(__xludf.DUMMYFUNCTION("IFERROR(VLOOKUP(J1511,{IMPORTRANGE(""1xFrklApkRqApw6hS49w9Le1ELcHrQ5f2FJdiVs8ztHg"", ""Joining &amp; Induction Tracker!F:F""),IMPORTRANGE(""1xFrklApkRqApw6hS49w9Le1ELcHrQ5f2FJdiVs8ztHg"", ""Joining &amp; Induction Tracker!C:C"")},2,0),"""")"),"Technology")</f>
        <v>Technology</v>
      </c>
      <c r="E1511" s="30" t="s">
        <v>71</v>
      </c>
      <c r="F1511" s="33" t="str">
        <f>IFERROR(__xludf.DUMMYFUNCTION("IFERROR(
    IF(AND(ISNUMBER(VLOOKUP(J1511,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"),"+918800765105")</f>
        <v>+918800765105</v>
      </c>
      <c r="G1511" s="30" t="s">
        <v>1273</v>
      </c>
      <c r="H1511" s="31" t="str">
        <f>IFERROR(__xludf.DUMMYFUNCTION("IFERROR(VLOOKUP(J1511,{IMPORTRANGE(""1xFrklApkRqApw6hS49w9Le1ELcHrQ5f2FJdiVs8ztHg"", ""Joining &amp; Induction Tracker!F:F""),IMPORTRANGE(""1xFrklApkRqApw6hS49w9Le1ELcHrQ5f2FJdiVs8ztHg"", ""Joining &amp; Induction Tracker!B:B"")},2,0),"""")"),"Software Engineer Intern")</f>
        <v>Software Engineer Intern</v>
      </c>
      <c r="I1511" s="31" t="s">
        <v>1486</v>
      </c>
      <c r="J1511" s="49" t="s">
        <v>3819</v>
      </c>
      <c r="K1511" s="26"/>
      <c r="L1511" s="31" t="s">
        <v>78</v>
      </c>
    </row>
    <row r="1512">
      <c r="A1512" s="37">
        <v>46084.0</v>
      </c>
      <c r="B1512" s="26" t="str">
        <f>IFERROR(__xludf.DUMMYFUNCTION("IFERROR(VLOOKUP(J1512,{IMPORTRANGE(""1xFrklApkRqApw6hS49w9Le1ELcHrQ5f2FJdiVs8ztHg"", ""Joining &amp; Induction Tracker!F:F""),IMPORTRANGE(""1xFrklApkRqApw6hS49w9Le1ELcHrQ5f2FJdiVs8ztHg"", ""Joining &amp; Induction Tracker!A:A"")},2,0),"""")"),"Lakshay sharma ")</f>
        <v>Lakshay sharma </v>
      </c>
      <c r="C1512" s="26" t="s">
        <v>3820</v>
      </c>
      <c r="D1512" s="32" t="str">
        <f>IFERROR(__xludf.DUMMYFUNCTION("IFERROR(VLOOKUP(J1512,{IMPORTRANGE(""1xFrklApkRqApw6hS49w9Le1ELcHrQ5f2FJdiVs8ztHg"", ""Joining &amp; Induction Tracker!F:F""),IMPORTRANGE(""1xFrklApkRqApw6hS49w9Le1ELcHrQ5f2FJdiVs8ztHg"", ""Joining &amp; Induction Tracker!C:C"")},2,0),"""")"),"Technology")</f>
        <v>Technology</v>
      </c>
      <c r="E1512" s="30" t="s">
        <v>71</v>
      </c>
      <c r="F1512" s="33" t="str">
        <f>IFERROR(__xludf.DUMMYFUNCTION("IFERROR(
    IF(AND(ISNUMBER(VLOOKUP(J1512,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"),"+917827868853")</f>
        <v>+917827868853</v>
      </c>
      <c r="G1512" s="30" t="s">
        <v>1273</v>
      </c>
      <c r="H1512" s="31" t="str">
        <f>IFERROR(__xludf.DUMMYFUNCTION("IFERROR(VLOOKUP(J1512,{IMPORTRANGE(""1xFrklApkRqApw6hS49w9Le1ELcHrQ5f2FJdiVs8ztHg"", ""Joining &amp; Induction Tracker!F:F""),IMPORTRANGE(""1xFrklApkRqApw6hS49w9Le1ELcHrQ5f2FJdiVs8ztHg"", ""Joining &amp; Induction Tracker!B:B"")},2,0),"""")"),"Software Engineer Intern")</f>
        <v>Software Engineer Intern</v>
      </c>
      <c r="I1512" s="31" t="s">
        <v>1486</v>
      </c>
      <c r="J1512" s="49" t="s">
        <v>3821</v>
      </c>
      <c r="K1512" s="26"/>
      <c r="L1512" s="31" t="s">
        <v>78</v>
      </c>
    </row>
    <row r="1513">
      <c r="A1513" s="37">
        <f>IFERROR(__xludf.DUMMYFUNCTION("IFERROR(VLOOKUP(J1513,{IMPORTRANGE(""1xFrklApkRqApw6hS49w9Le1ELcHrQ5f2FJdiVs8ztHg"", ""Joining &amp; Induction Tracker!F:F""),IMPORTRANGE(""1xFrklApkRqApw6hS49w9Le1ELcHrQ5f2FJdiVs8ztHg"", ""Joining &amp; Induction Tracker!J:J"")},2,0),"""")"),46087.0)</f>
        <v>46087</v>
      </c>
      <c r="B1513" s="26" t="str">
        <f>IFERROR(__xludf.DUMMYFUNCTION("IFERROR(VLOOKUP(J1513,{IMPORTRANGE(""1xFrklApkRqApw6hS49w9Le1ELcHrQ5f2FJdiVs8ztHg"", ""Joining &amp; Induction Tracker!F:F""),IMPORTRANGE(""1xFrklApkRqApw6hS49w9Le1ELcHrQ5f2FJdiVs8ztHg"", ""Joining &amp; Induction Tracker!A:A"")},2,0),"""")"),"Navin Kumar")</f>
        <v>Navin Kumar</v>
      </c>
      <c r="C1513" s="26" t="s">
        <v>3822</v>
      </c>
      <c r="D1513" s="32" t="str">
        <f>IFERROR(__xludf.DUMMYFUNCTION("IFERROR(VLOOKUP(J1513,{IMPORTRANGE(""1xFrklApkRqApw6hS49w9Le1ELcHrQ5f2FJdiVs8ztHg"", ""Joining &amp; Induction Tracker!F:F""),IMPORTRANGE(""1xFrklApkRqApw6hS49w9Le1ELcHrQ5f2FJdiVs8ztHg"", ""Joining &amp; Induction Tracker!C:C"")},2,0),"""")"),"Technology")</f>
        <v>Technology</v>
      </c>
      <c r="E1513" s="30" t="s">
        <v>71</v>
      </c>
      <c r="F1513" s="33" t="str">
        <f>IFERROR(__xludf.DUMMYFUNCTION("IFERROR(
    IF(AND(ISNUMBER(VLOOKUP(J1513,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LEN(VLOOKUP(J1513,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VLOOKUP(J1513,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VLOOKUP(J1513,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"),"+918102329113")</f>
        <v>+918102329113</v>
      </c>
      <c r="G1513" s="30" t="s">
        <v>1273</v>
      </c>
      <c r="H1513" s="31" t="str">
        <f>IFERROR(__xludf.DUMMYFUNCTION("IFERROR(VLOOKUP(J1513,{IMPORTRANGE(""1xFrklApkRqApw6hS49w9Le1ELcHrQ5f2FJdiVs8ztHg"", ""Joining &amp; Induction Tracker!F:F""),IMPORTRANGE(""1xFrklApkRqApw6hS49w9Le1ELcHrQ5f2FJdiVs8ztHg"", ""Joining &amp; Induction Tracker!B:B"")},2,0),"""")"),"Software Engineer Intern")</f>
        <v>Software Engineer Intern</v>
      </c>
      <c r="I1513" s="31" t="str">
        <f>IFERROR(__xludf.DUMMYFUNCTION("IFERROR(VLOOKUP(J1513,{IMPORTRANGE(""1xFrklApkRqApw6hS49w9Le1ELcHrQ5f2FJdiVs8ztHg"", ""Joining &amp; Induction Tracker!F:F""),IMPORTRANGE(""1xFrklApkRqApw6hS49w9Le1ELcHrQ5f2FJdiVs8ztHg"", ""Joining &amp; Induction Tracker!G:G"")},2,0),"""")"),"Piyush Shukla")</f>
        <v>Piyush Shukla</v>
      </c>
      <c r="J1513" s="49" t="s">
        <v>3823</v>
      </c>
      <c r="K1513" s="26"/>
      <c r="L1513" s="31" t="s">
        <v>78</v>
      </c>
    </row>
    <row r="1514">
      <c r="A1514" s="37">
        <v>46093.0</v>
      </c>
      <c r="B1514" s="26" t="s">
        <v>3824</v>
      </c>
      <c r="C1514" s="26" t="s">
        <v>3825</v>
      </c>
      <c r="D1514" s="30" t="s">
        <v>22</v>
      </c>
      <c r="E1514" s="30" t="s">
        <v>71</v>
      </c>
      <c r="F1514" s="39" t="s">
        <v>3826</v>
      </c>
      <c r="G1514" s="30" t="s">
        <v>54</v>
      </c>
      <c r="H1514" s="30" t="s">
        <v>54</v>
      </c>
      <c r="I1514" s="26" t="s">
        <v>1226</v>
      </c>
      <c r="J1514" s="38"/>
      <c r="K1514" s="26" t="s">
        <v>3827</v>
      </c>
      <c r="L1514" s="31" t="s">
        <v>78</v>
      </c>
    </row>
    <row r="1515">
      <c r="A1515" s="37">
        <v>46093.0</v>
      </c>
      <c r="B1515" s="26" t="s">
        <v>3828</v>
      </c>
      <c r="C1515" s="26" t="s">
        <v>3829</v>
      </c>
      <c r="D1515" s="30" t="s">
        <v>22</v>
      </c>
      <c r="E1515" s="30" t="s">
        <v>71</v>
      </c>
      <c r="F1515" s="39" t="s">
        <v>3826</v>
      </c>
      <c r="G1515" s="30" t="s">
        <v>54</v>
      </c>
      <c r="H1515" s="30" t="s">
        <v>54</v>
      </c>
      <c r="I1515" s="26" t="s">
        <v>1226</v>
      </c>
      <c r="J1515" s="38"/>
      <c r="K1515" s="26" t="s">
        <v>3827</v>
      </c>
      <c r="L1515" s="31" t="s">
        <v>78</v>
      </c>
    </row>
    <row r="1516">
      <c r="A1516" s="37" t="str">
        <f>IFERROR(__xludf.DUMMYFUNCTION("IFERROR(VLOOKUP(J1516,{IMPORTRANGE(""1xFrklApkRqApw6hS49w9Le1ELcHrQ5f2FJdiVs8ztHg"", ""Joining &amp; Induction Tracker!F:F""),IMPORTRANGE(""1xFrklApkRqApw6hS49w9Le1ELcHrQ5f2FJdiVs8ztHg"", ""Joining &amp; Induction Tracker!J:J"")},2,0),"""")"),"")</f>
        <v/>
      </c>
      <c r="B1516" s="26" t="str">
        <f>IFERROR(__xludf.DUMMYFUNCTION("IFERROR(VLOOKUP(J1516,{IMPORTRANGE(""1xFrklApkRqApw6hS49w9Le1ELcHrQ5f2FJdiVs8ztHg"", ""Joining &amp; Induction Tracker!F:F""),IMPORTRANGE(""1xFrklApkRqApw6hS49w9Le1ELcHrQ5f2FJdiVs8ztHg"", ""Joining &amp; Induction Tracker!A:A"")},2,0),"""")"),"")</f>
        <v/>
      </c>
      <c r="C1516" s="26"/>
      <c r="D1516" s="32" t="str">
        <f>IFERROR(__xludf.DUMMYFUNCTION("IFERROR(VLOOKUP(J1516,{IMPORTRANGE(""1xFrklApkRqApw6hS49w9Le1ELcHrQ5f2FJdiVs8ztHg"", ""Joining &amp; Induction Tracker!F:F""),IMPORTRANGE(""1xFrklApkRqApw6hS49w9Le1ELcHrQ5f2FJdiVs8ztHg"", ""Joining &amp; Induction Tracker!C:C"")},2,0),"""")"),"")</f>
        <v/>
      </c>
      <c r="E1516" s="30"/>
      <c r="F1516" s="33" t="str">
        <f>IFERROR(__xludf.DUMMYFUNCTION("IFERROR(
    IF(AND(ISNUMBER(VLOOKUP(J1516,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LEN(VLOOKUP(J1516,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VLOOKUP(J1516,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VLOOKUP(J1516,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16" s="30"/>
      <c r="H1516" s="31" t="str">
        <f>IFERROR(__xludf.DUMMYFUNCTION("IFERROR(VLOOKUP(J1516,{IMPORTRANGE(""1xFrklApkRqApw6hS49w9Le1ELcHrQ5f2FJdiVs8ztHg"", ""Joining &amp; Induction Tracker!F:F""),IMPORTRANGE(""1xFrklApkRqApw6hS49w9Le1ELcHrQ5f2FJdiVs8ztHg"", ""Joining &amp; Induction Tracker!B:B"")},2,0),"""")"),"")</f>
        <v/>
      </c>
      <c r="I1516" s="31" t="str">
        <f>IFERROR(__xludf.DUMMYFUNCTION("IFERROR(VLOOKUP(J1516,{IMPORTRANGE(""1xFrklApkRqApw6hS49w9Le1ELcHrQ5f2FJdiVs8ztHg"", ""Joining &amp; Induction Tracker!F:F""),IMPORTRANGE(""1xFrklApkRqApw6hS49w9Le1ELcHrQ5f2FJdiVs8ztHg"", ""Joining &amp; Induction Tracker!G:G"")},2,0),"""")"),"")</f>
        <v/>
      </c>
      <c r="J1516" s="38"/>
      <c r="K1516" s="26"/>
      <c r="L1516" s="31" t="s">
        <v>78</v>
      </c>
    </row>
    <row r="1517">
      <c r="A1517" s="37" t="str">
        <f>IFERROR(__xludf.DUMMYFUNCTION("IFERROR(VLOOKUP(J1517,{IMPORTRANGE(""1xFrklApkRqApw6hS49w9Le1ELcHrQ5f2FJdiVs8ztHg"", ""Joining &amp; Induction Tracker!F:F""),IMPORTRANGE(""1xFrklApkRqApw6hS49w9Le1ELcHrQ5f2FJdiVs8ztHg"", ""Joining &amp; Induction Tracker!J:J"")},2,0),"""")"),"")</f>
        <v/>
      </c>
      <c r="B1517" s="26" t="str">
        <f>IFERROR(__xludf.DUMMYFUNCTION("IFERROR(VLOOKUP(J1517,{IMPORTRANGE(""1xFrklApkRqApw6hS49w9Le1ELcHrQ5f2FJdiVs8ztHg"", ""Joining &amp; Induction Tracker!F:F""),IMPORTRANGE(""1xFrklApkRqApw6hS49w9Le1ELcHrQ5f2FJdiVs8ztHg"", ""Joining &amp; Induction Tracker!A:A"")},2,0),"""")"),"")</f>
        <v/>
      </c>
      <c r="C1517" s="26"/>
      <c r="D1517" s="32" t="str">
        <f>IFERROR(__xludf.DUMMYFUNCTION("IFERROR(VLOOKUP(J1517,{IMPORTRANGE(""1xFrklApkRqApw6hS49w9Le1ELcHrQ5f2FJdiVs8ztHg"", ""Joining &amp; Induction Tracker!F:F""),IMPORTRANGE(""1xFrklApkRqApw6hS49w9Le1ELcHrQ5f2FJdiVs8ztHg"", ""Joining &amp; Induction Tracker!C:C"")},2,0),"""")"),"")</f>
        <v/>
      </c>
      <c r="E1517" s="30"/>
      <c r="F1517" s="33" t="str">
        <f>IFERROR(__xludf.DUMMYFUNCTION("IFERROR(
    IF(AND(ISNUMBER(VLOOKUP(J1517,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LEN(VLOOKUP(J1517,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VLOOKUP(J1517,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VLOOKUP(J1517,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17" s="30"/>
      <c r="H1517" s="31" t="str">
        <f>IFERROR(__xludf.DUMMYFUNCTION("IFERROR(VLOOKUP(J1517,{IMPORTRANGE(""1xFrklApkRqApw6hS49w9Le1ELcHrQ5f2FJdiVs8ztHg"", ""Joining &amp; Induction Tracker!F:F""),IMPORTRANGE(""1xFrklApkRqApw6hS49w9Le1ELcHrQ5f2FJdiVs8ztHg"", ""Joining &amp; Induction Tracker!B:B"")},2,0),"""")"),"")</f>
        <v/>
      </c>
      <c r="I1517" s="31" t="str">
        <f>IFERROR(__xludf.DUMMYFUNCTION("IFERROR(VLOOKUP(J1517,{IMPORTRANGE(""1xFrklApkRqApw6hS49w9Le1ELcHrQ5f2FJdiVs8ztHg"", ""Joining &amp; Induction Tracker!F:F""),IMPORTRANGE(""1xFrklApkRqApw6hS49w9Le1ELcHrQ5f2FJdiVs8ztHg"", ""Joining &amp; Induction Tracker!G:G"")},2,0),"""")"),"")</f>
        <v/>
      </c>
      <c r="J1517" s="38"/>
      <c r="K1517" s="26"/>
      <c r="L1517" s="31" t="s">
        <v>78</v>
      </c>
    </row>
    <row r="1518">
      <c r="A1518" s="37" t="str">
        <f>IFERROR(__xludf.DUMMYFUNCTION("IFERROR(VLOOKUP(J1518,{IMPORTRANGE(""1xFrklApkRqApw6hS49w9Le1ELcHrQ5f2FJdiVs8ztHg"", ""Joining &amp; Induction Tracker!F:F""),IMPORTRANGE(""1xFrklApkRqApw6hS49w9Le1ELcHrQ5f2FJdiVs8ztHg"", ""Joining &amp; Induction Tracker!J:J"")},2,0),"""")"),"")</f>
        <v/>
      </c>
      <c r="B1518" s="26" t="str">
        <f>IFERROR(__xludf.DUMMYFUNCTION("IFERROR(VLOOKUP(J1518,{IMPORTRANGE(""1xFrklApkRqApw6hS49w9Le1ELcHrQ5f2FJdiVs8ztHg"", ""Joining &amp; Induction Tracker!F:F""),IMPORTRANGE(""1xFrklApkRqApw6hS49w9Le1ELcHrQ5f2FJdiVs8ztHg"", ""Joining &amp; Induction Tracker!A:A"")},2,0),"""")"),"")</f>
        <v/>
      </c>
      <c r="C1518" s="26"/>
      <c r="D1518" s="32" t="str">
        <f>IFERROR(__xludf.DUMMYFUNCTION("IFERROR(VLOOKUP(J1518,{IMPORTRANGE(""1xFrklApkRqApw6hS49w9Le1ELcHrQ5f2FJdiVs8ztHg"", ""Joining &amp; Induction Tracker!F:F""),IMPORTRANGE(""1xFrklApkRqApw6hS49w9Le1ELcHrQ5f2FJdiVs8ztHg"", ""Joining &amp; Induction Tracker!C:C"")},2,0),"""")"),"")</f>
        <v/>
      </c>
      <c r="E1518" s="30"/>
      <c r="F1518" s="33" t="str">
        <f>IFERROR(__xludf.DUMMYFUNCTION("IFERROR(
    IF(AND(ISNUMBER(VLOOKUP(J1518,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LEN(VLOOKUP(J1518,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VLOOKUP(J1518,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VLOOKUP(J1518,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18" s="30"/>
      <c r="H1518" s="31" t="str">
        <f>IFERROR(__xludf.DUMMYFUNCTION("IFERROR(VLOOKUP(J1518,{IMPORTRANGE(""1xFrklApkRqApw6hS49w9Le1ELcHrQ5f2FJdiVs8ztHg"", ""Joining &amp; Induction Tracker!F:F""),IMPORTRANGE(""1xFrklApkRqApw6hS49w9Le1ELcHrQ5f2FJdiVs8ztHg"", ""Joining &amp; Induction Tracker!B:B"")},2,0),"""")"),"")</f>
        <v/>
      </c>
      <c r="I1518" s="31" t="str">
        <f>IFERROR(__xludf.DUMMYFUNCTION("IFERROR(VLOOKUP(J1518,{IMPORTRANGE(""1xFrklApkRqApw6hS49w9Le1ELcHrQ5f2FJdiVs8ztHg"", ""Joining &amp; Induction Tracker!F:F""),IMPORTRANGE(""1xFrklApkRqApw6hS49w9Le1ELcHrQ5f2FJdiVs8ztHg"", ""Joining &amp; Induction Tracker!G:G"")},2,0),"""")"),"")</f>
        <v/>
      </c>
      <c r="J1518" s="38"/>
      <c r="K1518" s="26"/>
      <c r="L1518" s="31" t="s">
        <v>78</v>
      </c>
    </row>
    <row r="1519">
      <c r="A1519" s="37" t="str">
        <f>IFERROR(__xludf.DUMMYFUNCTION("IFERROR(VLOOKUP(J1519,{IMPORTRANGE(""1xFrklApkRqApw6hS49w9Le1ELcHrQ5f2FJdiVs8ztHg"", ""Joining &amp; Induction Tracker!F:F""),IMPORTRANGE(""1xFrklApkRqApw6hS49w9Le1ELcHrQ5f2FJdiVs8ztHg"", ""Joining &amp; Induction Tracker!J:J"")},2,0),"""")"),"")</f>
        <v/>
      </c>
      <c r="B1519" s="26" t="str">
        <f>IFERROR(__xludf.DUMMYFUNCTION("IFERROR(VLOOKUP(J1519,{IMPORTRANGE(""1xFrklApkRqApw6hS49w9Le1ELcHrQ5f2FJdiVs8ztHg"", ""Joining &amp; Induction Tracker!F:F""),IMPORTRANGE(""1xFrklApkRqApw6hS49w9Le1ELcHrQ5f2FJdiVs8ztHg"", ""Joining &amp; Induction Tracker!A:A"")},2,0),"""")"),"")</f>
        <v/>
      </c>
      <c r="C1519" s="26"/>
      <c r="D1519" s="32" t="str">
        <f>IFERROR(__xludf.DUMMYFUNCTION("IFERROR(VLOOKUP(J1519,{IMPORTRANGE(""1xFrklApkRqApw6hS49w9Le1ELcHrQ5f2FJdiVs8ztHg"", ""Joining &amp; Induction Tracker!F:F""),IMPORTRANGE(""1xFrklApkRqApw6hS49w9Le1ELcHrQ5f2FJdiVs8ztHg"", ""Joining &amp; Induction Tracker!C:C"")},2,0),"""")"),"")</f>
        <v/>
      </c>
      <c r="E1519" s="30"/>
      <c r="F1519" s="33" t="str">
        <f>IFERROR(__xludf.DUMMYFUNCTION("IFERROR(
    IF(AND(ISNUMBER(VLOOKUP(J1519,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LEN(VLOOKUP(J1519,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VLOOKUP(J1519,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VLOOKUP(J1519,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19" s="30"/>
      <c r="H1519" s="31" t="str">
        <f>IFERROR(__xludf.DUMMYFUNCTION("IFERROR(VLOOKUP(J1519,{IMPORTRANGE(""1xFrklApkRqApw6hS49w9Le1ELcHrQ5f2FJdiVs8ztHg"", ""Joining &amp; Induction Tracker!F:F""),IMPORTRANGE(""1xFrklApkRqApw6hS49w9Le1ELcHrQ5f2FJdiVs8ztHg"", ""Joining &amp; Induction Tracker!B:B"")},2,0),"""")"),"")</f>
        <v/>
      </c>
      <c r="I1519" s="31" t="str">
        <f>IFERROR(__xludf.DUMMYFUNCTION("IFERROR(VLOOKUP(J1519,{IMPORTRANGE(""1xFrklApkRqApw6hS49w9Le1ELcHrQ5f2FJdiVs8ztHg"", ""Joining &amp; Induction Tracker!F:F""),IMPORTRANGE(""1xFrklApkRqApw6hS49w9Le1ELcHrQ5f2FJdiVs8ztHg"", ""Joining &amp; Induction Tracker!G:G"")},2,0),"""")"),"")</f>
        <v/>
      </c>
      <c r="J1519" s="38"/>
      <c r="K1519" s="26"/>
      <c r="L1519" s="31" t="s">
        <v>78</v>
      </c>
    </row>
    <row r="1520">
      <c r="A1520" s="37" t="str">
        <f>IFERROR(__xludf.DUMMYFUNCTION("IFERROR(VLOOKUP(J1520,{IMPORTRANGE(""1xFrklApkRqApw6hS49w9Le1ELcHrQ5f2FJdiVs8ztHg"", ""Joining &amp; Induction Tracker!F:F""),IMPORTRANGE(""1xFrklApkRqApw6hS49w9Le1ELcHrQ5f2FJdiVs8ztHg"", ""Joining &amp; Induction Tracker!J:J"")},2,0),"""")"),"")</f>
        <v/>
      </c>
      <c r="B1520" s="26" t="str">
        <f>IFERROR(__xludf.DUMMYFUNCTION("IFERROR(VLOOKUP(J1520,{IMPORTRANGE(""1xFrklApkRqApw6hS49w9Le1ELcHrQ5f2FJdiVs8ztHg"", ""Joining &amp; Induction Tracker!F:F""),IMPORTRANGE(""1xFrklApkRqApw6hS49w9Le1ELcHrQ5f2FJdiVs8ztHg"", ""Joining &amp; Induction Tracker!A:A"")},2,0),"""")"),"")</f>
        <v/>
      </c>
      <c r="C1520" s="26"/>
      <c r="D1520" s="32" t="str">
        <f>IFERROR(__xludf.DUMMYFUNCTION("IFERROR(VLOOKUP(J1520,{IMPORTRANGE(""1xFrklApkRqApw6hS49w9Le1ELcHrQ5f2FJdiVs8ztHg"", ""Joining &amp; Induction Tracker!F:F""),IMPORTRANGE(""1xFrklApkRqApw6hS49w9Le1ELcHrQ5f2FJdiVs8ztHg"", ""Joining &amp; Induction Tracker!C:C"")},2,0),"""")"),"")</f>
        <v/>
      </c>
      <c r="E1520" s="30"/>
      <c r="F1520" s="33" t="str">
        <f>IFERROR(__xludf.DUMMYFUNCTION("IFERROR(
    IF(AND(ISNUMBER(VLOOKUP(J1520,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0" s="30"/>
      <c r="H1520" s="31" t="str">
        <f>IFERROR(__xludf.DUMMYFUNCTION("IFERROR(VLOOKUP(J1520,{IMPORTRANGE(""1xFrklApkRqApw6hS49w9Le1ELcHrQ5f2FJdiVs8ztHg"", ""Joining &amp; Induction Tracker!F:F""),IMPORTRANGE(""1xFrklApkRqApw6hS49w9Le1ELcHrQ5f2FJdiVs8ztHg"", ""Joining &amp; Induction Tracker!B:B"")},2,0),"""")"),"")</f>
        <v/>
      </c>
      <c r="I1520" s="31" t="str">
        <f>IFERROR(__xludf.DUMMYFUNCTION("IFERROR(VLOOKUP(J1520,{IMPORTRANGE(""1xFrklApkRqApw6hS49w9Le1ELcHrQ5f2FJdiVs8ztHg"", ""Joining &amp; Induction Tracker!F:F""),IMPORTRANGE(""1xFrklApkRqApw6hS49w9Le1ELcHrQ5f2FJdiVs8ztHg"", ""Joining &amp; Induction Tracker!G:G"")},2,0),"""")"),"")</f>
        <v/>
      </c>
      <c r="J1520" s="38"/>
      <c r="K1520" s="26"/>
      <c r="L1520" s="31" t="s">
        <v>78</v>
      </c>
    </row>
    <row r="1521">
      <c r="A1521" s="37" t="str">
        <f>IFERROR(__xludf.DUMMYFUNCTION("IFERROR(VLOOKUP(J1521,{IMPORTRANGE(""1xFrklApkRqApw6hS49w9Le1ELcHrQ5f2FJdiVs8ztHg"", ""Joining &amp; Induction Tracker!F:F""),IMPORTRANGE(""1xFrklApkRqApw6hS49w9Le1ELcHrQ5f2FJdiVs8ztHg"", ""Joining &amp; Induction Tracker!J:J"")},2,0),"""")"),"")</f>
        <v/>
      </c>
      <c r="B1521" s="26" t="str">
        <f>IFERROR(__xludf.DUMMYFUNCTION("IFERROR(VLOOKUP(J1521,{IMPORTRANGE(""1xFrklApkRqApw6hS49w9Le1ELcHrQ5f2FJdiVs8ztHg"", ""Joining &amp; Induction Tracker!F:F""),IMPORTRANGE(""1xFrklApkRqApw6hS49w9Le1ELcHrQ5f2FJdiVs8ztHg"", ""Joining &amp; Induction Tracker!A:A"")},2,0),"""")"),"")</f>
        <v/>
      </c>
      <c r="C1521" s="26"/>
      <c r="D1521" s="32" t="str">
        <f>IFERROR(__xludf.DUMMYFUNCTION("IFERROR(VLOOKUP(J1521,{IMPORTRANGE(""1xFrklApkRqApw6hS49w9Le1ELcHrQ5f2FJdiVs8ztHg"", ""Joining &amp; Induction Tracker!F:F""),IMPORTRANGE(""1xFrklApkRqApw6hS49w9Le1ELcHrQ5f2FJdiVs8ztHg"", ""Joining &amp; Induction Tracker!C:C"")},2,0),"""")"),"")</f>
        <v/>
      </c>
      <c r="E1521" s="30"/>
      <c r="F1521" s="33" t="str">
        <f>IFERROR(__xludf.DUMMYFUNCTION("IFERROR(
    IF(AND(ISNUMBER(VLOOKUP(J1521,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1" s="30"/>
      <c r="H1521" s="31" t="str">
        <f>IFERROR(__xludf.DUMMYFUNCTION("IFERROR(VLOOKUP(J1521,{IMPORTRANGE(""1xFrklApkRqApw6hS49w9Le1ELcHrQ5f2FJdiVs8ztHg"", ""Joining &amp; Induction Tracker!F:F""),IMPORTRANGE(""1xFrklApkRqApw6hS49w9Le1ELcHrQ5f2FJdiVs8ztHg"", ""Joining &amp; Induction Tracker!B:B"")},2,0),"""")"),"")</f>
        <v/>
      </c>
      <c r="I1521" s="31" t="str">
        <f>IFERROR(__xludf.DUMMYFUNCTION("IFERROR(VLOOKUP(J1521,{IMPORTRANGE(""1xFrklApkRqApw6hS49w9Le1ELcHrQ5f2FJdiVs8ztHg"", ""Joining &amp; Induction Tracker!F:F""),IMPORTRANGE(""1xFrklApkRqApw6hS49w9Le1ELcHrQ5f2FJdiVs8ztHg"", ""Joining &amp; Induction Tracker!G:G"")},2,0),"""")"),"")</f>
        <v/>
      </c>
      <c r="J1521" s="38"/>
      <c r="K1521" s="26"/>
      <c r="L1521" s="31" t="s">
        <v>78</v>
      </c>
    </row>
    <row r="1522">
      <c r="A1522" s="37" t="str">
        <f>IFERROR(__xludf.DUMMYFUNCTION("IFERROR(VLOOKUP(J1522,{IMPORTRANGE(""1xFrklApkRqApw6hS49w9Le1ELcHrQ5f2FJdiVs8ztHg"", ""Joining &amp; Induction Tracker!F:F""),IMPORTRANGE(""1xFrklApkRqApw6hS49w9Le1ELcHrQ5f2FJdiVs8ztHg"", ""Joining &amp; Induction Tracker!J:J"")},2,0),"""")"),"")</f>
        <v/>
      </c>
      <c r="B1522" s="26" t="str">
        <f>IFERROR(__xludf.DUMMYFUNCTION("IFERROR(VLOOKUP(J1522,{IMPORTRANGE(""1xFrklApkRqApw6hS49w9Le1ELcHrQ5f2FJdiVs8ztHg"", ""Joining &amp; Induction Tracker!F:F""),IMPORTRANGE(""1xFrklApkRqApw6hS49w9Le1ELcHrQ5f2FJdiVs8ztHg"", ""Joining &amp; Induction Tracker!A:A"")},2,0),"""")"),"")</f>
        <v/>
      </c>
      <c r="C1522" s="26"/>
      <c r="D1522" s="32" t="str">
        <f>IFERROR(__xludf.DUMMYFUNCTION("IFERROR(VLOOKUP(J1522,{IMPORTRANGE(""1xFrklApkRqApw6hS49w9Le1ELcHrQ5f2FJdiVs8ztHg"", ""Joining &amp; Induction Tracker!F:F""),IMPORTRANGE(""1xFrklApkRqApw6hS49w9Le1ELcHrQ5f2FJdiVs8ztHg"", ""Joining &amp; Induction Tracker!C:C"")},2,0),"""")"),"")</f>
        <v/>
      </c>
      <c r="E1522" s="30"/>
      <c r="F1522" s="33" t="str">
        <f>IFERROR(__xludf.DUMMYFUNCTION("IFERROR(
    IF(AND(ISNUMBER(VLOOKUP(J1522,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2" s="30"/>
      <c r="H1522" s="31" t="str">
        <f>IFERROR(__xludf.DUMMYFUNCTION("IFERROR(VLOOKUP(J1522,{IMPORTRANGE(""1xFrklApkRqApw6hS49w9Le1ELcHrQ5f2FJdiVs8ztHg"", ""Joining &amp; Induction Tracker!F:F""),IMPORTRANGE(""1xFrklApkRqApw6hS49w9Le1ELcHrQ5f2FJdiVs8ztHg"", ""Joining &amp; Induction Tracker!B:B"")},2,0),"""")"),"")</f>
        <v/>
      </c>
      <c r="I1522" s="31" t="str">
        <f>IFERROR(__xludf.DUMMYFUNCTION("IFERROR(VLOOKUP(J1522,{IMPORTRANGE(""1xFrklApkRqApw6hS49w9Le1ELcHrQ5f2FJdiVs8ztHg"", ""Joining &amp; Induction Tracker!F:F""),IMPORTRANGE(""1xFrklApkRqApw6hS49w9Le1ELcHrQ5f2FJdiVs8ztHg"", ""Joining &amp; Induction Tracker!G:G"")},2,0),"""")"),"")</f>
        <v/>
      </c>
      <c r="J1522" s="38"/>
      <c r="K1522" s="26"/>
      <c r="L1522" s="31" t="s">
        <v>78</v>
      </c>
    </row>
    <row r="1523">
      <c r="A1523" s="37" t="str">
        <f>IFERROR(__xludf.DUMMYFUNCTION("IFERROR(VLOOKUP(J1523,{IMPORTRANGE(""1xFrklApkRqApw6hS49w9Le1ELcHrQ5f2FJdiVs8ztHg"", ""Joining &amp; Induction Tracker!F:F""),IMPORTRANGE(""1xFrklApkRqApw6hS49w9Le1ELcHrQ5f2FJdiVs8ztHg"", ""Joining &amp; Induction Tracker!J:J"")},2,0),"""")"),"")</f>
        <v/>
      </c>
      <c r="B1523" s="26" t="str">
        <f>IFERROR(__xludf.DUMMYFUNCTION("IFERROR(VLOOKUP(J1523,{IMPORTRANGE(""1xFrklApkRqApw6hS49w9Le1ELcHrQ5f2FJdiVs8ztHg"", ""Joining &amp; Induction Tracker!F:F""),IMPORTRANGE(""1xFrklApkRqApw6hS49w9Le1ELcHrQ5f2FJdiVs8ztHg"", ""Joining &amp; Induction Tracker!A:A"")},2,0),"""")"),"")</f>
        <v/>
      </c>
      <c r="C1523" s="26"/>
      <c r="D1523" s="32" t="str">
        <f>IFERROR(__xludf.DUMMYFUNCTION("IFERROR(VLOOKUP(J1523,{IMPORTRANGE(""1xFrklApkRqApw6hS49w9Le1ELcHrQ5f2FJdiVs8ztHg"", ""Joining &amp; Induction Tracker!F:F""),IMPORTRANGE(""1xFrklApkRqApw6hS49w9Le1ELcHrQ5f2FJdiVs8ztHg"", ""Joining &amp; Induction Tracker!C:C"")},2,0),"""")"),"")</f>
        <v/>
      </c>
      <c r="E1523" s="30"/>
      <c r="F1523" s="33" t="str">
        <f>IFERROR(__xludf.DUMMYFUNCTION("IFERROR(
    IF(AND(ISNUMBER(VLOOKUP(J1523,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LEN(VLOOKUP(J1523,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VLOOKUP(J1523,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VLOOKUP(J1523,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3" s="30"/>
      <c r="H1523" s="31" t="str">
        <f>IFERROR(__xludf.DUMMYFUNCTION("IFERROR(VLOOKUP(J1523,{IMPORTRANGE(""1xFrklApkRqApw6hS49w9Le1ELcHrQ5f2FJdiVs8ztHg"", ""Joining &amp; Induction Tracker!F:F""),IMPORTRANGE(""1xFrklApkRqApw6hS49w9Le1ELcHrQ5f2FJdiVs8ztHg"", ""Joining &amp; Induction Tracker!B:B"")},2,0),"""")"),"")</f>
        <v/>
      </c>
      <c r="I1523" s="31" t="str">
        <f>IFERROR(__xludf.DUMMYFUNCTION("IFERROR(VLOOKUP(J1523,{IMPORTRANGE(""1xFrklApkRqApw6hS49w9Le1ELcHrQ5f2FJdiVs8ztHg"", ""Joining &amp; Induction Tracker!F:F""),IMPORTRANGE(""1xFrklApkRqApw6hS49w9Le1ELcHrQ5f2FJdiVs8ztHg"", ""Joining &amp; Induction Tracker!G:G"")},2,0),"""")"),"")</f>
        <v/>
      </c>
      <c r="J1523" s="38"/>
      <c r="K1523" s="26"/>
      <c r="L1523" s="31" t="s">
        <v>78</v>
      </c>
    </row>
    <row r="1524">
      <c r="A1524" s="37" t="str">
        <f>IFERROR(__xludf.DUMMYFUNCTION("IFERROR(VLOOKUP(J1524,{IMPORTRANGE(""1xFrklApkRqApw6hS49w9Le1ELcHrQ5f2FJdiVs8ztHg"", ""Joining &amp; Induction Tracker!F:F""),IMPORTRANGE(""1xFrklApkRqApw6hS49w9Le1ELcHrQ5f2FJdiVs8ztHg"", ""Joining &amp; Induction Tracker!J:J"")},2,0),"""")"),"")</f>
        <v/>
      </c>
      <c r="B1524" s="26" t="str">
        <f>IFERROR(__xludf.DUMMYFUNCTION("IFERROR(VLOOKUP(J1524,{IMPORTRANGE(""1xFrklApkRqApw6hS49w9Le1ELcHrQ5f2FJdiVs8ztHg"", ""Joining &amp; Induction Tracker!F:F""),IMPORTRANGE(""1xFrklApkRqApw6hS49w9Le1ELcHrQ5f2FJdiVs8ztHg"", ""Joining &amp; Induction Tracker!A:A"")},2,0),"""")"),"")</f>
        <v/>
      </c>
      <c r="C1524" s="26"/>
      <c r="D1524" s="32" t="str">
        <f>IFERROR(__xludf.DUMMYFUNCTION("IFERROR(VLOOKUP(J1524,{IMPORTRANGE(""1xFrklApkRqApw6hS49w9Le1ELcHrQ5f2FJdiVs8ztHg"", ""Joining &amp; Induction Tracker!F:F""),IMPORTRANGE(""1xFrklApkRqApw6hS49w9Le1ELcHrQ5f2FJdiVs8ztHg"", ""Joining &amp; Induction Tracker!C:C"")},2,0),"""")"),"")</f>
        <v/>
      </c>
      <c r="E1524" s="30"/>
      <c r="F1524" s="33" t="str">
        <f>IFERROR(__xludf.DUMMYFUNCTION("IFERROR(
    IF(AND(ISNUMBER(VLOOKUP(J1524,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LEN(VLOOKUP(J1524,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VLOOKUP(J1524,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VLOOKUP(J1524,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4" s="30"/>
      <c r="H1524" s="31" t="str">
        <f>IFERROR(__xludf.DUMMYFUNCTION("IFERROR(VLOOKUP(J1524,{IMPORTRANGE(""1xFrklApkRqApw6hS49w9Le1ELcHrQ5f2FJdiVs8ztHg"", ""Joining &amp; Induction Tracker!F:F""),IMPORTRANGE(""1xFrklApkRqApw6hS49w9Le1ELcHrQ5f2FJdiVs8ztHg"", ""Joining &amp; Induction Tracker!B:B"")},2,0),"""")"),"")</f>
        <v/>
      </c>
      <c r="I1524" s="31" t="str">
        <f>IFERROR(__xludf.DUMMYFUNCTION("IFERROR(VLOOKUP(J1524,{IMPORTRANGE(""1xFrklApkRqApw6hS49w9Le1ELcHrQ5f2FJdiVs8ztHg"", ""Joining &amp; Induction Tracker!F:F""),IMPORTRANGE(""1xFrklApkRqApw6hS49w9Le1ELcHrQ5f2FJdiVs8ztHg"", ""Joining &amp; Induction Tracker!G:G"")},2,0),"""")"),"")</f>
        <v/>
      </c>
      <c r="J1524" s="38"/>
      <c r="K1524" s="26"/>
      <c r="L1524" s="31" t="s">
        <v>78</v>
      </c>
    </row>
    <row r="1525">
      <c r="A1525" s="37" t="str">
        <f>IFERROR(__xludf.DUMMYFUNCTION("IFERROR(VLOOKUP(J1525,{IMPORTRANGE(""1xFrklApkRqApw6hS49w9Le1ELcHrQ5f2FJdiVs8ztHg"", ""Joining &amp; Induction Tracker!F:F""),IMPORTRANGE(""1xFrklApkRqApw6hS49w9Le1ELcHrQ5f2FJdiVs8ztHg"", ""Joining &amp; Induction Tracker!J:J"")},2,0),"""")"),"")</f>
        <v/>
      </c>
      <c r="B1525" s="26" t="str">
        <f>IFERROR(__xludf.DUMMYFUNCTION("IFERROR(VLOOKUP(J1525,{IMPORTRANGE(""1xFrklApkRqApw6hS49w9Le1ELcHrQ5f2FJdiVs8ztHg"", ""Joining &amp; Induction Tracker!F:F""),IMPORTRANGE(""1xFrklApkRqApw6hS49w9Le1ELcHrQ5f2FJdiVs8ztHg"", ""Joining &amp; Induction Tracker!A:A"")},2,0),"""")"),"")</f>
        <v/>
      </c>
      <c r="C1525" s="26"/>
      <c r="D1525" s="32" t="str">
        <f>IFERROR(__xludf.DUMMYFUNCTION("IFERROR(VLOOKUP(J1525,{IMPORTRANGE(""1xFrklApkRqApw6hS49w9Le1ELcHrQ5f2FJdiVs8ztHg"", ""Joining &amp; Induction Tracker!F:F""),IMPORTRANGE(""1xFrklApkRqApw6hS49w9Le1ELcHrQ5f2FJdiVs8ztHg"", ""Joining &amp; Induction Tracker!C:C"")},2,0),"""")"),"")</f>
        <v/>
      </c>
      <c r="E1525" s="30"/>
      <c r="F1525" s="33" t="str">
        <f>IFERROR(__xludf.DUMMYFUNCTION("IFERROR(
    IF(AND(ISNUMBER(VLOOKUP(J1525,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LEN(VLOOKUP(J1525,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VLOOKUP(J1525,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VLOOKUP(J1525,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5" s="30"/>
      <c r="H1525" s="31" t="str">
        <f>IFERROR(__xludf.DUMMYFUNCTION("IFERROR(VLOOKUP(J1525,{IMPORTRANGE(""1xFrklApkRqApw6hS49w9Le1ELcHrQ5f2FJdiVs8ztHg"", ""Joining &amp; Induction Tracker!F:F""),IMPORTRANGE(""1xFrklApkRqApw6hS49w9Le1ELcHrQ5f2FJdiVs8ztHg"", ""Joining &amp; Induction Tracker!B:B"")},2,0),"""")"),"")</f>
        <v/>
      </c>
      <c r="I1525" s="31" t="str">
        <f>IFERROR(__xludf.DUMMYFUNCTION("IFERROR(VLOOKUP(J1525,{IMPORTRANGE(""1xFrklApkRqApw6hS49w9Le1ELcHrQ5f2FJdiVs8ztHg"", ""Joining &amp; Induction Tracker!F:F""),IMPORTRANGE(""1xFrklApkRqApw6hS49w9Le1ELcHrQ5f2FJdiVs8ztHg"", ""Joining &amp; Induction Tracker!G:G"")},2,0),"""")"),"")</f>
        <v/>
      </c>
      <c r="J1525" s="38"/>
      <c r="K1525" s="26"/>
      <c r="L1525" s="31" t="s">
        <v>78</v>
      </c>
    </row>
    <row r="1526">
      <c r="A1526" s="37" t="str">
        <f>IFERROR(__xludf.DUMMYFUNCTION("IFERROR(VLOOKUP(J1526,{IMPORTRANGE(""1xFrklApkRqApw6hS49w9Le1ELcHrQ5f2FJdiVs8ztHg"", ""Joining &amp; Induction Tracker!F:F""),IMPORTRANGE(""1xFrklApkRqApw6hS49w9Le1ELcHrQ5f2FJdiVs8ztHg"", ""Joining &amp; Induction Tracker!J:J"")},2,0),"""")"),"")</f>
        <v/>
      </c>
      <c r="B1526" s="26" t="str">
        <f>IFERROR(__xludf.DUMMYFUNCTION("IFERROR(VLOOKUP(J1526,{IMPORTRANGE(""1xFrklApkRqApw6hS49w9Le1ELcHrQ5f2FJdiVs8ztHg"", ""Joining &amp; Induction Tracker!F:F""),IMPORTRANGE(""1xFrklApkRqApw6hS49w9Le1ELcHrQ5f2FJdiVs8ztHg"", ""Joining &amp; Induction Tracker!A:A"")},2,0),"""")"),"")</f>
        <v/>
      </c>
      <c r="C1526" s="26"/>
      <c r="D1526" s="32" t="str">
        <f>IFERROR(__xludf.DUMMYFUNCTION("IFERROR(VLOOKUP(J1526,{IMPORTRANGE(""1xFrklApkRqApw6hS49w9Le1ELcHrQ5f2FJdiVs8ztHg"", ""Joining &amp; Induction Tracker!F:F""),IMPORTRANGE(""1xFrklApkRqApw6hS49w9Le1ELcHrQ5f2FJdiVs8ztHg"", ""Joining &amp; Induction Tracker!C:C"")},2,0),"""")"),"")</f>
        <v/>
      </c>
      <c r="E1526" s="30"/>
      <c r="F1526" s="33" t="str">
        <f>IFERROR(__xludf.DUMMYFUNCTION("IFERROR(
    IF(AND(ISNUMBER(VLOOKUP(J1526,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LEN(VLOOKUP(J1526,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VLOOKUP(J1526,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VLOOKUP(J1526,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6" s="30"/>
      <c r="H1526" s="31" t="str">
        <f>IFERROR(__xludf.DUMMYFUNCTION("IFERROR(VLOOKUP(J1526,{IMPORTRANGE(""1xFrklApkRqApw6hS49w9Le1ELcHrQ5f2FJdiVs8ztHg"", ""Joining &amp; Induction Tracker!F:F""),IMPORTRANGE(""1xFrklApkRqApw6hS49w9Le1ELcHrQ5f2FJdiVs8ztHg"", ""Joining &amp; Induction Tracker!B:B"")},2,0),"""")"),"")</f>
        <v/>
      </c>
      <c r="I1526" s="31" t="str">
        <f>IFERROR(__xludf.DUMMYFUNCTION("IFERROR(VLOOKUP(J1526,{IMPORTRANGE(""1xFrklApkRqApw6hS49w9Le1ELcHrQ5f2FJdiVs8ztHg"", ""Joining &amp; Induction Tracker!F:F""),IMPORTRANGE(""1xFrklApkRqApw6hS49w9Le1ELcHrQ5f2FJdiVs8ztHg"", ""Joining &amp; Induction Tracker!G:G"")},2,0),"""")"),"")</f>
        <v/>
      </c>
      <c r="J1526" s="38"/>
      <c r="K1526" s="26"/>
      <c r="L1526" s="31" t="s">
        <v>78</v>
      </c>
    </row>
    <row r="1527">
      <c r="A1527" s="37" t="str">
        <f>IFERROR(__xludf.DUMMYFUNCTION("IFERROR(VLOOKUP(J1527,{IMPORTRANGE(""1xFrklApkRqApw6hS49w9Le1ELcHrQ5f2FJdiVs8ztHg"", ""Joining &amp; Induction Tracker!F:F""),IMPORTRANGE(""1xFrklApkRqApw6hS49w9Le1ELcHrQ5f2FJdiVs8ztHg"", ""Joining &amp; Induction Tracker!J:J"")},2,0),"""")"),"")</f>
        <v/>
      </c>
      <c r="B1527" s="26" t="str">
        <f>IFERROR(__xludf.DUMMYFUNCTION("IFERROR(VLOOKUP(J1527,{IMPORTRANGE(""1xFrklApkRqApw6hS49w9Le1ELcHrQ5f2FJdiVs8ztHg"", ""Joining &amp; Induction Tracker!F:F""),IMPORTRANGE(""1xFrklApkRqApw6hS49w9Le1ELcHrQ5f2FJdiVs8ztHg"", ""Joining &amp; Induction Tracker!A:A"")},2,0),"""")"),"")</f>
        <v/>
      </c>
      <c r="C1527" s="26"/>
      <c r="D1527" s="32" t="str">
        <f>IFERROR(__xludf.DUMMYFUNCTION("IFERROR(VLOOKUP(J1527,{IMPORTRANGE(""1xFrklApkRqApw6hS49w9Le1ELcHrQ5f2FJdiVs8ztHg"", ""Joining &amp; Induction Tracker!F:F""),IMPORTRANGE(""1xFrklApkRqApw6hS49w9Le1ELcHrQ5f2FJdiVs8ztHg"", ""Joining &amp; Induction Tracker!C:C"")},2,0),"""")"),"")</f>
        <v/>
      </c>
      <c r="E1527" s="30"/>
      <c r="F1527" s="33" t="str">
        <f>IFERROR(__xludf.DUMMYFUNCTION("IFERROR(
    IF(AND(ISNUMBER(VLOOKUP(J1527,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LEN(VLOOKUP(J1527,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VLOOKUP(J1527,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VLOOKUP(J1527,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7" s="30"/>
      <c r="H1527" s="31" t="str">
        <f>IFERROR(__xludf.DUMMYFUNCTION("IFERROR(VLOOKUP(J1527,{IMPORTRANGE(""1xFrklApkRqApw6hS49w9Le1ELcHrQ5f2FJdiVs8ztHg"", ""Joining &amp; Induction Tracker!F:F""),IMPORTRANGE(""1xFrklApkRqApw6hS49w9Le1ELcHrQ5f2FJdiVs8ztHg"", ""Joining &amp; Induction Tracker!B:B"")},2,0),"""")"),"")</f>
        <v/>
      </c>
      <c r="I1527" s="31" t="str">
        <f>IFERROR(__xludf.DUMMYFUNCTION("IFERROR(VLOOKUP(J1527,{IMPORTRANGE(""1xFrklApkRqApw6hS49w9Le1ELcHrQ5f2FJdiVs8ztHg"", ""Joining &amp; Induction Tracker!F:F""),IMPORTRANGE(""1xFrklApkRqApw6hS49w9Le1ELcHrQ5f2FJdiVs8ztHg"", ""Joining &amp; Induction Tracker!G:G"")},2,0),"""")"),"")</f>
        <v/>
      </c>
      <c r="J1527" s="38"/>
      <c r="K1527" s="26"/>
      <c r="L1527" s="31" t="s">
        <v>78</v>
      </c>
    </row>
    <row r="1528">
      <c r="A1528" s="37" t="str">
        <f>IFERROR(__xludf.DUMMYFUNCTION("IFERROR(VLOOKUP(J1528,{IMPORTRANGE(""1xFrklApkRqApw6hS49w9Le1ELcHrQ5f2FJdiVs8ztHg"", ""Joining &amp; Induction Tracker!F:F""),IMPORTRANGE(""1xFrklApkRqApw6hS49w9Le1ELcHrQ5f2FJdiVs8ztHg"", ""Joining &amp; Induction Tracker!J:J"")},2,0),"""")"),"")</f>
        <v/>
      </c>
      <c r="B1528" s="26" t="str">
        <f>IFERROR(__xludf.DUMMYFUNCTION("IFERROR(VLOOKUP(J1528,{IMPORTRANGE(""1xFrklApkRqApw6hS49w9Le1ELcHrQ5f2FJdiVs8ztHg"", ""Joining &amp; Induction Tracker!F:F""),IMPORTRANGE(""1xFrklApkRqApw6hS49w9Le1ELcHrQ5f2FJdiVs8ztHg"", ""Joining &amp; Induction Tracker!A:A"")},2,0),"""")"),"")</f>
        <v/>
      </c>
      <c r="C1528" s="26"/>
      <c r="D1528" s="32" t="str">
        <f>IFERROR(__xludf.DUMMYFUNCTION("IFERROR(VLOOKUP(J1528,{IMPORTRANGE(""1xFrklApkRqApw6hS49w9Le1ELcHrQ5f2FJdiVs8ztHg"", ""Joining &amp; Induction Tracker!F:F""),IMPORTRANGE(""1xFrklApkRqApw6hS49w9Le1ELcHrQ5f2FJdiVs8ztHg"", ""Joining &amp; Induction Tracker!C:C"")},2,0),"""")"),"")</f>
        <v/>
      </c>
      <c r="E1528" s="30"/>
      <c r="F1528" s="33" t="str">
        <f>IFERROR(__xludf.DUMMYFUNCTION("IFERROR(
    IF(AND(ISNUMBER(VLOOKUP(J1528,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LEN(VLOOKUP(J1528,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VLOOKUP(J1528,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VLOOKUP(J1528,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8" s="30"/>
      <c r="H1528" s="31" t="str">
        <f>IFERROR(__xludf.DUMMYFUNCTION("IFERROR(VLOOKUP(J1528,{IMPORTRANGE(""1xFrklApkRqApw6hS49w9Le1ELcHrQ5f2FJdiVs8ztHg"", ""Joining &amp; Induction Tracker!F:F""),IMPORTRANGE(""1xFrklApkRqApw6hS49w9Le1ELcHrQ5f2FJdiVs8ztHg"", ""Joining &amp; Induction Tracker!B:B"")},2,0),"""")"),"")</f>
        <v/>
      </c>
      <c r="I1528" s="31" t="str">
        <f>IFERROR(__xludf.DUMMYFUNCTION("IFERROR(VLOOKUP(J1528,{IMPORTRANGE(""1xFrklApkRqApw6hS49w9Le1ELcHrQ5f2FJdiVs8ztHg"", ""Joining &amp; Induction Tracker!F:F""),IMPORTRANGE(""1xFrklApkRqApw6hS49w9Le1ELcHrQ5f2FJdiVs8ztHg"", ""Joining &amp; Induction Tracker!G:G"")},2,0),"""")"),"")</f>
        <v/>
      </c>
      <c r="J1528" s="38"/>
      <c r="K1528" s="26"/>
      <c r="L1528" s="31" t="s">
        <v>78</v>
      </c>
    </row>
    <row r="1529">
      <c r="A1529" s="37" t="str">
        <f>IFERROR(__xludf.DUMMYFUNCTION("IFERROR(VLOOKUP(J1529,{IMPORTRANGE(""1xFrklApkRqApw6hS49w9Le1ELcHrQ5f2FJdiVs8ztHg"", ""Joining &amp; Induction Tracker!F:F""),IMPORTRANGE(""1xFrklApkRqApw6hS49w9Le1ELcHrQ5f2FJdiVs8ztHg"", ""Joining &amp; Induction Tracker!J:J"")},2,0),"""")"),"")</f>
        <v/>
      </c>
      <c r="B1529" s="26" t="str">
        <f>IFERROR(__xludf.DUMMYFUNCTION("IFERROR(VLOOKUP(J1529,{IMPORTRANGE(""1xFrklApkRqApw6hS49w9Le1ELcHrQ5f2FJdiVs8ztHg"", ""Joining &amp; Induction Tracker!F:F""),IMPORTRANGE(""1xFrklApkRqApw6hS49w9Le1ELcHrQ5f2FJdiVs8ztHg"", ""Joining &amp; Induction Tracker!A:A"")},2,0),"""")"),"")</f>
        <v/>
      </c>
      <c r="C1529" s="26"/>
      <c r="D1529" s="32" t="str">
        <f>IFERROR(__xludf.DUMMYFUNCTION("IFERROR(VLOOKUP(J1529,{IMPORTRANGE(""1xFrklApkRqApw6hS49w9Le1ELcHrQ5f2FJdiVs8ztHg"", ""Joining &amp; Induction Tracker!F:F""),IMPORTRANGE(""1xFrklApkRqApw6hS49w9Le1ELcHrQ5f2FJdiVs8ztHg"", ""Joining &amp; Induction Tracker!C:C"")},2,0),"""")"),"")</f>
        <v/>
      </c>
      <c r="E1529" s="30"/>
      <c r="F1529" s="33" t="str">
        <f>IFERROR(__xludf.DUMMYFUNCTION("IFERROR(
    IF(AND(ISNUMBER(VLOOKUP(J1529,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LEN(VLOOKUP(J1529,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VLOOKUP(J1529,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VLOOKUP(J1529,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29" s="30"/>
      <c r="H1529" s="31" t="str">
        <f>IFERROR(__xludf.DUMMYFUNCTION("IFERROR(VLOOKUP(J1529,{IMPORTRANGE(""1xFrklApkRqApw6hS49w9Le1ELcHrQ5f2FJdiVs8ztHg"", ""Joining &amp; Induction Tracker!F:F""),IMPORTRANGE(""1xFrklApkRqApw6hS49w9Le1ELcHrQ5f2FJdiVs8ztHg"", ""Joining &amp; Induction Tracker!B:B"")},2,0),"""")"),"")</f>
        <v/>
      </c>
      <c r="I1529" s="31" t="str">
        <f>IFERROR(__xludf.DUMMYFUNCTION("IFERROR(VLOOKUP(J1529,{IMPORTRANGE(""1xFrklApkRqApw6hS49w9Le1ELcHrQ5f2FJdiVs8ztHg"", ""Joining &amp; Induction Tracker!F:F""),IMPORTRANGE(""1xFrklApkRqApw6hS49w9Le1ELcHrQ5f2FJdiVs8ztHg"", ""Joining &amp; Induction Tracker!G:G"")},2,0),"""")"),"")</f>
        <v/>
      </c>
      <c r="J1529" s="38"/>
      <c r="K1529" s="26"/>
      <c r="L1529" s="31" t="s">
        <v>78</v>
      </c>
    </row>
    <row r="1530">
      <c r="A1530" s="37" t="str">
        <f>IFERROR(__xludf.DUMMYFUNCTION("IFERROR(VLOOKUP(J1530,{IMPORTRANGE(""1xFrklApkRqApw6hS49w9Le1ELcHrQ5f2FJdiVs8ztHg"", ""Joining &amp; Induction Tracker!F:F""),IMPORTRANGE(""1xFrklApkRqApw6hS49w9Le1ELcHrQ5f2FJdiVs8ztHg"", ""Joining &amp; Induction Tracker!J:J"")},2,0),"""")"),"")</f>
        <v/>
      </c>
      <c r="B1530" s="26" t="str">
        <f>IFERROR(__xludf.DUMMYFUNCTION("IFERROR(VLOOKUP(J1530,{IMPORTRANGE(""1xFrklApkRqApw6hS49w9Le1ELcHrQ5f2FJdiVs8ztHg"", ""Joining &amp; Induction Tracker!F:F""),IMPORTRANGE(""1xFrklApkRqApw6hS49w9Le1ELcHrQ5f2FJdiVs8ztHg"", ""Joining &amp; Induction Tracker!A:A"")},2,0),"""")"),"")</f>
        <v/>
      </c>
      <c r="C1530" s="26"/>
      <c r="D1530" s="32" t="str">
        <f>IFERROR(__xludf.DUMMYFUNCTION("IFERROR(VLOOKUP(J1530,{IMPORTRANGE(""1xFrklApkRqApw6hS49w9Le1ELcHrQ5f2FJdiVs8ztHg"", ""Joining &amp; Induction Tracker!F:F""),IMPORTRANGE(""1xFrklApkRqApw6hS49w9Le1ELcHrQ5f2FJdiVs8ztHg"", ""Joining &amp; Induction Tracker!C:C"")},2,0),"""")"),"")</f>
        <v/>
      </c>
      <c r="E1530" s="30"/>
      <c r="F1530" s="33" t="str">
        <f>IFERROR(__xludf.DUMMYFUNCTION("IFERROR(
    IF(AND(ISNUMBER(VLOOKUP(J1530,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0" s="30"/>
      <c r="H1530" s="31" t="str">
        <f>IFERROR(__xludf.DUMMYFUNCTION("IFERROR(VLOOKUP(J1530,{IMPORTRANGE(""1xFrklApkRqApw6hS49w9Le1ELcHrQ5f2FJdiVs8ztHg"", ""Joining &amp; Induction Tracker!F:F""),IMPORTRANGE(""1xFrklApkRqApw6hS49w9Le1ELcHrQ5f2FJdiVs8ztHg"", ""Joining &amp; Induction Tracker!B:B"")},2,0),"""")"),"")</f>
        <v/>
      </c>
      <c r="I1530" s="31" t="str">
        <f>IFERROR(__xludf.DUMMYFUNCTION("IFERROR(VLOOKUP(J1530,{IMPORTRANGE(""1xFrklApkRqApw6hS49w9Le1ELcHrQ5f2FJdiVs8ztHg"", ""Joining &amp; Induction Tracker!F:F""),IMPORTRANGE(""1xFrklApkRqApw6hS49w9Le1ELcHrQ5f2FJdiVs8ztHg"", ""Joining &amp; Induction Tracker!G:G"")},2,0),"""")"),"")</f>
        <v/>
      </c>
      <c r="J1530" s="38"/>
      <c r="K1530" s="26"/>
      <c r="L1530" s="31" t="s">
        <v>78</v>
      </c>
    </row>
    <row r="1531">
      <c r="A1531" s="37" t="str">
        <f>IFERROR(__xludf.DUMMYFUNCTION("IFERROR(VLOOKUP(J1531,{IMPORTRANGE(""1xFrklApkRqApw6hS49w9Le1ELcHrQ5f2FJdiVs8ztHg"", ""Joining &amp; Induction Tracker!F:F""),IMPORTRANGE(""1xFrklApkRqApw6hS49w9Le1ELcHrQ5f2FJdiVs8ztHg"", ""Joining &amp; Induction Tracker!J:J"")},2,0),"""")"),"")</f>
        <v/>
      </c>
      <c r="B1531" s="26" t="str">
        <f>IFERROR(__xludf.DUMMYFUNCTION("IFERROR(VLOOKUP(J1531,{IMPORTRANGE(""1xFrklApkRqApw6hS49w9Le1ELcHrQ5f2FJdiVs8ztHg"", ""Joining &amp; Induction Tracker!F:F""),IMPORTRANGE(""1xFrklApkRqApw6hS49w9Le1ELcHrQ5f2FJdiVs8ztHg"", ""Joining &amp; Induction Tracker!A:A"")},2,0),"""")"),"")</f>
        <v/>
      </c>
      <c r="C1531" s="26"/>
      <c r="D1531" s="32" t="str">
        <f>IFERROR(__xludf.DUMMYFUNCTION("IFERROR(VLOOKUP(J1531,{IMPORTRANGE(""1xFrklApkRqApw6hS49w9Le1ELcHrQ5f2FJdiVs8ztHg"", ""Joining &amp; Induction Tracker!F:F""),IMPORTRANGE(""1xFrklApkRqApw6hS49w9Le1ELcHrQ5f2FJdiVs8ztHg"", ""Joining &amp; Induction Tracker!C:C"")},2,0),"""")"),"")</f>
        <v/>
      </c>
      <c r="E1531" s="30"/>
      <c r="F1531" s="33" t="str">
        <f>IFERROR(__xludf.DUMMYFUNCTION("IFERROR(
    IF(AND(ISNUMBER(VLOOKUP(J1531,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1" s="30"/>
      <c r="H1531" s="31" t="str">
        <f>IFERROR(__xludf.DUMMYFUNCTION("IFERROR(VLOOKUP(J1531,{IMPORTRANGE(""1xFrklApkRqApw6hS49w9Le1ELcHrQ5f2FJdiVs8ztHg"", ""Joining &amp; Induction Tracker!F:F""),IMPORTRANGE(""1xFrklApkRqApw6hS49w9Le1ELcHrQ5f2FJdiVs8ztHg"", ""Joining &amp; Induction Tracker!B:B"")},2,0),"""")"),"")</f>
        <v/>
      </c>
      <c r="I1531" s="31" t="str">
        <f>IFERROR(__xludf.DUMMYFUNCTION("IFERROR(VLOOKUP(J1531,{IMPORTRANGE(""1xFrklApkRqApw6hS49w9Le1ELcHrQ5f2FJdiVs8ztHg"", ""Joining &amp; Induction Tracker!F:F""),IMPORTRANGE(""1xFrklApkRqApw6hS49w9Le1ELcHrQ5f2FJdiVs8ztHg"", ""Joining &amp; Induction Tracker!G:G"")},2,0),"""")"),"")</f>
        <v/>
      </c>
      <c r="J1531" s="38"/>
      <c r="K1531" s="26"/>
      <c r="L1531" s="31" t="s">
        <v>78</v>
      </c>
    </row>
    <row r="1532">
      <c r="A1532" s="37" t="str">
        <f>IFERROR(__xludf.DUMMYFUNCTION("IFERROR(VLOOKUP(J1532,{IMPORTRANGE(""1xFrklApkRqApw6hS49w9Le1ELcHrQ5f2FJdiVs8ztHg"", ""Joining &amp; Induction Tracker!F:F""),IMPORTRANGE(""1xFrklApkRqApw6hS49w9Le1ELcHrQ5f2FJdiVs8ztHg"", ""Joining &amp; Induction Tracker!J:J"")},2,0),"""")"),"")</f>
        <v/>
      </c>
      <c r="B1532" s="26" t="str">
        <f>IFERROR(__xludf.DUMMYFUNCTION("IFERROR(VLOOKUP(J1532,{IMPORTRANGE(""1xFrklApkRqApw6hS49w9Le1ELcHrQ5f2FJdiVs8ztHg"", ""Joining &amp; Induction Tracker!F:F""),IMPORTRANGE(""1xFrklApkRqApw6hS49w9Le1ELcHrQ5f2FJdiVs8ztHg"", ""Joining &amp; Induction Tracker!A:A"")},2,0),"""")"),"")</f>
        <v/>
      </c>
      <c r="C1532" s="26"/>
      <c r="D1532" s="32" t="str">
        <f>IFERROR(__xludf.DUMMYFUNCTION("IFERROR(VLOOKUP(J1532,{IMPORTRANGE(""1xFrklApkRqApw6hS49w9Le1ELcHrQ5f2FJdiVs8ztHg"", ""Joining &amp; Induction Tracker!F:F""),IMPORTRANGE(""1xFrklApkRqApw6hS49w9Le1ELcHrQ5f2FJdiVs8ztHg"", ""Joining &amp; Induction Tracker!C:C"")},2,0),"""")"),"")</f>
        <v/>
      </c>
      <c r="E1532" s="30"/>
      <c r="F1532" s="33" t="str">
        <f>IFERROR(__xludf.DUMMYFUNCTION("IFERROR(
    IF(AND(ISNUMBER(VLOOKUP(J1532,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2" s="30"/>
      <c r="H1532" s="31" t="str">
        <f>IFERROR(__xludf.DUMMYFUNCTION("IFERROR(VLOOKUP(J1532,{IMPORTRANGE(""1xFrklApkRqApw6hS49w9Le1ELcHrQ5f2FJdiVs8ztHg"", ""Joining &amp; Induction Tracker!F:F""),IMPORTRANGE(""1xFrklApkRqApw6hS49w9Le1ELcHrQ5f2FJdiVs8ztHg"", ""Joining &amp; Induction Tracker!B:B"")},2,0),"""")"),"")</f>
        <v/>
      </c>
      <c r="I1532" s="31" t="str">
        <f>IFERROR(__xludf.DUMMYFUNCTION("IFERROR(VLOOKUP(J1532,{IMPORTRANGE(""1xFrklApkRqApw6hS49w9Le1ELcHrQ5f2FJdiVs8ztHg"", ""Joining &amp; Induction Tracker!F:F""),IMPORTRANGE(""1xFrklApkRqApw6hS49w9Le1ELcHrQ5f2FJdiVs8ztHg"", ""Joining &amp; Induction Tracker!G:G"")},2,0),"""")"),"")</f>
        <v/>
      </c>
      <c r="J1532" s="38"/>
      <c r="K1532" s="26"/>
      <c r="L1532" s="31" t="s">
        <v>78</v>
      </c>
    </row>
    <row r="1533">
      <c r="A1533" s="37" t="str">
        <f>IFERROR(__xludf.DUMMYFUNCTION("IFERROR(VLOOKUP(J1533,{IMPORTRANGE(""1xFrklApkRqApw6hS49w9Le1ELcHrQ5f2FJdiVs8ztHg"", ""Joining &amp; Induction Tracker!F:F""),IMPORTRANGE(""1xFrklApkRqApw6hS49w9Le1ELcHrQ5f2FJdiVs8ztHg"", ""Joining &amp; Induction Tracker!J:J"")},2,0),"""")"),"")</f>
        <v/>
      </c>
      <c r="B1533" s="26" t="str">
        <f>IFERROR(__xludf.DUMMYFUNCTION("IFERROR(VLOOKUP(J1533,{IMPORTRANGE(""1xFrklApkRqApw6hS49w9Le1ELcHrQ5f2FJdiVs8ztHg"", ""Joining &amp; Induction Tracker!F:F""),IMPORTRANGE(""1xFrklApkRqApw6hS49w9Le1ELcHrQ5f2FJdiVs8ztHg"", ""Joining &amp; Induction Tracker!A:A"")},2,0),"""")"),"")</f>
        <v/>
      </c>
      <c r="C1533" s="26"/>
      <c r="D1533" s="32" t="str">
        <f>IFERROR(__xludf.DUMMYFUNCTION("IFERROR(VLOOKUP(J1533,{IMPORTRANGE(""1xFrklApkRqApw6hS49w9Le1ELcHrQ5f2FJdiVs8ztHg"", ""Joining &amp; Induction Tracker!F:F""),IMPORTRANGE(""1xFrklApkRqApw6hS49w9Le1ELcHrQ5f2FJdiVs8ztHg"", ""Joining &amp; Induction Tracker!C:C"")},2,0),"""")"),"")</f>
        <v/>
      </c>
      <c r="E1533" s="30"/>
      <c r="F1533" s="33" t="str">
        <f>IFERROR(__xludf.DUMMYFUNCTION("IFERROR(
    IF(AND(ISNUMBER(VLOOKUP(J1533,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LEN(VLOOKUP(J1533,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VLOOKUP(J1533,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VLOOKUP(J1533,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3" s="30"/>
      <c r="H1533" s="31" t="str">
        <f>IFERROR(__xludf.DUMMYFUNCTION("IFERROR(VLOOKUP(J1533,{IMPORTRANGE(""1xFrklApkRqApw6hS49w9Le1ELcHrQ5f2FJdiVs8ztHg"", ""Joining &amp; Induction Tracker!F:F""),IMPORTRANGE(""1xFrklApkRqApw6hS49w9Le1ELcHrQ5f2FJdiVs8ztHg"", ""Joining &amp; Induction Tracker!B:B"")},2,0),"""")"),"")</f>
        <v/>
      </c>
      <c r="I1533" s="31" t="str">
        <f>IFERROR(__xludf.DUMMYFUNCTION("IFERROR(VLOOKUP(J1533,{IMPORTRANGE(""1xFrklApkRqApw6hS49w9Le1ELcHrQ5f2FJdiVs8ztHg"", ""Joining &amp; Induction Tracker!F:F""),IMPORTRANGE(""1xFrklApkRqApw6hS49w9Le1ELcHrQ5f2FJdiVs8ztHg"", ""Joining &amp; Induction Tracker!G:G"")},2,0),"""")"),"")</f>
        <v/>
      </c>
      <c r="J1533" s="38"/>
      <c r="K1533" s="26"/>
      <c r="L1533" s="31" t="s">
        <v>78</v>
      </c>
    </row>
    <row r="1534">
      <c r="A1534" s="37" t="str">
        <f>IFERROR(__xludf.DUMMYFUNCTION("IFERROR(VLOOKUP(J1534,{IMPORTRANGE(""1xFrklApkRqApw6hS49w9Le1ELcHrQ5f2FJdiVs8ztHg"", ""Joining &amp; Induction Tracker!F:F""),IMPORTRANGE(""1xFrklApkRqApw6hS49w9Le1ELcHrQ5f2FJdiVs8ztHg"", ""Joining &amp; Induction Tracker!J:J"")},2,0),"""")"),"")</f>
        <v/>
      </c>
      <c r="B1534" s="26" t="str">
        <f>IFERROR(__xludf.DUMMYFUNCTION("IFERROR(VLOOKUP(J1534,{IMPORTRANGE(""1xFrklApkRqApw6hS49w9Le1ELcHrQ5f2FJdiVs8ztHg"", ""Joining &amp; Induction Tracker!F:F""),IMPORTRANGE(""1xFrklApkRqApw6hS49w9Le1ELcHrQ5f2FJdiVs8ztHg"", ""Joining &amp; Induction Tracker!A:A"")},2,0),"""")"),"")</f>
        <v/>
      </c>
      <c r="C1534" s="26"/>
      <c r="D1534" s="32" t="str">
        <f>IFERROR(__xludf.DUMMYFUNCTION("IFERROR(VLOOKUP(J1534,{IMPORTRANGE(""1xFrklApkRqApw6hS49w9Le1ELcHrQ5f2FJdiVs8ztHg"", ""Joining &amp; Induction Tracker!F:F""),IMPORTRANGE(""1xFrklApkRqApw6hS49w9Le1ELcHrQ5f2FJdiVs8ztHg"", ""Joining &amp; Induction Tracker!C:C"")},2,0),"""")"),"")</f>
        <v/>
      </c>
      <c r="E1534" s="30"/>
      <c r="F1534" s="33" t="str">
        <f>IFERROR(__xludf.DUMMYFUNCTION("IFERROR(
    IF(AND(ISNUMBER(VLOOKUP(J1534,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LEN(VLOOKUP(J1534,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VLOOKUP(J1534,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VLOOKUP(J1534,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4" s="30"/>
      <c r="H1534" s="31" t="str">
        <f>IFERROR(__xludf.DUMMYFUNCTION("IFERROR(VLOOKUP(J1534,{IMPORTRANGE(""1xFrklApkRqApw6hS49w9Le1ELcHrQ5f2FJdiVs8ztHg"", ""Joining &amp; Induction Tracker!F:F""),IMPORTRANGE(""1xFrklApkRqApw6hS49w9Le1ELcHrQ5f2FJdiVs8ztHg"", ""Joining &amp; Induction Tracker!B:B"")},2,0),"""")"),"")</f>
        <v/>
      </c>
      <c r="I1534" s="31" t="str">
        <f>IFERROR(__xludf.DUMMYFUNCTION("IFERROR(VLOOKUP(J1534,{IMPORTRANGE(""1xFrklApkRqApw6hS49w9Le1ELcHrQ5f2FJdiVs8ztHg"", ""Joining &amp; Induction Tracker!F:F""),IMPORTRANGE(""1xFrklApkRqApw6hS49w9Le1ELcHrQ5f2FJdiVs8ztHg"", ""Joining &amp; Induction Tracker!G:G"")},2,0),"""")"),"")</f>
        <v/>
      </c>
      <c r="J1534" s="38"/>
      <c r="K1534" s="26"/>
      <c r="L1534" s="31" t="s">
        <v>78</v>
      </c>
    </row>
    <row r="1535">
      <c r="A1535" s="37" t="str">
        <f>IFERROR(__xludf.DUMMYFUNCTION("IFERROR(VLOOKUP(J1535,{IMPORTRANGE(""1xFrklApkRqApw6hS49w9Le1ELcHrQ5f2FJdiVs8ztHg"", ""Joining &amp; Induction Tracker!F:F""),IMPORTRANGE(""1xFrklApkRqApw6hS49w9Le1ELcHrQ5f2FJdiVs8ztHg"", ""Joining &amp; Induction Tracker!J:J"")},2,0),"""")"),"")</f>
        <v/>
      </c>
      <c r="B1535" s="26" t="str">
        <f>IFERROR(__xludf.DUMMYFUNCTION("IFERROR(VLOOKUP(J1535,{IMPORTRANGE(""1xFrklApkRqApw6hS49w9Le1ELcHrQ5f2FJdiVs8ztHg"", ""Joining &amp; Induction Tracker!F:F""),IMPORTRANGE(""1xFrklApkRqApw6hS49w9Le1ELcHrQ5f2FJdiVs8ztHg"", ""Joining &amp; Induction Tracker!A:A"")},2,0),"""")"),"")</f>
        <v/>
      </c>
      <c r="C1535" s="26"/>
      <c r="D1535" s="32" t="str">
        <f>IFERROR(__xludf.DUMMYFUNCTION("IFERROR(VLOOKUP(J1535,{IMPORTRANGE(""1xFrklApkRqApw6hS49w9Le1ELcHrQ5f2FJdiVs8ztHg"", ""Joining &amp; Induction Tracker!F:F""),IMPORTRANGE(""1xFrklApkRqApw6hS49w9Le1ELcHrQ5f2FJdiVs8ztHg"", ""Joining &amp; Induction Tracker!C:C"")},2,0),"""")"),"")</f>
        <v/>
      </c>
      <c r="E1535" s="30"/>
      <c r="F1535" s="33" t="str">
        <f>IFERROR(__xludf.DUMMYFUNCTION("IFERROR(
    IF(AND(ISNUMBER(VLOOKUP(J1535,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LEN(VLOOKUP(J1535,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VLOOKUP(J1535,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VLOOKUP(J1535,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5" s="30"/>
      <c r="H1535" s="31" t="str">
        <f>IFERROR(__xludf.DUMMYFUNCTION("IFERROR(VLOOKUP(J1535,{IMPORTRANGE(""1xFrklApkRqApw6hS49w9Le1ELcHrQ5f2FJdiVs8ztHg"", ""Joining &amp; Induction Tracker!F:F""),IMPORTRANGE(""1xFrklApkRqApw6hS49w9Le1ELcHrQ5f2FJdiVs8ztHg"", ""Joining &amp; Induction Tracker!B:B"")},2,0),"""")"),"")</f>
        <v/>
      </c>
      <c r="I1535" s="31" t="str">
        <f>IFERROR(__xludf.DUMMYFUNCTION("IFERROR(VLOOKUP(J1535,{IMPORTRANGE(""1xFrklApkRqApw6hS49w9Le1ELcHrQ5f2FJdiVs8ztHg"", ""Joining &amp; Induction Tracker!F:F""),IMPORTRANGE(""1xFrklApkRqApw6hS49w9Le1ELcHrQ5f2FJdiVs8ztHg"", ""Joining &amp; Induction Tracker!G:G"")},2,0),"""")"),"")</f>
        <v/>
      </c>
      <c r="J1535" s="38"/>
      <c r="K1535" s="26"/>
      <c r="L1535" s="31" t="s">
        <v>78</v>
      </c>
    </row>
    <row r="1536">
      <c r="A1536" s="37" t="str">
        <f>IFERROR(__xludf.DUMMYFUNCTION("IFERROR(VLOOKUP(J1536,{IMPORTRANGE(""1xFrklApkRqApw6hS49w9Le1ELcHrQ5f2FJdiVs8ztHg"", ""Joining &amp; Induction Tracker!F:F""),IMPORTRANGE(""1xFrklApkRqApw6hS49w9Le1ELcHrQ5f2FJdiVs8ztHg"", ""Joining &amp; Induction Tracker!J:J"")},2,0),"""")"),"")</f>
        <v/>
      </c>
      <c r="B1536" s="26" t="str">
        <f>IFERROR(__xludf.DUMMYFUNCTION("IFERROR(VLOOKUP(J1536,{IMPORTRANGE(""1xFrklApkRqApw6hS49w9Le1ELcHrQ5f2FJdiVs8ztHg"", ""Joining &amp; Induction Tracker!F:F""),IMPORTRANGE(""1xFrklApkRqApw6hS49w9Le1ELcHrQ5f2FJdiVs8ztHg"", ""Joining &amp; Induction Tracker!A:A"")},2,0),"""")"),"")</f>
        <v/>
      </c>
      <c r="C1536" s="26"/>
      <c r="D1536" s="32" t="str">
        <f>IFERROR(__xludf.DUMMYFUNCTION("IFERROR(VLOOKUP(J1536,{IMPORTRANGE(""1xFrklApkRqApw6hS49w9Le1ELcHrQ5f2FJdiVs8ztHg"", ""Joining &amp; Induction Tracker!F:F""),IMPORTRANGE(""1xFrklApkRqApw6hS49w9Le1ELcHrQ5f2FJdiVs8ztHg"", ""Joining &amp; Induction Tracker!C:C"")},2,0),"""")"),"")</f>
        <v/>
      </c>
      <c r="E1536" s="30"/>
      <c r="F1536" s="33" t="str">
        <f>IFERROR(__xludf.DUMMYFUNCTION("IFERROR(
    IF(AND(ISNUMBER(VLOOKUP(J1536,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LEN(VLOOKUP(J1536,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VLOOKUP(J1536,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VLOOKUP(J1536,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6" s="30"/>
      <c r="H1536" s="31" t="str">
        <f>IFERROR(__xludf.DUMMYFUNCTION("IFERROR(VLOOKUP(J1536,{IMPORTRANGE(""1xFrklApkRqApw6hS49w9Le1ELcHrQ5f2FJdiVs8ztHg"", ""Joining &amp; Induction Tracker!F:F""),IMPORTRANGE(""1xFrklApkRqApw6hS49w9Le1ELcHrQ5f2FJdiVs8ztHg"", ""Joining &amp; Induction Tracker!B:B"")},2,0),"""")"),"")</f>
        <v/>
      </c>
      <c r="I1536" s="31" t="str">
        <f>IFERROR(__xludf.DUMMYFUNCTION("IFERROR(VLOOKUP(J1536,{IMPORTRANGE(""1xFrklApkRqApw6hS49w9Le1ELcHrQ5f2FJdiVs8ztHg"", ""Joining &amp; Induction Tracker!F:F""),IMPORTRANGE(""1xFrklApkRqApw6hS49w9Le1ELcHrQ5f2FJdiVs8ztHg"", ""Joining &amp; Induction Tracker!G:G"")},2,0),"""")"),"")</f>
        <v/>
      </c>
      <c r="J1536" s="38"/>
      <c r="K1536" s="26"/>
      <c r="L1536" s="31" t="s">
        <v>78</v>
      </c>
    </row>
    <row r="1537">
      <c r="A1537" s="37" t="str">
        <f>IFERROR(__xludf.DUMMYFUNCTION("IFERROR(VLOOKUP(J1537,{IMPORTRANGE(""1xFrklApkRqApw6hS49w9Le1ELcHrQ5f2FJdiVs8ztHg"", ""Joining &amp; Induction Tracker!F:F""),IMPORTRANGE(""1xFrklApkRqApw6hS49w9Le1ELcHrQ5f2FJdiVs8ztHg"", ""Joining &amp; Induction Tracker!J:J"")},2,0),"""")"),"")</f>
        <v/>
      </c>
      <c r="B1537" s="26" t="str">
        <f>IFERROR(__xludf.DUMMYFUNCTION("IFERROR(VLOOKUP(J1537,{IMPORTRANGE(""1xFrklApkRqApw6hS49w9Le1ELcHrQ5f2FJdiVs8ztHg"", ""Joining &amp; Induction Tracker!F:F""),IMPORTRANGE(""1xFrklApkRqApw6hS49w9Le1ELcHrQ5f2FJdiVs8ztHg"", ""Joining &amp; Induction Tracker!A:A"")},2,0),"""")"),"")</f>
        <v/>
      </c>
      <c r="C1537" s="26"/>
      <c r="D1537" s="32" t="str">
        <f>IFERROR(__xludf.DUMMYFUNCTION("IFERROR(VLOOKUP(J1537,{IMPORTRANGE(""1xFrklApkRqApw6hS49w9Le1ELcHrQ5f2FJdiVs8ztHg"", ""Joining &amp; Induction Tracker!F:F""),IMPORTRANGE(""1xFrklApkRqApw6hS49w9Le1ELcHrQ5f2FJdiVs8ztHg"", ""Joining &amp; Induction Tracker!C:C"")},2,0),"""")"),"")</f>
        <v/>
      </c>
      <c r="E1537" s="30"/>
      <c r="F1537" s="33" t="str">
        <f>IFERROR(__xludf.DUMMYFUNCTION("IFERROR(
    IF(AND(ISNUMBER(VLOOKUP(J1537,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LEN(VLOOKUP(J1537,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VLOOKUP(J1537,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VLOOKUP(J1537,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7" s="30"/>
      <c r="H1537" s="31" t="str">
        <f>IFERROR(__xludf.DUMMYFUNCTION("IFERROR(VLOOKUP(J1537,{IMPORTRANGE(""1xFrklApkRqApw6hS49w9Le1ELcHrQ5f2FJdiVs8ztHg"", ""Joining &amp; Induction Tracker!F:F""),IMPORTRANGE(""1xFrklApkRqApw6hS49w9Le1ELcHrQ5f2FJdiVs8ztHg"", ""Joining &amp; Induction Tracker!B:B"")},2,0),"""")"),"")</f>
        <v/>
      </c>
      <c r="I1537" s="31" t="str">
        <f>IFERROR(__xludf.DUMMYFUNCTION("IFERROR(VLOOKUP(J1537,{IMPORTRANGE(""1xFrklApkRqApw6hS49w9Le1ELcHrQ5f2FJdiVs8ztHg"", ""Joining &amp; Induction Tracker!F:F""),IMPORTRANGE(""1xFrklApkRqApw6hS49w9Le1ELcHrQ5f2FJdiVs8ztHg"", ""Joining &amp; Induction Tracker!G:G"")},2,0),"""")"),"")</f>
        <v/>
      </c>
      <c r="J1537" s="38"/>
      <c r="K1537" s="26"/>
      <c r="L1537" s="31" t="s">
        <v>78</v>
      </c>
    </row>
    <row r="1538">
      <c r="A1538" s="37" t="str">
        <f>IFERROR(__xludf.DUMMYFUNCTION("IFERROR(VLOOKUP(J1538,{IMPORTRANGE(""1xFrklApkRqApw6hS49w9Le1ELcHrQ5f2FJdiVs8ztHg"", ""Joining &amp; Induction Tracker!F:F""),IMPORTRANGE(""1xFrklApkRqApw6hS49w9Le1ELcHrQ5f2FJdiVs8ztHg"", ""Joining &amp; Induction Tracker!J:J"")},2,0),"""")"),"")</f>
        <v/>
      </c>
      <c r="B1538" s="26" t="str">
        <f>IFERROR(__xludf.DUMMYFUNCTION("IFERROR(VLOOKUP(J1538,{IMPORTRANGE(""1xFrklApkRqApw6hS49w9Le1ELcHrQ5f2FJdiVs8ztHg"", ""Joining &amp; Induction Tracker!F:F""),IMPORTRANGE(""1xFrklApkRqApw6hS49w9Le1ELcHrQ5f2FJdiVs8ztHg"", ""Joining &amp; Induction Tracker!A:A"")},2,0),"""")"),"")</f>
        <v/>
      </c>
      <c r="C1538" s="26"/>
      <c r="D1538" s="32" t="str">
        <f>IFERROR(__xludf.DUMMYFUNCTION("IFERROR(VLOOKUP(J1538,{IMPORTRANGE(""1xFrklApkRqApw6hS49w9Le1ELcHrQ5f2FJdiVs8ztHg"", ""Joining &amp; Induction Tracker!F:F""),IMPORTRANGE(""1xFrklApkRqApw6hS49w9Le1ELcHrQ5f2FJdiVs8ztHg"", ""Joining &amp; Induction Tracker!C:C"")},2,0),"""")"),"")</f>
        <v/>
      </c>
      <c r="E1538" s="30"/>
      <c r="F1538" s="33" t="str">
        <f>IFERROR(__xludf.DUMMYFUNCTION("IFERROR(
    IF(AND(ISNUMBER(VLOOKUP(J1538,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LEN(VLOOKUP(J1538,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VLOOKUP(J1538,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VLOOKUP(J1538,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8" s="30"/>
      <c r="H1538" s="31" t="str">
        <f>IFERROR(__xludf.DUMMYFUNCTION("IFERROR(VLOOKUP(J1538,{IMPORTRANGE(""1xFrklApkRqApw6hS49w9Le1ELcHrQ5f2FJdiVs8ztHg"", ""Joining &amp; Induction Tracker!F:F""),IMPORTRANGE(""1xFrklApkRqApw6hS49w9Le1ELcHrQ5f2FJdiVs8ztHg"", ""Joining &amp; Induction Tracker!B:B"")},2,0),"""")"),"")</f>
        <v/>
      </c>
      <c r="I1538" s="31" t="str">
        <f>IFERROR(__xludf.DUMMYFUNCTION("IFERROR(VLOOKUP(J1538,{IMPORTRANGE(""1xFrklApkRqApw6hS49w9Le1ELcHrQ5f2FJdiVs8ztHg"", ""Joining &amp; Induction Tracker!F:F""),IMPORTRANGE(""1xFrklApkRqApw6hS49w9Le1ELcHrQ5f2FJdiVs8ztHg"", ""Joining &amp; Induction Tracker!G:G"")},2,0),"""")"),"")</f>
        <v/>
      </c>
      <c r="J1538" s="38"/>
      <c r="K1538" s="26"/>
      <c r="L1538" s="31" t="s">
        <v>78</v>
      </c>
    </row>
    <row r="1539">
      <c r="A1539" s="37" t="str">
        <f>IFERROR(__xludf.DUMMYFUNCTION("IFERROR(VLOOKUP(J1539,{IMPORTRANGE(""1xFrklApkRqApw6hS49w9Le1ELcHrQ5f2FJdiVs8ztHg"", ""Joining &amp; Induction Tracker!F:F""),IMPORTRANGE(""1xFrklApkRqApw6hS49w9Le1ELcHrQ5f2FJdiVs8ztHg"", ""Joining &amp; Induction Tracker!J:J"")},2,0),"""")"),"")</f>
        <v/>
      </c>
      <c r="B1539" s="26" t="str">
        <f>IFERROR(__xludf.DUMMYFUNCTION("IFERROR(VLOOKUP(J1539,{IMPORTRANGE(""1xFrklApkRqApw6hS49w9Le1ELcHrQ5f2FJdiVs8ztHg"", ""Joining &amp; Induction Tracker!F:F""),IMPORTRANGE(""1xFrklApkRqApw6hS49w9Le1ELcHrQ5f2FJdiVs8ztHg"", ""Joining &amp; Induction Tracker!A:A"")},2,0),"""")"),"")</f>
        <v/>
      </c>
      <c r="C1539" s="26"/>
      <c r="D1539" s="32" t="str">
        <f>IFERROR(__xludf.DUMMYFUNCTION("IFERROR(VLOOKUP(J1539,{IMPORTRANGE(""1xFrklApkRqApw6hS49w9Le1ELcHrQ5f2FJdiVs8ztHg"", ""Joining &amp; Induction Tracker!F:F""),IMPORTRANGE(""1xFrklApkRqApw6hS49w9Le1ELcHrQ5f2FJdiVs8ztHg"", ""Joining &amp; Induction Tracker!C:C"")},2,0),"""")"),"")</f>
        <v/>
      </c>
      <c r="E1539" s="30"/>
      <c r="F1539" s="33" t="str">
        <f>IFERROR(__xludf.DUMMYFUNCTION("IFERROR(
    IF(AND(ISNUMBER(VLOOKUP(J1539,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LEN(VLOOKUP(J1539,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VLOOKUP(J1539,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VLOOKUP(J1539,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39" s="30"/>
      <c r="H1539" s="31" t="str">
        <f>IFERROR(__xludf.DUMMYFUNCTION("IFERROR(VLOOKUP(J1539,{IMPORTRANGE(""1xFrklApkRqApw6hS49w9Le1ELcHrQ5f2FJdiVs8ztHg"", ""Joining &amp; Induction Tracker!F:F""),IMPORTRANGE(""1xFrklApkRqApw6hS49w9Le1ELcHrQ5f2FJdiVs8ztHg"", ""Joining &amp; Induction Tracker!B:B"")},2,0),"""")"),"")</f>
        <v/>
      </c>
      <c r="I1539" s="31" t="str">
        <f>IFERROR(__xludf.DUMMYFUNCTION("IFERROR(VLOOKUP(J1539,{IMPORTRANGE(""1xFrklApkRqApw6hS49w9Le1ELcHrQ5f2FJdiVs8ztHg"", ""Joining &amp; Induction Tracker!F:F""),IMPORTRANGE(""1xFrklApkRqApw6hS49w9Le1ELcHrQ5f2FJdiVs8ztHg"", ""Joining &amp; Induction Tracker!G:G"")},2,0),"""")"),"")</f>
        <v/>
      </c>
      <c r="J1539" s="38"/>
      <c r="K1539" s="26"/>
      <c r="L1539" s="31" t="s">
        <v>78</v>
      </c>
    </row>
    <row r="1540">
      <c r="A1540" s="37" t="str">
        <f>IFERROR(__xludf.DUMMYFUNCTION("IFERROR(VLOOKUP(J1540,{IMPORTRANGE(""1xFrklApkRqApw6hS49w9Le1ELcHrQ5f2FJdiVs8ztHg"", ""Joining &amp; Induction Tracker!F:F""),IMPORTRANGE(""1xFrklApkRqApw6hS49w9Le1ELcHrQ5f2FJdiVs8ztHg"", ""Joining &amp; Induction Tracker!J:J"")},2,0),"""")"),"")</f>
        <v/>
      </c>
      <c r="B1540" s="26" t="str">
        <f>IFERROR(__xludf.DUMMYFUNCTION("IFERROR(VLOOKUP(J1540,{IMPORTRANGE(""1xFrklApkRqApw6hS49w9Le1ELcHrQ5f2FJdiVs8ztHg"", ""Joining &amp; Induction Tracker!F:F""),IMPORTRANGE(""1xFrklApkRqApw6hS49w9Le1ELcHrQ5f2FJdiVs8ztHg"", ""Joining &amp; Induction Tracker!A:A"")},2,0),"""")"),"")</f>
        <v/>
      </c>
      <c r="C1540" s="26"/>
      <c r="D1540" s="32" t="str">
        <f>IFERROR(__xludf.DUMMYFUNCTION("IFERROR(VLOOKUP(J1540,{IMPORTRANGE(""1xFrklApkRqApw6hS49w9Le1ELcHrQ5f2FJdiVs8ztHg"", ""Joining &amp; Induction Tracker!F:F""),IMPORTRANGE(""1xFrklApkRqApw6hS49w9Le1ELcHrQ5f2FJdiVs8ztHg"", ""Joining &amp; Induction Tracker!C:C"")},2,0),"""")"),"")</f>
        <v/>
      </c>
      <c r="E1540" s="30"/>
      <c r="F1540" s="33" t="str">
        <f>IFERROR(__xludf.DUMMYFUNCTION("IFERROR(
    IF(AND(ISNUMBER(VLOOKUP(J1540,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LEN(VLOOKUP(J1540,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VLOOKUP(J1540,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VLOOKUP(J1540,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40" s="30"/>
      <c r="H1540" s="31" t="str">
        <f>IFERROR(__xludf.DUMMYFUNCTION("IFERROR(VLOOKUP(J1540,{IMPORTRANGE(""1xFrklApkRqApw6hS49w9Le1ELcHrQ5f2FJdiVs8ztHg"", ""Joining &amp; Induction Tracker!F:F""),IMPORTRANGE(""1xFrklApkRqApw6hS49w9Le1ELcHrQ5f2FJdiVs8ztHg"", ""Joining &amp; Induction Tracker!B:B"")},2,0),"""")"),"")</f>
        <v/>
      </c>
      <c r="I1540" s="31" t="str">
        <f>IFERROR(__xludf.DUMMYFUNCTION("IFERROR(VLOOKUP(J1540,{IMPORTRANGE(""1xFrklApkRqApw6hS49w9Le1ELcHrQ5f2FJdiVs8ztHg"", ""Joining &amp; Induction Tracker!F:F""),IMPORTRANGE(""1xFrklApkRqApw6hS49w9Le1ELcHrQ5f2FJdiVs8ztHg"", ""Joining &amp; Induction Tracker!G:G"")},2,0),"""")"),"")</f>
        <v/>
      </c>
      <c r="J1540" s="38"/>
      <c r="K1540" s="26"/>
      <c r="L1540" s="31" t="s">
        <v>78</v>
      </c>
    </row>
    <row r="1541">
      <c r="A1541" s="37" t="str">
        <f>IFERROR(__xludf.DUMMYFUNCTION("IFERROR(VLOOKUP(J1541,{IMPORTRANGE(""1xFrklApkRqApw6hS49w9Le1ELcHrQ5f2FJdiVs8ztHg"", ""Joining &amp; Induction Tracker!F:F""),IMPORTRANGE(""1xFrklApkRqApw6hS49w9Le1ELcHrQ5f2FJdiVs8ztHg"", ""Joining &amp; Induction Tracker!J:J"")},2,0),"""")"),"")</f>
        <v/>
      </c>
      <c r="B1541" s="26" t="str">
        <f>IFERROR(__xludf.DUMMYFUNCTION("IFERROR(VLOOKUP(J1541,{IMPORTRANGE(""1xFrklApkRqApw6hS49w9Le1ELcHrQ5f2FJdiVs8ztHg"", ""Joining &amp; Induction Tracker!F:F""),IMPORTRANGE(""1xFrklApkRqApw6hS49w9Le1ELcHrQ5f2FJdiVs8ztHg"", ""Joining &amp; Induction Tracker!A:A"")},2,0),"""")"),"")</f>
        <v/>
      </c>
      <c r="C1541" s="26"/>
      <c r="D1541" s="32" t="str">
        <f>IFERROR(__xludf.DUMMYFUNCTION("IFERROR(VLOOKUP(J1541,{IMPORTRANGE(""1xFrklApkRqApw6hS49w9Le1ELcHrQ5f2FJdiVs8ztHg"", ""Joining &amp; Induction Tracker!F:F""),IMPORTRANGE(""1xFrklApkRqApw6hS49w9Le1ELcHrQ5f2FJdiVs8ztHg"", ""Joining &amp; Induction Tracker!C:C"")},2,0),"""")"),"")</f>
        <v/>
      </c>
      <c r="E1541" s="30"/>
      <c r="F1541" s="33" t="str">
        <f>IFERROR(__xludf.DUMMYFUNCTION("IFERROR(
    IF(AND(ISNUMBER(VLOOKUP(J1541,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LEN(VLOOKUP(J1541,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VLOOKUP(J1541,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VLOOKUP(J1541,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41" s="30"/>
      <c r="H1541" s="31" t="str">
        <f>IFERROR(__xludf.DUMMYFUNCTION("IFERROR(VLOOKUP(J1541,{IMPORTRANGE(""1xFrklApkRqApw6hS49w9Le1ELcHrQ5f2FJdiVs8ztHg"", ""Joining &amp; Induction Tracker!F:F""),IMPORTRANGE(""1xFrklApkRqApw6hS49w9Le1ELcHrQ5f2FJdiVs8ztHg"", ""Joining &amp; Induction Tracker!B:B"")},2,0),"""")"),"")</f>
        <v/>
      </c>
      <c r="I1541" s="31" t="str">
        <f>IFERROR(__xludf.DUMMYFUNCTION("IFERROR(VLOOKUP(J1541,{IMPORTRANGE(""1xFrklApkRqApw6hS49w9Le1ELcHrQ5f2FJdiVs8ztHg"", ""Joining &amp; Induction Tracker!F:F""),IMPORTRANGE(""1xFrklApkRqApw6hS49w9Le1ELcHrQ5f2FJdiVs8ztHg"", ""Joining &amp; Induction Tracker!G:G"")},2,0),"""")"),"")</f>
        <v/>
      </c>
      <c r="J1541" s="38"/>
      <c r="K1541" s="26"/>
      <c r="L1541" s="31" t="s">
        <v>78</v>
      </c>
    </row>
    <row r="1542">
      <c r="A1542" s="37" t="str">
        <f>IFERROR(__xludf.DUMMYFUNCTION("IFERROR(VLOOKUP(J1542,{IMPORTRANGE(""1xFrklApkRqApw6hS49w9Le1ELcHrQ5f2FJdiVs8ztHg"", ""Joining &amp; Induction Tracker!F:F""),IMPORTRANGE(""1xFrklApkRqApw6hS49w9Le1ELcHrQ5f2FJdiVs8ztHg"", ""Joining &amp; Induction Tracker!J:J"")},2,0),"""")"),"")</f>
        <v/>
      </c>
      <c r="B1542" s="26" t="str">
        <f>IFERROR(__xludf.DUMMYFUNCTION("IFERROR(VLOOKUP(J1542,{IMPORTRANGE(""1xFrklApkRqApw6hS49w9Le1ELcHrQ5f2FJdiVs8ztHg"", ""Joining &amp; Induction Tracker!F:F""),IMPORTRANGE(""1xFrklApkRqApw6hS49w9Le1ELcHrQ5f2FJdiVs8ztHg"", ""Joining &amp; Induction Tracker!A:A"")},2,0),"""")"),"")</f>
        <v/>
      </c>
      <c r="C1542" s="26"/>
      <c r="D1542" s="32" t="str">
        <f>IFERROR(__xludf.DUMMYFUNCTION("IFERROR(VLOOKUP(J1542,{IMPORTRANGE(""1xFrklApkRqApw6hS49w9Le1ELcHrQ5f2FJdiVs8ztHg"", ""Joining &amp; Induction Tracker!F:F""),IMPORTRANGE(""1xFrklApkRqApw6hS49w9Le1ELcHrQ5f2FJdiVs8ztHg"", ""Joining &amp; Induction Tracker!C:C"")},2,0),"""")"),"")</f>
        <v/>
      </c>
      <c r="E1542" s="30"/>
      <c r="F1542" s="33" t="str">
        <f>IFERROR(__xludf.DUMMYFUNCTION("IFERROR(
    IF(AND(ISNUMBER(VLOOKUP(J1542,
        {
            IMPORTRANGE(""1xFrklApkRqApw6hS49w9Le1ELcHrQ5f2FJdiVs8ztHg"", ""Joining &amp; Induction Tracker!F:F""),
            IMPORTRANGE(""1xFrklApkRqApw6hS49w9Le1ELcHrQ5f2FJdiVs8ztHg"", ""Joining &amp; Ind"&amp;"uction Tracker!E:E"")
        }, 2, 0)), 
       LEN(VLOOKUP(J1542,
        {
            IMPORTRANGE(""1xFrklApkRqApw6hS49w9Le1ELcHrQ5f2FJdiVs8ztHg"", ""Joining &amp; Induction Tracker!F:F""),
            IMPORTRANGE(""1xFrklApkRqApw6hS49w9Le1ELcHrQ5f2FJdiVs"&amp;"8ztHg"", ""Joining &amp; Induction Tracker!E:E"")
        }, 2, 0)) = 10), 
       ""+91"" &amp; VLOOKUP(J1542,
        {
            IMPORTRANGE(""1xFrklApkRqApw6hS49w9Le1ELcHrQ5f2FJdiVs8ztHg"", ""Joining &amp; Induction Tracker!F:F""),
            IMPORTRANGE(""1xF"&amp;"rklApkRqApw6hS49w9Le1ELcHrQ5f2FJdiVs8ztHg"", ""Joining &amp; Induction Tracker!E:E"")
        }, 2, 0), 
       VLOOKUP(J1542,
        {
            IMPORTRANGE(""1xFrklApkRqApw6hS49w9Le1ELcHrQ5f2FJdiVs8ztHg"", ""Joining &amp; Induction Tracker!F:F""),
          "&amp;"  IMPORTRANGE(""1xFrklApkRqApw6hS49w9Le1ELcHrQ5f2FJdiVs8ztHg"", ""Joining &amp; Induction Tracker!E:E"")
        }, 2, 0)
    ), 
    """"
)
"),"")</f>
        <v/>
      </c>
      <c r="G1542" s="30"/>
      <c r="H1542" s="31" t="str">
        <f>IFERROR(__xludf.DUMMYFUNCTION("IFERROR(VLOOKUP(J1542,{IMPORTRANGE(""1xFrklApkRqApw6hS49w9Le1ELcHrQ5f2FJdiVs8ztHg"", ""Joining &amp; Induction Tracker!F:F""),IMPORTRANGE(""1xFrklApkRqApw6hS49w9Le1ELcHrQ5f2FJdiVs8ztHg"", ""Joining &amp; Induction Tracker!B:B"")},2,0),"""")"),"")</f>
        <v/>
      </c>
      <c r="I1542" s="31" t="str">
        <f>IFERROR(__xludf.DUMMYFUNCTION("IFERROR(VLOOKUP(J1542,{IMPORTRANGE(""1xFrklApkRqApw6hS49w9Le1ELcHrQ5f2FJdiVs8ztHg"", ""Joining &amp; Induction Tracker!F:F""),IMPORTRANGE(""1xFrklApkRqApw6hS49w9Le1ELcHrQ5f2FJdiVs8ztHg"", ""Joining &amp; Induction Tracker!G:G"")},2,0),"""")"),"")</f>
        <v/>
      </c>
      <c r="J1542" s="38"/>
      <c r="K1542" s="26"/>
      <c r="L1542" s="31" t="s">
        <v>78</v>
      </c>
    </row>
  </sheetData>
  <conditionalFormatting sqref="A1:A1542 B1:B1436 C1:C1542 D1:D1413 E1:G1542 H1:H1412 I1:I1542 J1:J1486 K1:L1542 D1416:D1542 H1416:H1542 B1438:B1542 J1489:J1542">
    <cfRule type="expression" dxfId="4" priority="1">
      <formula>$L1="No-Dues"</formula>
    </cfRule>
  </conditionalFormatting>
  <conditionalFormatting sqref="A2:A1542 B2:B1436 C2:C1542 D2:D1413 E2:G1542 H2:H1412 I2:I1542 J2:J1486 K2:L1542 D1416:D1542 H1416:H1542 B1438:B1542 J1489:J1542">
    <cfRule type="expression" dxfId="5" priority="2">
      <formula>$A2=TODAY()</formula>
    </cfRule>
  </conditionalFormatting>
  <conditionalFormatting sqref="I848:J848">
    <cfRule type="notContainsBlanks" dxfId="6" priority="3">
      <formula>LEN(TRIM(I848))&gt;0</formula>
    </cfRule>
  </conditionalFormatting>
  <conditionalFormatting sqref="C2:C1542 I879:J879 I889:J890 I1412:J1412">
    <cfRule type="expression" dxfId="7" priority="4">
      <formula>COUNTIF(C:C, C2) &gt; 1</formula>
    </cfRule>
  </conditionalFormatting>
  <conditionalFormatting sqref="G2:G1542 H1452:H1457 H1467:H1472 H1499 H1514:H1515">
    <cfRule type="expression" dxfId="8" priority="5">
      <formula>$G2="Generic ID"</formula>
    </cfRule>
  </conditionalFormatting>
  <dataValidations>
    <dataValidation type="list" allowBlank="1" showDropDown="1" sqref="D2:D1413 D1418:D1419 H1434 D1421:D1542">
      <formula1>'Pivot Table 5'!$A$27:$A$45</formula1>
    </dataValidation>
    <dataValidation type="list" allowBlank="1" showDropDown="1" showErrorMessage="1" sqref="G2:G1452 G1453:H1458 G1459:G1467 G1468:H1472 G1473:G1499 G1500:H1500 G1501:G1504 G1505:H1505 G1506:G1513 G1514:H1515 G1516:G1542">
      <formula1>Lists!$K$4:$K$9</formula1>
    </dataValidation>
    <dataValidation type="custom" allowBlank="1" showDropDown="1" sqref="A2:A1542">
      <formula1>OR(NOT(ISERROR(DATEVALUE(A2))), AND(ISNUMBER(A2), LEFT(CELL("format", A2))="D"))</formula1>
    </dataValidation>
  </dataValidations>
  <drawing r:id="rId4"/>
  <legacy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18.38"/>
    <col customWidth="1" min="2" max="2" width="23.63"/>
    <col customWidth="1" min="3" max="3" width="10.88"/>
    <col customWidth="1" min="4" max="4" width="12.63"/>
    <col customWidth="1" min="5" max="5" width="9.25"/>
    <col customWidth="1" min="6" max="6" width="17.13"/>
    <col customWidth="1" min="7" max="7" width="12.88"/>
    <col customWidth="1" min="8" max="8" width="19.0"/>
    <col customWidth="1" min="9" max="9" width="5.38"/>
    <col customWidth="1" min="10" max="10" width="5.25"/>
    <col customWidth="1" min="11" max="11" width="4.0"/>
    <col customWidth="1" min="12" max="12" width="7.5"/>
    <col customWidth="1" min="13" max="13" width="6.13"/>
    <col customWidth="1" min="14" max="14" width="5.75"/>
    <col customWidth="1" min="15" max="15" width="7.63"/>
    <col customWidth="1" min="16" max="18" width="7.5"/>
    <col customWidth="1" min="19" max="19" width="44.13"/>
    <col customWidth="1" min="20" max="20" width="12.0"/>
  </cols>
  <sheetData>
    <row r="1">
      <c r="A1" s="51" t="s">
        <v>3830</v>
      </c>
      <c r="C1" s="51" t="s">
        <v>3831</v>
      </c>
      <c r="E1" s="52" t="s">
        <v>3832</v>
      </c>
      <c r="R1" s="52"/>
      <c r="S1" s="53"/>
      <c r="T1" s="53"/>
    </row>
    <row r="2">
      <c r="A2" s="54" t="s">
        <v>58</v>
      </c>
      <c r="B2" s="54" t="s">
        <v>3833</v>
      </c>
      <c r="C2" s="55" t="s">
        <v>3834</v>
      </c>
      <c r="D2" s="55" t="s">
        <v>3835</v>
      </c>
      <c r="E2" s="55" t="s">
        <v>3836</v>
      </c>
      <c r="F2" s="55" t="str">
        <f t="array" ref="F2:F35">{" Department"; IF(ISNA(VLOOKUP(B3:B829, 'On-Boarding'!C2:D829, 2, FALSE)), "", VLOOKUP(B3:B829, 'On-Boarding'!C2:D829, 2, FALSE))}
</f>
        <v>#REF!</v>
      </c>
      <c r="G2" s="55" t="s">
        <v>3837</v>
      </c>
      <c r="H2" s="55" t="s">
        <v>3838</v>
      </c>
      <c r="I2" s="54" t="s">
        <v>3839</v>
      </c>
      <c r="J2" s="55" t="s">
        <v>3840</v>
      </c>
      <c r="K2" s="54" t="s">
        <v>3841</v>
      </c>
      <c r="L2" s="55" t="s">
        <v>3842</v>
      </c>
      <c r="M2" s="54" t="s">
        <v>3843</v>
      </c>
      <c r="N2" s="55" t="s">
        <v>3844</v>
      </c>
      <c r="O2" s="55" t="s">
        <v>3845</v>
      </c>
      <c r="P2" s="55" t="s">
        <v>3846</v>
      </c>
      <c r="Q2" s="55" t="s">
        <v>3847</v>
      </c>
      <c r="R2" s="55" t="s">
        <v>3848</v>
      </c>
      <c r="S2" s="55" t="s">
        <v>3849</v>
      </c>
      <c r="T2" s="55" t="str">
        <f t="array" ref="T2:T829">{"Days Overdue"; IF(C3:C829="", "", IF(TODAY() - C3:C829 &gt; 30, "&gt; 30 Days", "≤ 30 Days"))}
</f>
        <v>Days Overdue</v>
      </c>
    </row>
    <row r="3">
      <c r="A3" s="26" t="str">
        <f t="array" ref="A3">IFERROR(VLOOKUP(B3,{Lists!$H$4:$H829,Lists!$G$4:$G829},2,0),"")</f>
        <v>Aditya Pawar</v>
      </c>
      <c r="B3" s="26" t="s">
        <v>1858</v>
      </c>
      <c r="C3" s="37" t="s">
        <v>3850</v>
      </c>
      <c r="D3" s="56" t="s">
        <v>3850</v>
      </c>
      <c r="E3" s="37" t="s">
        <v>3851</v>
      </c>
      <c r="F3" s="34"/>
      <c r="G3" s="57" t="s">
        <v>3852</v>
      </c>
      <c r="H3" s="48" t="s">
        <v>3853</v>
      </c>
      <c r="I3" s="26" t="s">
        <v>3854</v>
      </c>
      <c r="J3" s="26" t="s">
        <v>3854</v>
      </c>
      <c r="K3" s="26" t="s">
        <v>3854</v>
      </c>
      <c r="L3" s="26" t="s">
        <v>3854</v>
      </c>
      <c r="M3" s="26" t="s">
        <v>3854</v>
      </c>
      <c r="N3" s="26" t="s">
        <v>3854</v>
      </c>
      <c r="O3" s="26" t="s">
        <v>3854</v>
      </c>
      <c r="P3" s="26" t="s">
        <v>3854</v>
      </c>
      <c r="Q3" s="26" t="s">
        <v>3854</v>
      </c>
      <c r="R3" s="26"/>
      <c r="S3" s="31"/>
      <c r="T3" s="31" t="s">
        <v>3855</v>
      </c>
    </row>
    <row r="4">
      <c r="A4" s="26" t="str">
        <f t="array" ref="A4">IFERROR(VLOOKUP(B4,{Lists!$H$4:$H829,Lists!$G$4:$G829},2,0),"")</f>
        <v>Rohit Chhabra</v>
      </c>
      <c r="B4" s="26" t="s">
        <v>1640</v>
      </c>
      <c r="C4" s="37" t="s">
        <v>3850</v>
      </c>
      <c r="D4" s="56" t="s">
        <v>3850</v>
      </c>
      <c r="E4" s="58" t="str">
        <f>VLOOKUP(B4,AT_Data!A:D,4,0)</f>
        <v>Revoked </v>
      </c>
      <c r="F4" s="34"/>
      <c r="G4" s="57" t="s">
        <v>3852</v>
      </c>
      <c r="H4" s="48" t="s">
        <v>3853</v>
      </c>
      <c r="I4" s="26" t="s">
        <v>3854</v>
      </c>
      <c r="J4" s="26" t="s">
        <v>3854</v>
      </c>
      <c r="K4" s="26" t="s">
        <v>3854</v>
      </c>
      <c r="L4" s="26" t="s">
        <v>3854</v>
      </c>
      <c r="M4" s="26" t="s">
        <v>3854</v>
      </c>
      <c r="N4" s="26" t="s">
        <v>3854</v>
      </c>
      <c r="O4" s="26" t="s">
        <v>3854</v>
      </c>
      <c r="P4" s="26" t="s">
        <v>3854</v>
      </c>
      <c r="Q4" s="26" t="s">
        <v>3854</v>
      </c>
      <c r="R4" s="26"/>
      <c r="S4" s="26" t="s">
        <v>1642</v>
      </c>
      <c r="T4" s="31" t="s">
        <v>3855</v>
      </c>
    </row>
    <row r="5">
      <c r="A5" s="34" t="s">
        <v>827</v>
      </c>
      <c r="B5" s="34" t="s">
        <v>828</v>
      </c>
      <c r="C5" s="41">
        <v>45392.0</v>
      </c>
      <c r="D5" s="26"/>
      <c r="E5" s="41" t="s">
        <v>3851</v>
      </c>
      <c r="F5" s="34"/>
      <c r="G5" s="57" t="s">
        <v>3852</v>
      </c>
      <c r="H5" s="48" t="s">
        <v>3853</v>
      </c>
      <c r="I5" s="26" t="s">
        <v>3856</v>
      </c>
      <c r="J5" s="26" t="s">
        <v>3854</v>
      </c>
      <c r="K5" s="26" t="s">
        <v>3856</v>
      </c>
      <c r="L5" s="26" t="s">
        <v>3856</v>
      </c>
      <c r="M5" s="26" t="s">
        <v>3854</v>
      </c>
      <c r="N5" s="26" t="s">
        <v>3854</v>
      </c>
      <c r="O5" s="26" t="s">
        <v>3856</v>
      </c>
      <c r="P5" s="26" t="s">
        <v>3856</v>
      </c>
      <c r="Q5" s="26" t="s">
        <v>3856</v>
      </c>
      <c r="R5" s="26"/>
      <c r="S5" s="34"/>
      <c r="T5" s="31" t="s">
        <v>3855</v>
      </c>
    </row>
    <row r="6">
      <c r="A6" s="34" t="s">
        <v>107</v>
      </c>
      <c r="B6" s="34" t="s">
        <v>108</v>
      </c>
      <c r="C6" s="41">
        <v>45393.0</v>
      </c>
      <c r="D6" s="26"/>
      <c r="E6" s="41" t="s">
        <v>3851</v>
      </c>
      <c r="F6" s="34"/>
      <c r="G6" s="57" t="s">
        <v>3852</v>
      </c>
      <c r="H6" s="48" t="s">
        <v>3853</v>
      </c>
      <c r="I6" s="26" t="s">
        <v>3856</v>
      </c>
      <c r="J6" s="26" t="s">
        <v>3856</v>
      </c>
      <c r="K6" s="26" t="s">
        <v>3854</v>
      </c>
      <c r="L6" s="26" t="s">
        <v>3854</v>
      </c>
      <c r="M6" s="26" t="s">
        <v>3854</v>
      </c>
      <c r="N6" s="26" t="s">
        <v>3854</v>
      </c>
      <c r="O6" s="26" t="s">
        <v>3856</v>
      </c>
      <c r="P6" s="26" t="s">
        <v>3854</v>
      </c>
      <c r="Q6" s="26" t="s">
        <v>3854</v>
      </c>
      <c r="R6" s="26"/>
      <c r="S6" s="34"/>
      <c r="T6" s="31" t="s">
        <v>3855</v>
      </c>
    </row>
    <row r="7">
      <c r="A7" s="34" t="s">
        <v>3857</v>
      </c>
      <c r="B7" s="34" t="s">
        <v>3858</v>
      </c>
      <c r="C7" s="41">
        <v>45394.0</v>
      </c>
      <c r="D7" s="26"/>
      <c r="E7" s="41" t="s">
        <v>3851</v>
      </c>
      <c r="F7" s="34"/>
      <c r="G7" s="57" t="s">
        <v>3852</v>
      </c>
      <c r="H7" s="48" t="s">
        <v>3853</v>
      </c>
      <c r="I7" s="26" t="s">
        <v>3854</v>
      </c>
      <c r="J7" s="26" t="s">
        <v>3854</v>
      </c>
      <c r="K7" s="26" t="s">
        <v>3854</v>
      </c>
      <c r="L7" s="26" t="s">
        <v>3854</v>
      </c>
      <c r="M7" s="26" t="s">
        <v>3854</v>
      </c>
      <c r="N7" s="26" t="s">
        <v>3854</v>
      </c>
      <c r="O7" s="26" t="s">
        <v>3856</v>
      </c>
      <c r="P7" s="26" t="s">
        <v>3856</v>
      </c>
      <c r="Q7" s="26" t="s">
        <v>3854</v>
      </c>
      <c r="R7" s="26"/>
      <c r="S7" s="34"/>
      <c r="T7" s="31" t="s">
        <v>3855</v>
      </c>
    </row>
    <row r="8">
      <c r="A8" s="34" t="s">
        <v>3859</v>
      </c>
      <c r="B8" s="34" t="s">
        <v>334</v>
      </c>
      <c r="C8" s="41">
        <v>45455.0</v>
      </c>
      <c r="D8" s="26"/>
      <c r="E8" s="41" t="s">
        <v>3851</v>
      </c>
      <c r="F8" s="34"/>
      <c r="G8" s="57" t="s">
        <v>3852</v>
      </c>
      <c r="H8" s="48" t="s">
        <v>3853</v>
      </c>
      <c r="I8" s="26" t="s">
        <v>3856</v>
      </c>
      <c r="J8" s="26" t="s">
        <v>3854</v>
      </c>
      <c r="K8" s="26" t="s">
        <v>3856</v>
      </c>
      <c r="L8" s="26" t="s">
        <v>3856</v>
      </c>
      <c r="M8" s="26" t="s">
        <v>3854</v>
      </c>
      <c r="N8" s="26" t="s">
        <v>3854</v>
      </c>
      <c r="O8" s="26" t="s">
        <v>3856</v>
      </c>
      <c r="P8" s="26" t="s">
        <v>3856</v>
      </c>
      <c r="Q8" s="26" t="s">
        <v>3856</v>
      </c>
      <c r="R8" s="26"/>
      <c r="S8" s="34"/>
      <c r="T8" s="31" t="s">
        <v>3855</v>
      </c>
    </row>
    <row r="9">
      <c r="A9" s="34" t="s">
        <v>869</v>
      </c>
      <c r="B9" s="34" t="s">
        <v>870</v>
      </c>
      <c r="C9" s="41">
        <v>45484.0</v>
      </c>
      <c r="D9" s="26"/>
      <c r="E9" s="41" t="s">
        <v>3851</v>
      </c>
      <c r="F9" s="34"/>
      <c r="G9" s="57" t="s">
        <v>3852</v>
      </c>
      <c r="H9" s="48" t="s">
        <v>3853</v>
      </c>
      <c r="I9" s="26" t="s">
        <v>3856</v>
      </c>
      <c r="J9" s="26" t="s">
        <v>3856</v>
      </c>
      <c r="K9" s="26" t="s">
        <v>3856</v>
      </c>
      <c r="L9" s="26" t="s">
        <v>3854</v>
      </c>
      <c r="M9" s="26" t="s">
        <v>3854</v>
      </c>
      <c r="N9" s="26" t="s">
        <v>3854</v>
      </c>
      <c r="O9" s="26" t="s">
        <v>3854</v>
      </c>
      <c r="P9" s="26" t="s">
        <v>3854</v>
      </c>
      <c r="Q9" s="26" t="s">
        <v>3854</v>
      </c>
      <c r="R9" s="26"/>
      <c r="S9" s="34"/>
      <c r="T9" s="31" t="s">
        <v>3855</v>
      </c>
    </row>
    <row r="10">
      <c r="A10" s="34" t="s">
        <v>575</v>
      </c>
      <c r="B10" s="34" t="s">
        <v>576</v>
      </c>
      <c r="C10" s="41">
        <v>45515.0</v>
      </c>
      <c r="D10" s="26"/>
      <c r="E10" s="41" t="s">
        <v>3851</v>
      </c>
      <c r="F10" s="34"/>
      <c r="G10" s="57" t="s">
        <v>3852</v>
      </c>
      <c r="H10" s="48" t="s">
        <v>3853</v>
      </c>
      <c r="I10" s="26" t="s">
        <v>3856</v>
      </c>
      <c r="J10" s="26" t="s">
        <v>3856</v>
      </c>
      <c r="K10" s="26" t="s">
        <v>3854</v>
      </c>
      <c r="L10" s="26" t="s">
        <v>3854</v>
      </c>
      <c r="M10" s="26" t="s">
        <v>3854</v>
      </c>
      <c r="N10" s="26" t="s">
        <v>3854</v>
      </c>
      <c r="O10" s="26" t="s">
        <v>3854</v>
      </c>
      <c r="P10" s="26" t="s">
        <v>3854</v>
      </c>
      <c r="Q10" s="26" t="s">
        <v>3854</v>
      </c>
      <c r="R10" s="26"/>
      <c r="S10" s="34"/>
      <c r="T10" s="31" t="s">
        <v>3855</v>
      </c>
    </row>
    <row r="11">
      <c r="A11" s="34" t="s">
        <v>187</v>
      </c>
      <c r="B11" s="34" t="s">
        <v>188</v>
      </c>
      <c r="C11" s="41">
        <v>45515.0</v>
      </c>
      <c r="D11" s="26"/>
      <c r="E11" s="41" t="s">
        <v>3851</v>
      </c>
      <c r="F11" s="34"/>
      <c r="G11" s="57" t="s">
        <v>3852</v>
      </c>
      <c r="H11" s="48" t="s">
        <v>3853</v>
      </c>
      <c r="I11" s="26" t="s">
        <v>3856</v>
      </c>
      <c r="J11" s="26" t="s">
        <v>3856</v>
      </c>
      <c r="K11" s="26" t="s">
        <v>3854</v>
      </c>
      <c r="L11" s="26" t="s">
        <v>3854</v>
      </c>
      <c r="M11" s="26" t="s">
        <v>3854</v>
      </c>
      <c r="N11" s="26" t="s">
        <v>3854</v>
      </c>
      <c r="O11" s="26" t="s">
        <v>3854</v>
      </c>
      <c r="P11" s="26" t="s">
        <v>3854</v>
      </c>
      <c r="Q11" s="26" t="s">
        <v>3854</v>
      </c>
      <c r="R11" s="26"/>
      <c r="S11" s="34"/>
      <c r="T11" s="31" t="s">
        <v>3855</v>
      </c>
    </row>
    <row r="12">
      <c r="A12" s="34" t="s">
        <v>507</v>
      </c>
      <c r="B12" s="34" t="s">
        <v>508</v>
      </c>
      <c r="C12" s="41">
        <v>45515.0</v>
      </c>
      <c r="D12" s="26"/>
      <c r="E12" s="41" t="s">
        <v>3851</v>
      </c>
      <c r="F12" s="34"/>
      <c r="G12" s="57" t="s">
        <v>3852</v>
      </c>
      <c r="H12" s="48" t="s">
        <v>3853</v>
      </c>
      <c r="I12" s="26" t="s">
        <v>3856</v>
      </c>
      <c r="J12" s="26" t="s">
        <v>3854</v>
      </c>
      <c r="K12" s="26" t="s">
        <v>3856</v>
      </c>
      <c r="L12" s="26" t="s">
        <v>3854</v>
      </c>
      <c r="M12" s="26" t="s">
        <v>3854</v>
      </c>
      <c r="N12" s="26" t="s">
        <v>3854</v>
      </c>
      <c r="O12" s="26" t="s">
        <v>3854</v>
      </c>
      <c r="P12" s="26" t="s">
        <v>3854</v>
      </c>
      <c r="Q12" s="26" t="s">
        <v>3854</v>
      </c>
      <c r="R12" s="26"/>
      <c r="S12" s="34"/>
      <c r="T12" s="31" t="s">
        <v>3855</v>
      </c>
    </row>
    <row r="13">
      <c r="A13" s="34" t="s">
        <v>667</v>
      </c>
      <c r="B13" s="34" t="s">
        <v>668</v>
      </c>
      <c r="C13" s="37">
        <v>45554.0</v>
      </c>
      <c r="D13" s="26"/>
      <c r="E13" s="37" t="s">
        <v>3851</v>
      </c>
      <c r="F13" s="34"/>
      <c r="G13" s="57" t="s">
        <v>3852</v>
      </c>
      <c r="H13" s="48" t="s">
        <v>3853</v>
      </c>
      <c r="I13" s="26" t="s">
        <v>3856</v>
      </c>
      <c r="J13" s="26" t="s">
        <v>3854</v>
      </c>
      <c r="K13" s="26" t="s">
        <v>3856</v>
      </c>
      <c r="L13" s="26" t="s">
        <v>3854</v>
      </c>
      <c r="M13" s="26" t="s">
        <v>3854</v>
      </c>
      <c r="N13" s="26" t="s">
        <v>3854</v>
      </c>
      <c r="O13" s="26" t="s">
        <v>3854</v>
      </c>
      <c r="P13" s="26" t="s">
        <v>3854</v>
      </c>
      <c r="Q13" s="26" t="s">
        <v>3854</v>
      </c>
      <c r="R13" s="26"/>
      <c r="S13" s="34"/>
      <c r="T13" s="31" t="s">
        <v>3855</v>
      </c>
    </row>
    <row r="14">
      <c r="A14" s="34" t="s">
        <v>297</v>
      </c>
      <c r="B14" s="34" t="s">
        <v>298</v>
      </c>
      <c r="C14" s="37">
        <v>45562.0</v>
      </c>
      <c r="D14" s="26"/>
      <c r="E14" s="37" t="s">
        <v>3851</v>
      </c>
      <c r="F14" s="34"/>
      <c r="G14" s="57" t="s">
        <v>3852</v>
      </c>
      <c r="H14" s="48" t="s">
        <v>3853</v>
      </c>
      <c r="I14" s="26" t="s">
        <v>3856</v>
      </c>
      <c r="J14" s="26" t="s">
        <v>3856</v>
      </c>
      <c r="K14" s="26" t="s">
        <v>3856</v>
      </c>
      <c r="L14" s="26" t="s">
        <v>3854</v>
      </c>
      <c r="M14" s="26" t="s">
        <v>3854</v>
      </c>
      <c r="N14" s="26" t="s">
        <v>3854</v>
      </c>
      <c r="O14" s="26" t="s">
        <v>3854</v>
      </c>
      <c r="P14" s="26" t="s">
        <v>3854</v>
      </c>
      <c r="Q14" s="26" t="s">
        <v>3854</v>
      </c>
      <c r="R14" s="26"/>
      <c r="S14" s="34"/>
      <c r="T14" s="31" t="s">
        <v>3855</v>
      </c>
    </row>
    <row r="15">
      <c r="A15" s="34" t="s">
        <v>519</v>
      </c>
      <c r="B15" s="34" t="s">
        <v>3860</v>
      </c>
      <c r="C15" s="37">
        <v>45562.0</v>
      </c>
      <c r="D15" s="26"/>
      <c r="E15" s="37" t="s">
        <v>3851</v>
      </c>
      <c r="F15" s="34"/>
      <c r="G15" s="57" t="s">
        <v>3852</v>
      </c>
      <c r="H15" s="48" t="s">
        <v>3853</v>
      </c>
      <c r="I15" s="26" t="s">
        <v>3856</v>
      </c>
      <c r="J15" s="26" t="s">
        <v>3854</v>
      </c>
      <c r="K15" s="26" t="s">
        <v>3856</v>
      </c>
      <c r="L15" s="26" t="s">
        <v>3854</v>
      </c>
      <c r="M15" s="26" t="s">
        <v>3854</v>
      </c>
      <c r="N15" s="26" t="s">
        <v>3854</v>
      </c>
      <c r="O15" s="26" t="s">
        <v>3854</v>
      </c>
      <c r="P15" s="26" t="s">
        <v>3856</v>
      </c>
      <c r="Q15" s="26" t="s">
        <v>3854</v>
      </c>
      <c r="R15" s="26"/>
      <c r="S15" s="34"/>
      <c r="T15" s="31" t="s">
        <v>3855</v>
      </c>
    </row>
    <row r="16">
      <c r="A16" s="34" t="s">
        <v>241</v>
      </c>
      <c r="B16" s="34" t="s">
        <v>3861</v>
      </c>
      <c r="C16" s="37">
        <v>45565.0</v>
      </c>
      <c r="D16" s="26"/>
      <c r="E16" s="37" t="s">
        <v>3851</v>
      </c>
      <c r="F16" s="34"/>
      <c r="G16" s="57" t="s">
        <v>3852</v>
      </c>
      <c r="H16" s="48" t="s">
        <v>3853</v>
      </c>
      <c r="I16" s="26" t="s">
        <v>3856</v>
      </c>
      <c r="J16" s="26" t="s">
        <v>3854</v>
      </c>
      <c r="K16" s="26" t="s">
        <v>3856</v>
      </c>
      <c r="L16" s="26" t="s">
        <v>3854</v>
      </c>
      <c r="M16" s="26" t="s">
        <v>3854</v>
      </c>
      <c r="N16" s="26" t="s">
        <v>3854</v>
      </c>
      <c r="O16" s="26" t="s">
        <v>3856</v>
      </c>
      <c r="P16" s="26" t="s">
        <v>3854</v>
      </c>
      <c r="Q16" s="26" t="s">
        <v>3854</v>
      </c>
      <c r="R16" s="26"/>
      <c r="S16" s="34"/>
      <c r="T16" s="31" t="s">
        <v>3855</v>
      </c>
    </row>
    <row r="17">
      <c r="A17" s="34" t="s">
        <v>3862</v>
      </c>
      <c r="B17" s="34" t="s">
        <v>3863</v>
      </c>
      <c r="C17" s="37">
        <v>45565.0</v>
      </c>
      <c r="D17" s="26"/>
      <c r="E17" s="37" t="s">
        <v>3851</v>
      </c>
      <c r="F17" s="34"/>
      <c r="G17" s="57" t="s">
        <v>3852</v>
      </c>
      <c r="H17" s="48" t="s">
        <v>3853</v>
      </c>
      <c r="I17" s="26" t="s">
        <v>3856</v>
      </c>
      <c r="J17" s="26" t="s">
        <v>3854</v>
      </c>
      <c r="K17" s="26" t="s">
        <v>3864</v>
      </c>
      <c r="L17" s="26" t="s">
        <v>3854</v>
      </c>
      <c r="M17" s="26" t="s">
        <v>3854</v>
      </c>
      <c r="N17" s="26" t="s">
        <v>3854</v>
      </c>
      <c r="O17" s="26" t="s">
        <v>3856</v>
      </c>
      <c r="P17" s="26" t="s">
        <v>3856</v>
      </c>
      <c r="Q17" s="26" t="s">
        <v>3854</v>
      </c>
      <c r="R17" s="26"/>
      <c r="S17" s="26" t="s">
        <v>3865</v>
      </c>
      <c r="T17" s="31" t="s">
        <v>3855</v>
      </c>
    </row>
    <row r="18">
      <c r="A18" s="34" t="s">
        <v>3866</v>
      </c>
      <c r="B18" s="34" t="s">
        <v>895</v>
      </c>
      <c r="C18" s="37">
        <v>45582.0</v>
      </c>
      <c r="D18" s="26"/>
      <c r="E18" s="37" t="s">
        <v>3851</v>
      </c>
      <c r="F18" s="34"/>
      <c r="G18" s="57" t="s">
        <v>3852</v>
      </c>
      <c r="H18" s="48" t="s">
        <v>3853</v>
      </c>
      <c r="I18" s="26" t="s">
        <v>3856</v>
      </c>
      <c r="J18" s="26" t="s">
        <v>3854</v>
      </c>
      <c r="K18" s="26" t="s">
        <v>3856</v>
      </c>
      <c r="L18" s="26" t="s">
        <v>3856</v>
      </c>
      <c r="M18" s="26" t="s">
        <v>3854</v>
      </c>
      <c r="N18" s="26" t="s">
        <v>3854</v>
      </c>
      <c r="O18" s="26" t="s">
        <v>3856</v>
      </c>
      <c r="P18" s="26" t="s">
        <v>3856</v>
      </c>
      <c r="Q18" s="26" t="s">
        <v>3856</v>
      </c>
      <c r="R18" s="26"/>
      <c r="S18" s="34"/>
      <c r="T18" s="31" t="s">
        <v>3855</v>
      </c>
    </row>
    <row r="19">
      <c r="A19" s="34" t="s">
        <v>3867</v>
      </c>
      <c r="B19" s="34" t="s">
        <v>1665</v>
      </c>
      <c r="C19" s="37">
        <v>45582.0</v>
      </c>
      <c r="D19" s="26"/>
      <c r="E19" s="37" t="s">
        <v>3851</v>
      </c>
      <c r="F19" s="34"/>
      <c r="G19" s="57" t="s">
        <v>3852</v>
      </c>
      <c r="H19" s="48" t="s">
        <v>3853</v>
      </c>
      <c r="I19" s="26" t="s">
        <v>3854</v>
      </c>
      <c r="J19" s="26" t="s">
        <v>3854</v>
      </c>
      <c r="K19" s="26" t="s">
        <v>3854</v>
      </c>
      <c r="L19" s="26" t="s">
        <v>3854</v>
      </c>
      <c r="M19" s="26" t="s">
        <v>3856</v>
      </c>
      <c r="N19" s="26" t="s">
        <v>3854</v>
      </c>
      <c r="O19" s="26" t="s">
        <v>3854</v>
      </c>
      <c r="P19" s="26" t="s">
        <v>3854</v>
      </c>
      <c r="Q19" s="26" t="s">
        <v>3854</v>
      </c>
      <c r="R19" s="26"/>
      <c r="S19" s="34"/>
      <c r="T19" s="31" t="s">
        <v>3855</v>
      </c>
    </row>
    <row r="20">
      <c r="A20" s="34" t="s">
        <v>3868</v>
      </c>
      <c r="B20" s="34" t="s">
        <v>604</v>
      </c>
      <c r="C20" s="37">
        <v>45586.0</v>
      </c>
      <c r="D20" s="26"/>
      <c r="E20" s="37" t="s">
        <v>3851</v>
      </c>
      <c r="F20" s="34"/>
      <c r="G20" s="57" t="s">
        <v>3852</v>
      </c>
      <c r="H20" s="48" t="s">
        <v>3853</v>
      </c>
      <c r="I20" s="26" t="s">
        <v>3856</v>
      </c>
      <c r="J20" s="26" t="s">
        <v>3854</v>
      </c>
      <c r="K20" s="26" t="s">
        <v>3854</v>
      </c>
      <c r="L20" s="26" t="s">
        <v>3854</v>
      </c>
      <c r="M20" s="26" t="s">
        <v>3854</v>
      </c>
      <c r="N20" s="26" t="s">
        <v>3854</v>
      </c>
      <c r="O20" s="26" t="s">
        <v>3854</v>
      </c>
      <c r="P20" s="26" t="s">
        <v>3854</v>
      </c>
      <c r="Q20" s="26" t="s">
        <v>3854</v>
      </c>
      <c r="R20" s="26"/>
      <c r="S20" s="34"/>
      <c r="T20" s="31" t="s">
        <v>3855</v>
      </c>
    </row>
    <row r="21">
      <c r="A21" s="34" t="s">
        <v>837</v>
      </c>
      <c r="B21" s="34" t="s">
        <v>838</v>
      </c>
      <c r="C21" s="37">
        <v>45590.0</v>
      </c>
      <c r="D21" s="26"/>
      <c r="E21" s="37" t="s">
        <v>3851</v>
      </c>
      <c r="F21" s="34"/>
      <c r="G21" s="57" t="s">
        <v>3852</v>
      </c>
      <c r="H21" s="48" t="s">
        <v>3853</v>
      </c>
      <c r="I21" s="26" t="s">
        <v>3856</v>
      </c>
      <c r="J21" s="26" t="s">
        <v>3856</v>
      </c>
      <c r="K21" s="26" t="s">
        <v>3856</v>
      </c>
      <c r="L21" s="26" t="s">
        <v>3854</v>
      </c>
      <c r="M21" s="26" t="s">
        <v>3854</v>
      </c>
      <c r="N21" s="26" t="s">
        <v>3854</v>
      </c>
      <c r="O21" s="26" t="s">
        <v>3854</v>
      </c>
      <c r="P21" s="26" t="s">
        <v>3856</v>
      </c>
      <c r="Q21" s="26" t="s">
        <v>3854</v>
      </c>
      <c r="R21" s="26"/>
      <c r="S21" s="34"/>
      <c r="T21" s="31" t="s">
        <v>3855</v>
      </c>
    </row>
    <row r="22">
      <c r="A22" s="34" t="s">
        <v>1304</v>
      </c>
      <c r="B22" s="34" t="s">
        <v>382</v>
      </c>
      <c r="C22" s="37">
        <v>45591.0</v>
      </c>
      <c r="D22" s="26"/>
      <c r="E22" s="37" t="s">
        <v>3851</v>
      </c>
      <c r="F22" s="34"/>
      <c r="G22" s="57" t="s">
        <v>3852</v>
      </c>
      <c r="H22" s="48" t="s">
        <v>3853</v>
      </c>
      <c r="I22" s="26" t="s">
        <v>3856</v>
      </c>
      <c r="J22" s="26" t="s">
        <v>3856</v>
      </c>
      <c r="K22" s="26" t="s">
        <v>3854</v>
      </c>
      <c r="L22" s="26" t="s">
        <v>3854</v>
      </c>
      <c r="M22" s="26" t="s">
        <v>3854</v>
      </c>
      <c r="N22" s="26" t="s">
        <v>3854</v>
      </c>
      <c r="O22" s="26" t="s">
        <v>3854</v>
      </c>
      <c r="P22" s="26" t="s">
        <v>3854</v>
      </c>
      <c r="Q22" s="26" t="s">
        <v>3854</v>
      </c>
      <c r="R22" s="26"/>
      <c r="S22" s="34"/>
      <c r="T22" s="31" t="s">
        <v>3855</v>
      </c>
    </row>
    <row r="23">
      <c r="A23" s="34" t="s">
        <v>821</v>
      </c>
      <c r="B23" s="34" t="s">
        <v>822</v>
      </c>
      <c r="C23" s="37">
        <v>45593.0</v>
      </c>
      <c r="D23" s="26"/>
      <c r="E23" s="37" t="s">
        <v>3851</v>
      </c>
      <c r="F23" s="34"/>
      <c r="G23" s="57" t="s">
        <v>3852</v>
      </c>
      <c r="H23" s="48" t="s">
        <v>3853</v>
      </c>
      <c r="I23" s="26" t="s">
        <v>3856</v>
      </c>
      <c r="J23" s="26" t="s">
        <v>3856</v>
      </c>
      <c r="K23" s="26" t="s">
        <v>3856</v>
      </c>
      <c r="L23" s="26" t="s">
        <v>3854</v>
      </c>
      <c r="M23" s="26" t="s">
        <v>3854</v>
      </c>
      <c r="N23" s="26" t="s">
        <v>3854</v>
      </c>
      <c r="O23" s="26" t="s">
        <v>3854</v>
      </c>
      <c r="P23" s="26" t="s">
        <v>3856</v>
      </c>
      <c r="Q23" s="26" t="s">
        <v>3854</v>
      </c>
      <c r="R23" s="26"/>
      <c r="S23" s="34"/>
      <c r="T23" s="31" t="s">
        <v>3855</v>
      </c>
    </row>
    <row r="24">
      <c r="A24" s="34" t="s">
        <v>3869</v>
      </c>
      <c r="B24" s="34" t="s">
        <v>3870</v>
      </c>
      <c r="C24" s="37">
        <v>45594.0</v>
      </c>
      <c r="D24" s="26"/>
      <c r="E24" s="37" t="s">
        <v>3851</v>
      </c>
      <c r="F24" s="34"/>
      <c r="G24" s="57" t="s">
        <v>3852</v>
      </c>
      <c r="H24" s="48" t="s">
        <v>3853</v>
      </c>
      <c r="I24" s="26" t="s">
        <v>3854</v>
      </c>
      <c r="J24" s="26" t="s">
        <v>3854</v>
      </c>
      <c r="K24" s="26" t="s">
        <v>3854</v>
      </c>
      <c r="L24" s="26" t="s">
        <v>3854</v>
      </c>
      <c r="M24" s="26" t="s">
        <v>3854</v>
      </c>
      <c r="N24" s="26" t="s">
        <v>3854</v>
      </c>
      <c r="O24" s="26" t="s">
        <v>3854</v>
      </c>
      <c r="P24" s="26" t="s">
        <v>3854</v>
      </c>
      <c r="Q24" s="26" t="s">
        <v>3854</v>
      </c>
      <c r="R24" s="26"/>
      <c r="S24" s="34"/>
      <c r="T24" s="31" t="s">
        <v>3855</v>
      </c>
    </row>
    <row r="25">
      <c r="A25" s="34" t="s">
        <v>313</v>
      </c>
      <c r="B25" s="34" t="s">
        <v>314</v>
      </c>
      <c r="C25" s="41">
        <v>45606.0</v>
      </c>
      <c r="D25" s="26"/>
      <c r="E25" s="41" t="s">
        <v>3851</v>
      </c>
      <c r="F25" s="34"/>
      <c r="G25" s="57" t="s">
        <v>3852</v>
      </c>
      <c r="H25" s="48" t="s">
        <v>3853</v>
      </c>
      <c r="I25" s="26" t="s">
        <v>3856</v>
      </c>
      <c r="J25" s="26" t="s">
        <v>3856</v>
      </c>
      <c r="K25" s="26" t="s">
        <v>3854</v>
      </c>
      <c r="L25" s="26" t="s">
        <v>3854</v>
      </c>
      <c r="M25" s="26" t="s">
        <v>3854</v>
      </c>
      <c r="N25" s="26" t="s">
        <v>3854</v>
      </c>
      <c r="O25" s="26" t="s">
        <v>3854</v>
      </c>
      <c r="P25" s="26" t="s">
        <v>3854</v>
      </c>
      <c r="Q25" s="26" t="s">
        <v>3854</v>
      </c>
      <c r="R25" s="26"/>
      <c r="S25" s="34"/>
      <c r="T25" s="31" t="s">
        <v>3855</v>
      </c>
    </row>
    <row r="26">
      <c r="A26" s="34" t="s">
        <v>813</v>
      </c>
      <c r="B26" s="34" t="s">
        <v>814</v>
      </c>
      <c r="C26" s="41">
        <v>45607.0</v>
      </c>
      <c r="D26" s="26"/>
      <c r="E26" s="41" t="s">
        <v>3851</v>
      </c>
      <c r="F26" s="34"/>
      <c r="G26" s="57" t="s">
        <v>3852</v>
      </c>
      <c r="H26" s="48" t="s">
        <v>3853</v>
      </c>
      <c r="I26" s="26" t="s">
        <v>3856</v>
      </c>
      <c r="J26" s="26" t="s">
        <v>3854</v>
      </c>
      <c r="K26" s="26" t="s">
        <v>3854</v>
      </c>
      <c r="L26" s="26" t="s">
        <v>3854</v>
      </c>
      <c r="M26" s="26" t="s">
        <v>3854</v>
      </c>
      <c r="N26" s="26" t="s">
        <v>3854</v>
      </c>
      <c r="O26" s="26" t="s">
        <v>3854</v>
      </c>
      <c r="P26" s="26" t="s">
        <v>3854</v>
      </c>
      <c r="Q26" s="26" t="s">
        <v>3856</v>
      </c>
      <c r="R26" s="26"/>
      <c r="S26" s="34"/>
      <c r="T26" s="31" t="s">
        <v>3855</v>
      </c>
    </row>
    <row r="27">
      <c r="A27" s="34" t="s">
        <v>177</v>
      </c>
      <c r="B27" s="34" t="s">
        <v>178</v>
      </c>
      <c r="C27" s="41">
        <v>45610.0</v>
      </c>
      <c r="D27" s="26"/>
      <c r="E27" s="41" t="s">
        <v>3851</v>
      </c>
      <c r="F27" s="34"/>
      <c r="G27" s="57" t="s">
        <v>3852</v>
      </c>
      <c r="H27" s="48" t="s">
        <v>3853</v>
      </c>
      <c r="I27" s="26" t="s">
        <v>3856</v>
      </c>
      <c r="J27" s="26" t="s">
        <v>3854</v>
      </c>
      <c r="K27" s="26" t="s">
        <v>3854</v>
      </c>
      <c r="L27" s="26" t="s">
        <v>3854</v>
      </c>
      <c r="M27" s="26" t="s">
        <v>3854</v>
      </c>
      <c r="N27" s="26" t="s">
        <v>3854</v>
      </c>
      <c r="O27" s="26" t="s">
        <v>3854</v>
      </c>
      <c r="P27" s="26" t="s">
        <v>3854</v>
      </c>
      <c r="Q27" s="26" t="s">
        <v>3854</v>
      </c>
      <c r="R27" s="26"/>
      <c r="S27" s="34"/>
      <c r="T27" s="31" t="s">
        <v>3855</v>
      </c>
    </row>
    <row r="28">
      <c r="A28" s="34" t="s">
        <v>546</v>
      </c>
      <c r="B28" s="34" t="s">
        <v>547</v>
      </c>
      <c r="C28" s="41">
        <v>45610.0</v>
      </c>
      <c r="D28" s="26"/>
      <c r="E28" s="41" t="s">
        <v>3851</v>
      </c>
      <c r="F28" s="34"/>
      <c r="G28" s="57" t="s">
        <v>3852</v>
      </c>
      <c r="H28" s="48" t="s">
        <v>3853</v>
      </c>
      <c r="I28" s="26" t="s">
        <v>3856</v>
      </c>
      <c r="J28" s="26" t="s">
        <v>3854</v>
      </c>
      <c r="K28" s="26" t="s">
        <v>3856</v>
      </c>
      <c r="L28" s="26" t="s">
        <v>3856</v>
      </c>
      <c r="M28" s="26" t="s">
        <v>3856</v>
      </c>
      <c r="N28" s="26" t="s">
        <v>3854</v>
      </c>
      <c r="O28" s="26" t="s">
        <v>3854</v>
      </c>
      <c r="P28" s="26" t="s">
        <v>3854</v>
      </c>
      <c r="Q28" s="26" t="s">
        <v>3854</v>
      </c>
      <c r="R28" s="26"/>
      <c r="S28" s="34"/>
      <c r="T28" s="31" t="s">
        <v>3855</v>
      </c>
    </row>
    <row r="29">
      <c r="A29" s="34" t="s">
        <v>3871</v>
      </c>
      <c r="B29" s="34" t="s">
        <v>180</v>
      </c>
      <c r="C29" s="37">
        <v>45614.0</v>
      </c>
      <c r="D29" s="26"/>
      <c r="E29" s="37" t="s">
        <v>3851</v>
      </c>
      <c r="F29" s="34"/>
      <c r="G29" s="57" t="s">
        <v>3852</v>
      </c>
      <c r="H29" s="48" t="s">
        <v>3853</v>
      </c>
      <c r="I29" s="26" t="s">
        <v>3856</v>
      </c>
      <c r="J29" s="26" t="s">
        <v>3856</v>
      </c>
      <c r="K29" s="26" t="s">
        <v>3854</v>
      </c>
      <c r="L29" s="26" t="s">
        <v>3854</v>
      </c>
      <c r="M29" s="26" t="s">
        <v>3854</v>
      </c>
      <c r="N29" s="26" t="s">
        <v>3854</v>
      </c>
      <c r="O29" s="26" t="s">
        <v>3856</v>
      </c>
      <c r="P29" s="26" t="s">
        <v>3854</v>
      </c>
      <c r="Q29" s="26" t="s">
        <v>3854</v>
      </c>
      <c r="R29" s="26"/>
      <c r="S29" s="34"/>
      <c r="T29" s="31" t="s">
        <v>3855</v>
      </c>
    </row>
    <row r="30">
      <c r="A30" s="34" t="s">
        <v>3872</v>
      </c>
      <c r="B30" s="34" t="s">
        <v>995</v>
      </c>
      <c r="C30" s="37">
        <v>45614.0</v>
      </c>
      <c r="D30" s="26"/>
      <c r="E30" s="37" t="s">
        <v>3851</v>
      </c>
      <c r="F30" s="34"/>
      <c r="G30" s="57" t="s">
        <v>3852</v>
      </c>
      <c r="H30" s="48" t="s">
        <v>3853</v>
      </c>
      <c r="I30" s="26" t="s">
        <v>3856</v>
      </c>
      <c r="J30" s="26" t="s">
        <v>3854</v>
      </c>
      <c r="K30" s="26" t="s">
        <v>3854</v>
      </c>
      <c r="L30" s="26" t="s">
        <v>3854</v>
      </c>
      <c r="M30" s="26" t="s">
        <v>3854</v>
      </c>
      <c r="N30" s="26" t="s">
        <v>3854</v>
      </c>
      <c r="O30" s="26" t="s">
        <v>3854</v>
      </c>
      <c r="P30" s="26" t="s">
        <v>3854</v>
      </c>
      <c r="Q30" s="26" t="s">
        <v>3854</v>
      </c>
      <c r="R30" s="26"/>
      <c r="S30" s="34"/>
      <c r="T30" s="31" t="s">
        <v>3855</v>
      </c>
    </row>
    <row r="31">
      <c r="A31" s="34" t="s">
        <v>143</v>
      </c>
      <c r="B31" s="34" t="s">
        <v>144</v>
      </c>
      <c r="C31" s="37">
        <v>45618.0</v>
      </c>
      <c r="D31" s="26"/>
      <c r="E31" s="37" t="s">
        <v>3851</v>
      </c>
      <c r="F31" s="34"/>
      <c r="G31" s="57" t="s">
        <v>3852</v>
      </c>
      <c r="H31" s="48" t="s">
        <v>3853</v>
      </c>
      <c r="I31" s="26" t="s">
        <v>3856</v>
      </c>
      <c r="J31" s="26" t="s">
        <v>3856</v>
      </c>
      <c r="K31" s="26" t="s">
        <v>3854</v>
      </c>
      <c r="L31" s="26" t="s">
        <v>3854</v>
      </c>
      <c r="M31" s="26" t="s">
        <v>3854</v>
      </c>
      <c r="N31" s="26" t="s">
        <v>3854</v>
      </c>
      <c r="O31" s="26" t="s">
        <v>3856</v>
      </c>
      <c r="P31" s="26" t="s">
        <v>3856</v>
      </c>
      <c r="Q31" s="26" t="s">
        <v>3854</v>
      </c>
      <c r="R31" s="26"/>
      <c r="S31" s="34"/>
      <c r="T31" s="31" t="s">
        <v>3855</v>
      </c>
    </row>
    <row r="32">
      <c r="A32" s="34" t="s">
        <v>131</v>
      </c>
      <c r="B32" s="34" t="s">
        <v>132</v>
      </c>
      <c r="C32" s="37">
        <v>45618.0</v>
      </c>
      <c r="D32" s="26"/>
      <c r="E32" s="37" t="s">
        <v>3851</v>
      </c>
      <c r="F32" s="34"/>
      <c r="G32" s="57" t="s">
        <v>3852</v>
      </c>
      <c r="H32" s="48" t="s">
        <v>3853</v>
      </c>
      <c r="I32" s="26" t="s">
        <v>3856</v>
      </c>
      <c r="J32" s="26" t="s">
        <v>3854</v>
      </c>
      <c r="K32" s="26" t="s">
        <v>3856</v>
      </c>
      <c r="L32" s="26" t="s">
        <v>3854</v>
      </c>
      <c r="M32" s="26" t="s">
        <v>3854</v>
      </c>
      <c r="N32" s="26" t="s">
        <v>3854</v>
      </c>
      <c r="O32" s="26" t="s">
        <v>3854</v>
      </c>
      <c r="P32" s="26" t="s">
        <v>3856</v>
      </c>
      <c r="Q32" s="26" t="s">
        <v>3854</v>
      </c>
      <c r="R32" s="26"/>
      <c r="S32" s="34"/>
      <c r="T32" s="31" t="s">
        <v>3855</v>
      </c>
    </row>
    <row r="33">
      <c r="A33" s="34" t="s">
        <v>3873</v>
      </c>
      <c r="B33" s="34" t="s">
        <v>502</v>
      </c>
      <c r="C33" s="37">
        <v>45624.0</v>
      </c>
      <c r="D33" s="26"/>
      <c r="E33" s="37" t="s">
        <v>3851</v>
      </c>
      <c r="F33" s="34"/>
      <c r="G33" s="57" t="s">
        <v>3852</v>
      </c>
      <c r="H33" s="48" t="s">
        <v>3853</v>
      </c>
      <c r="I33" s="26" t="s">
        <v>3856</v>
      </c>
      <c r="J33" s="26" t="s">
        <v>3854</v>
      </c>
      <c r="K33" s="26" t="s">
        <v>3856</v>
      </c>
      <c r="L33" s="26" t="s">
        <v>3856</v>
      </c>
      <c r="M33" s="26" t="s">
        <v>3854</v>
      </c>
      <c r="N33" s="26" t="s">
        <v>3854</v>
      </c>
      <c r="O33" s="26" t="s">
        <v>3856</v>
      </c>
      <c r="P33" s="26" t="s">
        <v>3856</v>
      </c>
      <c r="Q33" s="26" t="s">
        <v>3854</v>
      </c>
      <c r="R33" s="26"/>
      <c r="S33" s="34"/>
      <c r="T33" s="31" t="s">
        <v>3855</v>
      </c>
    </row>
    <row r="34">
      <c r="A34" s="34" t="s">
        <v>865</v>
      </c>
      <c r="B34" s="34" t="s">
        <v>866</v>
      </c>
      <c r="C34" s="41">
        <v>45625.0</v>
      </c>
      <c r="D34" s="26"/>
      <c r="E34" s="41" t="s">
        <v>3851</v>
      </c>
      <c r="F34" s="34"/>
      <c r="G34" s="57" t="s">
        <v>3852</v>
      </c>
      <c r="H34" s="48" t="s">
        <v>3853</v>
      </c>
      <c r="I34" s="26" t="s">
        <v>3856</v>
      </c>
      <c r="J34" s="26" t="s">
        <v>3856</v>
      </c>
      <c r="K34" s="26" t="s">
        <v>3856</v>
      </c>
      <c r="L34" s="26" t="s">
        <v>3856</v>
      </c>
      <c r="M34" s="26" t="s">
        <v>3854</v>
      </c>
      <c r="N34" s="26" t="s">
        <v>3854</v>
      </c>
      <c r="O34" s="26" t="s">
        <v>3854</v>
      </c>
      <c r="P34" s="26" t="s">
        <v>3856</v>
      </c>
      <c r="Q34" s="26" t="s">
        <v>3856</v>
      </c>
      <c r="R34" s="26"/>
      <c r="S34" s="34"/>
      <c r="T34" s="31" t="s">
        <v>3855</v>
      </c>
    </row>
    <row r="35">
      <c r="A35" s="34" t="s">
        <v>3874</v>
      </c>
      <c r="B35" s="34" t="s">
        <v>482</v>
      </c>
      <c r="C35" s="41">
        <v>45625.0</v>
      </c>
      <c r="D35" s="26"/>
      <c r="E35" s="58" t="str">
        <f>VLOOKUP(B35,AT_Data!A:D,4,0)</f>
        <v>Hold</v>
      </c>
      <c r="F35" s="34" t="str">
        <f>VLOOKUP(B35,'On-Boarding'!C:D,2,0)</f>
        <v>Org</v>
      </c>
      <c r="G35" s="59" t="s">
        <v>3875</v>
      </c>
      <c r="H35" s="48" t="s">
        <v>3876</v>
      </c>
      <c r="I35" s="26" t="s">
        <v>3856</v>
      </c>
      <c r="J35" s="26" t="s">
        <v>3856</v>
      </c>
      <c r="K35" s="26" t="s">
        <v>3854</v>
      </c>
      <c r="L35" s="26" t="s">
        <v>3854</v>
      </c>
      <c r="M35" s="26" t="s">
        <v>3854</v>
      </c>
      <c r="N35" s="26" t="s">
        <v>3854</v>
      </c>
      <c r="O35" s="26" t="s">
        <v>3854</v>
      </c>
      <c r="P35" s="26" t="s">
        <v>3854</v>
      </c>
      <c r="Q35" s="26" t="s">
        <v>3856</v>
      </c>
      <c r="R35" s="26"/>
      <c r="S35" s="34"/>
      <c r="T35" s="31" t="s">
        <v>3855</v>
      </c>
    </row>
    <row r="36">
      <c r="A36" s="34" t="s">
        <v>3877</v>
      </c>
      <c r="B36" s="34" t="s">
        <v>947</v>
      </c>
      <c r="C36" s="41">
        <v>45628.0</v>
      </c>
      <c r="D36" s="26"/>
      <c r="E36" s="41" t="s">
        <v>3851</v>
      </c>
      <c r="F36" s="34"/>
      <c r="G36" s="57" t="s">
        <v>3852</v>
      </c>
      <c r="H36" s="48" t="s">
        <v>3853</v>
      </c>
      <c r="I36" s="26" t="s">
        <v>3856</v>
      </c>
      <c r="J36" s="26" t="s">
        <v>3854</v>
      </c>
      <c r="K36" s="26" t="s">
        <v>3854</v>
      </c>
      <c r="L36" s="26" t="s">
        <v>3854</v>
      </c>
      <c r="M36" s="26" t="s">
        <v>3854</v>
      </c>
      <c r="N36" s="26" t="s">
        <v>3854</v>
      </c>
      <c r="O36" s="26" t="s">
        <v>3856</v>
      </c>
      <c r="P36" s="26" t="s">
        <v>3854</v>
      </c>
      <c r="Q36" s="26" t="s">
        <v>3854</v>
      </c>
      <c r="R36" s="26"/>
      <c r="S36" s="34"/>
      <c r="T36" s="31" t="s">
        <v>3855</v>
      </c>
    </row>
    <row r="37">
      <c r="A37" s="34" t="s">
        <v>3878</v>
      </c>
      <c r="B37" s="34" t="s">
        <v>3879</v>
      </c>
      <c r="C37" s="41">
        <v>45629.0</v>
      </c>
      <c r="D37" s="26"/>
      <c r="E37" s="41" t="s">
        <v>3851</v>
      </c>
      <c r="F37" s="34"/>
      <c r="G37" s="57" t="s">
        <v>3852</v>
      </c>
      <c r="H37" s="48" t="s">
        <v>3853</v>
      </c>
      <c r="I37" s="26" t="s">
        <v>3856</v>
      </c>
      <c r="J37" s="26" t="s">
        <v>3854</v>
      </c>
      <c r="K37" s="26" t="s">
        <v>3856</v>
      </c>
      <c r="L37" s="26" t="s">
        <v>3854</v>
      </c>
      <c r="M37" s="26" t="s">
        <v>3854</v>
      </c>
      <c r="N37" s="26" t="s">
        <v>3854</v>
      </c>
      <c r="O37" s="26" t="s">
        <v>3854</v>
      </c>
      <c r="P37" s="26" t="s">
        <v>3854</v>
      </c>
      <c r="Q37" s="26" t="s">
        <v>3854</v>
      </c>
      <c r="R37" s="26"/>
      <c r="S37" s="34"/>
      <c r="T37" s="31" t="s">
        <v>3855</v>
      </c>
    </row>
    <row r="38">
      <c r="A38" s="34" t="s">
        <v>725</v>
      </c>
      <c r="B38" s="34" t="s">
        <v>726</v>
      </c>
      <c r="C38" s="41">
        <v>45630.0</v>
      </c>
      <c r="D38" s="26"/>
      <c r="E38" s="41" t="s">
        <v>3851</v>
      </c>
      <c r="F38" s="34"/>
      <c r="G38" s="57" t="s">
        <v>3852</v>
      </c>
      <c r="H38" s="48" t="s">
        <v>3853</v>
      </c>
      <c r="I38" s="26" t="s">
        <v>3856</v>
      </c>
      <c r="J38" s="26" t="s">
        <v>3856</v>
      </c>
      <c r="K38" s="26" t="s">
        <v>3856</v>
      </c>
      <c r="L38" s="26" t="s">
        <v>3854</v>
      </c>
      <c r="M38" s="26" t="s">
        <v>3854</v>
      </c>
      <c r="N38" s="26" t="s">
        <v>3854</v>
      </c>
      <c r="O38" s="26" t="s">
        <v>3854</v>
      </c>
      <c r="P38" s="26" t="s">
        <v>3856</v>
      </c>
      <c r="Q38" s="26" t="s">
        <v>3856</v>
      </c>
      <c r="R38" s="26"/>
      <c r="S38" s="34"/>
      <c r="T38" s="31" t="s">
        <v>3855</v>
      </c>
    </row>
    <row r="39">
      <c r="A39" s="34" t="s">
        <v>863</v>
      </c>
      <c r="B39" s="34" t="s">
        <v>864</v>
      </c>
      <c r="C39" s="41">
        <v>45635.0</v>
      </c>
      <c r="D39" s="26"/>
      <c r="E39" s="41" t="s">
        <v>3851</v>
      </c>
      <c r="F39" s="34"/>
      <c r="G39" s="57" t="s">
        <v>3852</v>
      </c>
      <c r="H39" s="48" t="s">
        <v>3853</v>
      </c>
      <c r="I39" s="26" t="s">
        <v>3856</v>
      </c>
      <c r="J39" s="26" t="s">
        <v>3854</v>
      </c>
      <c r="K39" s="26" t="s">
        <v>3854</v>
      </c>
      <c r="L39" s="26" t="s">
        <v>3854</v>
      </c>
      <c r="M39" s="26" t="s">
        <v>3854</v>
      </c>
      <c r="N39" s="26" t="s">
        <v>3854</v>
      </c>
      <c r="O39" s="26" t="s">
        <v>3854</v>
      </c>
      <c r="P39" s="26" t="s">
        <v>3856</v>
      </c>
      <c r="Q39" s="26" t="s">
        <v>3856</v>
      </c>
      <c r="R39" s="26"/>
      <c r="S39" s="34"/>
      <c r="T39" s="31" t="s">
        <v>3855</v>
      </c>
    </row>
    <row r="40">
      <c r="A40" s="34" t="s">
        <v>1492</v>
      </c>
      <c r="B40" s="34" t="s">
        <v>1493</v>
      </c>
      <c r="C40" s="37">
        <v>45639.0</v>
      </c>
      <c r="D40" s="26"/>
      <c r="E40" s="37" t="s">
        <v>3851</v>
      </c>
      <c r="F40" s="34"/>
      <c r="G40" s="57" t="s">
        <v>3852</v>
      </c>
      <c r="H40" s="48" t="s">
        <v>3853</v>
      </c>
      <c r="I40" s="26" t="s">
        <v>3856</v>
      </c>
      <c r="J40" s="26" t="s">
        <v>3854</v>
      </c>
      <c r="K40" s="26" t="s">
        <v>3856</v>
      </c>
      <c r="L40" s="26" t="s">
        <v>3854</v>
      </c>
      <c r="M40" s="26" t="s">
        <v>3854</v>
      </c>
      <c r="N40" s="26" t="s">
        <v>3854</v>
      </c>
      <c r="O40" s="26" t="s">
        <v>3854</v>
      </c>
      <c r="P40" s="26" t="s">
        <v>3854</v>
      </c>
      <c r="Q40" s="26" t="s">
        <v>3854</v>
      </c>
      <c r="R40" s="26"/>
      <c r="S40" s="34"/>
      <c r="T40" s="31" t="s">
        <v>3855</v>
      </c>
    </row>
    <row r="41">
      <c r="A41" s="34" t="s">
        <v>561</v>
      </c>
      <c r="B41" s="34" t="s">
        <v>562</v>
      </c>
      <c r="C41" s="37">
        <v>45642.0</v>
      </c>
      <c r="D41" s="26"/>
      <c r="E41" s="37" t="s">
        <v>3851</v>
      </c>
      <c r="F41" s="34"/>
      <c r="G41" s="57" t="s">
        <v>3852</v>
      </c>
      <c r="H41" s="48" t="s">
        <v>3853</v>
      </c>
      <c r="I41" s="26" t="s">
        <v>3856</v>
      </c>
      <c r="J41" s="26" t="s">
        <v>3854</v>
      </c>
      <c r="K41" s="26" t="s">
        <v>3856</v>
      </c>
      <c r="L41" s="26" t="s">
        <v>3854</v>
      </c>
      <c r="M41" s="26" t="s">
        <v>3854</v>
      </c>
      <c r="N41" s="26" t="s">
        <v>3854</v>
      </c>
      <c r="O41" s="26" t="s">
        <v>3854</v>
      </c>
      <c r="P41" s="26" t="s">
        <v>3856</v>
      </c>
      <c r="Q41" s="26" t="s">
        <v>3856</v>
      </c>
      <c r="R41" s="26"/>
      <c r="S41" s="34"/>
      <c r="T41" s="31" t="s">
        <v>3855</v>
      </c>
    </row>
    <row r="42">
      <c r="A42" s="34" t="s">
        <v>235</v>
      </c>
      <c r="B42" s="34" t="s">
        <v>236</v>
      </c>
      <c r="C42" s="37">
        <v>45646.0</v>
      </c>
      <c r="D42" s="26"/>
      <c r="E42" s="37" t="s">
        <v>3851</v>
      </c>
      <c r="F42" s="34"/>
      <c r="G42" s="57" t="s">
        <v>3852</v>
      </c>
      <c r="H42" s="48" t="s">
        <v>3853</v>
      </c>
      <c r="I42" s="26" t="s">
        <v>3856</v>
      </c>
      <c r="J42" s="26" t="s">
        <v>3854</v>
      </c>
      <c r="K42" s="26" t="s">
        <v>3856</v>
      </c>
      <c r="L42" s="26" t="s">
        <v>3854</v>
      </c>
      <c r="M42" s="26" t="s">
        <v>3854</v>
      </c>
      <c r="N42" s="26" t="s">
        <v>3854</v>
      </c>
      <c r="O42" s="26" t="s">
        <v>3854</v>
      </c>
      <c r="P42" s="26" t="s">
        <v>3854</v>
      </c>
      <c r="Q42" s="26" t="s">
        <v>3856</v>
      </c>
      <c r="R42" s="26"/>
      <c r="S42" s="34"/>
      <c r="T42" s="31" t="s">
        <v>3855</v>
      </c>
    </row>
    <row r="43">
      <c r="A43" s="34" t="s">
        <v>399</v>
      </c>
      <c r="B43" s="34" t="s">
        <v>400</v>
      </c>
      <c r="C43" s="41">
        <v>45650.0</v>
      </c>
      <c r="D43" s="26"/>
      <c r="E43" s="41" t="s">
        <v>3851</v>
      </c>
      <c r="F43" s="34"/>
      <c r="G43" s="57" t="s">
        <v>3852</v>
      </c>
      <c r="H43" s="48" t="s">
        <v>3853</v>
      </c>
      <c r="I43" s="26" t="s">
        <v>3856</v>
      </c>
      <c r="J43" s="26" t="s">
        <v>3854</v>
      </c>
      <c r="K43" s="26" t="s">
        <v>3856</v>
      </c>
      <c r="L43" s="26" t="s">
        <v>3854</v>
      </c>
      <c r="M43" s="26" t="s">
        <v>3854</v>
      </c>
      <c r="N43" s="26" t="s">
        <v>3854</v>
      </c>
      <c r="O43" s="26" t="s">
        <v>3854</v>
      </c>
      <c r="P43" s="26" t="s">
        <v>3854</v>
      </c>
      <c r="Q43" s="26" t="s">
        <v>3856</v>
      </c>
      <c r="R43" s="26"/>
      <c r="S43" s="34"/>
      <c r="T43" s="31" t="s">
        <v>3855</v>
      </c>
    </row>
    <row r="44">
      <c r="A44" s="34" t="s">
        <v>1000</v>
      </c>
      <c r="B44" s="34" t="s">
        <v>1001</v>
      </c>
      <c r="C44" s="41">
        <v>45650.0</v>
      </c>
      <c r="D44" s="26"/>
      <c r="E44" s="41" t="s">
        <v>3851</v>
      </c>
      <c r="F44" s="34"/>
      <c r="G44" s="57" t="s">
        <v>3852</v>
      </c>
      <c r="H44" s="48" t="s">
        <v>3853</v>
      </c>
      <c r="I44" s="26" t="s">
        <v>3856</v>
      </c>
      <c r="J44" s="26" t="s">
        <v>3854</v>
      </c>
      <c r="K44" s="26" t="s">
        <v>3856</v>
      </c>
      <c r="L44" s="26" t="s">
        <v>3854</v>
      </c>
      <c r="M44" s="26" t="s">
        <v>3854</v>
      </c>
      <c r="N44" s="26" t="s">
        <v>3854</v>
      </c>
      <c r="O44" s="26" t="s">
        <v>3854</v>
      </c>
      <c r="P44" s="26" t="s">
        <v>3854</v>
      </c>
      <c r="Q44" s="26" t="s">
        <v>3854</v>
      </c>
      <c r="R44" s="26"/>
      <c r="S44" s="34"/>
      <c r="T44" s="31" t="s">
        <v>3855</v>
      </c>
    </row>
    <row r="45">
      <c r="A45" s="34" t="s">
        <v>952</v>
      </c>
      <c r="B45" s="34" t="s">
        <v>953</v>
      </c>
      <c r="C45" s="37">
        <v>45656.0</v>
      </c>
      <c r="D45" s="26"/>
      <c r="E45" s="37" t="s">
        <v>3851</v>
      </c>
      <c r="F45" s="34"/>
      <c r="G45" s="57" t="s">
        <v>3852</v>
      </c>
      <c r="H45" s="48" t="s">
        <v>3853</v>
      </c>
      <c r="I45" s="26" t="s">
        <v>3856</v>
      </c>
      <c r="J45" s="26" t="s">
        <v>3854</v>
      </c>
      <c r="K45" s="26" t="s">
        <v>3856</v>
      </c>
      <c r="L45" s="26" t="s">
        <v>3854</v>
      </c>
      <c r="M45" s="26" t="s">
        <v>3854</v>
      </c>
      <c r="N45" s="26" t="s">
        <v>3854</v>
      </c>
      <c r="O45" s="26" t="s">
        <v>3856</v>
      </c>
      <c r="P45" s="26" t="s">
        <v>3854</v>
      </c>
      <c r="Q45" s="26" t="s">
        <v>3854</v>
      </c>
      <c r="R45" s="26"/>
      <c r="S45" s="34"/>
      <c r="T45" s="31" t="s">
        <v>3855</v>
      </c>
    </row>
    <row r="46">
      <c r="A46" s="34" t="s">
        <v>255</v>
      </c>
      <c r="B46" s="34" t="s">
        <v>256</v>
      </c>
      <c r="C46" s="37">
        <v>45657.0</v>
      </c>
      <c r="D46" s="26"/>
      <c r="E46" s="37" t="s">
        <v>3851</v>
      </c>
      <c r="F46" s="34"/>
      <c r="G46" s="57" t="s">
        <v>3852</v>
      </c>
      <c r="H46" s="48" t="s">
        <v>3853</v>
      </c>
      <c r="I46" s="26" t="s">
        <v>3856</v>
      </c>
      <c r="J46" s="26" t="s">
        <v>3856</v>
      </c>
      <c r="K46" s="26" t="s">
        <v>3854</v>
      </c>
      <c r="L46" s="26" t="s">
        <v>3854</v>
      </c>
      <c r="M46" s="26" t="s">
        <v>3854</v>
      </c>
      <c r="N46" s="26" t="s">
        <v>3854</v>
      </c>
      <c r="O46" s="26" t="s">
        <v>3854</v>
      </c>
      <c r="P46" s="26" t="s">
        <v>3854</v>
      </c>
      <c r="Q46" s="26" t="s">
        <v>3854</v>
      </c>
      <c r="R46" s="26"/>
      <c r="S46" s="34"/>
      <c r="T46" s="31" t="s">
        <v>3855</v>
      </c>
    </row>
    <row r="47">
      <c r="A47" s="34" t="s">
        <v>443</v>
      </c>
      <c r="B47" s="34" t="s">
        <v>3880</v>
      </c>
      <c r="C47" s="41">
        <v>45660.0</v>
      </c>
      <c r="D47" s="26"/>
      <c r="E47" s="41" t="s">
        <v>3851</v>
      </c>
      <c r="F47" s="34"/>
      <c r="G47" s="57" t="s">
        <v>3852</v>
      </c>
      <c r="H47" s="48" t="s">
        <v>3853</v>
      </c>
      <c r="I47" s="26" t="s">
        <v>3856</v>
      </c>
      <c r="J47" s="26" t="s">
        <v>3856</v>
      </c>
      <c r="K47" s="26" t="s">
        <v>3856</v>
      </c>
      <c r="L47" s="26" t="s">
        <v>3854</v>
      </c>
      <c r="M47" s="26" t="s">
        <v>3854</v>
      </c>
      <c r="N47" s="26" t="s">
        <v>3854</v>
      </c>
      <c r="O47" s="26" t="s">
        <v>3856</v>
      </c>
      <c r="P47" s="26" t="s">
        <v>3856</v>
      </c>
      <c r="Q47" s="26" t="s">
        <v>3854</v>
      </c>
      <c r="R47" s="26"/>
      <c r="S47" s="34"/>
      <c r="T47" s="31" t="s">
        <v>3855</v>
      </c>
    </row>
    <row r="48">
      <c r="A48" s="34" t="s">
        <v>185</v>
      </c>
      <c r="B48" s="34" t="s">
        <v>3881</v>
      </c>
      <c r="C48" s="41">
        <v>45660.0</v>
      </c>
      <c r="D48" s="26"/>
      <c r="E48" s="41" t="s">
        <v>3851</v>
      </c>
      <c r="F48" s="34"/>
      <c r="G48" s="57" t="s">
        <v>3852</v>
      </c>
      <c r="H48" s="48" t="s">
        <v>3853</v>
      </c>
      <c r="I48" s="26" t="s">
        <v>3856</v>
      </c>
      <c r="J48" s="26" t="s">
        <v>3856</v>
      </c>
      <c r="K48" s="26" t="s">
        <v>3854</v>
      </c>
      <c r="L48" s="26" t="s">
        <v>3854</v>
      </c>
      <c r="M48" s="26" t="s">
        <v>3854</v>
      </c>
      <c r="N48" s="26" t="s">
        <v>3854</v>
      </c>
      <c r="O48" s="26" t="s">
        <v>3854</v>
      </c>
      <c r="P48" s="26" t="s">
        <v>3854</v>
      </c>
      <c r="Q48" s="26" t="s">
        <v>3854</v>
      </c>
      <c r="R48" s="26"/>
      <c r="S48" s="34"/>
      <c r="T48" s="31" t="s">
        <v>3855</v>
      </c>
    </row>
    <row r="49">
      <c r="A49" s="34" t="s">
        <v>253</v>
      </c>
      <c r="B49" s="34" t="s">
        <v>254</v>
      </c>
      <c r="C49" s="41">
        <v>45663.0</v>
      </c>
      <c r="D49" s="26"/>
      <c r="E49" s="41" t="s">
        <v>3851</v>
      </c>
      <c r="F49" s="34"/>
      <c r="G49" s="57" t="s">
        <v>3852</v>
      </c>
      <c r="H49" s="48" t="s">
        <v>3853</v>
      </c>
      <c r="I49" s="26" t="s">
        <v>3856</v>
      </c>
      <c r="J49" s="26" t="s">
        <v>3854</v>
      </c>
      <c r="K49" s="26" t="s">
        <v>3856</v>
      </c>
      <c r="L49" s="26" t="s">
        <v>3854</v>
      </c>
      <c r="M49" s="26" t="s">
        <v>3854</v>
      </c>
      <c r="N49" s="26" t="s">
        <v>3854</v>
      </c>
      <c r="O49" s="26" t="s">
        <v>3854</v>
      </c>
      <c r="P49" s="26" t="s">
        <v>3856</v>
      </c>
      <c r="Q49" s="26" t="s">
        <v>3854</v>
      </c>
      <c r="R49" s="26"/>
      <c r="S49" s="34"/>
      <c r="T49" s="31" t="s">
        <v>3855</v>
      </c>
    </row>
    <row r="50">
      <c r="A50" s="34" t="s">
        <v>3882</v>
      </c>
      <c r="B50" s="34" t="s">
        <v>3883</v>
      </c>
      <c r="C50" s="41">
        <v>45663.0</v>
      </c>
      <c r="D50" s="26"/>
      <c r="E50" s="41" t="s">
        <v>3851</v>
      </c>
      <c r="F50" s="34"/>
      <c r="G50" s="57" t="s">
        <v>3852</v>
      </c>
      <c r="H50" s="48" t="s">
        <v>3853</v>
      </c>
      <c r="I50" s="26" t="s">
        <v>3856</v>
      </c>
      <c r="J50" s="26" t="s">
        <v>3854</v>
      </c>
      <c r="K50" s="26" t="s">
        <v>3854</v>
      </c>
      <c r="L50" s="26" t="s">
        <v>3854</v>
      </c>
      <c r="M50" s="26" t="s">
        <v>3854</v>
      </c>
      <c r="N50" s="26" t="s">
        <v>3854</v>
      </c>
      <c r="O50" s="26" t="s">
        <v>3856</v>
      </c>
      <c r="P50" s="26" t="s">
        <v>3854</v>
      </c>
      <c r="Q50" s="26" t="s">
        <v>3854</v>
      </c>
      <c r="R50" s="26"/>
      <c r="S50" s="34"/>
      <c r="T50" s="31" t="s">
        <v>3855</v>
      </c>
    </row>
    <row r="51">
      <c r="A51" s="34" t="s">
        <v>515</v>
      </c>
      <c r="B51" s="34" t="s">
        <v>516</v>
      </c>
      <c r="C51" s="41">
        <v>45665.0</v>
      </c>
      <c r="D51" s="26"/>
      <c r="E51" s="41" t="s">
        <v>3851</v>
      </c>
      <c r="F51" s="34"/>
      <c r="G51" s="57" t="s">
        <v>3852</v>
      </c>
      <c r="H51" s="48" t="s">
        <v>3853</v>
      </c>
      <c r="I51" s="26" t="s">
        <v>3856</v>
      </c>
      <c r="J51" s="26" t="s">
        <v>3854</v>
      </c>
      <c r="K51" s="26" t="s">
        <v>3854</v>
      </c>
      <c r="L51" s="26" t="s">
        <v>3854</v>
      </c>
      <c r="M51" s="26" t="s">
        <v>3854</v>
      </c>
      <c r="N51" s="26" t="s">
        <v>3854</v>
      </c>
      <c r="O51" s="26" t="s">
        <v>3856</v>
      </c>
      <c r="P51" s="26" t="s">
        <v>3856</v>
      </c>
      <c r="Q51" s="26" t="s">
        <v>3854</v>
      </c>
      <c r="R51" s="26"/>
      <c r="S51" s="34"/>
      <c r="T51" s="31" t="s">
        <v>3855</v>
      </c>
    </row>
    <row r="52">
      <c r="A52" s="34" t="s">
        <v>3884</v>
      </c>
      <c r="B52" s="34" t="s">
        <v>3885</v>
      </c>
      <c r="C52" s="41">
        <v>45670.0</v>
      </c>
      <c r="D52" s="26"/>
      <c r="E52" s="41" t="s">
        <v>3851</v>
      </c>
      <c r="F52" s="34"/>
      <c r="G52" s="57" t="s">
        <v>3852</v>
      </c>
      <c r="H52" s="48" t="s">
        <v>3853</v>
      </c>
      <c r="I52" s="26" t="s">
        <v>3856</v>
      </c>
      <c r="J52" s="26" t="s">
        <v>3854</v>
      </c>
      <c r="K52" s="26" t="s">
        <v>3854</v>
      </c>
      <c r="L52" s="26" t="s">
        <v>3854</v>
      </c>
      <c r="M52" s="26" t="s">
        <v>3854</v>
      </c>
      <c r="N52" s="26" t="s">
        <v>3854</v>
      </c>
      <c r="O52" s="26" t="s">
        <v>3854</v>
      </c>
      <c r="P52" s="26" t="s">
        <v>3854</v>
      </c>
      <c r="Q52" s="26" t="s">
        <v>3854</v>
      </c>
      <c r="R52" s="26"/>
      <c r="S52" s="34"/>
      <c r="T52" s="31" t="s">
        <v>3855</v>
      </c>
    </row>
    <row r="53">
      <c r="A53" s="34" t="s">
        <v>263</v>
      </c>
      <c r="B53" s="34" t="s">
        <v>264</v>
      </c>
      <c r="C53" s="37">
        <v>45674.0</v>
      </c>
      <c r="D53" s="26"/>
      <c r="E53" s="58" t="str">
        <f>VLOOKUP(B53,AT_Data!A:D,4,0)</f>
        <v>Hold</v>
      </c>
      <c r="F53" s="34" t="str">
        <f>VLOOKUP(B53,'On-Boarding'!C:D,2,0)</f>
        <v>Legal</v>
      </c>
      <c r="G53" s="59" t="s">
        <v>3875</v>
      </c>
      <c r="H53" s="48" t="s">
        <v>3876</v>
      </c>
      <c r="I53" s="26" t="s">
        <v>3856</v>
      </c>
      <c r="J53" s="26" t="s">
        <v>3856</v>
      </c>
      <c r="K53" s="26" t="s">
        <v>3854</v>
      </c>
      <c r="L53" s="26" t="s">
        <v>3854</v>
      </c>
      <c r="M53" s="26" t="s">
        <v>3856</v>
      </c>
      <c r="N53" s="26" t="s">
        <v>3854</v>
      </c>
      <c r="O53" s="26" t="s">
        <v>3854</v>
      </c>
      <c r="P53" s="26" t="s">
        <v>3854</v>
      </c>
      <c r="Q53" s="26" t="s">
        <v>3854</v>
      </c>
      <c r="R53" s="26"/>
      <c r="S53" s="34"/>
      <c r="T53" s="31" t="s">
        <v>3855</v>
      </c>
    </row>
    <row r="54">
      <c r="A54" s="34" t="s">
        <v>149</v>
      </c>
      <c r="B54" s="34" t="s">
        <v>150</v>
      </c>
      <c r="C54" s="37">
        <v>45674.0</v>
      </c>
      <c r="D54" s="26"/>
      <c r="E54" s="37" t="s">
        <v>3851</v>
      </c>
      <c r="F54" s="34"/>
      <c r="G54" s="57" t="s">
        <v>3852</v>
      </c>
      <c r="H54" s="48" t="s">
        <v>3853</v>
      </c>
      <c r="I54" s="26" t="s">
        <v>3856</v>
      </c>
      <c r="J54" s="26" t="s">
        <v>3854</v>
      </c>
      <c r="K54" s="26" t="s">
        <v>3856</v>
      </c>
      <c r="L54" s="26" t="s">
        <v>3854</v>
      </c>
      <c r="M54" s="26" t="s">
        <v>3856</v>
      </c>
      <c r="N54" s="26" t="s">
        <v>3854</v>
      </c>
      <c r="O54" s="26" t="s">
        <v>3854</v>
      </c>
      <c r="P54" s="26" t="s">
        <v>3854</v>
      </c>
      <c r="Q54" s="26" t="s">
        <v>3856</v>
      </c>
      <c r="R54" s="26"/>
      <c r="S54" s="34"/>
      <c r="T54" s="31" t="s">
        <v>3855</v>
      </c>
    </row>
    <row r="55">
      <c r="A55" s="34" t="s">
        <v>391</v>
      </c>
      <c r="B55" s="34" t="s">
        <v>392</v>
      </c>
      <c r="C55" s="37">
        <v>45674.0</v>
      </c>
      <c r="D55" s="26"/>
      <c r="E55" s="37" t="s">
        <v>3851</v>
      </c>
      <c r="F55" s="34"/>
      <c r="G55" s="57" t="s">
        <v>3852</v>
      </c>
      <c r="H55" s="48" t="s">
        <v>3853</v>
      </c>
      <c r="I55" s="26" t="s">
        <v>3856</v>
      </c>
      <c r="J55" s="26" t="s">
        <v>3854</v>
      </c>
      <c r="K55" s="26" t="s">
        <v>3856</v>
      </c>
      <c r="L55" s="26" t="s">
        <v>3854</v>
      </c>
      <c r="M55" s="26" t="s">
        <v>3856</v>
      </c>
      <c r="N55" s="26" t="s">
        <v>3854</v>
      </c>
      <c r="O55" s="26" t="s">
        <v>3854</v>
      </c>
      <c r="P55" s="26" t="s">
        <v>3854</v>
      </c>
      <c r="Q55" s="26" t="s">
        <v>3854</v>
      </c>
      <c r="R55" s="26"/>
      <c r="S55" s="34"/>
      <c r="T55" s="31" t="s">
        <v>3855</v>
      </c>
    </row>
    <row r="56">
      <c r="A56" s="34" t="s">
        <v>753</v>
      </c>
      <c r="B56" s="34" t="s">
        <v>3886</v>
      </c>
      <c r="C56" s="37">
        <v>45688.0</v>
      </c>
      <c r="D56" s="26"/>
      <c r="E56" s="37" t="s">
        <v>3851</v>
      </c>
      <c r="F56" s="34"/>
      <c r="G56" s="57" t="s">
        <v>3852</v>
      </c>
      <c r="H56" s="48" t="s">
        <v>3853</v>
      </c>
      <c r="I56" s="26" t="s">
        <v>3856</v>
      </c>
      <c r="J56" s="26" t="s">
        <v>3856</v>
      </c>
      <c r="K56" s="26" t="s">
        <v>3854</v>
      </c>
      <c r="L56" s="26" t="s">
        <v>3854</v>
      </c>
      <c r="M56" s="26" t="s">
        <v>3854</v>
      </c>
      <c r="N56" s="26" t="s">
        <v>3854</v>
      </c>
      <c r="O56" s="26" t="s">
        <v>3854</v>
      </c>
      <c r="P56" s="26" t="s">
        <v>3854</v>
      </c>
      <c r="Q56" s="26" t="s">
        <v>3854</v>
      </c>
      <c r="R56" s="26"/>
      <c r="S56" s="34"/>
      <c r="T56" s="31" t="s">
        <v>3855</v>
      </c>
    </row>
    <row r="57">
      <c r="A57" s="34" t="s">
        <v>3887</v>
      </c>
      <c r="B57" s="34" t="s">
        <v>756</v>
      </c>
      <c r="C57" s="41">
        <v>45694.0</v>
      </c>
      <c r="D57" s="26"/>
      <c r="E57" s="41" t="s">
        <v>3851</v>
      </c>
      <c r="F57" s="34"/>
      <c r="G57" s="57" t="s">
        <v>3852</v>
      </c>
      <c r="H57" s="48" t="s">
        <v>3853</v>
      </c>
      <c r="I57" s="26" t="s">
        <v>3856</v>
      </c>
      <c r="J57" s="26" t="s">
        <v>3854</v>
      </c>
      <c r="K57" s="26" t="s">
        <v>3856</v>
      </c>
      <c r="L57" s="26" t="s">
        <v>3854</v>
      </c>
      <c r="M57" s="26" t="s">
        <v>3854</v>
      </c>
      <c r="N57" s="26" t="s">
        <v>3854</v>
      </c>
      <c r="O57" s="26" t="s">
        <v>3854</v>
      </c>
      <c r="P57" s="26" t="s">
        <v>3854</v>
      </c>
      <c r="Q57" s="26" t="s">
        <v>3854</v>
      </c>
      <c r="R57" s="26"/>
      <c r="S57" s="34"/>
      <c r="T57" s="31" t="s">
        <v>3855</v>
      </c>
    </row>
    <row r="58">
      <c r="A58" s="34" t="s">
        <v>3888</v>
      </c>
      <c r="B58" s="34" t="s">
        <v>250</v>
      </c>
      <c r="C58" s="41">
        <v>45701.0</v>
      </c>
      <c r="D58" s="26"/>
      <c r="E58" s="41" t="s">
        <v>3851</v>
      </c>
      <c r="F58" s="34"/>
      <c r="G58" s="57" t="s">
        <v>3852</v>
      </c>
      <c r="H58" s="48" t="s">
        <v>3853</v>
      </c>
      <c r="I58" s="26" t="s">
        <v>3856</v>
      </c>
      <c r="J58" s="26" t="s">
        <v>3856</v>
      </c>
      <c r="K58" s="26" t="s">
        <v>3854</v>
      </c>
      <c r="L58" s="26" t="s">
        <v>3854</v>
      </c>
      <c r="M58" s="26" t="s">
        <v>3854</v>
      </c>
      <c r="N58" s="26" t="s">
        <v>3854</v>
      </c>
      <c r="O58" s="26" t="s">
        <v>3856</v>
      </c>
      <c r="P58" s="26" t="s">
        <v>3854</v>
      </c>
      <c r="Q58" s="26" t="s">
        <v>3854</v>
      </c>
      <c r="R58" s="26"/>
      <c r="S58" s="34"/>
      <c r="T58" s="31" t="s">
        <v>3855</v>
      </c>
    </row>
    <row r="59">
      <c r="A59" s="34" t="s">
        <v>3889</v>
      </c>
      <c r="B59" s="34" t="s">
        <v>772</v>
      </c>
      <c r="C59" s="41">
        <v>45701.0</v>
      </c>
      <c r="D59" s="26"/>
      <c r="E59" s="41" t="s">
        <v>3851</v>
      </c>
      <c r="F59" s="34"/>
      <c r="G59" s="57" t="s">
        <v>3852</v>
      </c>
      <c r="H59" s="48" t="s">
        <v>3853</v>
      </c>
      <c r="I59" s="26" t="s">
        <v>3856</v>
      </c>
      <c r="J59" s="26" t="s">
        <v>3854</v>
      </c>
      <c r="K59" s="26" t="s">
        <v>3856</v>
      </c>
      <c r="L59" s="26" t="s">
        <v>3854</v>
      </c>
      <c r="M59" s="26" t="s">
        <v>3854</v>
      </c>
      <c r="N59" s="26" t="s">
        <v>3854</v>
      </c>
      <c r="O59" s="26" t="s">
        <v>3856</v>
      </c>
      <c r="P59" s="26" t="s">
        <v>3854</v>
      </c>
      <c r="Q59" s="26" t="s">
        <v>3854</v>
      </c>
      <c r="R59" s="26"/>
      <c r="S59" s="34"/>
      <c r="T59" s="31" t="s">
        <v>3855</v>
      </c>
    </row>
    <row r="60">
      <c r="A60" s="34" t="s">
        <v>3890</v>
      </c>
      <c r="B60" s="34" t="s">
        <v>268</v>
      </c>
      <c r="C60" s="41">
        <v>45709.0</v>
      </c>
      <c r="D60" s="26"/>
      <c r="E60" s="41" t="s">
        <v>3851</v>
      </c>
      <c r="F60" s="34"/>
      <c r="G60" s="57" t="s">
        <v>3852</v>
      </c>
      <c r="H60" s="48" t="s">
        <v>3853</v>
      </c>
      <c r="I60" s="26" t="s">
        <v>3856</v>
      </c>
      <c r="J60" s="26" t="s">
        <v>3854</v>
      </c>
      <c r="K60" s="26" t="s">
        <v>3856</v>
      </c>
      <c r="L60" s="26" t="s">
        <v>3854</v>
      </c>
      <c r="M60" s="26" t="s">
        <v>3856</v>
      </c>
      <c r="N60" s="26" t="s">
        <v>3854</v>
      </c>
      <c r="O60" s="26" t="s">
        <v>3854</v>
      </c>
      <c r="P60" s="26" t="s">
        <v>3854</v>
      </c>
      <c r="Q60" s="26" t="s">
        <v>3854</v>
      </c>
      <c r="R60" s="26"/>
      <c r="S60" s="34"/>
      <c r="T60" s="31" t="s">
        <v>3855</v>
      </c>
    </row>
    <row r="61">
      <c r="A61" s="34" t="s">
        <v>3891</v>
      </c>
      <c r="B61" s="34" t="s">
        <v>176</v>
      </c>
      <c r="C61" s="41">
        <v>45714.0</v>
      </c>
      <c r="D61" s="26"/>
      <c r="E61" s="41" t="s">
        <v>3851</v>
      </c>
      <c r="F61" s="34"/>
      <c r="G61" s="57" t="s">
        <v>3852</v>
      </c>
      <c r="H61" s="48" t="s">
        <v>3853</v>
      </c>
      <c r="I61" s="26" t="s">
        <v>3856</v>
      </c>
      <c r="J61" s="26" t="s">
        <v>3854</v>
      </c>
      <c r="K61" s="26" t="s">
        <v>3856</v>
      </c>
      <c r="L61" s="26" t="s">
        <v>3854</v>
      </c>
      <c r="M61" s="26" t="s">
        <v>3854</v>
      </c>
      <c r="N61" s="26" t="s">
        <v>3854</v>
      </c>
      <c r="O61" s="26" t="s">
        <v>3854</v>
      </c>
      <c r="P61" s="26" t="s">
        <v>3854</v>
      </c>
      <c r="Q61" s="26" t="s">
        <v>3854</v>
      </c>
      <c r="R61" s="26"/>
      <c r="S61" s="34"/>
      <c r="T61" s="31" t="s">
        <v>3855</v>
      </c>
    </row>
    <row r="62">
      <c r="A62" s="34" t="s">
        <v>225</v>
      </c>
      <c r="B62" s="34" t="s">
        <v>226</v>
      </c>
      <c r="C62" s="41">
        <v>45715.0</v>
      </c>
      <c r="D62" s="26"/>
      <c r="E62" s="41" t="s">
        <v>3851</v>
      </c>
      <c r="F62" s="34"/>
      <c r="G62" s="57" t="s">
        <v>3852</v>
      </c>
      <c r="H62" s="48" t="s">
        <v>3853</v>
      </c>
      <c r="I62" s="26" t="s">
        <v>3856</v>
      </c>
      <c r="J62" s="26" t="s">
        <v>3856</v>
      </c>
      <c r="K62" s="26" t="s">
        <v>3856</v>
      </c>
      <c r="L62" s="26" t="s">
        <v>3854</v>
      </c>
      <c r="M62" s="26" t="s">
        <v>3854</v>
      </c>
      <c r="N62" s="26" t="s">
        <v>3854</v>
      </c>
      <c r="O62" s="26" t="s">
        <v>3856</v>
      </c>
      <c r="P62" s="26" t="s">
        <v>3854</v>
      </c>
      <c r="Q62" s="26" t="s">
        <v>3856</v>
      </c>
      <c r="R62" s="26"/>
      <c r="S62" s="34"/>
      <c r="T62" s="31" t="s">
        <v>3855</v>
      </c>
    </row>
    <row r="63">
      <c r="A63" s="34" t="s">
        <v>1006</v>
      </c>
      <c r="B63" s="34" t="s">
        <v>3892</v>
      </c>
      <c r="C63" s="41">
        <v>45716.0</v>
      </c>
      <c r="D63" s="26"/>
      <c r="E63" s="41" t="s">
        <v>3851</v>
      </c>
      <c r="F63" s="34"/>
      <c r="G63" s="57" t="s">
        <v>3852</v>
      </c>
      <c r="H63" s="48" t="s">
        <v>3853</v>
      </c>
      <c r="I63" s="26" t="s">
        <v>3856</v>
      </c>
      <c r="J63" s="26" t="s">
        <v>3856</v>
      </c>
      <c r="K63" s="26" t="s">
        <v>3854</v>
      </c>
      <c r="L63" s="26" t="s">
        <v>3854</v>
      </c>
      <c r="M63" s="26" t="s">
        <v>3854</v>
      </c>
      <c r="N63" s="26" t="s">
        <v>3854</v>
      </c>
      <c r="O63" s="26" t="s">
        <v>3854</v>
      </c>
      <c r="P63" s="26" t="s">
        <v>3854</v>
      </c>
      <c r="Q63" s="26" t="s">
        <v>3854</v>
      </c>
      <c r="R63" s="26"/>
      <c r="S63" s="34"/>
      <c r="T63" s="31" t="s">
        <v>3855</v>
      </c>
    </row>
    <row r="64">
      <c r="A64" s="34" t="s">
        <v>199</v>
      </c>
      <c r="B64" s="34" t="s">
        <v>3893</v>
      </c>
      <c r="C64" s="41">
        <v>45716.0</v>
      </c>
      <c r="D64" s="26"/>
      <c r="E64" s="41" t="s">
        <v>3851</v>
      </c>
      <c r="F64" s="34"/>
      <c r="G64" s="57" t="s">
        <v>3852</v>
      </c>
      <c r="H64" s="48" t="s">
        <v>3853</v>
      </c>
      <c r="I64" s="26" t="s">
        <v>3856</v>
      </c>
      <c r="J64" s="26" t="s">
        <v>3856</v>
      </c>
      <c r="K64" s="26" t="s">
        <v>3854</v>
      </c>
      <c r="L64" s="26" t="s">
        <v>3854</v>
      </c>
      <c r="M64" s="26" t="s">
        <v>3854</v>
      </c>
      <c r="N64" s="26" t="s">
        <v>3854</v>
      </c>
      <c r="O64" s="26" t="s">
        <v>3854</v>
      </c>
      <c r="P64" s="26" t="s">
        <v>3854</v>
      </c>
      <c r="Q64" s="26" t="s">
        <v>3854</v>
      </c>
      <c r="R64" s="26"/>
      <c r="S64" s="34"/>
      <c r="T64" s="31" t="s">
        <v>3855</v>
      </c>
    </row>
    <row r="65">
      <c r="A65" s="34" t="s">
        <v>407</v>
      </c>
      <c r="B65" s="34" t="s">
        <v>408</v>
      </c>
      <c r="C65" s="41">
        <v>45716.0</v>
      </c>
      <c r="D65" s="26"/>
      <c r="E65" s="41" t="s">
        <v>3851</v>
      </c>
      <c r="F65" s="34"/>
      <c r="G65" s="57" t="s">
        <v>3852</v>
      </c>
      <c r="H65" s="48" t="s">
        <v>3853</v>
      </c>
      <c r="I65" s="26" t="s">
        <v>3856</v>
      </c>
      <c r="J65" s="26" t="s">
        <v>3856</v>
      </c>
      <c r="K65" s="26" t="s">
        <v>3856</v>
      </c>
      <c r="L65" s="26" t="s">
        <v>3856</v>
      </c>
      <c r="M65" s="26" t="s">
        <v>3854</v>
      </c>
      <c r="N65" s="26" t="s">
        <v>3854</v>
      </c>
      <c r="O65" s="26" t="s">
        <v>3854</v>
      </c>
      <c r="P65" s="26" t="s">
        <v>3856</v>
      </c>
      <c r="Q65" s="26" t="s">
        <v>3854</v>
      </c>
      <c r="R65" s="26"/>
      <c r="S65" s="34"/>
      <c r="T65" s="31" t="s">
        <v>3855</v>
      </c>
    </row>
    <row r="66">
      <c r="A66" s="34" t="s">
        <v>546</v>
      </c>
      <c r="B66" s="34" t="s">
        <v>3894</v>
      </c>
      <c r="C66" s="41">
        <v>45716.0</v>
      </c>
      <c r="D66" s="26"/>
      <c r="E66" s="41" t="s">
        <v>3851</v>
      </c>
      <c r="F66" s="34"/>
      <c r="G66" s="57" t="s">
        <v>3852</v>
      </c>
      <c r="H66" s="48" t="s">
        <v>3853</v>
      </c>
      <c r="I66" s="26" t="s">
        <v>3856</v>
      </c>
      <c r="J66" s="26" t="s">
        <v>3854</v>
      </c>
      <c r="K66" s="26" t="s">
        <v>3856</v>
      </c>
      <c r="L66" s="26" t="s">
        <v>3854</v>
      </c>
      <c r="M66" s="26" t="s">
        <v>3854</v>
      </c>
      <c r="N66" s="26" t="s">
        <v>3854</v>
      </c>
      <c r="O66" s="26" t="s">
        <v>3854</v>
      </c>
      <c r="P66" s="26" t="s">
        <v>3854</v>
      </c>
      <c r="Q66" s="26" t="s">
        <v>3854</v>
      </c>
      <c r="R66" s="26"/>
      <c r="S66" s="34"/>
      <c r="T66" s="31" t="s">
        <v>3855</v>
      </c>
    </row>
    <row r="67">
      <c r="A67" s="34" t="s">
        <v>3895</v>
      </c>
      <c r="B67" s="34" t="s">
        <v>542</v>
      </c>
      <c r="C67" s="41">
        <v>45718.0</v>
      </c>
      <c r="D67" s="26"/>
      <c r="E67" s="41" t="s">
        <v>3851</v>
      </c>
      <c r="F67" s="34"/>
      <c r="G67" s="57" t="s">
        <v>3852</v>
      </c>
      <c r="H67" s="48" t="s">
        <v>3853</v>
      </c>
      <c r="I67" s="26" t="s">
        <v>3856</v>
      </c>
      <c r="J67" s="26" t="s">
        <v>3854</v>
      </c>
      <c r="K67" s="26" t="s">
        <v>3856</v>
      </c>
      <c r="L67" s="26" t="s">
        <v>3854</v>
      </c>
      <c r="M67" s="26" t="s">
        <v>3854</v>
      </c>
      <c r="N67" s="26" t="s">
        <v>3854</v>
      </c>
      <c r="O67" s="26" t="s">
        <v>3854</v>
      </c>
      <c r="P67" s="26" t="s">
        <v>3854</v>
      </c>
      <c r="Q67" s="26" t="s">
        <v>3854</v>
      </c>
      <c r="R67" s="26"/>
      <c r="S67" s="34"/>
      <c r="T67" s="31" t="s">
        <v>3855</v>
      </c>
    </row>
    <row r="68">
      <c r="A68" s="34" t="s">
        <v>3896</v>
      </c>
      <c r="B68" s="34" t="s">
        <v>626</v>
      </c>
      <c r="C68" s="41">
        <v>45719.0</v>
      </c>
      <c r="D68" s="26"/>
      <c r="E68" s="58" t="str">
        <f>VLOOKUP(B68,AT_Data!A:D,4,0)</f>
        <v>Hold</v>
      </c>
      <c r="F68" s="34" t="str">
        <f>VLOOKUP(B68,'On-Boarding'!C:D,2,0)</f>
        <v>Org</v>
      </c>
      <c r="G68" s="59" t="s">
        <v>3875</v>
      </c>
      <c r="H68" s="48" t="s">
        <v>3876</v>
      </c>
      <c r="I68" s="26" t="s">
        <v>3856</v>
      </c>
      <c r="J68" s="26" t="s">
        <v>3856</v>
      </c>
      <c r="K68" s="26" t="s">
        <v>3854</v>
      </c>
      <c r="L68" s="26" t="s">
        <v>3854</v>
      </c>
      <c r="M68" s="26" t="s">
        <v>3854</v>
      </c>
      <c r="N68" s="26" t="s">
        <v>3854</v>
      </c>
      <c r="O68" s="26" t="s">
        <v>3854</v>
      </c>
      <c r="P68" s="26" t="s">
        <v>3854</v>
      </c>
      <c r="Q68" s="26" t="s">
        <v>3854</v>
      </c>
      <c r="R68" s="26"/>
      <c r="S68" s="34"/>
      <c r="T68" s="31" t="s">
        <v>3855</v>
      </c>
    </row>
    <row r="69">
      <c r="A69" s="34" t="s">
        <v>117</v>
      </c>
      <c r="B69" s="34" t="s">
        <v>118</v>
      </c>
      <c r="C69" s="41">
        <v>45721.0</v>
      </c>
      <c r="D69" s="26"/>
      <c r="E69" s="41" t="s">
        <v>3851</v>
      </c>
      <c r="F69" s="34"/>
      <c r="G69" s="57" t="s">
        <v>3852</v>
      </c>
      <c r="H69" s="48" t="s">
        <v>3853</v>
      </c>
      <c r="I69" s="26" t="s">
        <v>3856</v>
      </c>
      <c r="J69" s="26" t="s">
        <v>3856</v>
      </c>
      <c r="K69" s="26" t="s">
        <v>3854</v>
      </c>
      <c r="L69" s="26" t="s">
        <v>3856</v>
      </c>
      <c r="M69" s="26" t="s">
        <v>3854</v>
      </c>
      <c r="N69" s="26" t="s">
        <v>3854</v>
      </c>
      <c r="O69" s="26" t="s">
        <v>3854</v>
      </c>
      <c r="P69" s="26" t="s">
        <v>3854</v>
      </c>
      <c r="Q69" s="26" t="s">
        <v>3854</v>
      </c>
      <c r="R69" s="26"/>
      <c r="S69" s="34"/>
      <c r="T69" s="31" t="s">
        <v>3855</v>
      </c>
    </row>
    <row r="70">
      <c r="A70" s="34" t="s">
        <v>707</v>
      </c>
      <c r="B70" s="34" t="s">
        <v>708</v>
      </c>
      <c r="C70" s="41">
        <v>45723.0</v>
      </c>
      <c r="D70" s="26"/>
      <c r="E70" s="41" t="s">
        <v>3851</v>
      </c>
      <c r="F70" s="34"/>
      <c r="G70" s="57" t="s">
        <v>3852</v>
      </c>
      <c r="H70" s="48" t="s">
        <v>3853</v>
      </c>
      <c r="I70" s="26" t="s">
        <v>3856</v>
      </c>
      <c r="J70" s="26" t="s">
        <v>3854</v>
      </c>
      <c r="K70" s="26" t="s">
        <v>3854</v>
      </c>
      <c r="L70" s="26" t="s">
        <v>3854</v>
      </c>
      <c r="M70" s="26" t="s">
        <v>3854</v>
      </c>
      <c r="N70" s="26" t="s">
        <v>3854</v>
      </c>
      <c r="O70" s="26" t="s">
        <v>3856</v>
      </c>
      <c r="P70" s="26" t="s">
        <v>3856</v>
      </c>
      <c r="Q70" s="26" t="s">
        <v>3854</v>
      </c>
      <c r="R70" s="26"/>
      <c r="S70" s="34"/>
      <c r="T70" s="31" t="s">
        <v>3855</v>
      </c>
    </row>
    <row r="71">
      <c r="A71" s="34" t="s">
        <v>345</v>
      </c>
      <c r="B71" s="34" t="s">
        <v>346</v>
      </c>
      <c r="C71" s="41">
        <v>45727.0</v>
      </c>
      <c r="D71" s="26"/>
      <c r="E71" s="41" t="s">
        <v>3851</v>
      </c>
      <c r="F71" s="34"/>
      <c r="G71" s="57" t="s">
        <v>3852</v>
      </c>
      <c r="H71" s="48" t="s">
        <v>3853</v>
      </c>
      <c r="I71" s="26" t="s">
        <v>3856</v>
      </c>
      <c r="J71" s="26" t="s">
        <v>3856</v>
      </c>
      <c r="K71" s="26" t="s">
        <v>3854</v>
      </c>
      <c r="L71" s="26" t="s">
        <v>3854</v>
      </c>
      <c r="M71" s="26" t="s">
        <v>3854</v>
      </c>
      <c r="N71" s="26" t="s">
        <v>3854</v>
      </c>
      <c r="O71" s="26" t="s">
        <v>3854</v>
      </c>
      <c r="P71" s="26" t="s">
        <v>3854</v>
      </c>
      <c r="Q71" s="26" t="s">
        <v>3854</v>
      </c>
      <c r="R71" s="26"/>
      <c r="S71" s="34"/>
      <c r="T71" s="31" t="s">
        <v>3855</v>
      </c>
    </row>
    <row r="72">
      <c r="A72" s="34" t="s">
        <v>3897</v>
      </c>
      <c r="B72" s="34" t="s">
        <v>194</v>
      </c>
      <c r="C72" s="41">
        <v>45733.0</v>
      </c>
      <c r="D72" s="26"/>
      <c r="E72" s="41" t="s">
        <v>3851</v>
      </c>
      <c r="F72" s="34"/>
      <c r="G72" s="57" t="s">
        <v>3852</v>
      </c>
      <c r="H72" s="48" t="s">
        <v>3853</v>
      </c>
      <c r="I72" s="26" t="s">
        <v>3856</v>
      </c>
      <c r="J72" s="26" t="s">
        <v>3854</v>
      </c>
      <c r="K72" s="26" t="s">
        <v>3854</v>
      </c>
      <c r="L72" s="26" t="s">
        <v>3854</v>
      </c>
      <c r="M72" s="26" t="s">
        <v>3854</v>
      </c>
      <c r="N72" s="26" t="s">
        <v>3854</v>
      </c>
      <c r="O72" s="26" t="s">
        <v>3854</v>
      </c>
      <c r="P72" s="26" t="s">
        <v>3854</v>
      </c>
      <c r="Q72" s="26" t="s">
        <v>3854</v>
      </c>
      <c r="R72" s="26"/>
      <c r="S72" s="34"/>
      <c r="T72" s="31" t="s">
        <v>3855</v>
      </c>
    </row>
    <row r="73">
      <c r="A73" s="34" t="s">
        <v>3898</v>
      </c>
      <c r="B73" s="34" t="s">
        <v>390</v>
      </c>
      <c r="C73" s="41">
        <v>45736.0</v>
      </c>
      <c r="D73" s="26"/>
      <c r="E73" s="41" t="s">
        <v>3851</v>
      </c>
      <c r="F73" s="34"/>
      <c r="G73" s="57" t="s">
        <v>3852</v>
      </c>
      <c r="H73" s="48" t="s">
        <v>3853</v>
      </c>
      <c r="I73" s="26" t="s">
        <v>3856</v>
      </c>
      <c r="J73" s="26" t="s">
        <v>3856</v>
      </c>
      <c r="K73" s="26" t="s">
        <v>3856</v>
      </c>
      <c r="L73" s="26" t="s">
        <v>3854</v>
      </c>
      <c r="M73" s="26" t="s">
        <v>3854</v>
      </c>
      <c r="N73" s="26" t="s">
        <v>3854</v>
      </c>
      <c r="O73" s="26" t="s">
        <v>3854</v>
      </c>
      <c r="P73" s="26" t="s">
        <v>3854</v>
      </c>
      <c r="Q73" s="26" t="s">
        <v>3854</v>
      </c>
      <c r="R73" s="26"/>
      <c r="S73" s="34"/>
      <c r="T73" s="31" t="s">
        <v>3855</v>
      </c>
    </row>
    <row r="74">
      <c r="A74" s="34" t="s">
        <v>891</v>
      </c>
      <c r="B74" s="34" t="s">
        <v>892</v>
      </c>
      <c r="C74" s="41">
        <v>45736.0</v>
      </c>
      <c r="D74" s="26"/>
      <c r="E74" s="41" t="s">
        <v>3851</v>
      </c>
      <c r="F74" s="34"/>
      <c r="G74" s="57" t="s">
        <v>3852</v>
      </c>
      <c r="H74" s="48" t="s">
        <v>3853</v>
      </c>
      <c r="I74" s="26" t="s">
        <v>3856</v>
      </c>
      <c r="J74" s="26" t="s">
        <v>3854</v>
      </c>
      <c r="K74" s="26" t="s">
        <v>3856</v>
      </c>
      <c r="L74" s="26" t="s">
        <v>3854</v>
      </c>
      <c r="M74" s="26" t="s">
        <v>3854</v>
      </c>
      <c r="N74" s="26" t="s">
        <v>3854</v>
      </c>
      <c r="O74" s="26" t="s">
        <v>3856</v>
      </c>
      <c r="P74" s="26" t="s">
        <v>3854</v>
      </c>
      <c r="Q74" s="26" t="s">
        <v>3854</v>
      </c>
      <c r="R74" s="26"/>
      <c r="S74" s="34"/>
      <c r="T74" s="31" t="s">
        <v>3855</v>
      </c>
    </row>
    <row r="75">
      <c r="A75" s="34" t="s">
        <v>978</v>
      </c>
      <c r="B75" s="34" t="s">
        <v>979</v>
      </c>
      <c r="C75" s="41">
        <v>45737.0</v>
      </c>
      <c r="D75" s="26"/>
      <c r="E75" s="41" t="s">
        <v>3851</v>
      </c>
      <c r="F75" s="34"/>
      <c r="G75" s="57" t="s">
        <v>3852</v>
      </c>
      <c r="H75" s="48" t="s">
        <v>3853</v>
      </c>
      <c r="I75" s="26" t="s">
        <v>3856</v>
      </c>
      <c r="J75" s="26" t="s">
        <v>3856</v>
      </c>
      <c r="K75" s="26" t="s">
        <v>3856</v>
      </c>
      <c r="L75" s="26" t="s">
        <v>3856</v>
      </c>
      <c r="M75" s="26" t="s">
        <v>3854</v>
      </c>
      <c r="N75" s="26" t="s">
        <v>3854</v>
      </c>
      <c r="O75" s="26" t="s">
        <v>3856</v>
      </c>
      <c r="P75" s="26" t="s">
        <v>3856</v>
      </c>
      <c r="Q75" s="26" t="s">
        <v>3856</v>
      </c>
      <c r="R75" s="26"/>
      <c r="S75" s="34"/>
      <c r="T75" s="31" t="s">
        <v>3855</v>
      </c>
    </row>
    <row r="76">
      <c r="A76" s="34" t="s">
        <v>3899</v>
      </c>
      <c r="B76" s="34" t="s">
        <v>650</v>
      </c>
      <c r="C76" s="41">
        <v>45741.0</v>
      </c>
      <c r="D76" s="26"/>
      <c r="E76" s="41" t="s">
        <v>3851</v>
      </c>
      <c r="F76" s="34"/>
      <c r="G76" s="57" t="s">
        <v>3852</v>
      </c>
      <c r="H76" s="48" t="s">
        <v>3853</v>
      </c>
      <c r="I76" s="26" t="s">
        <v>3856</v>
      </c>
      <c r="J76" s="26" t="s">
        <v>3854</v>
      </c>
      <c r="K76" s="26" t="s">
        <v>3856</v>
      </c>
      <c r="L76" s="26" t="s">
        <v>3854</v>
      </c>
      <c r="M76" s="26" t="s">
        <v>3854</v>
      </c>
      <c r="N76" s="26" t="s">
        <v>3854</v>
      </c>
      <c r="O76" s="26" t="s">
        <v>3854</v>
      </c>
      <c r="P76" s="26" t="s">
        <v>3854</v>
      </c>
      <c r="Q76" s="26" t="s">
        <v>3854</v>
      </c>
      <c r="R76" s="26"/>
      <c r="S76" s="34"/>
      <c r="T76" s="31" t="s">
        <v>3855</v>
      </c>
    </row>
    <row r="77">
      <c r="A77" s="34" t="s">
        <v>231</v>
      </c>
      <c r="B77" s="34" t="s">
        <v>232</v>
      </c>
      <c r="C77" s="41">
        <v>45744.0</v>
      </c>
      <c r="D77" s="26"/>
      <c r="E77" s="41" t="s">
        <v>3851</v>
      </c>
      <c r="F77" s="34"/>
      <c r="G77" s="57" t="s">
        <v>3852</v>
      </c>
      <c r="H77" s="48" t="s">
        <v>3853</v>
      </c>
      <c r="I77" s="26" t="s">
        <v>3856</v>
      </c>
      <c r="J77" s="26" t="s">
        <v>3854</v>
      </c>
      <c r="K77" s="26" t="s">
        <v>3856</v>
      </c>
      <c r="L77" s="26" t="s">
        <v>3854</v>
      </c>
      <c r="M77" s="26" t="s">
        <v>3854</v>
      </c>
      <c r="N77" s="26" t="s">
        <v>3854</v>
      </c>
      <c r="O77" s="26" t="s">
        <v>3854</v>
      </c>
      <c r="P77" s="26" t="s">
        <v>3854</v>
      </c>
      <c r="Q77" s="26" t="s">
        <v>3854</v>
      </c>
      <c r="R77" s="26"/>
      <c r="S77" s="34"/>
      <c r="T77" s="31" t="s">
        <v>3855</v>
      </c>
    </row>
    <row r="78">
      <c r="A78" s="34" t="s">
        <v>3900</v>
      </c>
      <c r="B78" s="34" t="s">
        <v>616</v>
      </c>
      <c r="C78" s="41">
        <v>45748.0</v>
      </c>
      <c r="D78" s="26"/>
      <c r="E78" s="41" t="s">
        <v>3851</v>
      </c>
      <c r="F78" s="34"/>
      <c r="G78" s="57" t="s">
        <v>3852</v>
      </c>
      <c r="H78" s="48" t="s">
        <v>3853</v>
      </c>
      <c r="I78" s="26" t="s">
        <v>3856</v>
      </c>
      <c r="J78" s="26" t="s">
        <v>3854</v>
      </c>
      <c r="K78" s="26" t="s">
        <v>3856</v>
      </c>
      <c r="L78" s="26" t="s">
        <v>3854</v>
      </c>
      <c r="M78" s="26" t="s">
        <v>3854</v>
      </c>
      <c r="N78" s="26" t="s">
        <v>3854</v>
      </c>
      <c r="O78" s="26" t="s">
        <v>3854</v>
      </c>
      <c r="P78" s="26" t="s">
        <v>3854</v>
      </c>
      <c r="Q78" s="26" t="s">
        <v>3854</v>
      </c>
      <c r="R78" s="26"/>
      <c r="S78" s="34"/>
      <c r="T78" s="31" t="s">
        <v>3855</v>
      </c>
    </row>
    <row r="79">
      <c r="A79" s="34" t="s">
        <v>3901</v>
      </c>
      <c r="B79" s="34" t="s">
        <v>648</v>
      </c>
      <c r="C79" s="41">
        <v>45754.0</v>
      </c>
      <c r="D79" s="26"/>
      <c r="E79" s="41" t="s">
        <v>3851</v>
      </c>
      <c r="F79" s="34"/>
      <c r="G79" s="57" t="s">
        <v>3852</v>
      </c>
      <c r="H79" s="48" t="s">
        <v>3853</v>
      </c>
      <c r="I79" s="26" t="s">
        <v>3856</v>
      </c>
      <c r="J79" s="26" t="s">
        <v>3856</v>
      </c>
      <c r="K79" s="26" t="s">
        <v>3856</v>
      </c>
      <c r="L79" s="26" t="s">
        <v>3854</v>
      </c>
      <c r="M79" s="26" t="s">
        <v>3854</v>
      </c>
      <c r="N79" s="26" t="s">
        <v>3854</v>
      </c>
      <c r="O79" s="26" t="s">
        <v>3854</v>
      </c>
      <c r="P79" s="26" t="s">
        <v>3854</v>
      </c>
      <c r="Q79" s="26" t="s">
        <v>3854</v>
      </c>
      <c r="R79" s="26"/>
      <c r="S79" s="34"/>
      <c r="T79" s="31" t="s">
        <v>3855</v>
      </c>
    </row>
    <row r="80">
      <c r="A80" s="34" t="s">
        <v>305</v>
      </c>
      <c r="B80" s="34" t="s">
        <v>306</v>
      </c>
      <c r="C80" s="41">
        <v>45758.0</v>
      </c>
      <c r="D80" s="26"/>
      <c r="E80" s="41" t="s">
        <v>3851</v>
      </c>
      <c r="F80" s="34"/>
      <c r="G80" s="57" t="s">
        <v>3852</v>
      </c>
      <c r="H80" s="48" t="s">
        <v>3853</v>
      </c>
      <c r="I80" s="26" t="s">
        <v>3856</v>
      </c>
      <c r="J80" s="26" t="s">
        <v>3854</v>
      </c>
      <c r="K80" s="26" t="s">
        <v>3854</v>
      </c>
      <c r="L80" s="26" t="s">
        <v>3854</v>
      </c>
      <c r="M80" s="26" t="s">
        <v>3856</v>
      </c>
      <c r="N80" s="26" t="s">
        <v>3854</v>
      </c>
      <c r="O80" s="26" t="s">
        <v>3854</v>
      </c>
      <c r="P80" s="26" t="s">
        <v>3854</v>
      </c>
      <c r="Q80" s="26" t="s">
        <v>3854</v>
      </c>
      <c r="R80" s="26"/>
      <c r="S80" s="34"/>
      <c r="T80" s="31" t="s">
        <v>3855</v>
      </c>
    </row>
    <row r="81">
      <c r="A81" s="34" t="s">
        <v>589</v>
      </c>
      <c r="B81" s="34" t="s">
        <v>3902</v>
      </c>
      <c r="C81" s="41">
        <v>45762.0</v>
      </c>
      <c r="D81" s="26"/>
      <c r="E81" s="41" t="s">
        <v>3851</v>
      </c>
      <c r="F81" s="34"/>
      <c r="G81" s="57" t="s">
        <v>3852</v>
      </c>
      <c r="H81" s="48" t="s">
        <v>3853</v>
      </c>
      <c r="I81" s="26" t="s">
        <v>3856</v>
      </c>
      <c r="J81" s="26" t="s">
        <v>3854</v>
      </c>
      <c r="K81" s="26" t="s">
        <v>3856</v>
      </c>
      <c r="L81" s="26" t="s">
        <v>3854</v>
      </c>
      <c r="M81" s="26" t="s">
        <v>3854</v>
      </c>
      <c r="N81" s="26" t="s">
        <v>3854</v>
      </c>
      <c r="O81" s="26" t="s">
        <v>3854</v>
      </c>
      <c r="P81" s="26" t="s">
        <v>3854</v>
      </c>
      <c r="Q81" s="26" t="s">
        <v>3854</v>
      </c>
      <c r="R81" s="26"/>
      <c r="S81" s="34"/>
      <c r="T81" s="31" t="s">
        <v>3855</v>
      </c>
    </row>
    <row r="82">
      <c r="A82" s="34" t="s">
        <v>3903</v>
      </c>
      <c r="B82" s="34" t="s">
        <v>570</v>
      </c>
      <c r="C82" s="41">
        <v>45764.0</v>
      </c>
      <c r="D82" s="26"/>
      <c r="E82" s="41" t="s">
        <v>3851</v>
      </c>
      <c r="F82" s="34"/>
      <c r="G82" s="57" t="s">
        <v>3852</v>
      </c>
      <c r="H82" s="48" t="s">
        <v>3853</v>
      </c>
      <c r="I82" s="26" t="s">
        <v>3856</v>
      </c>
      <c r="J82" s="26" t="s">
        <v>3856</v>
      </c>
      <c r="K82" s="26" t="s">
        <v>3854</v>
      </c>
      <c r="L82" s="26" t="s">
        <v>3854</v>
      </c>
      <c r="M82" s="26" t="s">
        <v>3854</v>
      </c>
      <c r="N82" s="26" t="s">
        <v>3854</v>
      </c>
      <c r="O82" s="26" t="s">
        <v>3854</v>
      </c>
      <c r="P82" s="26" t="s">
        <v>3854</v>
      </c>
      <c r="Q82" s="26" t="s">
        <v>3854</v>
      </c>
      <c r="R82" s="26"/>
      <c r="S82" s="34"/>
      <c r="T82" s="31" t="s">
        <v>3855</v>
      </c>
    </row>
    <row r="83">
      <c r="A83" s="34" t="s">
        <v>3904</v>
      </c>
      <c r="B83" s="34" t="s">
        <v>222</v>
      </c>
      <c r="C83" s="41">
        <v>45764.0</v>
      </c>
      <c r="D83" s="26"/>
      <c r="E83" s="41" t="s">
        <v>3851</v>
      </c>
      <c r="F83" s="34"/>
      <c r="G83" s="57" t="s">
        <v>3852</v>
      </c>
      <c r="H83" s="48" t="s">
        <v>3853</v>
      </c>
      <c r="I83" s="26" t="s">
        <v>3856</v>
      </c>
      <c r="J83" s="26" t="s">
        <v>3854</v>
      </c>
      <c r="K83" s="26" t="s">
        <v>3854</v>
      </c>
      <c r="L83" s="26" t="s">
        <v>3854</v>
      </c>
      <c r="M83" s="26" t="s">
        <v>3854</v>
      </c>
      <c r="N83" s="26" t="s">
        <v>3854</v>
      </c>
      <c r="O83" s="26" t="s">
        <v>3854</v>
      </c>
      <c r="P83" s="26" t="s">
        <v>3854</v>
      </c>
      <c r="Q83" s="26" t="s">
        <v>3854</v>
      </c>
      <c r="R83" s="26"/>
      <c r="S83" s="34"/>
      <c r="T83" s="31" t="s">
        <v>3855</v>
      </c>
    </row>
    <row r="84">
      <c r="A84" s="34" t="s">
        <v>587</v>
      </c>
      <c r="B84" s="34" t="s">
        <v>588</v>
      </c>
      <c r="C84" s="41">
        <v>45771.0</v>
      </c>
      <c r="D84" s="26"/>
      <c r="E84" s="41" t="s">
        <v>3851</v>
      </c>
      <c r="F84" s="34"/>
      <c r="G84" s="57" t="s">
        <v>3852</v>
      </c>
      <c r="H84" s="48" t="s">
        <v>3853</v>
      </c>
      <c r="I84" s="26" t="s">
        <v>3856</v>
      </c>
      <c r="J84" s="26" t="s">
        <v>3856</v>
      </c>
      <c r="K84" s="26" t="s">
        <v>3854</v>
      </c>
      <c r="L84" s="26" t="s">
        <v>3854</v>
      </c>
      <c r="M84" s="26" t="s">
        <v>3854</v>
      </c>
      <c r="N84" s="26" t="s">
        <v>3854</v>
      </c>
      <c r="O84" s="26" t="s">
        <v>3856</v>
      </c>
      <c r="P84" s="26" t="s">
        <v>3854</v>
      </c>
      <c r="Q84" s="26" t="s">
        <v>3854</v>
      </c>
      <c r="R84" s="26"/>
      <c r="S84" s="34"/>
      <c r="T84" s="31" t="s">
        <v>3855</v>
      </c>
    </row>
    <row r="85">
      <c r="A85" s="34" t="s">
        <v>3905</v>
      </c>
      <c r="B85" s="34" t="s">
        <v>957</v>
      </c>
      <c r="C85" s="41">
        <v>45771.0</v>
      </c>
      <c r="D85" s="26"/>
      <c r="E85" s="41" t="s">
        <v>3851</v>
      </c>
      <c r="F85" s="34"/>
      <c r="G85" s="57" t="s">
        <v>3852</v>
      </c>
      <c r="H85" s="48" t="s">
        <v>3853</v>
      </c>
      <c r="I85" s="26" t="s">
        <v>3856</v>
      </c>
      <c r="J85" s="26" t="s">
        <v>3854</v>
      </c>
      <c r="K85" s="26" t="s">
        <v>3856</v>
      </c>
      <c r="L85" s="26" t="s">
        <v>3856</v>
      </c>
      <c r="M85" s="26" t="s">
        <v>3854</v>
      </c>
      <c r="N85" s="26" t="s">
        <v>3854</v>
      </c>
      <c r="O85" s="26" t="s">
        <v>3856</v>
      </c>
      <c r="P85" s="26" t="s">
        <v>3854</v>
      </c>
      <c r="Q85" s="26" t="s">
        <v>3856</v>
      </c>
      <c r="R85" s="26"/>
      <c r="S85" s="34"/>
      <c r="T85" s="31" t="s">
        <v>3855</v>
      </c>
    </row>
    <row r="86">
      <c r="A86" s="34" t="s">
        <v>153</v>
      </c>
      <c r="B86" s="34" t="s">
        <v>154</v>
      </c>
      <c r="C86" s="41">
        <v>45771.0</v>
      </c>
      <c r="D86" s="26"/>
      <c r="E86" s="41" t="s">
        <v>3851</v>
      </c>
      <c r="F86" s="34"/>
      <c r="G86" s="57" t="s">
        <v>3852</v>
      </c>
      <c r="H86" s="48" t="s">
        <v>3853</v>
      </c>
      <c r="I86" s="26" t="s">
        <v>3856</v>
      </c>
      <c r="J86" s="26" t="s">
        <v>3854</v>
      </c>
      <c r="K86" s="26" t="s">
        <v>3856</v>
      </c>
      <c r="L86" s="26" t="s">
        <v>3854</v>
      </c>
      <c r="M86" s="26" t="s">
        <v>3854</v>
      </c>
      <c r="N86" s="26" t="s">
        <v>3854</v>
      </c>
      <c r="O86" s="26" t="s">
        <v>3854</v>
      </c>
      <c r="P86" s="26" t="s">
        <v>3854</v>
      </c>
      <c r="Q86" s="26" t="s">
        <v>3854</v>
      </c>
      <c r="R86" s="26"/>
      <c r="S86" s="34"/>
      <c r="T86" s="31" t="s">
        <v>3855</v>
      </c>
    </row>
    <row r="87">
      <c r="A87" s="34" t="s">
        <v>3906</v>
      </c>
      <c r="B87" s="34" t="s">
        <v>3907</v>
      </c>
      <c r="C87" s="41">
        <v>45775.0</v>
      </c>
      <c r="D87" s="26"/>
      <c r="E87" s="41" t="s">
        <v>3851</v>
      </c>
      <c r="F87" s="34"/>
      <c r="G87" s="57" t="s">
        <v>3852</v>
      </c>
      <c r="H87" s="48" t="s">
        <v>3853</v>
      </c>
      <c r="I87" s="26" t="s">
        <v>3854</v>
      </c>
      <c r="J87" s="26" t="s">
        <v>3854</v>
      </c>
      <c r="K87" s="26" t="s">
        <v>3854</v>
      </c>
      <c r="L87" s="26" t="s">
        <v>3854</v>
      </c>
      <c r="M87" s="26" t="s">
        <v>3854</v>
      </c>
      <c r="N87" s="26" t="s">
        <v>3854</v>
      </c>
      <c r="O87" s="26" t="s">
        <v>3854</v>
      </c>
      <c r="P87" s="26" t="s">
        <v>3854</v>
      </c>
      <c r="Q87" s="26" t="s">
        <v>3854</v>
      </c>
      <c r="R87" s="26"/>
      <c r="S87" s="34"/>
      <c r="T87" s="31" t="s">
        <v>3855</v>
      </c>
    </row>
    <row r="88">
      <c r="A88" s="34" t="s">
        <v>3908</v>
      </c>
      <c r="B88" s="34" t="s">
        <v>378</v>
      </c>
      <c r="C88" s="41">
        <v>45775.0</v>
      </c>
      <c r="D88" s="26"/>
      <c r="E88" s="41" t="s">
        <v>3851</v>
      </c>
      <c r="F88" s="34"/>
      <c r="G88" s="57" t="s">
        <v>3852</v>
      </c>
      <c r="H88" s="48" t="s">
        <v>3853</v>
      </c>
      <c r="I88" s="26" t="s">
        <v>3856</v>
      </c>
      <c r="J88" s="26" t="s">
        <v>3854</v>
      </c>
      <c r="K88" s="26" t="s">
        <v>3856</v>
      </c>
      <c r="L88" s="26" t="s">
        <v>3856</v>
      </c>
      <c r="M88" s="26" t="s">
        <v>3854</v>
      </c>
      <c r="N88" s="26" t="s">
        <v>3854</v>
      </c>
      <c r="O88" s="26" t="s">
        <v>3856</v>
      </c>
      <c r="P88" s="26" t="s">
        <v>3856</v>
      </c>
      <c r="Q88" s="26" t="s">
        <v>3856</v>
      </c>
      <c r="R88" s="26"/>
      <c r="S88" s="34"/>
      <c r="T88" s="31" t="s">
        <v>3855</v>
      </c>
    </row>
    <row r="89">
      <c r="A89" s="34" t="s">
        <v>261</v>
      </c>
      <c r="B89" s="34" t="s">
        <v>262</v>
      </c>
      <c r="C89" s="41">
        <v>45777.0</v>
      </c>
      <c r="D89" s="26"/>
      <c r="E89" s="41" t="s">
        <v>3851</v>
      </c>
      <c r="F89" s="34"/>
      <c r="G89" s="57" t="s">
        <v>3852</v>
      </c>
      <c r="H89" s="48" t="s">
        <v>3853</v>
      </c>
      <c r="I89" s="26" t="s">
        <v>3856</v>
      </c>
      <c r="J89" s="26" t="s">
        <v>3854</v>
      </c>
      <c r="K89" s="26" t="s">
        <v>3856</v>
      </c>
      <c r="L89" s="26" t="s">
        <v>3856</v>
      </c>
      <c r="M89" s="26" t="s">
        <v>3854</v>
      </c>
      <c r="N89" s="26" t="s">
        <v>3854</v>
      </c>
      <c r="O89" s="26" t="s">
        <v>3856</v>
      </c>
      <c r="P89" s="26" t="s">
        <v>3856</v>
      </c>
      <c r="Q89" s="26" t="s">
        <v>3856</v>
      </c>
      <c r="R89" s="26"/>
      <c r="S89" s="34"/>
      <c r="T89" s="31" t="s">
        <v>3855</v>
      </c>
    </row>
    <row r="90">
      <c r="A90" s="34" t="s">
        <v>791</v>
      </c>
      <c r="B90" s="34" t="s">
        <v>792</v>
      </c>
      <c r="C90" s="41">
        <v>45777.0</v>
      </c>
      <c r="D90" s="26"/>
      <c r="E90" s="41" t="s">
        <v>3851</v>
      </c>
      <c r="F90" s="34"/>
      <c r="G90" s="57" t="s">
        <v>3852</v>
      </c>
      <c r="H90" s="48" t="s">
        <v>3853</v>
      </c>
      <c r="I90" s="26" t="s">
        <v>3856</v>
      </c>
      <c r="J90" s="26" t="s">
        <v>3854</v>
      </c>
      <c r="K90" s="26" t="s">
        <v>3856</v>
      </c>
      <c r="L90" s="26" t="s">
        <v>3854</v>
      </c>
      <c r="M90" s="26" t="s">
        <v>3854</v>
      </c>
      <c r="N90" s="26" t="s">
        <v>3854</v>
      </c>
      <c r="O90" s="26" t="s">
        <v>3854</v>
      </c>
      <c r="P90" s="26" t="s">
        <v>3854</v>
      </c>
      <c r="Q90" s="26" t="s">
        <v>3854</v>
      </c>
      <c r="R90" s="26"/>
      <c r="S90" s="34"/>
      <c r="T90" s="31" t="s">
        <v>3855</v>
      </c>
    </row>
    <row r="91">
      <c r="A91" s="34" t="s">
        <v>3909</v>
      </c>
      <c r="B91" s="34" t="s">
        <v>836</v>
      </c>
      <c r="C91" s="41">
        <v>45778.0</v>
      </c>
      <c r="D91" s="26"/>
      <c r="E91" s="41" t="s">
        <v>3851</v>
      </c>
      <c r="F91" s="34"/>
      <c r="G91" s="57" t="s">
        <v>3852</v>
      </c>
      <c r="H91" s="48" t="s">
        <v>3853</v>
      </c>
      <c r="I91" s="26" t="s">
        <v>3856</v>
      </c>
      <c r="J91" s="26" t="s">
        <v>3856</v>
      </c>
      <c r="K91" s="26" t="s">
        <v>3856</v>
      </c>
      <c r="L91" s="26" t="s">
        <v>3854</v>
      </c>
      <c r="M91" s="26" t="s">
        <v>3854</v>
      </c>
      <c r="N91" s="26" t="s">
        <v>3854</v>
      </c>
      <c r="O91" s="26" t="s">
        <v>3854</v>
      </c>
      <c r="P91" s="26" t="s">
        <v>3856</v>
      </c>
      <c r="Q91" s="26" t="s">
        <v>3854</v>
      </c>
      <c r="R91" s="26"/>
      <c r="S91" s="34"/>
      <c r="T91" s="31" t="s">
        <v>3855</v>
      </c>
    </row>
    <row r="92">
      <c r="A92" s="34" t="s">
        <v>783</v>
      </c>
      <c r="B92" s="34" t="s">
        <v>784</v>
      </c>
      <c r="C92" s="41">
        <v>45779.0</v>
      </c>
      <c r="D92" s="26"/>
      <c r="E92" s="41" t="s">
        <v>3851</v>
      </c>
      <c r="F92" s="34"/>
      <c r="G92" s="57" t="s">
        <v>3852</v>
      </c>
      <c r="H92" s="48" t="s">
        <v>3853</v>
      </c>
      <c r="I92" s="26" t="s">
        <v>3856</v>
      </c>
      <c r="J92" s="26" t="s">
        <v>3856</v>
      </c>
      <c r="K92" s="26" t="s">
        <v>3854</v>
      </c>
      <c r="L92" s="26" t="s">
        <v>3854</v>
      </c>
      <c r="M92" s="26" t="s">
        <v>3854</v>
      </c>
      <c r="N92" s="26" t="s">
        <v>3854</v>
      </c>
      <c r="O92" s="26" t="s">
        <v>3854</v>
      </c>
      <c r="P92" s="26" t="s">
        <v>3854</v>
      </c>
      <c r="Q92" s="26" t="s">
        <v>3854</v>
      </c>
      <c r="R92" s="26"/>
      <c r="S92" s="34"/>
      <c r="T92" s="31" t="s">
        <v>3855</v>
      </c>
    </row>
    <row r="93">
      <c r="A93" s="34" t="s">
        <v>944</v>
      </c>
      <c r="B93" s="34" t="s">
        <v>945</v>
      </c>
      <c r="C93" s="41">
        <v>45779.0</v>
      </c>
      <c r="D93" s="26"/>
      <c r="E93" s="41" t="s">
        <v>3851</v>
      </c>
      <c r="F93" s="34"/>
      <c r="G93" s="57" t="s">
        <v>3852</v>
      </c>
      <c r="H93" s="48" t="s">
        <v>3853</v>
      </c>
      <c r="I93" s="26" t="s">
        <v>3856</v>
      </c>
      <c r="J93" s="26" t="s">
        <v>3854</v>
      </c>
      <c r="K93" s="26" t="s">
        <v>3854</v>
      </c>
      <c r="L93" s="26" t="s">
        <v>3854</v>
      </c>
      <c r="M93" s="26" t="s">
        <v>3854</v>
      </c>
      <c r="N93" s="26" t="s">
        <v>3854</v>
      </c>
      <c r="O93" s="26" t="s">
        <v>3854</v>
      </c>
      <c r="P93" s="26" t="s">
        <v>3854</v>
      </c>
      <c r="Q93" s="26" t="s">
        <v>3854</v>
      </c>
      <c r="R93" s="26"/>
      <c r="S93" s="34"/>
      <c r="T93" s="31" t="s">
        <v>3855</v>
      </c>
    </row>
    <row r="94">
      <c r="A94" s="34" t="s">
        <v>924</v>
      </c>
      <c r="B94" s="34" t="s">
        <v>925</v>
      </c>
      <c r="C94" s="41">
        <v>45779.0</v>
      </c>
      <c r="D94" s="26"/>
      <c r="E94" s="41" t="s">
        <v>3851</v>
      </c>
      <c r="F94" s="34"/>
      <c r="G94" s="57" t="s">
        <v>3852</v>
      </c>
      <c r="H94" s="48" t="s">
        <v>3853</v>
      </c>
      <c r="I94" s="26" t="s">
        <v>3856</v>
      </c>
      <c r="J94" s="26" t="s">
        <v>3854</v>
      </c>
      <c r="K94" s="26" t="s">
        <v>3854</v>
      </c>
      <c r="L94" s="26" t="s">
        <v>3854</v>
      </c>
      <c r="M94" s="26" t="s">
        <v>3854</v>
      </c>
      <c r="N94" s="26" t="s">
        <v>3854</v>
      </c>
      <c r="O94" s="26" t="s">
        <v>3854</v>
      </c>
      <c r="P94" s="26" t="s">
        <v>3854</v>
      </c>
      <c r="Q94" s="26" t="s">
        <v>3854</v>
      </c>
      <c r="R94" s="26"/>
      <c r="S94" s="34"/>
      <c r="T94" s="31" t="s">
        <v>3855</v>
      </c>
    </row>
    <row r="95">
      <c r="A95" s="34" t="s">
        <v>289</v>
      </c>
      <c r="B95" s="34" t="s">
        <v>290</v>
      </c>
      <c r="C95" s="41">
        <v>45786.0</v>
      </c>
      <c r="D95" s="26"/>
      <c r="E95" s="41" t="s">
        <v>3851</v>
      </c>
      <c r="F95" s="34"/>
      <c r="G95" s="57" t="s">
        <v>3852</v>
      </c>
      <c r="H95" s="48" t="s">
        <v>3853</v>
      </c>
      <c r="I95" s="26" t="s">
        <v>3856</v>
      </c>
      <c r="J95" s="26" t="s">
        <v>3854</v>
      </c>
      <c r="K95" s="26" t="s">
        <v>3854</v>
      </c>
      <c r="L95" s="26" t="s">
        <v>3854</v>
      </c>
      <c r="M95" s="26" t="s">
        <v>3854</v>
      </c>
      <c r="N95" s="26" t="s">
        <v>3854</v>
      </c>
      <c r="O95" s="26" t="s">
        <v>3854</v>
      </c>
      <c r="P95" s="26" t="s">
        <v>3856</v>
      </c>
      <c r="Q95" s="26" t="s">
        <v>3854</v>
      </c>
      <c r="R95" s="26"/>
      <c r="S95" s="34"/>
      <c r="T95" s="31" t="s">
        <v>3855</v>
      </c>
    </row>
    <row r="96">
      <c r="A96" s="34" t="s">
        <v>653</v>
      </c>
      <c r="B96" s="34" t="s">
        <v>654</v>
      </c>
      <c r="C96" s="41">
        <v>45793.0</v>
      </c>
      <c r="D96" s="26"/>
      <c r="E96" s="41" t="s">
        <v>3851</v>
      </c>
      <c r="F96" s="34"/>
      <c r="G96" s="57" t="s">
        <v>3852</v>
      </c>
      <c r="H96" s="48" t="s">
        <v>3853</v>
      </c>
      <c r="I96" s="26" t="s">
        <v>3856</v>
      </c>
      <c r="J96" s="26" t="s">
        <v>3854</v>
      </c>
      <c r="K96" s="26" t="s">
        <v>3854</v>
      </c>
      <c r="L96" s="26" t="s">
        <v>3854</v>
      </c>
      <c r="M96" s="26" t="s">
        <v>3854</v>
      </c>
      <c r="N96" s="26" t="s">
        <v>3854</v>
      </c>
      <c r="O96" s="26" t="s">
        <v>3854</v>
      </c>
      <c r="P96" s="26" t="s">
        <v>3854</v>
      </c>
      <c r="Q96" s="26" t="s">
        <v>3854</v>
      </c>
      <c r="R96" s="26"/>
      <c r="S96" s="34"/>
      <c r="T96" s="31" t="s">
        <v>3855</v>
      </c>
    </row>
    <row r="97">
      <c r="A97" s="34" t="s">
        <v>867</v>
      </c>
      <c r="B97" s="34" t="s">
        <v>868</v>
      </c>
      <c r="C97" s="41">
        <v>45796.0</v>
      </c>
      <c r="D97" s="26"/>
      <c r="E97" s="41" t="s">
        <v>3851</v>
      </c>
      <c r="F97" s="34"/>
      <c r="G97" s="57" t="s">
        <v>3852</v>
      </c>
      <c r="H97" s="48" t="s">
        <v>3853</v>
      </c>
      <c r="I97" s="26" t="s">
        <v>3856</v>
      </c>
      <c r="J97" s="26" t="s">
        <v>3854</v>
      </c>
      <c r="K97" s="26" t="s">
        <v>3854</v>
      </c>
      <c r="L97" s="26" t="s">
        <v>3854</v>
      </c>
      <c r="M97" s="26" t="s">
        <v>3854</v>
      </c>
      <c r="N97" s="26" t="s">
        <v>3854</v>
      </c>
      <c r="O97" s="26" t="s">
        <v>3854</v>
      </c>
      <c r="P97" s="26" t="s">
        <v>3854</v>
      </c>
      <c r="Q97" s="26" t="s">
        <v>3854</v>
      </c>
      <c r="R97" s="26"/>
      <c r="S97" s="34"/>
      <c r="T97" s="31" t="s">
        <v>3855</v>
      </c>
    </row>
    <row r="98">
      <c r="A98" s="34" t="s">
        <v>992</v>
      </c>
      <c r="B98" s="34" t="s">
        <v>993</v>
      </c>
      <c r="C98" s="41">
        <v>45800.0</v>
      </c>
      <c r="D98" s="26"/>
      <c r="E98" s="41" t="s">
        <v>3851</v>
      </c>
      <c r="F98" s="34"/>
      <c r="G98" s="57" t="s">
        <v>3852</v>
      </c>
      <c r="H98" s="48" t="s">
        <v>3853</v>
      </c>
      <c r="I98" s="26" t="s">
        <v>3856</v>
      </c>
      <c r="J98" s="26" t="s">
        <v>3854</v>
      </c>
      <c r="K98" s="26" t="s">
        <v>3856</v>
      </c>
      <c r="L98" s="26" t="s">
        <v>3854</v>
      </c>
      <c r="M98" s="26" t="s">
        <v>3854</v>
      </c>
      <c r="N98" s="26" t="s">
        <v>3854</v>
      </c>
      <c r="O98" s="26" t="s">
        <v>3854</v>
      </c>
      <c r="P98" s="26" t="s">
        <v>3854</v>
      </c>
      <c r="Q98" s="26" t="s">
        <v>3854</v>
      </c>
      <c r="R98" s="26"/>
      <c r="S98" s="34"/>
      <c r="T98" s="31" t="s">
        <v>3855</v>
      </c>
    </row>
    <row r="99">
      <c r="A99" s="34" t="s">
        <v>111</v>
      </c>
      <c r="B99" s="34" t="s">
        <v>112</v>
      </c>
      <c r="C99" s="41">
        <v>45807.0</v>
      </c>
      <c r="D99" s="26"/>
      <c r="E99" s="41" t="s">
        <v>3851</v>
      </c>
      <c r="F99" s="34"/>
      <c r="G99" s="57" t="s">
        <v>3852</v>
      </c>
      <c r="H99" s="48" t="s">
        <v>3853</v>
      </c>
      <c r="I99" s="26" t="s">
        <v>3856</v>
      </c>
      <c r="J99" s="26" t="s">
        <v>3856</v>
      </c>
      <c r="K99" s="26" t="s">
        <v>3856</v>
      </c>
      <c r="L99" s="26" t="s">
        <v>3854</v>
      </c>
      <c r="M99" s="26" t="s">
        <v>3854</v>
      </c>
      <c r="N99" s="26" t="s">
        <v>3854</v>
      </c>
      <c r="O99" s="26" t="s">
        <v>3854</v>
      </c>
      <c r="P99" s="26" t="s">
        <v>3854</v>
      </c>
      <c r="Q99" s="26" t="s">
        <v>3854</v>
      </c>
      <c r="R99" s="26"/>
      <c r="S99" s="34"/>
      <c r="T99" s="31" t="s">
        <v>3855</v>
      </c>
    </row>
    <row r="100">
      <c r="A100" s="34" t="s">
        <v>3910</v>
      </c>
      <c r="B100" s="34" t="s">
        <v>913</v>
      </c>
      <c r="C100" s="41">
        <v>45810.0</v>
      </c>
      <c r="D100" s="26"/>
      <c r="E100" s="41" t="s">
        <v>3851</v>
      </c>
      <c r="F100" s="34"/>
      <c r="G100" s="57" t="s">
        <v>3852</v>
      </c>
      <c r="H100" s="48" t="s">
        <v>3853</v>
      </c>
      <c r="I100" s="26" t="s">
        <v>3856</v>
      </c>
      <c r="J100" s="26" t="s">
        <v>3854</v>
      </c>
      <c r="K100" s="26" t="s">
        <v>3854</v>
      </c>
      <c r="L100" s="26" t="s">
        <v>3854</v>
      </c>
      <c r="M100" s="26" t="s">
        <v>3854</v>
      </c>
      <c r="N100" s="26" t="s">
        <v>3854</v>
      </c>
      <c r="O100" s="26" t="s">
        <v>3856</v>
      </c>
      <c r="P100" s="26" t="s">
        <v>3856</v>
      </c>
      <c r="Q100" s="26" t="s">
        <v>3854</v>
      </c>
      <c r="R100" s="26"/>
      <c r="S100" s="34"/>
      <c r="T100" s="31" t="s">
        <v>3855</v>
      </c>
    </row>
    <row r="101">
      <c r="A101" s="34" t="s">
        <v>729</v>
      </c>
      <c r="B101" s="34" t="s">
        <v>730</v>
      </c>
      <c r="C101" s="41">
        <v>45810.0</v>
      </c>
      <c r="D101" s="26"/>
      <c r="E101" s="41" t="s">
        <v>3851</v>
      </c>
      <c r="F101" s="34"/>
      <c r="G101" s="57" t="s">
        <v>3852</v>
      </c>
      <c r="H101" s="48" t="s">
        <v>3853</v>
      </c>
      <c r="I101" s="26" t="s">
        <v>3856</v>
      </c>
      <c r="J101" s="26" t="s">
        <v>3854</v>
      </c>
      <c r="K101" s="26" t="s">
        <v>3856</v>
      </c>
      <c r="L101" s="26" t="s">
        <v>3854</v>
      </c>
      <c r="M101" s="26" t="s">
        <v>3854</v>
      </c>
      <c r="N101" s="26" t="s">
        <v>3854</v>
      </c>
      <c r="O101" s="26" t="s">
        <v>3854</v>
      </c>
      <c r="P101" s="26" t="s">
        <v>3854</v>
      </c>
      <c r="Q101" s="26" t="s">
        <v>3854</v>
      </c>
      <c r="R101" s="26"/>
      <c r="S101" s="34"/>
      <c r="T101" s="31" t="s">
        <v>3855</v>
      </c>
    </row>
    <row r="102">
      <c r="A102" s="34" t="s">
        <v>3911</v>
      </c>
      <c r="B102" s="34" t="s">
        <v>748</v>
      </c>
      <c r="C102" s="41">
        <v>45812.0</v>
      </c>
      <c r="D102" s="26"/>
      <c r="E102" s="41" t="s">
        <v>3851</v>
      </c>
      <c r="F102" s="34"/>
      <c r="G102" s="57" t="s">
        <v>3852</v>
      </c>
      <c r="H102" s="48" t="s">
        <v>3853</v>
      </c>
      <c r="I102" s="26" t="s">
        <v>3856</v>
      </c>
      <c r="J102" s="26" t="s">
        <v>3854</v>
      </c>
      <c r="K102" s="26" t="s">
        <v>3854</v>
      </c>
      <c r="L102" s="26" t="s">
        <v>3854</v>
      </c>
      <c r="M102" s="26" t="s">
        <v>3854</v>
      </c>
      <c r="N102" s="26" t="s">
        <v>3854</v>
      </c>
      <c r="O102" s="26" t="s">
        <v>3856</v>
      </c>
      <c r="P102" s="26" t="s">
        <v>3854</v>
      </c>
      <c r="Q102" s="26" t="s">
        <v>3854</v>
      </c>
      <c r="R102" s="26"/>
      <c r="S102" s="34"/>
      <c r="T102" s="31" t="s">
        <v>3855</v>
      </c>
    </row>
    <row r="103">
      <c r="A103" s="34" t="s">
        <v>115</v>
      </c>
      <c r="B103" s="34" t="s">
        <v>116</v>
      </c>
      <c r="C103" s="41">
        <v>45812.0</v>
      </c>
      <c r="D103" s="26"/>
      <c r="E103" s="41" t="s">
        <v>3851</v>
      </c>
      <c r="F103" s="34"/>
      <c r="G103" s="57" t="s">
        <v>3852</v>
      </c>
      <c r="H103" s="48" t="s">
        <v>3853</v>
      </c>
      <c r="I103" s="26" t="s">
        <v>3856</v>
      </c>
      <c r="J103" s="26" t="s">
        <v>3854</v>
      </c>
      <c r="K103" s="26" t="s">
        <v>3856</v>
      </c>
      <c r="L103" s="26" t="s">
        <v>3854</v>
      </c>
      <c r="M103" s="26" t="s">
        <v>3854</v>
      </c>
      <c r="N103" s="26" t="s">
        <v>3854</v>
      </c>
      <c r="O103" s="26" t="s">
        <v>3856</v>
      </c>
      <c r="P103" s="26" t="s">
        <v>3854</v>
      </c>
      <c r="Q103" s="26" t="s">
        <v>3854</v>
      </c>
      <c r="R103" s="26"/>
      <c r="S103" s="34"/>
      <c r="T103" s="31" t="s">
        <v>3855</v>
      </c>
    </row>
    <row r="104">
      <c r="A104" s="34" t="s">
        <v>3912</v>
      </c>
      <c r="B104" s="34" t="s">
        <v>518</v>
      </c>
      <c r="C104" s="41">
        <v>45813.0</v>
      </c>
      <c r="D104" s="26"/>
      <c r="E104" s="41" t="s">
        <v>3851</v>
      </c>
      <c r="F104" s="34"/>
      <c r="G104" s="57" t="s">
        <v>3852</v>
      </c>
      <c r="H104" s="48" t="s">
        <v>3853</v>
      </c>
      <c r="I104" s="26" t="s">
        <v>3856</v>
      </c>
      <c r="J104" s="26" t="s">
        <v>3854</v>
      </c>
      <c r="K104" s="26" t="s">
        <v>3856</v>
      </c>
      <c r="L104" s="26" t="s">
        <v>3854</v>
      </c>
      <c r="M104" s="26" t="s">
        <v>3854</v>
      </c>
      <c r="N104" s="26" t="s">
        <v>3854</v>
      </c>
      <c r="O104" s="26" t="s">
        <v>3854</v>
      </c>
      <c r="P104" s="26" t="s">
        <v>3854</v>
      </c>
      <c r="Q104" s="26" t="s">
        <v>3854</v>
      </c>
      <c r="R104" s="26"/>
      <c r="S104" s="34"/>
      <c r="T104" s="31" t="s">
        <v>3855</v>
      </c>
    </row>
    <row r="105">
      <c r="A105" s="34" t="s">
        <v>711</v>
      </c>
      <c r="B105" s="34" t="s">
        <v>712</v>
      </c>
      <c r="C105" s="41">
        <v>45814.0</v>
      </c>
      <c r="D105" s="26"/>
      <c r="E105" s="41" t="s">
        <v>3851</v>
      </c>
      <c r="F105" s="34"/>
      <c r="G105" s="57" t="s">
        <v>3852</v>
      </c>
      <c r="H105" s="48" t="s">
        <v>3853</v>
      </c>
      <c r="I105" s="26" t="s">
        <v>3856</v>
      </c>
      <c r="J105" s="26" t="s">
        <v>3854</v>
      </c>
      <c r="K105" s="26" t="s">
        <v>3856</v>
      </c>
      <c r="L105" s="26" t="s">
        <v>3856</v>
      </c>
      <c r="M105" s="26" t="s">
        <v>3854</v>
      </c>
      <c r="N105" s="26" t="s">
        <v>3854</v>
      </c>
      <c r="O105" s="26" t="s">
        <v>3856</v>
      </c>
      <c r="P105" s="26" t="s">
        <v>3854</v>
      </c>
      <c r="Q105" s="26" t="s">
        <v>3856</v>
      </c>
      <c r="R105" s="26"/>
      <c r="S105" s="34"/>
      <c r="T105" s="31" t="s">
        <v>3855</v>
      </c>
    </row>
    <row r="106">
      <c r="A106" s="34" t="s">
        <v>974</v>
      </c>
      <c r="B106" s="34" t="s">
        <v>975</v>
      </c>
      <c r="C106" s="41">
        <v>45817.0</v>
      </c>
      <c r="D106" s="26"/>
      <c r="E106" s="41" t="s">
        <v>3851</v>
      </c>
      <c r="F106" s="34"/>
      <c r="G106" s="57" t="s">
        <v>3852</v>
      </c>
      <c r="H106" s="48" t="s">
        <v>3853</v>
      </c>
      <c r="I106" s="26" t="s">
        <v>3856</v>
      </c>
      <c r="J106" s="26" t="s">
        <v>3854</v>
      </c>
      <c r="K106" s="26" t="s">
        <v>3856</v>
      </c>
      <c r="L106" s="26" t="s">
        <v>3854</v>
      </c>
      <c r="M106" s="26" t="s">
        <v>3854</v>
      </c>
      <c r="N106" s="26" t="s">
        <v>3854</v>
      </c>
      <c r="O106" s="26" t="s">
        <v>3854</v>
      </c>
      <c r="P106" s="26" t="s">
        <v>3854</v>
      </c>
      <c r="Q106" s="26" t="s">
        <v>3854</v>
      </c>
      <c r="R106" s="26"/>
      <c r="S106" s="34"/>
      <c r="T106" s="31" t="s">
        <v>3855</v>
      </c>
    </row>
    <row r="107">
      <c r="A107" s="34" t="s">
        <v>916</v>
      </c>
      <c r="B107" s="34" t="s">
        <v>917</v>
      </c>
      <c r="C107" s="41">
        <v>45817.0</v>
      </c>
      <c r="D107" s="26"/>
      <c r="E107" s="41" t="s">
        <v>3851</v>
      </c>
      <c r="F107" s="34"/>
      <c r="G107" s="57" t="s">
        <v>3852</v>
      </c>
      <c r="H107" s="48" t="s">
        <v>3853</v>
      </c>
      <c r="I107" s="26" t="s">
        <v>3856</v>
      </c>
      <c r="J107" s="26" t="s">
        <v>3854</v>
      </c>
      <c r="K107" s="26" t="s">
        <v>3856</v>
      </c>
      <c r="L107" s="26" t="s">
        <v>3854</v>
      </c>
      <c r="M107" s="26" t="s">
        <v>3854</v>
      </c>
      <c r="N107" s="26" t="s">
        <v>3854</v>
      </c>
      <c r="O107" s="26" t="s">
        <v>3854</v>
      </c>
      <c r="P107" s="26" t="s">
        <v>3854</v>
      </c>
      <c r="Q107" s="26" t="s">
        <v>3854</v>
      </c>
      <c r="R107" s="26"/>
      <c r="S107" s="34"/>
      <c r="T107" s="31" t="s">
        <v>3855</v>
      </c>
    </row>
    <row r="108">
      <c r="A108" s="34" t="s">
        <v>3913</v>
      </c>
      <c r="B108" s="34" t="s">
        <v>560</v>
      </c>
      <c r="C108" s="41">
        <v>45818.0</v>
      </c>
      <c r="D108" s="26"/>
      <c r="E108" s="41" t="s">
        <v>3851</v>
      </c>
      <c r="F108" s="34"/>
      <c r="G108" s="57" t="s">
        <v>3852</v>
      </c>
      <c r="H108" s="48" t="s">
        <v>3853</v>
      </c>
      <c r="I108" s="26" t="s">
        <v>3856</v>
      </c>
      <c r="J108" s="26" t="s">
        <v>3856</v>
      </c>
      <c r="K108" s="26" t="s">
        <v>3856</v>
      </c>
      <c r="L108" s="26" t="s">
        <v>3854</v>
      </c>
      <c r="M108" s="26" t="s">
        <v>3854</v>
      </c>
      <c r="N108" s="26" t="s">
        <v>3854</v>
      </c>
      <c r="O108" s="26" t="s">
        <v>3854</v>
      </c>
      <c r="P108" s="26" t="s">
        <v>3854</v>
      </c>
      <c r="Q108" s="26" t="s">
        <v>3854</v>
      </c>
      <c r="R108" s="26"/>
      <c r="S108" s="34"/>
      <c r="T108" s="31" t="s">
        <v>3855</v>
      </c>
    </row>
    <row r="109">
      <c r="A109" s="34" t="s">
        <v>3914</v>
      </c>
      <c r="B109" s="34" t="s">
        <v>826</v>
      </c>
      <c r="C109" s="41">
        <v>45821.0</v>
      </c>
      <c r="D109" s="26"/>
      <c r="E109" s="41" t="s">
        <v>3851</v>
      </c>
      <c r="F109" s="34"/>
      <c r="G109" s="57" t="s">
        <v>3852</v>
      </c>
      <c r="H109" s="48" t="s">
        <v>3853</v>
      </c>
      <c r="I109" s="26" t="s">
        <v>3856</v>
      </c>
      <c r="J109" s="26" t="s">
        <v>3856</v>
      </c>
      <c r="K109" s="26" t="s">
        <v>3854</v>
      </c>
      <c r="L109" s="26" t="s">
        <v>3854</v>
      </c>
      <c r="M109" s="26" t="s">
        <v>3854</v>
      </c>
      <c r="N109" s="26" t="s">
        <v>3854</v>
      </c>
      <c r="O109" s="26" t="s">
        <v>3854</v>
      </c>
      <c r="P109" s="26" t="s">
        <v>3854</v>
      </c>
      <c r="Q109" s="26" t="s">
        <v>3854</v>
      </c>
      <c r="R109" s="26"/>
      <c r="S109" s="34"/>
      <c r="T109" s="31" t="s">
        <v>3855</v>
      </c>
    </row>
    <row r="110">
      <c r="A110" s="34" t="s">
        <v>3915</v>
      </c>
      <c r="B110" s="34" t="s">
        <v>234</v>
      </c>
      <c r="C110" s="41">
        <v>45821.0</v>
      </c>
      <c r="D110" s="26"/>
      <c r="E110" s="41" t="s">
        <v>3851</v>
      </c>
      <c r="F110" s="34"/>
      <c r="G110" s="57" t="s">
        <v>3852</v>
      </c>
      <c r="H110" s="48" t="s">
        <v>3853</v>
      </c>
      <c r="I110" s="26" t="s">
        <v>3856</v>
      </c>
      <c r="J110" s="26" t="s">
        <v>3856</v>
      </c>
      <c r="K110" s="26" t="s">
        <v>3854</v>
      </c>
      <c r="L110" s="26" t="s">
        <v>3854</v>
      </c>
      <c r="M110" s="26" t="s">
        <v>3854</v>
      </c>
      <c r="N110" s="26" t="s">
        <v>3854</v>
      </c>
      <c r="O110" s="26" t="s">
        <v>3854</v>
      </c>
      <c r="P110" s="26" t="s">
        <v>3854</v>
      </c>
      <c r="Q110" s="26" t="s">
        <v>3854</v>
      </c>
      <c r="R110" s="26"/>
      <c r="S110" s="34"/>
      <c r="T110" s="31" t="s">
        <v>3855</v>
      </c>
    </row>
    <row r="111">
      <c r="A111" s="34" t="s">
        <v>3916</v>
      </c>
      <c r="B111" s="34" t="s">
        <v>923</v>
      </c>
      <c r="C111" s="41">
        <v>45821.0</v>
      </c>
      <c r="D111" s="26"/>
      <c r="E111" s="41" t="s">
        <v>3851</v>
      </c>
      <c r="F111" s="34"/>
      <c r="G111" s="57" t="s">
        <v>3852</v>
      </c>
      <c r="H111" s="48" t="s">
        <v>3853</v>
      </c>
      <c r="I111" s="26" t="s">
        <v>3856</v>
      </c>
      <c r="J111" s="26" t="s">
        <v>3854</v>
      </c>
      <c r="K111" s="26" t="s">
        <v>3854</v>
      </c>
      <c r="L111" s="26" t="s">
        <v>3854</v>
      </c>
      <c r="M111" s="26" t="s">
        <v>3854</v>
      </c>
      <c r="N111" s="26" t="s">
        <v>3854</v>
      </c>
      <c r="O111" s="26" t="s">
        <v>3854</v>
      </c>
      <c r="P111" s="26" t="s">
        <v>3854</v>
      </c>
      <c r="Q111" s="26" t="s">
        <v>3854</v>
      </c>
      <c r="R111" s="26"/>
      <c r="S111" s="34"/>
      <c r="T111" s="31" t="s">
        <v>3855</v>
      </c>
    </row>
    <row r="112">
      <c r="A112" s="34" t="s">
        <v>3917</v>
      </c>
      <c r="B112" s="34" t="s">
        <v>660</v>
      </c>
      <c r="C112" s="41">
        <v>45821.0</v>
      </c>
      <c r="D112" s="26"/>
      <c r="E112" s="41" t="s">
        <v>3851</v>
      </c>
      <c r="F112" s="34"/>
      <c r="G112" s="57" t="s">
        <v>3852</v>
      </c>
      <c r="H112" s="48" t="s">
        <v>3853</v>
      </c>
      <c r="I112" s="26" t="s">
        <v>3856</v>
      </c>
      <c r="J112" s="26" t="s">
        <v>3854</v>
      </c>
      <c r="K112" s="26" t="s">
        <v>3856</v>
      </c>
      <c r="L112" s="26" t="s">
        <v>3856</v>
      </c>
      <c r="M112" s="26" t="s">
        <v>3854</v>
      </c>
      <c r="N112" s="26" t="s">
        <v>3854</v>
      </c>
      <c r="O112" s="26" t="s">
        <v>3854</v>
      </c>
      <c r="P112" s="26" t="s">
        <v>3854</v>
      </c>
      <c r="Q112" s="26" t="s">
        <v>3854</v>
      </c>
      <c r="R112" s="26"/>
      <c r="S112" s="34"/>
      <c r="T112" s="31" t="s">
        <v>3855</v>
      </c>
    </row>
    <row r="113">
      <c r="A113" s="34" t="s">
        <v>3033</v>
      </c>
      <c r="B113" s="34" t="s">
        <v>410</v>
      </c>
      <c r="C113" s="41">
        <v>45824.0</v>
      </c>
      <c r="D113" s="26"/>
      <c r="E113" s="41" t="s">
        <v>3851</v>
      </c>
      <c r="F113" s="34"/>
      <c r="G113" s="57" t="s">
        <v>3852</v>
      </c>
      <c r="H113" s="48" t="s">
        <v>3853</v>
      </c>
      <c r="I113" s="26" t="s">
        <v>3856</v>
      </c>
      <c r="J113" s="26" t="s">
        <v>3856</v>
      </c>
      <c r="K113" s="26" t="s">
        <v>3856</v>
      </c>
      <c r="L113" s="26" t="s">
        <v>3854</v>
      </c>
      <c r="M113" s="26" t="s">
        <v>3854</v>
      </c>
      <c r="N113" s="26" t="s">
        <v>3854</v>
      </c>
      <c r="O113" s="26" t="s">
        <v>3856</v>
      </c>
      <c r="P113" s="26" t="s">
        <v>3854</v>
      </c>
      <c r="Q113" s="26" t="s">
        <v>3854</v>
      </c>
      <c r="R113" s="26"/>
      <c r="S113" s="34"/>
      <c r="T113" s="31" t="s">
        <v>3855</v>
      </c>
    </row>
    <row r="114">
      <c r="A114" s="34" t="s">
        <v>849</v>
      </c>
      <c r="B114" s="34" t="s">
        <v>850</v>
      </c>
      <c r="C114" s="41">
        <v>45824.0</v>
      </c>
      <c r="D114" s="26"/>
      <c r="E114" s="41" t="s">
        <v>3851</v>
      </c>
      <c r="F114" s="34"/>
      <c r="G114" s="57" t="s">
        <v>3852</v>
      </c>
      <c r="H114" s="48" t="s">
        <v>3853</v>
      </c>
      <c r="I114" s="26" t="s">
        <v>3856</v>
      </c>
      <c r="J114" s="26" t="s">
        <v>3854</v>
      </c>
      <c r="K114" s="26" t="s">
        <v>3854</v>
      </c>
      <c r="L114" s="26" t="s">
        <v>3854</v>
      </c>
      <c r="M114" s="26" t="s">
        <v>3854</v>
      </c>
      <c r="N114" s="26" t="s">
        <v>3854</v>
      </c>
      <c r="O114" s="26" t="s">
        <v>3856</v>
      </c>
      <c r="P114" s="26" t="s">
        <v>3856</v>
      </c>
      <c r="Q114" s="26" t="s">
        <v>3854</v>
      </c>
      <c r="R114" s="26"/>
      <c r="S114" s="34"/>
      <c r="T114" s="31" t="s">
        <v>3855</v>
      </c>
    </row>
    <row r="115">
      <c r="A115" s="34" t="s">
        <v>1386</v>
      </c>
      <c r="B115" s="34" t="s">
        <v>1387</v>
      </c>
      <c r="C115" s="41">
        <v>45824.0</v>
      </c>
      <c r="D115" s="26"/>
      <c r="E115" s="41" t="s">
        <v>3851</v>
      </c>
      <c r="F115" s="34"/>
      <c r="G115" s="57" t="s">
        <v>3852</v>
      </c>
      <c r="H115" s="48" t="s">
        <v>3853</v>
      </c>
      <c r="I115" s="26" t="s">
        <v>3856</v>
      </c>
      <c r="J115" s="26" t="s">
        <v>3854</v>
      </c>
      <c r="K115" s="26" t="s">
        <v>3856</v>
      </c>
      <c r="L115" s="26" t="s">
        <v>3856</v>
      </c>
      <c r="M115" s="26" t="s">
        <v>3854</v>
      </c>
      <c r="N115" s="26" t="s">
        <v>3854</v>
      </c>
      <c r="O115" s="26" t="s">
        <v>3854</v>
      </c>
      <c r="P115" s="26" t="s">
        <v>3854</v>
      </c>
      <c r="Q115" s="26" t="s">
        <v>3854</v>
      </c>
      <c r="R115" s="26"/>
      <c r="S115" s="34"/>
      <c r="T115" s="31" t="s">
        <v>3855</v>
      </c>
    </row>
    <row r="116">
      <c r="A116" s="34" t="s">
        <v>3918</v>
      </c>
      <c r="B116" s="34" t="s">
        <v>1307</v>
      </c>
      <c r="C116" s="41">
        <v>45825.0</v>
      </c>
      <c r="D116" s="26"/>
      <c r="E116" s="41" t="s">
        <v>3851</v>
      </c>
      <c r="F116" s="34"/>
      <c r="G116" s="57" t="s">
        <v>3852</v>
      </c>
      <c r="H116" s="48" t="s">
        <v>3853</v>
      </c>
      <c r="I116" s="26" t="s">
        <v>3856</v>
      </c>
      <c r="J116" s="26" t="s">
        <v>3854</v>
      </c>
      <c r="K116" s="26" t="s">
        <v>3854</v>
      </c>
      <c r="L116" s="26" t="s">
        <v>3854</v>
      </c>
      <c r="M116" s="26" t="s">
        <v>3854</v>
      </c>
      <c r="N116" s="26" t="s">
        <v>3854</v>
      </c>
      <c r="O116" s="26" t="s">
        <v>3856</v>
      </c>
      <c r="P116" s="26" t="s">
        <v>3856</v>
      </c>
      <c r="Q116" s="26" t="s">
        <v>3854</v>
      </c>
      <c r="R116" s="26"/>
      <c r="S116" s="34"/>
      <c r="T116" s="31" t="s">
        <v>3855</v>
      </c>
    </row>
    <row r="117">
      <c r="A117" s="34" t="s">
        <v>1169</v>
      </c>
      <c r="B117" s="34" t="s">
        <v>1170</v>
      </c>
      <c r="C117" s="41">
        <v>45828.0</v>
      </c>
      <c r="D117" s="26"/>
      <c r="E117" s="41" t="s">
        <v>3851</v>
      </c>
      <c r="F117" s="34"/>
      <c r="G117" s="57" t="s">
        <v>3852</v>
      </c>
      <c r="H117" s="48" t="s">
        <v>3853</v>
      </c>
      <c r="I117" s="26" t="s">
        <v>3856</v>
      </c>
      <c r="J117" s="26" t="s">
        <v>3856</v>
      </c>
      <c r="K117" s="26" t="s">
        <v>3856</v>
      </c>
      <c r="L117" s="26" t="s">
        <v>3854</v>
      </c>
      <c r="M117" s="26" t="s">
        <v>3854</v>
      </c>
      <c r="N117" s="26" t="s">
        <v>3854</v>
      </c>
      <c r="O117" s="26" t="s">
        <v>3854</v>
      </c>
      <c r="P117" s="26" t="s">
        <v>3856</v>
      </c>
      <c r="Q117" s="26" t="s">
        <v>3854</v>
      </c>
      <c r="R117" s="26"/>
      <c r="S117" s="34"/>
      <c r="T117" s="31" t="s">
        <v>3855</v>
      </c>
    </row>
    <row r="118">
      <c r="A118" s="34" t="s">
        <v>1337</v>
      </c>
      <c r="B118" s="34" t="s">
        <v>1338</v>
      </c>
      <c r="C118" s="41">
        <v>45831.0</v>
      </c>
      <c r="D118" s="26"/>
      <c r="E118" s="41" t="s">
        <v>3851</v>
      </c>
      <c r="F118" s="34"/>
      <c r="G118" s="57" t="s">
        <v>3852</v>
      </c>
      <c r="H118" s="48" t="s">
        <v>3853</v>
      </c>
      <c r="I118" s="26" t="s">
        <v>3856</v>
      </c>
      <c r="J118" s="26" t="s">
        <v>3854</v>
      </c>
      <c r="K118" s="26" t="s">
        <v>3856</v>
      </c>
      <c r="L118" s="26" t="s">
        <v>3854</v>
      </c>
      <c r="M118" s="26" t="s">
        <v>3854</v>
      </c>
      <c r="N118" s="26" t="s">
        <v>3854</v>
      </c>
      <c r="O118" s="26" t="s">
        <v>3856</v>
      </c>
      <c r="P118" s="26" t="s">
        <v>3856</v>
      </c>
      <c r="Q118" s="26" t="s">
        <v>3854</v>
      </c>
      <c r="R118" s="26"/>
      <c r="S118" s="34"/>
      <c r="T118" s="31" t="s">
        <v>3855</v>
      </c>
    </row>
    <row r="119">
      <c r="A119" s="34" t="s">
        <v>1426</v>
      </c>
      <c r="B119" s="34" t="s">
        <v>1427</v>
      </c>
      <c r="C119" s="41">
        <v>45832.0</v>
      </c>
      <c r="D119" s="26"/>
      <c r="E119" s="41" t="s">
        <v>3851</v>
      </c>
      <c r="F119" s="34"/>
      <c r="G119" s="57" t="s">
        <v>3852</v>
      </c>
      <c r="H119" s="48" t="s">
        <v>3853</v>
      </c>
      <c r="I119" s="26" t="s">
        <v>3856</v>
      </c>
      <c r="J119" s="26" t="s">
        <v>3854</v>
      </c>
      <c r="K119" s="26" t="s">
        <v>3856</v>
      </c>
      <c r="L119" s="26" t="s">
        <v>3854</v>
      </c>
      <c r="M119" s="26" t="s">
        <v>3854</v>
      </c>
      <c r="N119" s="26" t="s">
        <v>3854</v>
      </c>
      <c r="O119" s="26" t="s">
        <v>3854</v>
      </c>
      <c r="P119" s="26" t="s">
        <v>3856</v>
      </c>
      <c r="Q119" s="26" t="s">
        <v>3854</v>
      </c>
      <c r="R119" s="26"/>
      <c r="S119" s="34"/>
      <c r="T119" s="31" t="s">
        <v>3855</v>
      </c>
    </row>
    <row r="120">
      <c r="A120" s="34" t="s">
        <v>1495</v>
      </c>
      <c r="B120" s="34" t="s">
        <v>1496</v>
      </c>
      <c r="C120" s="41">
        <v>45838.0</v>
      </c>
      <c r="D120" s="26"/>
      <c r="E120" s="41" t="s">
        <v>3851</v>
      </c>
      <c r="F120" s="34"/>
      <c r="G120" s="57" t="s">
        <v>3852</v>
      </c>
      <c r="H120" s="48" t="s">
        <v>3853</v>
      </c>
      <c r="I120" s="26" t="s">
        <v>3856</v>
      </c>
      <c r="J120" s="26" t="s">
        <v>3856</v>
      </c>
      <c r="K120" s="26" t="s">
        <v>3854</v>
      </c>
      <c r="L120" s="26" t="s">
        <v>3854</v>
      </c>
      <c r="M120" s="26" t="s">
        <v>3854</v>
      </c>
      <c r="N120" s="26" t="s">
        <v>3854</v>
      </c>
      <c r="O120" s="26" t="s">
        <v>3854</v>
      </c>
      <c r="P120" s="26" t="s">
        <v>3854</v>
      </c>
      <c r="Q120" s="26" t="s">
        <v>3854</v>
      </c>
      <c r="R120" s="26"/>
      <c r="S120" s="34"/>
      <c r="T120" s="31" t="s">
        <v>3855</v>
      </c>
    </row>
    <row r="121">
      <c r="A121" s="34" t="s">
        <v>1834</v>
      </c>
      <c r="B121" s="34" t="s">
        <v>1835</v>
      </c>
      <c r="C121" s="41">
        <v>45839.0</v>
      </c>
      <c r="D121" s="26"/>
      <c r="E121" s="41" t="s">
        <v>3851</v>
      </c>
      <c r="F121" s="34"/>
      <c r="G121" s="57" t="s">
        <v>3852</v>
      </c>
      <c r="H121" s="48" t="s">
        <v>3853</v>
      </c>
      <c r="I121" s="26" t="s">
        <v>3856</v>
      </c>
      <c r="J121" s="26" t="s">
        <v>3854</v>
      </c>
      <c r="K121" s="26" t="s">
        <v>3856</v>
      </c>
      <c r="L121" s="26" t="s">
        <v>3854</v>
      </c>
      <c r="M121" s="26" t="s">
        <v>3854</v>
      </c>
      <c r="N121" s="26" t="s">
        <v>3854</v>
      </c>
      <c r="O121" s="26" t="s">
        <v>3856</v>
      </c>
      <c r="P121" s="26" t="s">
        <v>3856</v>
      </c>
      <c r="Q121" s="26" t="s">
        <v>3856</v>
      </c>
      <c r="R121" s="26"/>
      <c r="S121" s="34"/>
      <c r="T121" s="31" t="s">
        <v>3855</v>
      </c>
    </row>
    <row r="122">
      <c r="A122" s="34" t="s">
        <v>1282</v>
      </c>
      <c r="B122" s="34" t="s">
        <v>1283</v>
      </c>
      <c r="C122" s="41">
        <v>45839.0</v>
      </c>
      <c r="D122" s="26"/>
      <c r="E122" s="41" t="s">
        <v>3851</v>
      </c>
      <c r="F122" s="34"/>
      <c r="G122" s="57" t="s">
        <v>3852</v>
      </c>
      <c r="H122" s="48" t="s">
        <v>3853</v>
      </c>
      <c r="I122" s="26" t="s">
        <v>3856</v>
      </c>
      <c r="J122" s="26" t="s">
        <v>3854</v>
      </c>
      <c r="K122" s="26" t="s">
        <v>3856</v>
      </c>
      <c r="L122" s="26" t="s">
        <v>3854</v>
      </c>
      <c r="M122" s="26" t="s">
        <v>3854</v>
      </c>
      <c r="N122" s="26" t="s">
        <v>3854</v>
      </c>
      <c r="O122" s="26" t="s">
        <v>3854</v>
      </c>
      <c r="P122" s="26" t="s">
        <v>3856</v>
      </c>
      <c r="Q122" s="26" t="s">
        <v>3856</v>
      </c>
      <c r="R122" s="26"/>
      <c r="S122" s="34"/>
      <c r="T122" s="31" t="s">
        <v>3855</v>
      </c>
    </row>
    <row r="123">
      <c r="A123" s="34" t="s">
        <v>1389</v>
      </c>
      <c r="B123" s="34" t="s">
        <v>3919</v>
      </c>
      <c r="C123" s="41">
        <v>45840.0</v>
      </c>
      <c r="D123" s="26"/>
      <c r="E123" s="41" t="s">
        <v>3851</v>
      </c>
      <c r="F123" s="34"/>
      <c r="G123" s="57" t="s">
        <v>3852</v>
      </c>
      <c r="H123" s="48" t="s">
        <v>3853</v>
      </c>
      <c r="I123" s="26" t="s">
        <v>3856</v>
      </c>
      <c r="J123" s="26" t="s">
        <v>3854</v>
      </c>
      <c r="K123" s="26" t="s">
        <v>3854</v>
      </c>
      <c r="L123" s="26" t="s">
        <v>3854</v>
      </c>
      <c r="M123" s="26" t="s">
        <v>3854</v>
      </c>
      <c r="N123" s="26" t="s">
        <v>3854</v>
      </c>
      <c r="O123" s="26" t="s">
        <v>3854</v>
      </c>
      <c r="P123" s="26" t="s">
        <v>3854</v>
      </c>
      <c r="Q123" s="26" t="s">
        <v>3854</v>
      </c>
      <c r="R123" s="26"/>
      <c r="S123" s="34"/>
      <c r="T123" s="31" t="s">
        <v>3855</v>
      </c>
    </row>
    <row r="124">
      <c r="A124" s="34" t="s">
        <v>3920</v>
      </c>
      <c r="B124" s="34" t="s">
        <v>1158</v>
      </c>
      <c r="C124" s="41">
        <v>45841.0</v>
      </c>
      <c r="D124" s="26"/>
      <c r="E124" s="41" t="s">
        <v>3851</v>
      </c>
      <c r="F124" s="34"/>
      <c r="G124" s="57" t="s">
        <v>3852</v>
      </c>
      <c r="H124" s="48" t="s">
        <v>3853</v>
      </c>
      <c r="I124" s="26" t="s">
        <v>3856</v>
      </c>
      <c r="J124" s="26" t="s">
        <v>3854</v>
      </c>
      <c r="K124" s="26" t="s">
        <v>3856</v>
      </c>
      <c r="L124" s="26" t="s">
        <v>3856</v>
      </c>
      <c r="M124" s="26" t="s">
        <v>3854</v>
      </c>
      <c r="N124" s="26" t="s">
        <v>3854</v>
      </c>
      <c r="O124" s="26" t="s">
        <v>3854</v>
      </c>
      <c r="P124" s="26" t="s">
        <v>3854</v>
      </c>
      <c r="Q124" s="26" t="s">
        <v>3854</v>
      </c>
      <c r="R124" s="26"/>
      <c r="S124" s="34"/>
      <c r="T124" s="31" t="s">
        <v>3855</v>
      </c>
    </row>
    <row r="125">
      <c r="A125" s="34" t="s">
        <v>1232</v>
      </c>
      <c r="B125" s="34" t="s">
        <v>1233</v>
      </c>
      <c r="C125" s="41">
        <v>45842.0</v>
      </c>
      <c r="D125" s="26"/>
      <c r="E125" s="41" t="s">
        <v>3851</v>
      </c>
      <c r="F125" s="34"/>
      <c r="G125" s="57" t="s">
        <v>3852</v>
      </c>
      <c r="H125" s="48" t="s">
        <v>3853</v>
      </c>
      <c r="I125" s="26" t="s">
        <v>3856</v>
      </c>
      <c r="J125" s="26" t="s">
        <v>3856</v>
      </c>
      <c r="K125" s="26" t="s">
        <v>3856</v>
      </c>
      <c r="L125" s="26" t="s">
        <v>3854</v>
      </c>
      <c r="M125" s="26" t="s">
        <v>3854</v>
      </c>
      <c r="N125" s="26" t="s">
        <v>3854</v>
      </c>
      <c r="O125" s="26" t="s">
        <v>3854</v>
      </c>
      <c r="P125" s="26" t="s">
        <v>3854</v>
      </c>
      <c r="Q125" s="26" t="s">
        <v>3854</v>
      </c>
      <c r="R125" s="26"/>
      <c r="S125" s="34"/>
      <c r="T125" s="31" t="s">
        <v>3855</v>
      </c>
    </row>
    <row r="126">
      <c r="A126" s="34" t="s">
        <v>1045</v>
      </c>
      <c r="B126" s="34" t="s">
        <v>1046</v>
      </c>
      <c r="C126" s="41">
        <v>45842.0</v>
      </c>
      <c r="D126" s="26"/>
      <c r="E126" s="41" t="s">
        <v>3851</v>
      </c>
      <c r="F126" s="34"/>
      <c r="G126" s="57" t="s">
        <v>3852</v>
      </c>
      <c r="H126" s="48" t="s">
        <v>3853</v>
      </c>
      <c r="I126" s="26" t="s">
        <v>3856</v>
      </c>
      <c r="J126" s="26" t="s">
        <v>3854</v>
      </c>
      <c r="K126" s="26" t="s">
        <v>3856</v>
      </c>
      <c r="L126" s="26" t="s">
        <v>3854</v>
      </c>
      <c r="M126" s="26" t="s">
        <v>3854</v>
      </c>
      <c r="N126" s="26" t="s">
        <v>3854</v>
      </c>
      <c r="O126" s="26" t="s">
        <v>3854</v>
      </c>
      <c r="P126" s="26" t="s">
        <v>3856</v>
      </c>
      <c r="Q126" s="26" t="s">
        <v>3854</v>
      </c>
      <c r="R126" s="26"/>
      <c r="S126" s="34"/>
      <c r="T126" s="31" t="s">
        <v>3855</v>
      </c>
    </row>
    <row r="127">
      <c r="A127" s="34" t="s">
        <v>3921</v>
      </c>
      <c r="B127" s="34" t="s">
        <v>1613</v>
      </c>
      <c r="C127" s="41">
        <v>45842.0</v>
      </c>
      <c r="D127" s="26"/>
      <c r="E127" s="41" t="s">
        <v>3851</v>
      </c>
      <c r="F127" s="34"/>
      <c r="G127" s="57" t="s">
        <v>3852</v>
      </c>
      <c r="H127" s="48" t="s">
        <v>3853</v>
      </c>
      <c r="I127" s="26" t="s">
        <v>3856</v>
      </c>
      <c r="J127" s="26" t="s">
        <v>3854</v>
      </c>
      <c r="K127" s="26" t="s">
        <v>3856</v>
      </c>
      <c r="L127" s="26" t="s">
        <v>3854</v>
      </c>
      <c r="M127" s="26" t="s">
        <v>3854</v>
      </c>
      <c r="N127" s="26" t="s">
        <v>3854</v>
      </c>
      <c r="O127" s="26" t="s">
        <v>3854</v>
      </c>
      <c r="P127" s="26" t="s">
        <v>3856</v>
      </c>
      <c r="Q127" s="26" t="s">
        <v>3854</v>
      </c>
      <c r="R127" s="26"/>
      <c r="S127" s="34"/>
      <c r="T127" s="31" t="s">
        <v>3855</v>
      </c>
    </row>
    <row r="128">
      <c r="A128" s="34" t="s">
        <v>1551</v>
      </c>
      <c r="B128" s="34" t="s">
        <v>1552</v>
      </c>
      <c r="C128" s="41">
        <v>45842.0</v>
      </c>
      <c r="D128" s="26"/>
      <c r="E128" s="41" t="s">
        <v>3851</v>
      </c>
      <c r="F128" s="34"/>
      <c r="G128" s="57" t="s">
        <v>3852</v>
      </c>
      <c r="H128" s="48" t="s">
        <v>3853</v>
      </c>
      <c r="I128" s="26" t="s">
        <v>3856</v>
      </c>
      <c r="J128" s="26" t="s">
        <v>3856</v>
      </c>
      <c r="K128" s="26" t="s">
        <v>3856</v>
      </c>
      <c r="L128" s="26" t="s">
        <v>3854</v>
      </c>
      <c r="M128" s="26" t="s">
        <v>3856</v>
      </c>
      <c r="N128" s="26" t="s">
        <v>3854</v>
      </c>
      <c r="O128" s="26" t="s">
        <v>3854</v>
      </c>
      <c r="P128" s="26" t="s">
        <v>3854</v>
      </c>
      <c r="Q128" s="26" t="s">
        <v>3854</v>
      </c>
      <c r="R128" s="26"/>
      <c r="S128" s="34"/>
      <c r="T128" s="31" t="s">
        <v>3855</v>
      </c>
    </row>
    <row r="129">
      <c r="A129" s="34" t="s">
        <v>3922</v>
      </c>
      <c r="B129" s="34" t="s">
        <v>2896</v>
      </c>
      <c r="C129" s="41">
        <v>45845.0</v>
      </c>
      <c r="D129" s="26"/>
      <c r="E129" s="41" t="s">
        <v>3851</v>
      </c>
      <c r="F129" s="34"/>
      <c r="G129" s="57" t="s">
        <v>3852</v>
      </c>
      <c r="H129" s="48" t="s">
        <v>3853</v>
      </c>
      <c r="I129" s="26" t="s">
        <v>3856</v>
      </c>
      <c r="J129" s="26" t="s">
        <v>3854</v>
      </c>
      <c r="K129" s="26" t="s">
        <v>3856</v>
      </c>
      <c r="L129" s="26" t="s">
        <v>3854</v>
      </c>
      <c r="M129" s="26" t="s">
        <v>3854</v>
      </c>
      <c r="N129" s="26" t="s">
        <v>3854</v>
      </c>
      <c r="O129" s="26" t="s">
        <v>3854</v>
      </c>
      <c r="P129" s="26" t="s">
        <v>3854</v>
      </c>
      <c r="Q129" s="26" t="s">
        <v>3854</v>
      </c>
      <c r="R129" s="26"/>
      <c r="S129" s="34"/>
      <c r="T129" s="31" t="s">
        <v>3855</v>
      </c>
    </row>
    <row r="130">
      <c r="A130" s="34" t="s">
        <v>1394</v>
      </c>
      <c r="B130" s="34" t="s">
        <v>1395</v>
      </c>
      <c r="C130" s="41">
        <v>45846.0</v>
      </c>
      <c r="D130" s="26"/>
      <c r="E130" s="41" t="s">
        <v>3851</v>
      </c>
      <c r="F130" s="34"/>
      <c r="G130" s="57" t="s">
        <v>3852</v>
      </c>
      <c r="H130" s="48" t="s">
        <v>3853</v>
      </c>
      <c r="I130" s="26" t="s">
        <v>3856</v>
      </c>
      <c r="J130" s="26" t="s">
        <v>3854</v>
      </c>
      <c r="K130" s="26" t="s">
        <v>3856</v>
      </c>
      <c r="L130" s="26" t="s">
        <v>3854</v>
      </c>
      <c r="M130" s="26" t="s">
        <v>3854</v>
      </c>
      <c r="N130" s="26" t="s">
        <v>3854</v>
      </c>
      <c r="O130" s="26" t="s">
        <v>3854</v>
      </c>
      <c r="P130" s="26" t="s">
        <v>3854</v>
      </c>
      <c r="Q130" s="26" t="s">
        <v>3856</v>
      </c>
      <c r="R130" s="26"/>
      <c r="S130" s="34"/>
      <c r="T130" s="31" t="s">
        <v>3855</v>
      </c>
    </row>
    <row r="131">
      <c r="A131" s="34" t="s">
        <v>1316</v>
      </c>
      <c r="B131" s="34" t="s">
        <v>1317</v>
      </c>
      <c r="C131" s="41">
        <v>45846.0</v>
      </c>
      <c r="D131" s="26"/>
      <c r="E131" s="41" t="s">
        <v>3851</v>
      </c>
      <c r="F131" s="34"/>
      <c r="G131" s="57" t="s">
        <v>3852</v>
      </c>
      <c r="H131" s="48" t="s">
        <v>3853</v>
      </c>
      <c r="I131" s="26" t="s">
        <v>3856</v>
      </c>
      <c r="J131" s="26" t="s">
        <v>3854</v>
      </c>
      <c r="K131" s="26" t="s">
        <v>3856</v>
      </c>
      <c r="L131" s="26" t="s">
        <v>3854</v>
      </c>
      <c r="M131" s="26" t="s">
        <v>3856</v>
      </c>
      <c r="N131" s="26" t="s">
        <v>3854</v>
      </c>
      <c r="O131" s="26" t="s">
        <v>3854</v>
      </c>
      <c r="P131" s="26" t="s">
        <v>3854</v>
      </c>
      <c r="Q131" s="26" t="s">
        <v>3854</v>
      </c>
      <c r="R131" s="26"/>
      <c r="S131" s="34"/>
      <c r="T131" s="31" t="s">
        <v>3855</v>
      </c>
    </row>
    <row r="132">
      <c r="A132" s="34" t="s">
        <v>1845</v>
      </c>
      <c r="B132" s="34" t="s">
        <v>1846</v>
      </c>
      <c r="C132" s="41">
        <v>45848.0</v>
      </c>
      <c r="D132" s="26"/>
      <c r="E132" s="41" t="s">
        <v>3851</v>
      </c>
      <c r="F132" s="34"/>
      <c r="G132" s="57" t="s">
        <v>3852</v>
      </c>
      <c r="H132" s="48" t="s">
        <v>3853</v>
      </c>
      <c r="I132" s="26" t="s">
        <v>3856</v>
      </c>
      <c r="J132" s="26" t="s">
        <v>3854</v>
      </c>
      <c r="K132" s="26" t="s">
        <v>3856</v>
      </c>
      <c r="L132" s="26" t="s">
        <v>3854</v>
      </c>
      <c r="M132" s="26" t="s">
        <v>3854</v>
      </c>
      <c r="N132" s="26" t="s">
        <v>3854</v>
      </c>
      <c r="O132" s="26" t="s">
        <v>3856</v>
      </c>
      <c r="P132" s="26" t="s">
        <v>3856</v>
      </c>
      <c r="Q132" s="26" t="s">
        <v>3854</v>
      </c>
      <c r="R132" s="26"/>
      <c r="S132" s="34"/>
      <c r="T132" s="31" t="s">
        <v>3855</v>
      </c>
    </row>
    <row r="133">
      <c r="A133" s="34" t="s">
        <v>1795</v>
      </c>
      <c r="B133" s="34" t="s">
        <v>1796</v>
      </c>
      <c r="C133" s="41">
        <v>45849.0</v>
      </c>
      <c r="D133" s="26"/>
      <c r="E133" s="41" t="s">
        <v>3851</v>
      </c>
      <c r="F133" s="34"/>
      <c r="G133" s="57" t="s">
        <v>3852</v>
      </c>
      <c r="H133" s="48" t="s">
        <v>3853</v>
      </c>
      <c r="I133" s="26" t="s">
        <v>3856</v>
      </c>
      <c r="J133" s="26" t="s">
        <v>3856</v>
      </c>
      <c r="K133" s="26" t="s">
        <v>3856</v>
      </c>
      <c r="L133" s="26" t="s">
        <v>3854</v>
      </c>
      <c r="M133" s="26" t="s">
        <v>3854</v>
      </c>
      <c r="N133" s="26" t="s">
        <v>3854</v>
      </c>
      <c r="O133" s="26" t="s">
        <v>3854</v>
      </c>
      <c r="P133" s="26" t="s">
        <v>3854</v>
      </c>
      <c r="Q133" s="26" t="s">
        <v>3854</v>
      </c>
      <c r="R133" s="26"/>
      <c r="S133" s="34"/>
      <c r="T133" s="31" t="s">
        <v>3855</v>
      </c>
    </row>
    <row r="134">
      <c r="A134" s="34" t="s">
        <v>1280</v>
      </c>
      <c r="B134" s="34" t="s">
        <v>1281</v>
      </c>
      <c r="C134" s="41">
        <v>45849.0</v>
      </c>
      <c r="D134" s="26"/>
      <c r="E134" s="41" t="s">
        <v>3851</v>
      </c>
      <c r="F134" s="34"/>
      <c r="G134" s="57" t="s">
        <v>3852</v>
      </c>
      <c r="H134" s="48" t="s">
        <v>3853</v>
      </c>
      <c r="I134" s="26" t="s">
        <v>3856</v>
      </c>
      <c r="J134" s="26" t="s">
        <v>3854</v>
      </c>
      <c r="K134" s="26" t="s">
        <v>3856</v>
      </c>
      <c r="L134" s="26" t="s">
        <v>3854</v>
      </c>
      <c r="M134" s="26" t="s">
        <v>3854</v>
      </c>
      <c r="N134" s="26" t="s">
        <v>3854</v>
      </c>
      <c r="O134" s="26" t="s">
        <v>3854</v>
      </c>
      <c r="P134" s="26" t="s">
        <v>3854</v>
      </c>
      <c r="Q134" s="26" t="s">
        <v>3854</v>
      </c>
      <c r="R134" s="26"/>
      <c r="S134" s="34"/>
      <c r="T134" s="31" t="s">
        <v>3855</v>
      </c>
    </row>
    <row r="135">
      <c r="A135" s="34" t="s">
        <v>1803</v>
      </c>
      <c r="B135" s="34" t="s">
        <v>1804</v>
      </c>
      <c r="C135" s="41">
        <v>45849.0</v>
      </c>
      <c r="D135" s="26"/>
      <c r="E135" s="41" t="s">
        <v>3851</v>
      </c>
      <c r="F135" s="34"/>
      <c r="G135" s="57" t="s">
        <v>3852</v>
      </c>
      <c r="H135" s="48" t="s">
        <v>3853</v>
      </c>
      <c r="I135" s="26" t="s">
        <v>3856</v>
      </c>
      <c r="J135" s="26" t="s">
        <v>3854</v>
      </c>
      <c r="K135" s="26" t="s">
        <v>3856</v>
      </c>
      <c r="L135" s="26" t="s">
        <v>3854</v>
      </c>
      <c r="M135" s="26" t="s">
        <v>3854</v>
      </c>
      <c r="N135" s="26" t="s">
        <v>3854</v>
      </c>
      <c r="O135" s="26" t="s">
        <v>3854</v>
      </c>
      <c r="P135" s="26" t="s">
        <v>3854</v>
      </c>
      <c r="Q135" s="26" t="s">
        <v>3854</v>
      </c>
      <c r="R135" s="26"/>
      <c r="S135" s="34"/>
      <c r="T135" s="31" t="s">
        <v>3855</v>
      </c>
    </row>
    <row r="136">
      <c r="A136" s="34" t="s">
        <v>1332</v>
      </c>
      <c r="B136" s="34" t="s">
        <v>1333</v>
      </c>
      <c r="C136" s="41">
        <v>45853.0</v>
      </c>
      <c r="D136" s="26"/>
      <c r="E136" s="41" t="s">
        <v>3851</v>
      </c>
      <c r="F136" s="34"/>
      <c r="G136" s="57" t="s">
        <v>3852</v>
      </c>
      <c r="H136" s="48" t="s">
        <v>3853</v>
      </c>
      <c r="I136" s="26" t="s">
        <v>3856</v>
      </c>
      <c r="J136" s="26" t="s">
        <v>3856</v>
      </c>
      <c r="K136" s="26" t="s">
        <v>3856</v>
      </c>
      <c r="L136" s="26" t="s">
        <v>3854</v>
      </c>
      <c r="M136" s="26" t="s">
        <v>3854</v>
      </c>
      <c r="N136" s="26" t="s">
        <v>3854</v>
      </c>
      <c r="O136" s="26" t="s">
        <v>3854</v>
      </c>
      <c r="P136" s="26" t="s">
        <v>3854</v>
      </c>
      <c r="Q136" s="26" t="s">
        <v>3854</v>
      </c>
      <c r="R136" s="26"/>
      <c r="S136" s="34"/>
      <c r="T136" s="31" t="s">
        <v>3855</v>
      </c>
    </row>
    <row r="137">
      <c r="A137" s="34" t="s">
        <v>3923</v>
      </c>
      <c r="B137" s="34" t="s">
        <v>1722</v>
      </c>
      <c r="C137" s="41">
        <v>45856.0</v>
      </c>
      <c r="D137" s="26"/>
      <c r="E137" s="37" t="s">
        <v>3851</v>
      </c>
      <c r="F137" s="34"/>
      <c r="G137" s="57" t="s">
        <v>3852</v>
      </c>
      <c r="H137" s="48" t="s">
        <v>3853</v>
      </c>
      <c r="I137" s="26" t="s">
        <v>3856</v>
      </c>
      <c r="J137" s="26" t="s">
        <v>3856</v>
      </c>
      <c r="K137" s="26" t="s">
        <v>3854</v>
      </c>
      <c r="L137" s="26" t="s">
        <v>3854</v>
      </c>
      <c r="M137" s="26" t="s">
        <v>3854</v>
      </c>
      <c r="N137" s="26" t="s">
        <v>3854</v>
      </c>
      <c r="O137" s="26" t="s">
        <v>3854</v>
      </c>
      <c r="P137" s="26" t="s">
        <v>3854</v>
      </c>
      <c r="Q137" s="26" t="s">
        <v>3854</v>
      </c>
      <c r="R137" s="26"/>
      <c r="S137" s="34"/>
      <c r="T137" s="31" t="s">
        <v>3855</v>
      </c>
    </row>
    <row r="138">
      <c r="A138" s="34" t="s">
        <v>1821</v>
      </c>
      <c r="B138" s="34" t="s">
        <v>1822</v>
      </c>
      <c r="C138" s="41">
        <v>45860.0</v>
      </c>
      <c r="D138" s="26"/>
      <c r="E138" s="41" t="s">
        <v>3851</v>
      </c>
      <c r="F138" s="34"/>
      <c r="G138" s="57" t="s">
        <v>3852</v>
      </c>
      <c r="H138" s="48" t="s">
        <v>3853</v>
      </c>
      <c r="I138" s="26" t="s">
        <v>3856</v>
      </c>
      <c r="J138" s="26" t="s">
        <v>3856</v>
      </c>
      <c r="K138" s="26" t="s">
        <v>3856</v>
      </c>
      <c r="L138" s="26" t="s">
        <v>3854</v>
      </c>
      <c r="M138" s="26" t="s">
        <v>3854</v>
      </c>
      <c r="N138" s="26" t="s">
        <v>3854</v>
      </c>
      <c r="O138" s="26" t="s">
        <v>3854</v>
      </c>
      <c r="P138" s="26" t="s">
        <v>3854</v>
      </c>
      <c r="Q138" s="26" t="s">
        <v>3856</v>
      </c>
      <c r="R138" s="26"/>
      <c r="S138" s="34"/>
      <c r="T138" s="31" t="s">
        <v>3855</v>
      </c>
    </row>
    <row r="139">
      <c r="A139" s="34" t="s">
        <v>1543</v>
      </c>
      <c r="B139" s="34" t="s">
        <v>1544</v>
      </c>
      <c r="C139" s="41">
        <v>45860.0</v>
      </c>
      <c r="D139" s="26"/>
      <c r="E139" s="41" t="s">
        <v>3851</v>
      </c>
      <c r="F139" s="34"/>
      <c r="G139" s="57" t="s">
        <v>3852</v>
      </c>
      <c r="H139" s="48" t="s">
        <v>3853</v>
      </c>
      <c r="I139" s="26" t="s">
        <v>3856</v>
      </c>
      <c r="J139" s="26" t="s">
        <v>3854</v>
      </c>
      <c r="K139" s="26" t="s">
        <v>3856</v>
      </c>
      <c r="L139" s="26" t="s">
        <v>3854</v>
      </c>
      <c r="M139" s="26" t="s">
        <v>3854</v>
      </c>
      <c r="N139" s="26" t="s">
        <v>3854</v>
      </c>
      <c r="O139" s="26" t="s">
        <v>3854</v>
      </c>
      <c r="P139" s="26" t="s">
        <v>3854</v>
      </c>
      <c r="Q139" s="26" t="s">
        <v>3854</v>
      </c>
      <c r="R139" s="26"/>
      <c r="S139" s="34"/>
      <c r="T139" s="31" t="s">
        <v>3855</v>
      </c>
    </row>
    <row r="140">
      <c r="A140" s="34" t="s">
        <v>3924</v>
      </c>
      <c r="B140" s="34" t="s">
        <v>1470</v>
      </c>
      <c r="C140" s="41">
        <v>45862.0</v>
      </c>
      <c r="D140" s="26"/>
      <c r="E140" s="41" t="s">
        <v>3851</v>
      </c>
      <c r="F140" s="34"/>
      <c r="G140" s="57" t="s">
        <v>3852</v>
      </c>
      <c r="H140" s="48" t="s">
        <v>3853</v>
      </c>
      <c r="I140" s="26" t="s">
        <v>3856</v>
      </c>
      <c r="J140" s="26" t="s">
        <v>3854</v>
      </c>
      <c r="K140" s="26" t="s">
        <v>3854</v>
      </c>
      <c r="L140" s="26" t="s">
        <v>3854</v>
      </c>
      <c r="M140" s="26" t="s">
        <v>3854</v>
      </c>
      <c r="N140" s="26" t="s">
        <v>3854</v>
      </c>
      <c r="O140" s="26" t="s">
        <v>3856</v>
      </c>
      <c r="P140" s="26" t="s">
        <v>3854</v>
      </c>
      <c r="Q140" s="26" t="s">
        <v>3854</v>
      </c>
      <c r="R140" s="26"/>
      <c r="S140" s="34"/>
      <c r="T140" s="31" t="s">
        <v>3855</v>
      </c>
    </row>
    <row r="141">
      <c r="A141" s="34" t="s">
        <v>1691</v>
      </c>
      <c r="B141" s="34" t="s">
        <v>1692</v>
      </c>
      <c r="C141" s="41">
        <v>45863.0</v>
      </c>
      <c r="D141" s="26"/>
      <c r="E141" s="41" t="s">
        <v>3851</v>
      </c>
      <c r="F141" s="34"/>
      <c r="G141" s="57" t="s">
        <v>3852</v>
      </c>
      <c r="H141" s="48" t="s">
        <v>3853</v>
      </c>
      <c r="I141" s="26" t="s">
        <v>3856</v>
      </c>
      <c r="J141" s="26" t="s">
        <v>3854</v>
      </c>
      <c r="K141" s="26" t="s">
        <v>3856</v>
      </c>
      <c r="L141" s="26" t="s">
        <v>3854</v>
      </c>
      <c r="M141" s="26" t="s">
        <v>3854</v>
      </c>
      <c r="N141" s="26" t="s">
        <v>3854</v>
      </c>
      <c r="O141" s="26" t="s">
        <v>3856</v>
      </c>
      <c r="P141" s="26" t="s">
        <v>3854</v>
      </c>
      <c r="Q141" s="26" t="s">
        <v>3854</v>
      </c>
      <c r="R141" s="26"/>
      <c r="S141" s="34"/>
      <c r="T141" s="31" t="s">
        <v>3855</v>
      </c>
    </row>
    <row r="142">
      <c r="A142" s="34" t="s">
        <v>1227</v>
      </c>
      <c r="B142" s="34" t="s">
        <v>1228</v>
      </c>
      <c r="C142" s="41">
        <v>45863.0</v>
      </c>
      <c r="D142" s="26"/>
      <c r="E142" s="41" t="s">
        <v>3851</v>
      </c>
      <c r="F142" s="34"/>
      <c r="G142" s="57" t="s">
        <v>3852</v>
      </c>
      <c r="H142" s="48" t="s">
        <v>3853</v>
      </c>
      <c r="I142" s="26" t="s">
        <v>3856</v>
      </c>
      <c r="J142" s="26" t="s">
        <v>3854</v>
      </c>
      <c r="K142" s="26" t="s">
        <v>3856</v>
      </c>
      <c r="L142" s="26" t="s">
        <v>3854</v>
      </c>
      <c r="M142" s="26" t="s">
        <v>3854</v>
      </c>
      <c r="N142" s="26" t="s">
        <v>3854</v>
      </c>
      <c r="O142" s="26" t="s">
        <v>3854</v>
      </c>
      <c r="P142" s="26" t="s">
        <v>3854</v>
      </c>
      <c r="Q142" s="26" t="s">
        <v>3854</v>
      </c>
      <c r="R142" s="26"/>
      <c r="S142" s="34"/>
      <c r="T142" s="31" t="s">
        <v>3855</v>
      </c>
    </row>
    <row r="143">
      <c r="A143" s="34" t="s">
        <v>1828</v>
      </c>
      <c r="B143" s="34" t="s">
        <v>1829</v>
      </c>
      <c r="C143" s="41">
        <v>45863.0</v>
      </c>
      <c r="D143" s="26"/>
      <c r="E143" s="41" t="s">
        <v>3851</v>
      </c>
      <c r="F143" s="34"/>
      <c r="G143" s="57" t="s">
        <v>3852</v>
      </c>
      <c r="H143" s="48" t="s">
        <v>3853</v>
      </c>
      <c r="I143" s="26" t="s">
        <v>3856</v>
      </c>
      <c r="J143" s="26" t="s">
        <v>3854</v>
      </c>
      <c r="K143" s="26" t="s">
        <v>3856</v>
      </c>
      <c r="L143" s="26" t="s">
        <v>3854</v>
      </c>
      <c r="M143" s="26" t="s">
        <v>3854</v>
      </c>
      <c r="N143" s="26" t="s">
        <v>3854</v>
      </c>
      <c r="O143" s="26" t="s">
        <v>3854</v>
      </c>
      <c r="P143" s="26" t="s">
        <v>3854</v>
      </c>
      <c r="Q143" s="26" t="s">
        <v>3854</v>
      </c>
      <c r="R143" s="26"/>
      <c r="S143" s="34"/>
      <c r="T143" s="31" t="s">
        <v>3855</v>
      </c>
    </row>
    <row r="144">
      <c r="A144" s="34" t="s">
        <v>2937</v>
      </c>
      <c r="B144" s="34" t="s">
        <v>2938</v>
      </c>
      <c r="C144" s="41">
        <v>45863.0</v>
      </c>
      <c r="D144" s="26"/>
      <c r="E144" s="41" t="s">
        <v>3851</v>
      </c>
      <c r="F144" s="34"/>
      <c r="G144" s="57" t="s">
        <v>3852</v>
      </c>
      <c r="H144" s="48" t="s">
        <v>3853</v>
      </c>
      <c r="I144" s="26" t="s">
        <v>3856</v>
      </c>
      <c r="J144" s="26" t="s">
        <v>3854</v>
      </c>
      <c r="K144" s="26" t="s">
        <v>3856</v>
      </c>
      <c r="L144" s="26" t="s">
        <v>3854</v>
      </c>
      <c r="M144" s="26" t="s">
        <v>3854</v>
      </c>
      <c r="N144" s="26" t="s">
        <v>3854</v>
      </c>
      <c r="O144" s="26" t="s">
        <v>3854</v>
      </c>
      <c r="P144" s="26" t="s">
        <v>3854</v>
      </c>
      <c r="Q144" s="26" t="s">
        <v>3854</v>
      </c>
      <c r="R144" s="26"/>
      <c r="S144" s="34"/>
      <c r="T144" s="31" t="s">
        <v>3855</v>
      </c>
    </row>
    <row r="145">
      <c r="A145" s="34" t="s">
        <v>1571</v>
      </c>
      <c r="B145" s="34" t="s">
        <v>1572</v>
      </c>
      <c r="C145" s="41">
        <v>45863.0</v>
      </c>
      <c r="D145" s="26"/>
      <c r="E145" s="41" t="s">
        <v>3851</v>
      </c>
      <c r="F145" s="34"/>
      <c r="G145" s="57" t="s">
        <v>3852</v>
      </c>
      <c r="H145" s="48" t="s">
        <v>3853</v>
      </c>
      <c r="I145" s="26" t="s">
        <v>3856</v>
      </c>
      <c r="J145" s="26" t="s">
        <v>3854</v>
      </c>
      <c r="K145" s="26" t="s">
        <v>3854</v>
      </c>
      <c r="L145" s="26" t="s">
        <v>3854</v>
      </c>
      <c r="M145" s="26" t="s">
        <v>3854</v>
      </c>
      <c r="N145" s="26" t="s">
        <v>3854</v>
      </c>
      <c r="O145" s="26" t="s">
        <v>3854</v>
      </c>
      <c r="P145" s="26" t="s">
        <v>3854</v>
      </c>
      <c r="Q145" s="26" t="s">
        <v>3854</v>
      </c>
      <c r="R145" s="26"/>
      <c r="S145" s="34"/>
      <c r="T145" s="31" t="s">
        <v>3855</v>
      </c>
    </row>
    <row r="146">
      <c r="A146" s="34" t="s">
        <v>2889</v>
      </c>
      <c r="B146" s="34" t="s">
        <v>2890</v>
      </c>
      <c r="C146" s="41">
        <v>45867.0</v>
      </c>
      <c r="D146" s="26"/>
      <c r="E146" s="41" t="s">
        <v>3851</v>
      </c>
      <c r="F146" s="34"/>
      <c r="G146" s="57" t="s">
        <v>3852</v>
      </c>
      <c r="H146" s="48" t="s">
        <v>3853</v>
      </c>
      <c r="I146" s="26" t="s">
        <v>3856</v>
      </c>
      <c r="J146" s="26" t="s">
        <v>3856</v>
      </c>
      <c r="K146" s="26" t="s">
        <v>3854</v>
      </c>
      <c r="L146" s="26" t="s">
        <v>3854</v>
      </c>
      <c r="M146" s="26" t="s">
        <v>3854</v>
      </c>
      <c r="N146" s="26" t="s">
        <v>3854</v>
      </c>
      <c r="O146" s="26" t="s">
        <v>3854</v>
      </c>
      <c r="P146" s="26" t="s">
        <v>3854</v>
      </c>
      <c r="Q146" s="26" t="s">
        <v>3854</v>
      </c>
      <c r="R146" s="26"/>
      <c r="S146" s="34"/>
      <c r="T146" s="31" t="s">
        <v>3855</v>
      </c>
    </row>
    <row r="147">
      <c r="A147" s="34" t="s">
        <v>1671</v>
      </c>
      <c r="B147" s="34" t="s">
        <v>1672</v>
      </c>
      <c r="C147" s="41">
        <v>45869.0</v>
      </c>
      <c r="D147" s="26"/>
      <c r="E147" s="37" t="s">
        <v>3851</v>
      </c>
      <c r="F147" s="34"/>
      <c r="G147" s="57" t="s">
        <v>3852</v>
      </c>
      <c r="H147" s="48" t="s">
        <v>3853</v>
      </c>
      <c r="I147" s="26" t="s">
        <v>3856</v>
      </c>
      <c r="J147" s="26" t="s">
        <v>3854</v>
      </c>
      <c r="K147" s="26" t="s">
        <v>3856</v>
      </c>
      <c r="L147" s="26" t="s">
        <v>3854</v>
      </c>
      <c r="M147" s="26" t="s">
        <v>3854</v>
      </c>
      <c r="N147" s="26" t="s">
        <v>3854</v>
      </c>
      <c r="O147" s="26" t="s">
        <v>3854</v>
      </c>
      <c r="P147" s="26" t="s">
        <v>3854</v>
      </c>
      <c r="Q147" s="26" t="s">
        <v>3856</v>
      </c>
      <c r="R147" s="26"/>
      <c r="S147" s="34"/>
      <c r="T147" s="31" t="s">
        <v>3855</v>
      </c>
    </row>
    <row r="148">
      <c r="A148" s="34" t="s">
        <v>1578</v>
      </c>
      <c r="B148" s="34" t="s">
        <v>1579</v>
      </c>
      <c r="C148" s="41">
        <v>45869.0</v>
      </c>
      <c r="D148" s="26"/>
      <c r="E148" s="41" t="s">
        <v>3851</v>
      </c>
      <c r="F148" s="34"/>
      <c r="G148" s="57" t="s">
        <v>3852</v>
      </c>
      <c r="H148" s="48" t="s">
        <v>3853</v>
      </c>
      <c r="I148" s="26" t="s">
        <v>3856</v>
      </c>
      <c r="J148" s="26" t="s">
        <v>3854</v>
      </c>
      <c r="K148" s="26" t="s">
        <v>3856</v>
      </c>
      <c r="L148" s="26" t="s">
        <v>3854</v>
      </c>
      <c r="M148" s="26" t="s">
        <v>3854</v>
      </c>
      <c r="N148" s="26" t="s">
        <v>3854</v>
      </c>
      <c r="O148" s="26" t="s">
        <v>3854</v>
      </c>
      <c r="P148" s="26" t="s">
        <v>3854</v>
      </c>
      <c r="Q148" s="26" t="s">
        <v>3854</v>
      </c>
      <c r="R148" s="26"/>
      <c r="S148" s="34"/>
      <c r="T148" s="31" t="s">
        <v>3855</v>
      </c>
    </row>
    <row r="149">
      <c r="A149" s="34" t="s">
        <v>1357</v>
      </c>
      <c r="B149" s="34" t="s">
        <v>1358</v>
      </c>
      <c r="C149" s="41">
        <v>45875.0</v>
      </c>
      <c r="D149" s="26"/>
      <c r="E149" s="41" t="s">
        <v>3851</v>
      </c>
      <c r="F149" s="34"/>
      <c r="G149" s="57" t="s">
        <v>3852</v>
      </c>
      <c r="H149" s="48" t="s">
        <v>3853</v>
      </c>
      <c r="I149" s="26" t="s">
        <v>3856</v>
      </c>
      <c r="J149" s="26" t="s">
        <v>3854</v>
      </c>
      <c r="K149" s="26" t="s">
        <v>3856</v>
      </c>
      <c r="L149" s="26" t="s">
        <v>3854</v>
      </c>
      <c r="M149" s="26" t="s">
        <v>3854</v>
      </c>
      <c r="N149" s="26" t="s">
        <v>3854</v>
      </c>
      <c r="O149" s="26" t="s">
        <v>3856</v>
      </c>
      <c r="P149" s="26" t="s">
        <v>3856</v>
      </c>
      <c r="Q149" s="26" t="s">
        <v>3856</v>
      </c>
      <c r="R149" s="26"/>
      <c r="S149" s="34"/>
      <c r="T149" s="31" t="s">
        <v>3855</v>
      </c>
    </row>
    <row r="150">
      <c r="A150" s="34" t="s">
        <v>3925</v>
      </c>
      <c r="B150" s="34" t="s">
        <v>2981</v>
      </c>
      <c r="C150" s="41">
        <v>45877.0</v>
      </c>
      <c r="D150" s="26"/>
      <c r="E150" s="41" t="s">
        <v>3851</v>
      </c>
      <c r="F150" s="34"/>
      <c r="G150" s="57" t="s">
        <v>3852</v>
      </c>
      <c r="H150" s="48" t="s">
        <v>3853</v>
      </c>
      <c r="I150" s="26" t="s">
        <v>3856</v>
      </c>
      <c r="J150" s="26" t="s">
        <v>3854</v>
      </c>
      <c r="K150" s="26" t="s">
        <v>3856</v>
      </c>
      <c r="L150" s="26" t="s">
        <v>3854</v>
      </c>
      <c r="M150" s="26" t="s">
        <v>3854</v>
      </c>
      <c r="N150" s="26" t="s">
        <v>3854</v>
      </c>
      <c r="O150" s="26" t="s">
        <v>3854</v>
      </c>
      <c r="P150" s="26" t="s">
        <v>3854</v>
      </c>
      <c r="Q150" s="26" t="s">
        <v>3854</v>
      </c>
      <c r="R150" s="26"/>
      <c r="S150" s="34"/>
      <c r="T150" s="31" t="s">
        <v>3855</v>
      </c>
    </row>
    <row r="151">
      <c r="A151" s="34" t="s">
        <v>1545</v>
      </c>
      <c r="B151" s="34" t="s">
        <v>1546</v>
      </c>
      <c r="C151" s="41">
        <v>45879.0</v>
      </c>
      <c r="D151" s="26"/>
      <c r="E151" s="41" t="s">
        <v>3851</v>
      </c>
      <c r="F151" s="34"/>
      <c r="G151" s="57" t="s">
        <v>3852</v>
      </c>
      <c r="H151" s="48" t="s">
        <v>3853</v>
      </c>
      <c r="I151" s="26" t="s">
        <v>3856</v>
      </c>
      <c r="J151" s="26" t="s">
        <v>3854</v>
      </c>
      <c r="K151" s="26" t="s">
        <v>3854</v>
      </c>
      <c r="L151" s="26" t="s">
        <v>3854</v>
      </c>
      <c r="M151" s="26" t="s">
        <v>3854</v>
      </c>
      <c r="N151" s="26" t="s">
        <v>3854</v>
      </c>
      <c r="O151" s="26" t="s">
        <v>3854</v>
      </c>
      <c r="P151" s="26" t="s">
        <v>3854</v>
      </c>
      <c r="Q151" s="26" t="s">
        <v>3854</v>
      </c>
      <c r="R151" s="26"/>
      <c r="S151" s="31"/>
      <c r="T151" s="31" t="s">
        <v>3855</v>
      </c>
    </row>
    <row r="152">
      <c r="A152" s="34" t="s">
        <v>1507</v>
      </c>
      <c r="B152" s="34" t="s">
        <v>1508</v>
      </c>
      <c r="C152" s="41">
        <v>45880.0</v>
      </c>
      <c r="D152" s="26"/>
      <c r="E152" s="58" t="str">
        <f>VLOOKUP(B152,AT_Data!A:D,4,0)</f>
        <v>Hold</v>
      </c>
      <c r="F152" s="34" t="str">
        <f>VLOOKUP(B152,'On-Boarding'!C:D,2,0)</f>
        <v>Org</v>
      </c>
      <c r="G152" s="59" t="s">
        <v>3875</v>
      </c>
      <c r="H152" s="48" t="s">
        <v>3876</v>
      </c>
      <c r="I152" s="26" t="s">
        <v>3856</v>
      </c>
      <c r="J152" s="26" t="s">
        <v>3854</v>
      </c>
      <c r="K152" s="26" t="s">
        <v>3856</v>
      </c>
      <c r="L152" s="26" t="s">
        <v>3854</v>
      </c>
      <c r="M152" s="26" t="s">
        <v>3854</v>
      </c>
      <c r="N152" s="26" t="s">
        <v>3854</v>
      </c>
      <c r="O152" s="26" t="s">
        <v>3854</v>
      </c>
      <c r="P152" s="26" t="s">
        <v>3854</v>
      </c>
      <c r="Q152" s="26" t="s">
        <v>3854</v>
      </c>
      <c r="R152" s="26"/>
      <c r="S152" s="34"/>
      <c r="T152" s="31" t="s">
        <v>3855</v>
      </c>
    </row>
    <row r="153">
      <c r="A153" s="34" t="s">
        <v>1807</v>
      </c>
      <c r="B153" s="34" t="s">
        <v>1808</v>
      </c>
      <c r="C153" s="41">
        <v>45883.0</v>
      </c>
      <c r="D153" s="26"/>
      <c r="E153" s="41" t="s">
        <v>3851</v>
      </c>
      <c r="F153" s="34"/>
      <c r="G153" s="57" t="s">
        <v>3852</v>
      </c>
      <c r="H153" s="48" t="s">
        <v>3853</v>
      </c>
      <c r="I153" s="26" t="s">
        <v>3856</v>
      </c>
      <c r="J153" s="26" t="s">
        <v>3856</v>
      </c>
      <c r="K153" s="26" t="s">
        <v>3854</v>
      </c>
      <c r="L153" s="26" t="s">
        <v>3854</v>
      </c>
      <c r="M153" s="26" t="s">
        <v>3854</v>
      </c>
      <c r="N153" s="26" t="s">
        <v>3854</v>
      </c>
      <c r="O153" s="26" t="s">
        <v>3854</v>
      </c>
      <c r="P153" s="26" t="s">
        <v>3856</v>
      </c>
      <c r="Q153" s="26" t="s">
        <v>3854</v>
      </c>
      <c r="R153" s="26"/>
      <c r="S153" s="31"/>
      <c r="T153" s="31" t="s">
        <v>3855</v>
      </c>
    </row>
    <row r="154">
      <c r="A154" s="34" t="s">
        <v>1414</v>
      </c>
      <c r="B154" s="34" t="s">
        <v>1415</v>
      </c>
      <c r="C154" s="41">
        <v>45883.0</v>
      </c>
      <c r="D154" s="26"/>
      <c r="E154" s="41" t="s">
        <v>3851</v>
      </c>
      <c r="F154" s="34"/>
      <c r="G154" s="57" t="s">
        <v>3852</v>
      </c>
      <c r="H154" s="48" t="s">
        <v>3853</v>
      </c>
      <c r="I154" s="26" t="s">
        <v>3856</v>
      </c>
      <c r="J154" s="26" t="s">
        <v>3856</v>
      </c>
      <c r="K154" s="26" t="s">
        <v>3854</v>
      </c>
      <c r="L154" s="26" t="s">
        <v>3854</v>
      </c>
      <c r="M154" s="26" t="s">
        <v>3854</v>
      </c>
      <c r="N154" s="26" t="s">
        <v>3854</v>
      </c>
      <c r="O154" s="26" t="s">
        <v>3854</v>
      </c>
      <c r="P154" s="26" t="s">
        <v>3854</v>
      </c>
      <c r="Q154" s="26" t="s">
        <v>3854</v>
      </c>
      <c r="R154" s="26"/>
      <c r="S154" s="31"/>
      <c r="T154" s="31" t="s">
        <v>3855</v>
      </c>
    </row>
    <row r="155">
      <c r="A155" s="34" t="s">
        <v>1504</v>
      </c>
      <c r="B155" s="34" t="s">
        <v>1505</v>
      </c>
      <c r="C155" s="41">
        <v>45883.0</v>
      </c>
      <c r="D155" s="26"/>
      <c r="E155" s="41" t="s">
        <v>3851</v>
      </c>
      <c r="F155" s="34"/>
      <c r="G155" s="57" t="s">
        <v>3852</v>
      </c>
      <c r="H155" s="48" t="s">
        <v>3853</v>
      </c>
      <c r="I155" s="26" t="s">
        <v>3856</v>
      </c>
      <c r="J155" s="26" t="s">
        <v>3856</v>
      </c>
      <c r="K155" s="26" t="s">
        <v>3856</v>
      </c>
      <c r="L155" s="26" t="s">
        <v>3854</v>
      </c>
      <c r="M155" s="26" t="s">
        <v>3854</v>
      </c>
      <c r="N155" s="26" t="s">
        <v>3854</v>
      </c>
      <c r="O155" s="26" t="s">
        <v>3854</v>
      </c>
      <c r="P155" s="26" t="s">
        <v>3856</v>
      </c>
      <c r="Q155" s="26" t="s">
        <v>3854</v>
      </c>
      <c r="R155" s="26"/>
      <c r="S155" s="31"/>
      <c r="T155" s="31" t="s">
        <v>3855</v>
      </c>
    </row>
    <row r="156">
      <c r="A156" s="34" t="s">
        <v>1805</v>
      </c>
      <c r="B156" s="34" t="s">
        <v>1806</v>
      </c>
      <c r="C156" s="41">
        <v>45883.0</v>
      </c>
      <c r="D156" s="26"/>
      <c r="E156" s="41" t="s">
        <v>3851</v>
      </c>
      <c r="F156" s="34"/>
      <c r="G156" s="57" t="s">
        <v>3852</v>
      </c>
      <c r="H156" s="48" t="s">
        <v>3853</v>
      </c>
      <c r="I156" s="26" t="s">
        <v>3856</v>
      </c>
      <c r="J156" s="26" t="s">
        <v>3854</v>
      </c>
      <c r="K156" s="26" t="s">
        <v>3856</v>
      </c>
      <c r="L156" s="26" t="s">
        <v>3854</v>
      </c>
      <c r="M156" s="26" t="s">
        <v>3854</v>
      </c>
      <c r="N156" s="26" t="s">
        <v>3854</v>
      </c>
      <c r="O156" s="26" t="s">
        <v>3854</v>
      </c>
      <c r="P156" s="26" t="s">
        <v>3854</v>
      </c>
      <c r="Q156" s="26" t="s">
        <v>3854</v>
      </c>
      <c r="R156" s="26"/>
      <c r="S156" s="31"/>
      <c r="T156" s="31" t="s">
        <v>3855</v>
      </c>
    </row>
    <row r="157">
      <c r="A157" s="34" t="s">
        <v>3074</v>
      </c>
      <c r="B157" s="34" t="s">
        <v>3075</v>
      </c>
      <c r="C157" s="41">
        <v>45891.0</v>
      </c>
      <c r="D157" s="26"/>
      <c r="E157" s="41" t="s">
        <v>3851</v>
      </c>
      <c r="F157" s="34"/>
      <c r="G157" s="57" t="s">
        <v>3852</v>
      </c>
      <c r="H157" s="48" t="s">
        <v>3853</v>
      </c>
      <c r="I157" s="26" t="s">
        <v>3856</v>
      </c>
      <c r="J157" s="26" t="s">
        <v>3856</v>
      </c>
      <c r="K157" s="26" t="s">
        <v>3856</v>
      </c>
      <c r="L157" s="26" t="s">
        <v>3854</v>
      </c>
      <c r="M157" s="26" t="s">
        <v>3854</v>
      </c>
      <c r="N157" s="26" t="s">
        <v>3854</v>
      </c>
      <c r="O157" s="26" t="s">
        <v>3854</v>
      </c>
      <c r="P157" s="26" t="s">
        <v>3854</v>
      </c>
      <c r="Q157" s="26" t="s">
        <v>3854</v>
      </c>
      <c r="R157" s="26"/>
      <c r="S157" s="31"/>
      <c r="T157" s="31" t="s">
        <v>3855</v>
      </c>
    </row>
    <row r="158">
      <c r="A158" s="34" t="s">
        <v>3166</v>
      </c>
      <c r="B158" s="34" t="s">
        <v>3167</v>
      </c>
      <c r="C158" s="41">
        <v>45891.0</v>
      </c>
      <c r="D158" s="26"/>
      <c r="E158" s="37" t="s">
        <v>3851</v>
      </c>
      <c r="F158" s="34"/>
      <c r="G158" s="57" t="s">
        <v>3852</v>
      </c>
      <c r="H158" s="48" t="s">
        <v>3853</v>
      </c>
      <c r="I158" s="26" t="s">
        <v>3856</v>
      </c>
      <c r="J158" s="26" t="s">
        <v>3854</v>
      </c>
      <c r="K158" s="26" t="s">
        <v>3854</v>
      </c>
      <c r="L158" s="26" t="s">
        <v>3854</v>
      </c>
      <c r="M158" s="26" t="s">
        <v>3854</v>
      </c>
      <c r="N158" s="26" t="s">
        <v>3854</v>
      </c>
      <c r="O158" s="26" t="s">
        <v>3854</v>
      </c>
      <c r="P158" s="26" t="s">
        <v>3854</v>
      </c>
      <c r="Q158" s="26" t="s">
        <v>3854</v>
      </c>
      <c r="R158" s="26"/>
      <c r="S158" s="34" t="s">
        <v>3926</v>
      </c>
      <c r="T158" s="31" t="s">
        <v>3855</v>
      </c>
    </row>
    <row r="159">
      <c r="A159" s="34" t="s">
        <v>1554</v>
      </c>
      <c r="B159" s="34" t="s">
        <v>1555</v>
      </c>
      <c r="C159" s="41">
        <v>45891.0</v>
      </c>
      <c r="D159" s="26"/>
      <c r="E159" s="41" t="s">
        <v>3851</v>
      </c>
      <c r="F159" s="34"/>
      <c r="G159" s="57" t="s">
        <v>3852</v>
      </c>
      <c r="H159" s="48" t="s">
        <v>3853</v>
      </c>
      <c r="I159" s="26" t="s">
        <v>3856</v>
      </c>
      <c r="J159" s="26" t="s">
        <v>3854</v>
      </c>
      <c r="K159" s="26" t="s">
        <v>3856</v>
      </c>
      <c r="L159" s="26" t="s">
        <v>3854</v>
      </c>
      <c r="M159" s="26" t="s">
        <v>3854</v>
      </c>
      <c r="N159" s="26" t="s">
        <v>3854</v>
      </c>
      <c r="O159" s="26" t="s">
        <v>3854</v>
      </c>
      <c r="P159" s="26" t="s">
        <v>3854</v>
      </c>
      <c r="Q159" s="26" t="s">
        <v>3854</v>
      </c>
      <c r="R159" s="26"/>
      <c r="S159" s="34" t="s">
        <v>3926</v>
      </c>
      <c r="T159" s="31" t="s">
        <v>3855</v>
      </c>
    </row>
    <row r="160">
      <c r="A160" s="34" t="s">
        <v>1758</v>
      </c>
      <c r="B160" s="34" t="s">
        <v>1759</v>
      </c>
      <c r="C160" s="41">
        <v>45891.0</v>
      </c>
      <c r="D160" s="26"/>
      <c r="E160" s="41" t="s">
        <v>3851</v>
      </c>
      <c r="F160" s="34"/>
      <c r="G160" s="57" t="s">
        <v>3852</v>
      </c>
      <c r="H160" s="48" t="s">
        <v>3853</v>
      </c>
      <c r="I160" s="26" t="s">
        <v>3856</v>
      </c>
      <c r="J160" s="26" t="s">
        <v>3854</v>
      </c>
      <c r="K160" s="26" t="s">
        <v>3856</v>
      </c>
      <c r="L160" s="26" t="s">
        <v>3854</v>
      </c>
      <c r="M160" s="26" t="s">
        <v>3854</v>
      </c>
      <c r="N160" s="26" t="s">
        <v>3854</v>
      </c>
      <c r="O160" s="26" t="s">
        <v>3854</v>
      </c>
      <c r="P160" s="26" t="s">
        <v>3854</v>
      </c>
      <c r="Q160" s="26" t="s">
        <v>3854</v>
      </c>
      <c r="R160" s="26"/>
      <c r="S160" s="34" t="s">
        <v>3926</v>
      </c>
      <c r="T160" s="31" t="s">
        <v>3855</v>
      </c>
    </row>
    <row r="161">
      <c r="A161" s="34" t="s">
        <v>1515</v>
      </c>
      <c r="B161" s="34" t="s">
        <v>1516</v>
      </c>
      <c r="C161" s="41">
        <v>45891.0</v>
      </c>
      <c r="D161" s="26"/>
      <c r="E161" s="41" t="s">
        <v>3851</v>
      </c>
      <c r="F161" s="34"/>
      <c r="G161" s="57" t="s">
        <v>3852</v>
      </c>
      <c r="H161" s="48" t="s">
        <v>3853</v>
      </c>
      <c r="I161" s="26" t="s">
        <v>3856</v>
      </c>
      <c r="J161" s="26" t="s">
        <v>3854</v>
      </c>
      <c r="K161" s="26" t="s">
        <v>3856</v>
      </c>
      <c r="L161" s="26" t="s">
        <v>3854</v>
      </c>
      <c r="M161" s="26" t="s">
        <v>3854</v>
      </c>
      <c r="N161" s="26" t="s">
        <v>3854</v>
      </c>
      <c r="O161" s="26" t="s">
        <v>3854</v>
      </c>
      <c r="P161" s="26" t="s">
        <v>3854</v>
      </c>
      <c r="Q161" s="26" t="s">
        <v>3854</v>
      </c>
      <c r="R161" s="26"/>
      <c r="S161" s="34" t="s">
        <v>3926</v>
      </c>
      <c r="T161" s="31" t="s">
        <v>3855</v>
      </c>
    </row>
    <row r="162">
      <c r="A162" s="34" t="s">
        <v>3125</v>
      </c>
      <c r="B162" s="34" t="s">
        <v>3126</v>
      </c>
      <c r="C162" s="41">
        <v>45894.0</v>
      </c>
      <c r="D162" s="26"/>
      <c r="E162" s="41" t="s">
        <v>3851</v>
      </c>
      <c r="F162" s="34"/>
      <c r="G162" s="57" t="s">
        <v>3852</v>
      </c>
      <c r="H162" s="48" t="s">
        <v>3853</v>
      </c>
      <c r="I162" s="26" t="s">
        <v>3856</v>
      </c>
      <c r="J162" s="26" t="s">
        <v>3854</v>
      </c>
      <c r="K162" s="26" t="s">
        <v>3854</v>
      </c>
      <c r="L162" s="26" t="s">
        <v>3854</v>
      </c>
      <c r="M162" s="26" t="s">
        <v>3854</v>
      </c>
      <c r="N162" s="26" t="s">
        <v>3854</v>
      </c>
      <c r="O162" s="26" t="s">
        <v>3854</v>
      </c>
      <c r="P162" s="26" t="s">
        <v>3854</v>
      </c>
      <c r="Q162" s="26" t="s">
        <v>3854</v>
      </c>
      <c r="R162" s="26"/>
      <c r="S162" s="31"/>
      <c r="T162" s="31" t="s">
        <v>3855</v>
      </c>
    </row>
    <row r="163">
      <c r="A163" s="34" t="s">
        <v>3927</v>
      </c>
      <c r="B163" s="34" t="s">
        <v>1608</v>
      </c>
      <c r="C163" s="41">
        <v>45894.0</v>
      </c>
      <c r="D163" s="26"/>
      <c r="E163" s="41" t="s">
        <v>3851</v>
      </c>
      <c r="F163" s="34"/>
      <c r="G163" s="57" t="s">
        <v>3852</v>
      </c>
      <c r="H163" s="48" t="s">
        <v>3853</v>
      </c>
      <c r="I163" s="26" t="s">
        <v>3856</v>
      </c>
      <c r="J163" s="26" t="s">
        <v>3854</v>
      </c>
      <c r="K163" s="26" t="s">
        <v>3856</v>
      </c>
      <c r="L163" s="26" t="s">
        <v>3854</v>
      </c>
      <c r="M163" s="26" t="s">
        <v>3854</v>
      </c>
      <c r="N163" s="26" t="s">
        <v>3854</v>
      </c>
      <c r="O163" s="26" t="s">
        <v>3854</v>
      </c>
      <c r="P163" s="26" t="s">
        <v>3854</v>
      </c>
      <c r="Q163" s="26" t="s">
        <v>3854</v>
      </c>
      <c r="R163" s="26"/>
      <c r="S163" s="31"/>
      <c r="T163" s="31" t="s">
        <v>3855</v>
      </c>
    </row>
    <row r="164">
      <c r="A164" s="34" t="s">
        <v>3928</v>
      </c>
      <c r="B164" s="34" t="s">
        <v>1431</v>
      </c>
      <c r="C164" s="41">
        <v>45894.0</v>
      </c>
      <c r="D164" s="26"/>
      <c r="E164" s="41" t="s">
        <v>3851</v>
      </c>
      <c r="F164" s="34"/>
      <c r="G164" s="57" t="s">
        <v>3852</v>
      </c>
      <c r="H164" s="48" t="s">
        <v>3853</v>
      </c>
      <c r="I164" s="26" t="s">
        <v>3856</v>
      </c>
      <c r="J164" s="26" t="s">
        <v>3854</v>
      </c>
      <c r="K164" s="26" t="s">
        <v>3856</v>
      </c>
      <c r="L164" s="26" t="s">
        <v>3854</v>
      </c>
      <c r="M164" s="26" t="s">
        <v>3854</v>
      </c>
      <c r="N164" s="26" t="s">
        <v>3854</v>
      </c>
      <c r="O164" s="26" t="s">
        <v>3854</v>
      </c>
      <c r="P164" s="26" t="s">
        <v>3854</v>
      </c>
      <c r="Q164" s="26" t="s">
        <v>3854</v>
      </c>
      <c r="R164" s="26"/>
      <c r="S164" s="31"/>
      <c r="T164" s="31" t="s">
        <v>3855</v>
      </c>
    </row>
    <row r="165">
      <c r="A165" s="34" t="s">
        <v>3929</v>
      </c>
      <c r="B165" s="34" t="s">
        <v>1713</v>
      </c>
      <c r="C165" s="41">
        <v>45894.0</v>
      </c>
      <c r="D165" s="26"/>
      <c r="E165" s="41" t="s">
        <v>3851</v>
      </c>
      <c r="F165" s="34"/>
      <c r="G165" s="57" t="s">
        <v>3852</v>
      </c>
      <c r="H165" s="48" t="s">
        <v>3853</v>
      </c>
      <c r="I165" s="26" t="s">
        <v>3856</v>
      </c>
      <c r="J165" s="26" t="s">
        <v>3854</v>
      </c>
      <c r="K165" s="26" t="s">
        <v>3856</v>
      </c>
      <c r="L165" s="26" t="s">
        <v>3854</v>
      </c>
      <c r="M165" s="26" t="s">
        <v>3854</v>
      </c>
      <c r="N165" s="26" t="s">
        <v>3854</v>
      </c>
      <c r="O165" s="26" t="s">
        <v>3854</v>
      </c>
      <c r="P165" s="26" t="s">
        <v>3854</v>
      </c>
      <c r="Q165" s="26" t="s">
        <v>3854</v>
      </c>
      <c r="R165" s="26"/>
      <c r="S165" s="31"/>
      <c r="T165" s="31" t="s">
        <v>3855</v>
      </c>
    </row>
    <row r="166">
      <c r="A166" s="34" t="s">
        <v>3930</v>
      </c>
      <c r="B166" s="34" t="s">
        <v>1456</v>
      </c>
      <c r="C166" s="41">
        <v>45894.0</v>
      </c>
      <c r="D166" s="26"/>
      <c r="E166" s="41" t="s">
        <v>3851</v>
      </c>
      <c r="F166" s="34"/>
      <c r="G166" s="57" t="s">
        <v>3852</v>
      </c>
      <c r="H166" s="48" t="s">
        <v>3853</v>
      </c>
      <c r="I166" s="26" t="s">
        <v>3856</v>
      </c>
      <c r="J166" s="26" t="s">
        <v>3854</v>
      </c>
      <c r="K166" s="26" t="s">
        <v>3856</v>
      </c>
      <c r="L166" s="26" t="s">
        <v>3854</v>
      </c>
      <c r="M166" s="26" t="s">
        <v>3854</v>
      </c>
      <c r="N166" s="26" t="s">
        <v>3854</v>
      </c>
      <c r="O166" s="26" t="s">
        <v>3854</v>
      </c>
      <c r="P166" s="26" t="s">
        <v>3856</v>
      </c>
      <c r="Q166" s="26" t="s">
        <v>3854</v>
      </c>
      <c r="R166" s="26"/>
      <c r="S166" s="31"/>
      <c r="T166" s="31" t="s">
        <v>3855</v>
      </c>
    </row>
    <row r="167">
      <c r="A167" s="34" t="s">
        <v>3160</v>
      </c>
      <c r="B167" s="34" t="s">
        <v>3161</v>
      </c>
      <c r="C167" s="41">
        <v>45894.0</v>
      </c>
      <c r="D167" s="26"/>
      <c r="E167" s="41" t="s">
        <v>3851</v>
      </c>
      <c r="F167" s="34"/>
      <c r="G167" s="57" t="s">
        <v>3852</v>
      </c>
      <c r="H167" s="48" t="s">
        <v>3853</v>
      </c>
      <c r="I167" s="26" t="s">
        <v>3856</v>
      </c>
      <c r="J167" s="26" t="s">
        <v>3854</v>
      </c>
      <c r="K167" s="26" t="s">
        <v>3854</v>
      </c>
      <c r="L167" s="26" t="s">
        <v>3854</v>
      </c>
      <c r="M167" s="26" t="s">
        <v>3854</v>
      </c>
      <c r="N167" s="26" t="s">
        <v>3854</v>
      </c>
      <c r="O167" s="26" t="s">
        <v>3854</v>
      </c>
      <c r="P167" s="26" t="s">
        <v>3854</v>
      </c>
      <c r="Q167" s="26" t="s">
        <v>3854</v>
      </c>
      <c r="R167" s="26"/>
      <c r="S167" s="31"/>
      <c r="T167" s="31" t="s">
        <v>3855</v>
      </c>
    </row>
    <row r="168">
      <c r="A168" s="34" t="s">
        <v>1041</v>
      </c>
      <c r="B168" s="34" t="s">
        <v>1042</v>
      </c>
      <c r="C168" s="41">
        <v>45894.0</v>
      </c>
      <c r="D168" s="26"/>
      <c r="E168" s="41" t="s">
        <v>3851</v>
      </c>
      <c r="F168" s="34"/>
      <c r="G168" s="57" t="s">
        <v>3852</v>
      </c>
      <c r="H168" s="48" t="s">
        <v>3853</v>
      </c>
      <c r="I168" s="26" t="s">
        <v>3856</v>
      </c>
      <c r="J168" s="26" t="s">
        <v>3854</v>
      </c>
      <c r="K168" s="26" t="s">
        <v>3856</v>
      </c>
      <c r="L168" s="26" t="s">
        <v>3854</v>
      </c>
      <c r="M168" s="26" t="s">
        <v>3854</v>
      </c>
      <c r="N168" s="26" t="s">
        <v>3854</v>
      </c>
      <c r="O168" s="26" t="s">
        <v>3856</v>
      </c>
      <c r="P168" s="26" t="s">
        <v>3856</v>
      </c>
      <c r="Q168" s="26" t="s">
        <v>3854</v>
      </c>
      <c r="R168" s="26"/>
      <c r="S168" s="31"/>
      <c r="T168" s="31" t="s">
        <v>3855</v>
      </c>
    </row>
    <row r="169">
      <c r="A169" s="34" t="s">
        <v>992</v>
      </c>
      <c r="B169" s="34" t="s">
        <v>2905</v>
      </c>
      <c r="C169" s="41">
        <v>45894.0</v>
      </c>
      <c r="D169" s="26"/>
      <c r="E169" s="41" t="s">
        <v>3851</v>
      </c>
      <c r="F169" s="34"/>
      <c r="G169" s="57" t="s">
        <v>3852</v>
      </c>
      <c r="H169" s="48" t="s">
        <v>3853</v>
      </c>
      <c r="I169" s="26" t="s">
        <v>3856</v>
      </c>
      <c r="J169" s="26" t="s">
        <v>3854</v>
      </c>
      <c r="K169" s="26" t="s">
        <v>3856</v>
      </c>
      <c r="L169" s="26" t="s">
        <v>3854</v>
      </c>
      <c r="M169" s="26" t="s">
        <v>3854</v>
      </c>
      <c r="N169" s="26" t="s">
        <v>3854</v>
      </c>
      <c r="O169" s="26" t="s">
        <v>3854</v>
      </c>
      <c r="P169" s="26" t="s">
        <v>3854</v>
      </c>
      <c r="Q169" s="26" t="s">
        <v>3854</v>
      </c>
      <c r="R169" s="26"/>
      <c r="S169" s="31"/>
      <c r="T169" s="31" t="s">
        <v>3855</v>
      </c>
    </row>
    <row r="170">
      <c r="A170" s="34" t="s">
        <v>1391</v>
      </c>
      <c r="B170" s="34" t="s">
        <v>1392</v>
      </c>
      <c r="C170" s="41">
        <v>45894.0</v>
      </c>
      <c r="D170" s="26"/>
      <c r="E170" s="37" t="s">
        <v>3851</v>
      </c>
      <c r="F170" s="34"/>
      <c r="G170" s="57" t="s">
        <v>3852</v>
      </c>
      <c r="H170" s="48" t="s">
        <v>3853</v>
      </c>
      <c r="I170" s="26" t="s">
        <v>3856</v>
      </c>
      <c r="J170" s="26" t="s">
        <v>3854</v>
      </c>
      <c r="K170" s="26" t="s">
        <v>3856</v>
      </c>
      <c r="L170" s="26" t="s">
        <v>3854</v>
      </c>
      <c r="M170" s="26" t="s">
        <v>3854</v>
      </c>
      <c r="N170" s="26" t="s">
        <v>3854</v>
      </c>
      <c r="O170" s="26" t="s">
        <v>3854</v>
      </c>
      <c r="P170" s="26" t="s">
        <v>3854</v>
      </c>
      <c r="Q170" s="26" t="s">
        <v>3854</v>
      </c>
      <c r="R170" s="26"/>
      <c r="S170" s="31"/>
      <c r="T170" s="31" t="s">
        <v>3855</v>
      </c>
    </row>
    <row r="171">
      <c r="A171" s="34" t="s">
        <v>1693</v>
      </c>
      <c r="B171" s="34" t="s">
        <v>1694</v>
      </c>
      <c r="C171" s="41">
        <v>45894.0</v>
      </c>
      <c r="D171" s="26"/>
      <c r="E171" s="41" t="s">
        <v>3851</v>
      </c>
      <c r="F171" s="34"/>
      <c r="G171" s="57" t="s">
        <v>3852</v>
      </c>
      <c r="H171" s="48" t="s">
        <v>3853</v>
      </c>
      <c r="I171" s="26" t="s">
        <v>3856</v>
      </c>
      <c r="J171" s="26" t="s">
        <v>3854</v>
      </c>
      <c r="K171" s="26" t="s">
        <v>3856</v>
      </c>
      <c r="L171" s="26" t="s">
        <v>3856</v>
      </c>
      <c r="M171" s="26" t="s">
        <v>3854</v>
      </c>
      <c r="N171" s="26" t="s">
        <v>3854</v>
      </c>
      <c r="O171" s="26" t="s">
        <v>3856</v>
      </c>
      <c r="P171" s="26" t="s">
        <v>3856</v>
      </c>
      <c r="Q171" s="26" t="s">
        <v>3854</v>
      </c>
      <c r="R171" s="26"/>
      <c r="S171" s="31"/>
      <c r="T171" s="31" t="s">
        <v>3855</v>
      </c>
    </row>
    <row r="172">
      <c r="A172" s="34" t="s">
        <v>1535</v>
      </c>
      <c r="B172" s="34" t="s">
        <v>1536</v>
      </c>
      <c r="C172" s="41">
        <v>45894.0</v>
      </c>
      <c r="D172" s="26"/>
      <c r="E172" s="41" t="s">
        <v>3851</v>
      </c>
      <c r="F172" s="34"/>
      <c r="G172" s="57" t="s">
        <v>3852</v>
      </c>
      <c r="H172" s="48" t="s">
        <v>3853</v>
      </c>
      <c r="I172" s="26" t="s">
        <v>3856</v>
      </c>
      <c r="J172" s="26" t="s">
        <v>3854</v>
      </c>
      <c r="K172" s="26" t="s">
        <v>3856</v>
      </c>
      <c r="L172" s="26" t="s">
        <v>3854</v>
      </c>
      <c r="M172" s="26" t="s">
        <v>3854</v>
      </c>
      <c r="N172" s="26" t="s">
        <v>3854</v>
      </c>
      <c r="O172" s="26" t="s">
        <v>3854</v>
      </c>
      <c r="P172" s="26" t="s">
        <v>3854</v>
      </c>
      <c r="Q172" s="26" t="s">
        <v>3854</v>
      </c>
      <c r="R172" s="26"/>
      <c r="S172" s="34" t="s">
        <v>3926</v>
      </c>
      <c r="T172" s="31" t="s">
        <v>3855</v>
      </c>
    </row>
    <row r="173">
      <c r="A173" s="34" t="s">
        <v>1719</v>
      </c>
      <c r="B173" s="34" t="s">
        <v>1720</v>
      </c>
      <c r="C173" s="41">
        <v>45894.0</v>
      </c>
      <c r="D173" s="26"/>
      <c r="E173" s="41" t="s">
        <v>3851</v>
      </c>
      <c r="F173" s="34"/>
      <c r="G173" s="57" t="s">
        <v>3852</v>
      </c>
      <c r="H173" s="48" t="s">
        <v>3853</v>
      </c>
      <c r="I173" s="26" t="s">
        <v>3856</v>
      </c>
      <c r="J173" s="26" t="s">
        <v>3854</v>
      </c>
      <c r="K173" s="26" t="s">
        <v>3856</v>
      </c>
      <c r="L173" s="26" t="s">
        <v>3854</v>
      </c>
      <c r="M173" s="26" t="s">
        <v>3854</v>
      </c>
      <c r="N173" s="26" t="s">
        <v>3854</v>
      </c>
      <c r="O173" s="26" t="s">
        <v>3854</v>
      </c>
      <c r="P173" s="26" t="s">
        <v>3856</v>
      </c>
      <c r="Q173" s="26" t="s">
        <v>3856</v>
      </c>
      <c r="R173" s="26"/>
      <c r="S173" s="31"/>
      <c r="T173" s="31" t="s">
        <v>3855</v>
      </c>
    </row>
    <row r="174">
      <c r="A174" s="34" t="s">
        <v>1207</v>
      </c>
      <c r="B174" s="34" t="s">
        <v>1208</v>
      </c>
      <c r="C174" s="41">
        <v>45895.0</v>
      </c>
      <c r="D174" s="26"/>
      <c r="E174" s="41" t="s">
        <v>3851</v>
      </c>
      <c r="F174" s="34"/>
      <c r="G174" s="57" t="s">
        <v>3852</v>
      </c>
      <c r="H174" s="48" t="s">
        <v>3853</v>
      </c>
      <c r="I174" s="26" t="s">
        <v>3856</v>
      </c>
      <c r="J174" s="26" t="s">
        <v>3854</v>
      </c>
      <c r="K174" s="26" t="s">
        <v>3856</v>
      </c>
      <c r="L174" s="26" t="s">
        <v>3856</v>
      </c>
      <c r="M174" s="26" t="s">
        <v>3854</v>
      </c>
      <c r="N174" s="26" t="s">
        <v>3854</v>
      </c>
      <c r="O174" s="26" t="s">
        <v>3856</v>
      </c>
      <c r="P174" s="26" t="s">
        <v>3854</v>
      </c>
      <c r="Q174" s="26" t="s">
        <v>3856</v>
      </c>
      <c r="R174" s="26"/>
      <c r="S174" s="31"/>
      <c r="T174" s="31" t="s">
        <v>3855</v>
      </c>
    </row>
    <row r="175">
      <c r="A175" s="34" t="s">
        <v>2509</v>
      </c>
      <c r="B175" s="34" t="s">
        <v>3931</v>
      </c>
      <c r="C175" s="41">
        <v>45895.0</v>
      </c>
      <c r="D175" s="26"/>
      <c r="E175" s="41" t="s">
        <v>3851</v>
      </c>
      <c r="F175" s="34"/>
      <c r="G175" s="57" t="s">
        <v>3852</v>
      </c>
      <c r="H175" s="48" t="s">
        <v>3853</v>
      </c>
      <c r="I175" s="26" t="s">
        <v>3856</v>
      </c>
      <c r="J175" s="26" t="s">
        <v>3854</v>
      </c>
      <c r="K175" s="26" t="s">
        <v>3856</v>
      </c>
      <c r="L175" s="26" t="s">
        <v>3854</v>
      </c>
      <c r="M175" s="26" t="s">
        <v>3854</v>
      </c>
      <c r="N175" s="26" t="s">
        <v>3854</v>
      </c>
      <c r="O175" s="26" t="s">
        <v>3854</v>
      </c>
      <c r="P175" s="26" t="s">
        <v>3854</v>
      </c>
      <c r="Q175" s="26" t="s">
        <v>3854</v>
      </c>
      <c r="R175" s="26"/>
      <c r="S175" s="34" t="s">
        <v>3926</v>
      </c>
      <c r="T175" s="31" t="s">
        <v>3855</v>
      </c>
    </row>
    <row r="176">
      <c r="A176" s="34" t="s">
        <v>3091</v>
      </c>
      <c r="B176" s="34" t="s">
        <v>3092</v>
      </c>
      <c r="C176" s="41">
        <v>45896.0</v>
      </c>
      <c r="D176" s="26"/>
      <c r="E176" s="41" t="s">
        <v>3851</v>
      </c>
      <c r="F176" s="34"/>
      <c r="G176" s="57" t="s">
        <v>3852</v>
      </c>
      <c r="H176" s="48" t="s">
        <v>3853</v>
      </c>
      <c r="I176" s="26" t="s">
        <v>3856</v>
      </c>
      <c r="J176" s="26" t="s">
        <v>3854</v>
      </c>
      <c r="K176" s="26" t="s">
        <v>3856</v>
      </c>
      <c r="L176" s="26" t="s">
        <v>3854</v>
      </c>
      <c r="M176" s="26" t="s">
        <v>3854</v>
      </c>
      <c r="N176" s="26" t="s">
        <v>3854</v>
      </c>
      <c r="O176" s="26" t="s">
        <v>3854</v>
      </c>
      <c r="P176" s="26" t="s">
        <v>3854</v>
      </c>
      <c r="Q176" s="26" t="s">
        <v>3854</v>
      </c>
      <c r="R176" s="26"/>
      <c r="S176" s="31"/>
      <c r="T176" s="31" t="s">
        <v>3855</v>
      </c>
    </row>
    <row r="177">
      <c r="A177" s="34" t="s">
        <v>3171</v>
      </c>
      <c r="B177" s="34" t="s">
        <v>3172</v>
      </c>
      <c r="C177" s="41">
        <v>45898.0</v>
      </c>
      <c r="D177" s="26"/>
      <c r="E177" s="41" t="s">
        <v>3851</v>
      </c>
      <c r="F177" s="34"/>
      <c r="G177" s="57" t="s">
        <v>3852</v>
      </c>
      <c r="H177" s="48" t="s">
        <v>3853</v>
      </c>
      <c r="I177" s="26" t="s">
        <v>3856</v>
      </c>
      <c r="J177" s="26" t="s">
        <v>3854</v>
      </c>
      <c r="K177" s="26" t="s">
        <v>3856</v>
      </c>
      <c r="L177" s="26" t="s">
        <v>3854</v>
      </c>
      <c r="M177" s="26" t="s">
        <v>3854</v>
      </c>
      <c r="N177" s="26" t="s">
        <v>3854</v>
      </c>
      <c r="O177" s="26" t="s">
        <v>3854</v>
      </c>
      <c r="P177" s="26" t="s">
        <v>3854</v>
      </c>
      <c r="Q177" s="26" t="s">
        <v>3854</v>
      </c>
      <c r="R177" s="26"/>
      <c r="S177" s="31"/>
      <c r="T177" s="31" t="s">
        <v>3855</v>
      </c>
    </row>
    <row r="178">
      <c r="A178" s="34" t="s">
        <v>2877</v>
      </c>
      <c r="B178" s="34" t="s">
        <v>2878</v>
      </c>
      <c r="C178" s="41">
        <v>45898.0</v>
      </c>
      <c r="D178" s="26"/>
      <c r="E178" s="41" t="s">
        <v>3851</v>
      </c>
      <c r="F178" s="34"/>
      <c r="G178" s="57" t="s">
        <v>3852</v>
      </c>
      <c r="H178" s="48" t="s">
        <v>3853</v>
      </c>
      <c r="I178" s="26" t="s">
        <v>3856</v>
      </c>
      <c r="J178" s="26" t="s">
        <v>3854</v>
      </c>
      <c r="K178" s="26" t="s">
        <v>3854</v>
      </c>
      <c r="L178" s="26" t="s">
        <v>3854</v>
      </c>
      <c r="M178" s="26" t="s">
        <v>3854</v>
      </c>
      <c r="N178" s="26" t="s">
        <v>3854</v>
      </c>
      <c r="O178" s="26" t="s">
        <v>3856</v>
      </c>
      <c r="P178" s="26" t="s">
        <v>3854</v>
      </c>
      <c r="Q178" s="26" t="s">
        <v>3854</v>
      </c>
      <c r="R178" s="26"/>
      <c r="S178" s="31"/>
      <c r="T178" s="31" t="s">
        <v>3855</v>
      </c>
    </row>
    <row r="179">
      <c r="A179" s="34" t="s">
        <v>3121</v>
      </c>
      <c r="B179" s="34" t="s">
        <v>3122</v>
      </c>
      <c r="C179" s="41">
        <v>45898.0</v>
      </c>
      <c r="D179" s="26"/>
      <c r="E179" s="41" t="s">
        <v>3851</v>
      </c>
      <c r="F179" s="34"/>
      <c r="G179" s="57" t="s">
        <v>3852</v>
      </c>
      <c r="H179" s="48" t="s">
        <v>3853</v>
      </c>
      <c r="I179" s="26" t="s">
        <v>3856</v>
      </c>
      <c r="J179" s="26" t="s">
        <v>3854</v>
      </c>
      <c r="K179" s="26" t="s">
        <v>3856</v>
      </c>
      <c r="L179" s="26" t="s">
        <v>3854</v>
      </c>
      <c r="M179" s="26" t="s">
        <v>3854</v>
      </c>
      <c r="N179" s="26" t="s">
        <v>3854</v>
      </c>
      <c r="O179" s="26" t="s">
        <v>3854</v>
      </c>
      <c r="P179" s="26" t="s">
        <v>3854</v>
      </c>
      <c r="Q179" s="26" t="s">
        <v>3854</v>
      </c>
      <c r="R179" s="26"/>
      <c r="S179" s="31"/>
      <c r="T179" s="31" t="s">
        <v>3855</v>
      </c>
    </row>
    <row r="180">
      <c r="A180" s="34" t="s">
        <v>1365</v>
      </c>
      <c r="B180" s="34" t="s">
        <v>1366</v>
      </c>
      <c r="C180" s="41">
        <v>45898.0</v>
      </c>
      <c r="D180" s="26"/>
      <c r="E180" s="41" t="s">
        <v>3851</v>
      </c>
      <c r="F180" s="34"/>
      <c r="G180" s="57" t="s">
        <v>3852</v>
      </c>
      <c r="H180" s="48" t="s">
        <v>3853</v>
      </c>
      <c r="I180" s="26" t="s">
        <v>3856</v>
      </c>
      <c r="J180" s="26" t="s">
        <v>3854</v>
      </c>
      <c r="K180" s="26" t="s">
        <v>3856</v>
      </c>
      <c r="L180" s="26" t="s">
        <v>3854</v>
      </c>
      <c r="M180" s="26" t="s">
        <v>3854</v>
      </c>
      <c r="N180" s="26" t="s">
        <v>3854</v>
      </c>
      <c r="O180" s="26" t="s">
        <v>3854</v>
      </c>
      <c r="P180" s="26" t="s">
        <v>3854</v>
      </c>
      <c r="Q180" s="26" t="s">
        <v>3856</v>
      </c>
      <c r="R180" s="26"/>
      <c r="S180" s="31"/>
      <c r="T180" s="31" t="s">
        <v>3855</v>
      </c>
    </row>
    <row r="181">
      <c r="A181" s="34" t="s">
        <v>1700</v>
      </c>
      <c r="B181" s="34" t="s">
        <v>1701</v>
      </c>
      <c r="C181" s="41">
        <v>45898.0</v>
      </c>
      <c r="D181" s="26"/>
      <c r="E181" s="41" t="s">
        <v>3851</v>
      </c>
      <c r="F181" s="34"/>
      <c r="G181" s="57" t="s">
        <v>3852</v>
      </c>
      <c r="H181" s="48" t="s">
        <v>3853</v>
      </c>
      <c r="I181" s="26" t="s">
        <v>3856</v>
      </c>
      <c r="J181" s="26" t="s">
        <v>3854</v>
      </c>
      <c r="K181" s="26" t="s">
        <v>3854</v>
      </c>
      <c r="L181" s="26" t="s">
        <v>3854</v>
      </c>
      <c r="M181" s="26" t="s">
        <v>3854</v>
      </c>
      <c r="N181" s="26" t="s">
        <v>3854</v>
      </c>
      <c r="O181" s="26" t="s">
        <v>3854</v>
      </c>
      <c r="P181" s="26" t="s">
        <v>3854</v>
      </c>
      <c r="Q181" s="26" t="s">
        <v>3854</v>
      </c>
      <c r="R181" s="26"/>
      <c r="S181" s="31"/>
      <c r="T181" s="31" t="s">
        <v>3855</v>
      </c>
    </row>
    <row r="182">
      <c r="A182" s="34" t="s">
        <v>3932</v>
      </c>
      <c r="B182" s="34" t="s">
        <v>1185</v>
      </c>
      <c r="C182" s="41">
        <v>45898.0</v>
      </c>
      <c r="D182" s="26"/>
      <c r="E182" s="41" t="s">
        <v>3851</v>
      </c>
      <c r="F182" s="34"/>
      <c r="G182" s="57" t="s">
        <v>3852</v>
      </c>
      <c r="H182" s="48" t="s">
        <v>3853</v>
      </c>
      <c r="I182" s="26" t="s">
        <v>3856</v>
      </c>
      <c r="J182" s="26" t="s">
        <v>3854</v>
      </c>
      <c r="K182" s="26" t="s">
        <v>3854</v>
      </c>
      <c r="L182" s="26" t="s">
        <v>3854</v>
      </c>
      <c r="M182" s="26" t="s">
        <v>3854</v>
      </c>
      <c r="N182" s="26" t="s">
        <v>3854</v>
      </c>
      <c r="O182" s="26" t="s">
        <v>3854</v>
      </c>
      <c r="P182" s="26" t="s">
        <v>3854</v>
      </c>
      <c r="Q182" s="26" t="s">
        <v>3854</v>
      </c>
      <c r="R182" s="26"/>
      <c r="S182" s="34" t="s">
        <v>3933</v>
      </c>
      <c r="T182" s="31" t="s">
        <v>3855</v>
      </c>
    </row>
    <row r="183">
      <c r="A183" s="34" t="s">
        <v>1030</v>
      </c>
      <c r="B183" s="34" t="s">
        <v>1031</v>
      </c>
      <c r="C183" s="41">
        <v>45898.0</v>
      </c>
      <c r="D183" s="26"/>
      <c r="E183" s="41" t="s">
        <v>3851</v>
      </c>
      <c r="F183" s="34"/>
      <c r="G183" s="57" t="s">
        <v>3852</v>
      </c>
      <c r="H183" s="48" t="s">
        <v>3853</v>
      </c>
      <c r="I183" s="26" t="s">
        <v>3856</v>
      </c>
      <c r="J183" s="26" t="s">
        <v>3854</v>
      </c>
      <c r="K183" s="26" t="s">
        <v>3856</v>
      </c>
      <c r="L183" s="26" t="s">
        <v>3854</v>
      </c>
      <c r="M183" s="26" t="s">
        <v>3854</v>
      </c>
      <c r="N183" s="26" t="s">
        <v>3854</v>
      </c>
      <c r="O183" s="26" t="s">
        <v>3854</v>
      </c>
      <c r="P183" s="26" t="s">
        <v>3854</v>
      </c>
      <c r="Q183" s="26" t="s">
        <v>3854</v>
      </c>
      <c r="R183" s="26"/>
      <c r="S183" s="31"/>
      <c r="T183" s="31" t="s">
        <v>3855</v>
      </c>
    </row>
    <row r="184">
      <c r="A184" s="34" t="s">
        <v>2910</v>
      </c>
      <c r="B184" s="34" t="s">
        <v>2911</v>
      </c>
      <c r="C184" s="41">
        <v>45898.0</v>
      </c>
      <c r="D184" s="26"/>
      <c r="E184" s="41" t="s">
        <v>3851</v>
      </c>
      <c r="F184" s="34"/>
      <c r="G184" s="57" t="s">
        <v>3852</v>
      </c>
      <c r="H184" s="48" t="s">
        <v>3853</v>
      </c>
      <c r="I184" s="26" t="s">
        <v>3856</v>
      </c>
      <c r="J184" s="26" t="s">
        <v>3854</v>
      </c>
      <c r="K184" s="26" t="s">
        <v>3856</v>
      </c>
      <c r="L184" s="26" t="s">
        <v>3854</v>
      </c>
      <c r="M184" s="26" t="s">
        <v>3854</v>
      </c>
      <c r="N184" s="26" t="s">
        <v>3854</v>
      </c>
      <c r="O184" s="26" t="s">
        <v>3854</v>
      </c>
      <c r="P184" s="26" t="s">
        <v>3854</v>
      </c>
      <c r="Q184" s="26" t="s">
        <v>3854</v>
      </c>
      <c r="R184" s="26"/>
      <c r="S184" s="31"/>
      <c r="T184" s="31" t="s">
        <v>3855</v>
      </c>
    </row>
    <row r="185">
      <c r="A185" s="34" t="s">
        <v>3008</v>
      </c>
      <c r="B185" s="34" t="s">
        <v>3009</v>
      </c>
      <c r="C185" s="41">
        <v>45898.0</v>
      </c>
      <c r="D185" s="26"/>
      <c r="E185" s="41" t="s">
        <v>3851</v>
      </c>
      <c r="F185" s="34"/>
      <c r="G185" s="57" t="s">
        <v>3852</v>
      </c>
      <c r="H185" s="48" t="s">
        <v>3853</v>
      </c>
      <c r="I185" s="26" t="s">
        <v>3854</v>
      </c>
      <c r="J185" s="26" t="s">
        <v>3854</v>
      </c>
      <c r="K185" s="26" t="s">
        <v>3856</v>
      </c>
      <c r="L185" s="26" t="s">
        <v>3854</v>
      </c>
      <c r="M185" s="26" t="s">
        <v>3854</v>
      </c>
      <c r="N185" s="26" t="s">
        <v>3854</v>
      </c>
      <c r="O185" s="26" t="s">
        <v>3854</v>
      </c>
      <c r="P185" s="26" t="s">
        <v>3854</v>
      </c>
      <c r="Q185" s="26" t="s">
        <v>3854</v>
      </c>
      <c r="R185" s="26"/>
      <c r="S185" s="31"/>
      <c r="T185" s="31" t="s">
        <v>3855</v>
      </c>
    </row>
    <row r="186">
      <c r="A186" s="34" t="s">
        <v>3025</v>
      </c>
      <c r="B186" s="34" t="s">
        <v>3026</v>
      </c>
      <c r="C186" s="41">
        <v>45898.0</v>
      </c>
      <c r="D186" s="26"/>
      <c r="E186" s="41" t="s">
        <v>3851</v>
      </c>
      <c r="F186" s="34"/>
      <c r="G186" s="57" t="s">
        <v>3852</v>
      </c>
      <c r="H186" s="48" t="s">
        <v>3853</v>
      </c>
      <c r="I186" s="26" t="s">
        <v>3856</v>
      </c>
      <c r="J186" s="26" t="s">
        <v>3854</v>
      </c>
      <c r="K186" s="26" t="s">
        <v>3856</v>
      </c>
      <c r="L186" s="26" t="s">
        <v>3854</v>
      </c>
      <c r="M186" s="26" t="s">
        <v>3854</v>
      </c>
      <c r="N186" s="26" t="s">
        <v>3854</v>
      </c>
      <c r="O186" s="26" t="s">
        <v>3854</v>
      </c>
      <c r="P186" s="26" t="s">
        <v>3854</v>
      </c>
      <c r="Q186" s="26" t="s">
        <v>3854</v>
      </c>
      <c r="R186" s="26"/>
      <c r="S186" s="31"/>
      <c r="T186" s="31" t="s">
        <v>3855</v>
      </c>
    </row>
    <row r="187">
      <c r="A187" s="34" t="s">
        <v>3027</v>
      </c>
      <c r="B187" s="34" t="s">
        <v>3028</v>
      </c>
      <c r="C187" s="41">
        <v>45898.0</v>
      </c>
      <c r="D187" s="26"/>
      <c r="E187" s="41" t="s">
        <v>3851</v>
      </c>
      <c r="F187" s="34"/>
      <c r="G187" s="57" t="s">
        <v>3852</v>
      </c>
      <c r="H187" s="48" t="s">
        <v>3853</v>
      </c>
      <c r="I187" s="26" t="s">
        <v>3856</v>
      </c>
      <c r="J187" s="26" t="s">
        <v>3854</v>
      </c>
      <c r="K187" s="26" t="s">
        <v>3856</v>
      </c>
      <c r="L187" s="26" t="s">
        <v>3854</v>
      </c>
      <c r="M187" s="26" t="s">
        <v>3854</v>
      </c>
      <c r="N187" s="26" t="s">
        <v>3854</v>
      </c>
      <c r="O187" s="26" t="s">
        <v>3854</v>
      </c>
      <c r="P187" s="26" t="s">
        <v>3854</v>
      </c>
      <c r="Q187" s="26" t="s">
        <v>3854</v>
      </c>
      <c r="R187" s="26"/>
      <c r="S187" s="31"/>
      <c r="T187" s="31" t="s">
        <v>3855</v>
      </c>
    </row>
    <row r="188">
      <c r="A188" s="34" t="s">
        <v>1599</v>
      </c>
      <c r="B188" s="34" t="s">
        <v>1600</v>
      </c>
      <c r="C188" s="41">
        <v>45898.0</v>
      </c>
      <c r="D188" s="26"/>
      <c r="E188" s="41" t="s">
        <v>3851</v>
      </c>
      <c r="F188" s="34"/>
      <c r="G188" s="57" t="s">
        <v>3852</v>
      </c>
      <c r="H188" s="48" t="s">
        <v>3853</v>
      </c>
      <c r="I188" s="26" t="s">
        <v>3856</v>
      </c>
      <c r="J188" s="26" t="s">
        <v>3854</v>
      </c>
      <c r="K188" s="26" t="s">
        <v>3856</v>
      </c>
      <c r="L188" s="26" t="s">
        <v>3854</v>
      </c>
      <c r="M188" s="26" t="s">
        <v>3854</v>
      </c>
      <c r="N188" s="26" t="s">
        <v>3854</v>
      </c>
      <c r="O188" s="26" t="s">
        <v>3854</v>
      </c>
      <c r="P188" s="26" t="s">
        <v>3854</v>
      </c>
      <c r="Q188" s="26" t="s">
        <v>3854</v>
      </c>
      <c r="R188" s="26"/>
      <c r="S188" s="31"/>
      <c r="T188" s="31" t="s">
        <v>3855</v>
      </c>
    </row>
    <row r="189">
      <c r="A189" s="34" t="s">
        <v>1764</v>
      </c>
      <c r="B189" s="34" t="s">
        <v>1765</v>
      </c>
      <c r="C189" s="41">
        <v>45898.0</v>
      </c>
      <c r="D189" s="26"/>
      <c r="E189" s="41" t="s">
        <v>3851</v>
      </c>
      <c r="F189" s="34"/>
      <c r="G189" s="57" t="s">
        <v>3852</v>
      </c>
      <c r="H189" s="48" t="s">
        <v>3853</v>
      </c>
      <c r="I189" s="26" t="s">
        <v>3856</v>
      </c>
      <c r="J189" s="26" t="s">
        <v>3854</v>
      </c>
      <c r="K189" s="26" t="s">
        <v>3856</v>
      </c>
      <c r="L189" s="26" t="s">
        <v>3854</v>
      </c>
      <c r="M189" s="26" t="s">
        <v>3854</v>
      </c>
      <c r="N189" s="26" t="s">
        <v>3854</v>
      </c>
      <c r="O189" s="26" t="s">
        <v>3856</v>
      </c>
      <c r="P189" s="26" t="s">
        <v>3854</v>
      </c>
      <c r="Q189" s="26" t="s">
        <v>3854</v>
      </c>
      <c r="R189" s="26"/>
      <c r="S189" s="31"/>
      <c r="T189" s="31" t="s">
        <v>3855</v>
      </c>
    </row>
    <row r="190">
      <c r="A190" s="34" t="s">
        <v>1435</v>
      </c>
      <c r="B190" s="34" t="s">
        <v>1436</v>
      </c>
      <c r="C190" s="41">
        <v>45898.0</v>
      </c>
      <c r="D190" s="26"/>
      <c r="E190" s="41" t="s">
        <v>3851</v>
      </c>
      <c r="F190" s="34"/>
      <c r="G190" s="57" t="s">
        <v>3852</v>
      </c>
      <c r="H190" s="48" t="s">
        <v>3853</v>
      </c>
      <c r="I190" s="26" t="s">
        <v>3856</v>
      </c>
      <c r="J190" s="26" t="s">
        <v>3854</v>
      </c>
      <c r="K190" s="26" t="s">
        <v>3856</v>
      </c>
      <c r="L190" s="26" t="s">
        <v>3854</v>
      </c>
      <c r="M190" s="26" t="s">
        <v>3854</v>
      </c>
      <c r="N190" s="26" t="s">
        <v>3854</v>
      </c>
      <c r="O190" s="26" t="s">
        <v>3856</v>
      </c>
      <c r="P190" s="26" t="s">
        <v>3854</v>
      </c>
      <c r="Q190" s="26" t="s">
        <v>3854</v>
      </c>
      <c r="R190" s="26"/>
      <c r="S190" s="31"/>
      <c r="T190" s="31" t="s">
        <v>3855</v>
      </c>
    </row>
    <row r="191">
      <c r="A191" s="34" t="s">
        <v>1770</v>
      </c>
      <c r="B191" s="34" t="s">
        <v>1771</v>
      </c>
      <c r="C191" s="41">
        <v>45898.0</v>
      </c>
      <c r="D191" s="26"/>
      <c r="E191" s="41" t="s">
        <v>3851</v>
      </c>
      <c r="F191" s="34"/>
      <c r="G191" s="57" t="s">
        <v>3852</v>
      </c>
      <c r="H191" s="48" t="s">
        <v>3853</v>
      </c>
      <c r="I191" s="26" t="s">
        <v>3856</v>
      </c>
      <c r="J191" s="26" t="s">
        <v>3854</v>
      </c>
      <c r="K191" s="26" t="s">
        <v>3856</v>
      </c>
      <c r="L191" s="26" t="s">
        <v>3854</v>
      </c>
      <c r="M191" s="26" t="s">
        <v>3854</v>
      </c>
      <c r="N191" s="26" t="s">
        <v>3854</v>
      </c>
      <c r="O191" s="26" t="s">
        <v>3856</v>
      </c>
      <c r="P191" s="26" t="s">
        <v>3854</v>
      </c>
      <c r="Q191" s="26" t="s">
        <v>3854</v>
      </c>
      <c r="R191" s="26"/>
      <c r="S191" s="31"/>
      <c r="T191" s="31" t="s">
        <v>3855</v>
      </c>
    </row>
    <row r="192">
      <c r="A192" s="34" t="s">
        <v>1726</v>
      </c>
      <c r="B192" s="34" t="s">
        <v>1727</v>
      </c>
      <c r="C192" s="41">
        <v>45898.0</v>
      </c>
      <c r="D192" s="26"/>
      <c r="E192" s="41" t="s">
        <v>3851</v>
      </c>
      <c r="F192" s="34"/>
      <c r="G192" s="57" t="s">
        <v>3852</v>
      </c>
      <c r="H192" s="48" t="s">
        <v>3853</v>
      </c>
      <c r="I192" s="26" t="s">
        <v>3856</v>
      </c>
      <c r="J192" s="26" t="s">
        <v>3854</v>
      </c>
      <c r="K192" s="26" t="s">
        <v>3856</v>
      </c>
      <c r="L192" s="26" t="s">
        <v>3854</v>
      </c>
      <c r="M192" s="26" t="s">
        <v>3854</v>
      </c>
      <c r="N192" s="26" t="s">
        <v>3854</v>
      </c>
      <c r="O192" s="26" t="s">
        <v>3854</v>
      </c>
      <c r="P192" s="26" t="s">
        <v>3854</v>
      </c>
      <c r="Q192" s="26" t="s">
        <v>3854</v>
      </c>
      <c r="R192" s="26"/>
      <c r="S192" s="31"/>
      <c r="T192" s="31" t="s">
        <v>3855</v>
      </c>
    </row>
    <row r="193">
      <c r="A193" s="34" t="s">
        <v>3934</v>
      </c>
      <c r="B193" s="34" t="s">
        <v>1577</v>
      </c>
      <c r="C193" s="41">
        <v>45898.0</v>
      </c>
      <c r="D193" s="26"/>
      <c r="E193" s="41" t="s">
        <v>3851</v>
      </c>
      <c r="F193" s="34"/>
      <c r="G193" s="57" t="s">
        <v>3852</v>
      </c>
      <c r="H193" s="48" t="s">
        <v>3853</v>
      </c>
      <c r="I193" s="26" t="s">
        <v>3856</v>
      </c>
      <c r="J193" s="26" t="s">
        <v>3854</v>
      </c>
      <c r="K193" s="26" t="s">
        <v>3856</v>
      </c>
      <c r="L193" s="26" t="s">
        <v>3854</v>
      </c>
      <c r="M193" s="26" t="s">
        <v>3854</v>
      </c>
      <c r="N193" s="26" t="s">
        <v>3854</v>
      </c>
      <c r="O193" s="26" t="s">
        <v>3854</v>
      </c>
      <c r="P193" s="26" t="s">
        <v>3854</v>
      </c>
      <c r="Q193" s="26" t="s">
        <v>3854</v>
      </c>
      <c r="R193" s="26"/>
      <c r="S193" s="31"/>
      <c r="T193" s="31" t="s">
        <v>3855</v>
      </c>
    </row>
    <row r="194">
      <c r="A194" s="34" t="s">
        <v>1417</v>
      </c>
      <c r="B194" s="34" t="s">
        <v>1418</v>
      </c>
      <c r="C194" s="41">
        <v>45898.0</v>
      </c>
      <c r="D194" s="26"/>
      <c r="E194" s="41" t="s">
        <v>3851</v>
      </c>
      <c r="F194" s="34"/>
      <c r="G194" s="57" t="s">
        <v>3852</v>
      </c>
      <c r="H194" s="48" t="s">
        <v>3853</v>
      </c>
      <c r="I194" s="26" t="s">
        <v>3856</v>
      </c>
      <c r="J194" s="26" t="s">
        <v>3854</v>
      </c>
      <c r="K194" s="26" t="s">
        <v>3856</v>
      </c>
      <c r="L194" s="26" t="s">
        <v>3854</v>
      </c>
      <c r="M194" s="26" t="s">
        <v>3854</v>
      </c>
      <c r="N194" s="26" t="s">
        <v>3854</v>
      </c>
      <c r="O194" s="26" t="s">
        <v>3854</v>
      </c>
      <c r="P194" s="26" t="s">
        <v>3854</v>
      </c>
      <c r="Q194" s="26" t="s">
        <v>3854</v>
      </c>
      <c r="R194" s="26"/>
      <c r="S194" s="31"/>
      <c r="T194" s="31" t="s">
        <v>3855</v>
      </c>
    </row>
    <row r="195">
      <c r="A195" s="34" t="s">
        <v>1680</v>
      </c>
      <c r="B195" s="34" t="s">
        <v>1681</v>
      </c>
      <c r="C195" s="41">
        <v>45898.0</v>
      </c>
      <c r="D195" s="26"/>
      <c r="E195" s="41" t="s">
        <v>3851</v>
      </c>
      <c r="F195" s="34"/>
      <c r="G195" s="57" t="s">
        <v>3852</v>
      </c>
      <c r="H195" s="48" t="s">
        <v>3853</v>
      </c>
      <c r="I195" s="26" t="s">
        <v>3856</v>
      </c>
      <c r="J195" s="26" t="s">
        <v>3854</v>
      </c>
      <c r="K195" s="26" t="s">
        <v>3856</v>
      </c>
      <c r="L195" s="26" t="s">
        <v>3854</v>
      </c>
      <c r="M195" s="26" t="s">
        <v>3854</v>
      </c>
      <c r="N195" s="26" t="s">
        <v>3854</v>
      </c>
      <c r="O195" s="26" t="s">
        <v>3854</v>
      </c>
      <c r="P195" s="26" t="s">
        <v>3854</v>
      </c>
      <c r="Q195" s="26" t="s">
        <v>3854</v>
      </c>
      <c r="R195" s="26"/>
      <c r="S195" s="31"/>
      <c r="T195" s="31" t="s">
        <v>3855</v>
      </c>
    </row>
    <row r="196">
      <c r="A196" s="34" t="s">
        <v>97</v>
      </c>
      <c r="B196" s="34" t="s">
        <v>1049</v>
      </c>
      <c r="C196" s="41">
        <v>45898.0</v>
      </c>
      <c r="D196" s="26"/>
      <c r="E196" s="41" t="s">
        <v>3851</v>
      </c>
      <c r="F196" s="34"/>
      <c r="G196" s="57" t="s">
        <v>3852</v>
      </c>
      <c r="H196" s="48" t="s">
        <v>3853</v>
      </c>
      <c r="I196" s="26" t="s">
        <v>3856</v>
      </c>
      <c r="J196" s="26" t="s">
        <v>3854</v>
      </c>
      <c r="K196" s="26" t="s">
        <v>3856</v>
      </c>
      <c r="L196" s="26" t="s">
        <v>3854</v>
      </c>
      <c r="M196" s="26" t="s">
        <v>3854</v>
      </c>
      <c r="N196" s="26" t="s">
        <v>3854</v>
      </c>
      <c r="O196" s="26" t="s">
        <v>3854</v>
      </c>
      <c r="P196" s="26" t="s">
        <v>3854</v>
      </c>
      <c r="Q196" s="26" t="s">
        <v>3854</v>
      </c>
      <c r="R196" s="26"/>
      <c r="S196" s="31"/>
      <c r="T196" s="31" t="s">
        <v>3855</v>
      </c>
    </row>
    <row r="197">
      <c r="A197" s="34" t="s">
        <v>1090</v>
      </c>
      <c r="B197" s="34" t="s">
        <v>1091</v>
      </c>
      <c r="C197" s="41">
        <v>45898.0</v>
      </c>
      <c r="D197" s="26"/>
      <c r="E197" s="41" t="s">
        <v>3851</v>
      </c>
      <c r="F197" s="34"/>
      <c r="G197" s="57" t="s">
        <v>3852</v>
      </c>
      <c r="H197" s="48" t="s">
        <v>3853</v>
      </c>
      <c r="I197" s="26" t="s">
        <v>3856</v>
      </c>
      <c r="J197" s="26" t="s">
        <v>3854</v>
      </c>
      <c r="K197" s="26" t="s">
        <v>3856</v>
      </c>
      <c r="L197" s="26" t="s">
        <v>3854</v>
      </c>
      <c r="M197" s="26" t="s">
        <v>3854</v>
      </c>
      <c r="N197" s="26" t="s">
        <v>3854</v>
      </c>
      <c r="O197" s="26" t="s">
        <v>3854</v>
      </c>
      <c r="P197" s="26" t="s">
        <v>3854</v>
      </c>
      <c r="Q197" s="26" t="s">
        <v>3854</v>
      </c>
      <c r="R197" s="26"/>
      <c r="S197" s="31"/>
      <c r="T197" s="31" t="s">
        <v>3855</v>
      </c>
    </row>
    <row r="198">
      <c r="A198" s="34" t="s">
        <v>3935</v>
      </c>
      <c r="B198" s="34" t="s">
        <v>1180</v>
      </c>
      <c r="C198" s="41">
        <v>45898.0</v>
      </c>
      <c r="D198" s="26"/>
      <c r="E198" s="41" t="s">
        <v>3851</v>
      </c>
      <c r="F198" s="34"/>
      <c r="G198" s="57" t="s">
        <v>3852</v>
      </c>
      <c r="H198" s="48" t="s">
        <v>3853</v>
      </c>
      <c r="I198" s="26" t="s">
        <v>3856</v>
      </c>
      <c r="J198" s="26" t="s">
        <v>3854</v>
      </c>
      <c r="K198" s="26" t="s">
        <v>3856</v>
      </c>
      <c r="L198" s="26" t="s">
        <v>3854</v>
      </c>
      <c r="M198" s="26" t="s">
        <v>3854</v>
      </c>
      <c r="N198" s="26" t="s">
        <v>3854</v>
      </c>
      <c r="O198" s="26" t="s">
        <v>3854</v>
      </c>
      <c r="P198" s="26" t="s">
        <v>3854</v>
      </c>
      <c r="Q198" s="26" t="s">
        <v>3854</v>
      </c>
      <c r="R198" s="26"/>
      <c r="S198" s="31"/>
      <c r="T198" s="31" t="s">
        <v>3855</v>
      </c>
    </row>
    <row r="199">
      <c r="A199" s="34" t="s">
        <v>1406</v>
      </c>
      <c r="B199" s="34" t="s">
        <v>1407</v>
      </c>
      <c r="C199" s="41">
        <v>45898.0</v>
      </c>
      <c r="D199" s="26"/>
      <c r="E199" s="41" t="s">
        <v>3851</v>
      </c>
      <c r="F199" s="34"/>
      <c r="G199" s="57" t="s">
        <v>3852</v>
      </c>
      <c r="H199" s="48" t="s">
        <v>3853</v>
      </c>
      <c r="I199" s="26" t="s">
        <v>3856</v>
      </c>
      <c r="J199" s="26" t="s">
        <v>3854</v>
      </c>
      <c r="K199" s="26" t="s">
        <v>3856</v>
      </c>
      <c r="L199" s="26" t="s">
        <v>3854</v>
      </c>
      <c r="M199" s="26" t="s">
        <v>3854</v>
      </c>
      <c r="N199" s="26" t="s">
        <v>3854</v>
      </c>
      <c r="O199" s="26" t="s">
        <v>3854</v>
      </c>
      <c r="P199" s="26" t="s">
        <v>3854</v>
      </c>
      <c r="Q199" s="26" t="s">
        <v>3854</v>
      </c>
      <c r="R199" s="26"/>
      <c r="S199" s="31"/>
      <c r="T199" s="31" t="s">
        <v>3855</v>
      </c>
    </row>
    <row r="200">
      <c r="A200" s="34" t="s">
        <v>2906</v>
      </c>
      <c r="B200" s="34" t="s">
        <v>2907</v>
      </c>
      <c r="C200" s="41">
        <v>45898.0</v>
      </c>
      <c r="D200" s="26"/>
      <c r="E200" s="41" t="s">
        <v>3851</v>
      </c>
      <c r="F200" s="34"/>
      <c r="G200" s="57" t="s">
        <v>3852</v>
      </c>
      <c r="H200" s="48" t="s">
        <v>3853</v>
      </c>
      <c r="I200" s="26" t="s">
        <v>3856</v>
      </c>
      <c r="J200" s="26" t="s">
        <v>3854</v>
      </c>
      <c r="K200" s="26" t="s">
        <v>3856</v>
      </c>
      <c r="L200" s="26" t="s">
        <v>3854</v>
      </c>
      <c r="M200" s="26" t="s">
        <v>3854</v>
      </c>
      <c r="N200" s="26" t="s">
        <v>3854</v>
      </c>
      <c r="O200" s="26" t="s">
        <v>3854</v>
      </c>
      <c r="P200" s="26" t="s">
        <v>3854</v>
      </c>
      <c r="Q200" s="26" t="s">
        <v>3854</v>
      </c>
      <c r="R200" s="26"/>
      <c r="S200" s="31"/>
      <c r="T200" s="31" t="s">
        <v>3855</v>
      </c>
    </row>
    <row r="201">
      <c r="A201" s="34" t="s">
        <v>3936</v>
      </c>
      <c r="B201" s="34" t="s">
        <v>1686</v>
      </c>
      <c r="C201" s="41">
        <v>45898.0</v>
      </c>
      <c r="D201" s="26"/>
      <c r="E201" s="41" t="s">
        <v>3851</v>
      </c>
      <c r="F201" s="34"/>
      <c r="G201" s="57" t="s">
        <v>3852</v>
      </c>
      <c r="H201" s="48" t="s">
        <v>3853</v>
      </c>
      <c r="I201" s="26" t="s">
        <v>3856</v>
      </c>
      <c r="J201" s="26" t="s">
        <v>3854</v>
      </c>
      <c r="K201" s="26" t="s">
        <v>3856</v>
      </c>
      <c r="L201" s="26" t="s">
        <v>3854</v>
      </c>
      <c r="M201" s="26" t="s">
        <v>3854</v>
      </c>
      <c r="N201" s="26" t="s">
        <v>3854</v>
      </c>
      <c r="O201" s="26" t="s">
        <v>3854</v>
      </c>
      <c r="P201" s="26" t="s">
        <v>3854</v>
      </c>
      <c r="Q201" s="26" t="s">
        <v>3854</v>
      </c>
      <c r="R201" s="26"/>
      <c r="S201" s="31"/>
      <c r="T201" s="31" t="s">
        <v>3855</v>
      </c>
    </row>
    <row r="202">
      <c r="A202" s="34" t="s">
        <v>3937</v>
      </c>
      <c r="B202" s="34" t="s">
        <v>1133</v>
      </c>
      <c r="C202" s="41">
        <v>45900.0</v>
      </c>
      <c r="D202" s="26"/>
      <c r="E202" s="41" t="s">
        <v>3851</v>
      </c>
      <c r="F202" s="34"/>
      <c r="G202" s="57" t="s">
        <v>3852</v>
      </c>
      <c r="H202" s="48" t="s">
        <v>3853</v>
      </c>
      <c r="I202" s="26" t="s">
        <v>3856</v>
      </c>
      <c r="J202" s="26" t="s">
        <v>3856</v>
      </c>
      <c r="K202" s="26" t="s">
        <v>3854</v>
      </c>
      <c r="L202" s="26" t="s">
        <v>3854</v>
      </c>
      <c r="M202" s="26" t="s">
        <v>3856</v>
      </c>
      <c r="N202" s="26" t="s">
        <v>3854</v>
      </c>
      <c r="O202" s="26" t="s">
        <v>3854</v>
      </c>
      <c r="P202" s="26" t="s">
        <v>3854</v>
      </c>
      <c r="Q202" s="26" t="s">
        <v>3854</v>
      </c>
      <c r="R202" s="26"/>
      <c r="S202" s="31"/>
      <c r="T202" s="31" t="s">
        <v>3855</v>
      </c>
    </row>
    <row r="203">
      <c r="A203" s="34" t="s">
        <v>1696</v>
      </c>
      <c r="B203" s="34" t="s">
        <v>1697</v>
      </c>
      <c r="C203" s="41">
        <v>45901.0</v>
      </c>
      <c r="D203" s="26"/>
      <c r="E203" s="41" t="s">
        <v>3851</v>
      </c>
      <c r="F203" s="34"/>
      <c r="G203" s="57" t="s">
        <v>3852</v>
      </c>
      <c r="H203" s="48" t="s">
        <v>3853</v>
      </c>
      <c r="I203" s="26" t="s">
        <v>3856</v>
      </c>
      <c r="J203" s="26" t="s">
        <v>3856</v>
      </c>
      <c r="K203" s="26" t="s">
        <v>3854</v>
      </c>
      <c r="L203" s="26" t="s">
        <v>3854</v>
      </c>
      <c r="M203" s="26" t="s">
        <v>3854</v>
      </c>
      <c r="N203" s="26" t="s">
        <v>3854</v>
      </c>
      <c r="O203" s="26" t="s">
        <v>3854</v>
      </c>
      <c r="P203" s="26" t="s">
        <v>3854</v>
      </c>
      <c r="Q203" s="26" t="s">
        <v>3854</v>
      </c>
      <c r="R203" s="26"/>
      <c r="S203" s="31"/>
      <c r="T203" s="31" t="s">
        <v>3855</v>
      </c>
    </row>
    <row r="204">
      <c r="A204" s="34" t="s">
        <v>2464</v>
      </c>
      <c r="B204" s="34" t="s">
        <v>1405</v>
      </c>
      <c r="C204" s="41">
        <v>45901.0</v>
      </c>
      <c r="D204" s="26"/>
      <c r="E204" s="41" t="s">
        <v>3851</v>
      </c>
      <c r="F204" s="34"/>
      <c r="G204" s="57" t="s">
        <v>3852</v>
      </c>
      <c r="H204" s="48" t="s">
        <v>3853</v>
      </c>
      <c r="I204" s="26" t="s">
        <v>3856</v>
      </c>
      <c r="J204" s="26" t="s">
        <v>3854</v>
      </c>
      <c r="K204" s="26" t="s">
        <v>3854</v>
      </c>
      <c r="L204" s="26" t="s">
        <v>3854</v>
      </c>
      <c r="M204" s="26" t="s">
        <v>3854</v>
      </c>
      <c r="N204" s="26" t="s">
        <v>3854</v>
      </c>
      <c r="O204" s="26" t="s">
        <v>3854</v>
      </c>
      <c r="P204" s="26" t="s">
        <v>3854</v>
      </c>
      <c r="Q204" s="26" t="s">
        <v>3854</v>
      </c>
      <c r="R204" s="26"/>
      <c r="S204" s="31"/>
      <c r="T204" s="31" t="s">
        <v>3855</v>
      </c>
    </row>
    <row r="205">
      <c r="A205" s="34" t="s">
        <v>1655</v>
      </c>
      <c r="B205" s="34" t="s">
        <v>1656</v>
      </c>
      <c r="C205" s="41">
        <v>45902.0</v>
      </c>
      <c r="D205" s="26"/>
      <c r="E205" s="41" t="s">
        <v>3851</v>
      </c>
      <c r="F205" s="34"/>
      <c r="G205" s="57" t="s">
        <v>3852</v>
      </c>
      <c r="H205" s="48" t="s">
        <v>3853</v>
      </c>
      <c r="I205" s="26" t="s">
        <v>3856</v>
      </c>
      <c r="J205" s="26" t="s">
        <v>3854</v>
      </c>
      <c r="K205" s="26" t="s">
        <v>3854</v>
      </c>
      <c r="L205" s="26" t="s">
        <v>3854</v>
      </c>
      <c r="M205" s="26" t="s">
        <v>3854</v>
      </c>
      <c r="N205" s="26" t="s">
        <v>3854</v>
      </c>
      <c r="O205" s="26" t="s">
        <v>3854</v>
      </c>
      <c r="P205" s="26" t="s">
        <v>3854</v>
      </c>
      <c r="Q205" s="26" t="s">
        <v>3854</v>
      </c>
      <c r="R205" s="26"/>
      <c r="S205" s="31"/>
      <c r="T205" s="31" t="s">
        <v>3855</v>
      </c>
    </row>
    <row r="206">
      <c r="A206" s="34" t="s">
        <v>1223</v>
      </c>
      <c r="B206" s="34" t="s">
        <v>1224</v>
      </c>
      <c r="C206" s="41">
        <v>45903.0</v>
      </c>
      <c r="D206" s="26"/>
      <c r="E206" s="41" t="s">
        <v>3851</v>
      </c>
      <c r="F206" s="34"/>
      <c r="G206" s="57" t="s">
        <v>3852</v>
      </c>
      <c r="H206" s="48" t="s">
        <v>3853</v>
      </c>
      <c r="I206" s="26" t="s">
        <v>3856</v>
      </c>
      <c r="J206" s="26" t="s">
        <v>3856</v>
      </c>
      <c r="K206" s="26" t="s">
        <v>3856</v>
      </c>
      <c r="L206" s="26" t="s">
        <v>3854</v>
      </c>
      <c r="M206" s="26" t="s">
        <v>3854</v>
      </c>
      <c r="N206" s="26" t="s">
        <v>3854</v>
      </c>
      <c r="O206" s="26" t="s">
        <v>3854</v>
      </c>
      <c r="P206" s="26" t="s">
        <v>3854</v>
      </c>
      <c r="Q206" s="26" t="s">
        <v>3854</v>
      </c>
      <c r="R206" s="26"/>
      <c r="S206" s="31"/>
      <c r="T206" s="31" t="s">
        <v>3855</v>
      </c>
    </row>
    <row r="207">
      <c r="A207" s="34" t="s">
        <v>1689</v>
      </c>
      <c r="B207" s="34" t="s">
        <v>1690</v>
      </c>
      <c r="C207" s="41">
        <v>45903.0</v>
      </c>
      <c r="D207" s="26"/>
      <c r="E207" s="41" t="s">
        <v>3851</v>
      </c>
      <c r="F207" s="34"/>
      <c r="G207" s="57" t="s">
        <v>3852</v>
      </c>
      <c r="H207" s="48" t="s">
        <v>3853</v>
      </c>
      <c r="I207" s="26" t="s">
        <v>3856</v>
      </c>
      <c r="J207" s="26" t="s">
        <v>3854</v>
      </c>
      <c r="K207" s="26" t="s">
        <v>3856</v>
      </c>
      <c r="L207" s="26" t="s">
        <v>3854</v>
      </c>
      <c r="M207" s="26" t="s">
        <v>3854</v>
      </c>
      <c r="N207" s="26" t="s">
        <v>3854</v>
      </c>
      <c r="O207" s="26" t="s">
        <v>3854</v>
      </c>
      <c r="P207" s="26" t="s">
        <v>3854</v>
      </c>
      <c r="Q207" s="26" t="s">
        <v>3854</v>
      </c>
      <c r="R207" s="26"/>
      <c r="S207" s="31"/>
      <c r="T207" s="31" t="s">
        <v>3855</v>
      </c>
    </row>
    <row r="208">
      <c r="A208" s="34" t="s">
        <v>1154</v>
      </c>
      <c r="B208" s="34" t="s">
        <v>1155</v>
      </c>
      <c r="C208" s="41">
        <v>45903.0</v>
      </c>
      <c r="D208" s="26"/>
      <c r="E208" s="41" t="s">
        <v>3851</v>
      </c>
      <c r="F208" s="34"/>
      <c r="G208" s="57" t="s">
        <v>3852</v>
      </c>
      <c r="H208" s="48" t="s">
        <v>3853</v>
      </c>
      <c r="I208" s="26" t="s">
        <v>3856</v>
      </c>
      <c r="J208" s="26" t="s">
        <v>3854</v>
      </c>
      <c r="K208" s="26" t="s">
        <v>3856</v>
      </c>
      <c r="L208" s="26" t="s">
        <v>3854</v>
      </c>
      <c r="M208" s="26" t="s">
        <v>3854</v>
      </c>
      <c r="N208" s="26" t="s">
        <v>3854</v>
      </c>
      <c r="O208" s="26" t="s">
        <v>3854</v>
      </c>
      <c r="P208" s="26" t="s">
        <v>3854</v>
      </c>
      <c r="Q208" s="26" t="s">
        <v>3854</v>
      </c>
      <c r="R208" s="26"/>
      <c r="S208" s="31"/>
      <c r="T208" s="31" t="s">
        <v>3855</v>
      </c>
    </row>
    <row r="209">
      <c r="A209" s="34" t="s">
        <v>3938</v>
      </c>
      <c r="B209" s="34" t="s">
        <v>3939</v>
      </c>
      <c r="C209" s="41">
        <v>45903.0</v>
      </c>
      <c r="D209" s="26"/>
      <c r="E209" s="41" t="s">
        <v>3851</v>
      </c>
      <c r="F209" s="34"/>
      <c r="G209" s="57" t="s">
        <v>3852</v>
      </c>
      <c r="H209" s="48" t="s">
        <v>3853</v>
      </c>
      <c r="I209" s="26" t="s">
        <v>3856</v>
      </c>
      <c r="J209" s="26" t="s">
        <v>3854</v>
      </c>
      <c r="K209" s="26" t="s">
        <v>3856</v>
      </c>
      <c r="L209" s="26" t="s">
        <v>3854</v>
      </c>
      <c r="M209" s="26" t="s">
        <v>3854</v>
      </c>
      <c r="N209" s="26" t="s">
        <v>3854</v>
      </c>
      <c r="O209" s="26" t="s">
        <v>3854</v>
      </c>
      <c r="P209" s="26" t="s">
        <v>3854</v>
      </c>
      <c r="Q209" s="26" t="s">
        <v>3854</v>
      </c>
      <c r="R209" s="26"/>
      <c r="S209" s="31"/>
      <c r="T209" s="31" t="s">
        <v>3855</v>
      </c>
    </row>
    <row r="210">
      <c r="A210" s="34" t="s">
        <v>1302</v>
      </c>
      <c r="B210" s="34" t="s">
        <v>1303</v>
      </c>
      <c r="C210" s="41">
        <v>45903.0</v>
      </c>
      <c r="D210" s="26"/>
      <c r="E210" s="41" t="s">
        <v>3851</v>
      </c>
      <c r="F210" s="34"/>
      <c r="G210" s="57" t="s">
        <v>3852</v>
      </c>
      <c r="H210" s="48" t="s">
        <v>3853</v>
      </c>
      <c r="I210" s="26" t="s">
        <v>3856</v>
      </c>
      <c r="J210" s="26" t="s">
        <v>3854</v>
      </c>
      <c r="K210" s="26" t="s">
        <v>3856</v>
      </c>
      <c r="L210" s="26" t="s">
        <v>3854</v>
      </c>
      <c r="M210" s="26" t="s">
        <v>3854</v>
      </c>
      <c r="N210" s="26" t="s">
        <v>3854</v>
      </c>
      <c r="O210" s="26" t="s">
        <v>3854</v>
      </c>
      <c r="P210" s="26" t="s">
        <v>3854</v>
      </c>
      <c r="Q210" s="26" t="s">
        <v>3854</v>
      </c>
      <c r="R210" s="26"/>
      <c r="S210" s="31"/>
      <c r="T210" s="31" t="s">
        <v>3855</v>
      </c>
    </row>
    <row r="211">
      <c r="A211" s="34" t="s">
        <v>3940</v>
      </c>
      <c r="B211" s="34" t="s">
        <v>2909</v>
      </c>
      <c r="C211" s="41">
        <v>45903.0</v>
      </c>
      <c r="D211" s="26"/>
      <c r="E211" s="41" t="s">
        <v>3851</v>
      </c>
      <c r="F211" s="34"/>
      <c r="G211" s="57" t="s">
        <v>3852</v>
      </c>
      <c r="H211" s="48" t="s">
        <v>3853</v>
      </c>
      <c r="I211" s="26" t="s">
        <v>3856</v>
      </c>
      <c r="J211" s="26" t="s">
        <v>3854</v>
      </c>
      <c r="K211" s="26" t="s">
        <v>3856</v>
      </c>
      <c r="L211" s="26" t="s">
        <v>3854</v>
      </c>
      <c r="M211" s="26" t="s">
        <v>3854</v>
      </c>
      <c r="N211" s="26" t="s">
        <v>3854</v>
      </c>
      <c r="O211" s="26" t="s">
        <v>3854</v>
      </c>
      <c r="P211" s="26" t="s">
        <v>3854</v>
      </c>
      <c r="Q211" s="26" t="s">
        <v>3854</v>
      </c>
      <c r="R211" s="26"/>
      <c r="S211" s="31"/>
      <c r="T211" s="31" t="s">
        <v>3855</v>
      </c>
    </row>
    <row r="212">
      <c r="A212" s="34" t="s">
        <v>3941</v>
      </c>
      <c r="B212" s="34" t="s">
        <v>1222</v>
      </c>
      <c r="C212" s="41">
        <v>45903.0</v>
      </c>
      <c r="D212" s="26"/>
      <c r="E212" s="41" t="s">
        <v>3851</v>
      </c>
      <c r="F212" s="34"/>
      <c r="G212" s="57" t="s">
        <v>3852</v>
      </c>
      <c r="H212" s="48" t="s">
        <v>3853</v>
      </c>
      <c r="I212" s="26" t="s">
        <v>3856</v>
      </c>
      <c r="J212" s="26" t="s">
        <v>3854</v>
      </c>
      <c r="K212" s="26" t="s">
        <v>3856</v>
      </c>
      <c r="L212" s="26" t="s">
        <v>3854</v>
      </c>
      <c r="M212" s="26" t="s">
        <v>3854</v>
      </c>
      <c r="N212" s="26" t="s">
        <v>3854</v>
      </c>
      <c r="O212" s="26" t="s">
        <v>3854</v>
      </c>
      <c r="P212" s="26" t="s">
        <v>3854</v>
      </c>
      <c r="Q212" s="26" t="s">
        <v>3856</v>
      </c>
      <c r="R212" s="26"/>
      <c r="S212" s="31"/>
      <c r="T212" s="31" t="s">
        <v>3855</v>
      </c>
    </row>
    <row r="213">
      <c r="A213" s="34" t="s">
        <v>3942</v>
      </c>
      <c r="B213" s="34" t="s">
        <v>1441</v>
      </c>
      <c r="C213" s="41">
        <v>45903.0</v>
      </c>
      <c r="D213" s="26"/>
      <c r="E213" s="41" t="s">
        <v>3851</v>
      </c>
      <c r="F213" s="34"/>
      <c r="G213" s="57" t="s">
        <v>3852</v>
      </c>
      <c r="H213" s="48" t="s">
        <v>3853</v>
      </c>
      <c r="I213" s="26" t="s">
        <v>3856</v>
      </c>
      <c r="J213" s="26" t="s">
        <v>3854</v>
      </c>
      <c r="K213" s="26" t="s">
        <v>3856</v>
      </c>
      <c r="L213" s="26" t="s">
        <v>3854</v>
      </c>
      <c r="M213" s="26" t="s">
        <v>3854</v>
      </c>
      <c r="N213" s="26" t="s">
        <v>3854</v>
      </c>
      <c r="O213" s="26" t="s">
        <v>3854</v>
      </c>
      <c r="P213" s="26" t="s">
        <v>3854</v>
      </c>
      <c r="Q213" s="26" t="s">
        <v>3856</v>
      </c>
      <c r="R213" s="26"/>
      <c r="S213" s="31"/>
      <c r="T213" s="31" t="s">
        <v>3855</v>
      </c>
    </row>
    <row r="214">
      <c r="A214" s="34" t="s">
        <v>3943</v>
      </c>
      <c r="B214" s="34" t="s">
        <v>1688</v>
      </c>
      <c r="C214" s="41">
        <v>45903.0</v>
      </c>
      <c r="D214" s="26"/>
      <c r="E214" s="41" t="s">
        <v>3851</v>
      </c>
      <c r="F214" s="34"/>
      <c r="G214" s="57" t="s">
        <v>3852</v>
      </c>
      <c r="H214" s="48" t="s">
        <v>3853</v>
      </c>
      <c r="I214" s="26" t="s">
        <v>3856</v>
      </c>
      <c r="J214" s="26" t="s">
        <v>3854</v>
      </c>
      <c r="K214" s="26" t="s">
        <v>3856</v>
      </c>
      <c r="L214" s="26" t="s">
        <v>3854</v>
      </c>
      <c r="M214" s="26" t="s">
        <v>3854</v>
      </c>
      <c r="N214" s="26" t="s">
        <v>3854</v>
      </c>
      <c r="O214" s="26" t="s">
        <v>3854</v>
      </c>
      <c r="P214" s="26" t="s">
        <v>3854</v>
      </c>
      <c r="Q214" s="26" t="s">
        <v>3854</v>
      </c>
      <c r="R214" s="26"/>
      <c r="S214" s="31"/>
      <c r="T214" s="31" t="s">
        <v>3855</v>
      </c>
    </row>
    <row r="215">
      <c r="A215" s="34" t="s">
        <v>3944</v>
      </c>
      <c r="B215" s="34" t="s">
        <v>3018</v>
      </c>
      <c r="C215" s="41">
        <v>45903.0</v>
      </c>
      <c r="D215" s="26"/>
      <c r="E215" s="41" t="s">
        <v>3851</v>
      </c>
      <c r="F215" s="34"/>
      <c r="G215" s="57" t="s">
        <v>3852</v>
      </c>
      <c r="H215" s="48" t="s">
        <v>3853</v>
      </c>
      <c r="I215" s="26" t="s">
        <v>3856</v>
      </c>
      <c r="J215" s="26" t="s">
        <v>3854</v>
      </c>
      <c r="K215" s="26" t="s">
        <v>3854</v>
      </c>
      <c r="L215" s="26" t="s">
        <v>3854</v>
      </c>
      <c r="M215" s="26" t="s">
        <v>3854</v>
      </c>
      <c r="N215" s="26" t="s">
        <v>3854</v>
      </c>
      <c r="O215" s="26" t="s">
        <v>3854</v>
      </c>
      <c r="P215" s="26" t="s">
        <v>3854</v>
      </c>
      <c r="Q215" s="26" t="s">
        <v>3854</v>
      </c>
      <c r="R215" s="26"/>
      <c r="S215" s="31"/>
      <c r="T215" s="31" t="s">
        <v>3855</v>
      </c>
    </row>
    <row r="216">
      <c r="A216" s="34" t="s">
        <v>3945</v>
      </c>
      <c r="B216" s="34" t="s">
        <v>3022</v>
      </c>
      <c r="C216" s="41">
        <v>45903.0</v>
      </c>
      <c r="D216" s="26"/>
      <c r="E216" s="41" t="s">
        <v>3851</v>
      </c>
      <c r="F216" s="34"/>
      <c r="G216" s="57" t="s">
        <v>3852</v>
      </c>
      <c r="H216" s="48" t="s">
        <v>3853</v>
      </c>
      <c r="I216" s="26" t="s">
        <v>3856</v>
      </c>
      <c r="J216" s="26" t="s">
        <v>3854</v>
      </c>
      <c r="K216" s="26" t="s">
        <v>3854</v>
      </c>
      <c r="L216" s="26" t="s">
        <v>3854</v>
      </c>
      <c r="M216" s="26" t="s">
        <v>3854</v>
      </c>
      <c r="N216" s="26" t="s">
        <v>3854</v>
      </c>
      <c r="O216" s="26" t="s">
        <v>3854</v>
      </c>
      <c r="P216" s="26" t="s">
        <v>3854</v>
      </c>
      <c r="Q216" s="26" t="s">
        <v>3854</v>
      </c>
      <c r="R216" s="26"/>
      <c r="S216" s="31"/>
      <c r="T216" s="31" t="s">
        <v>3855</v>
      </c>
    </row>
    <row r="217">
      <c r="A217" s="34" t="s">
        <v>3946</v>
      </c>
      <c r="B217" s="34" t="s">
        <v>3947</v>
      </c>
      <c r="C217" s="41">
        <v>45903.0</v>
      </c>
      <c r="D217" s="26"/>
      <c r="E217" s="41" t="s">
        <v>3851</v>
      </c>
      <c r="F217" s="34"/>
      <c r="G217" s="57" t="s">
        <v>3852</v>
      </c>
      <c r="H217" s="48" t="s">
        <v>3853</v>
      </c>
      <c r="I217" s="26" t="s">
        <v>3856</v>
      </c>
      <c r="J217" s="26" t="s">
        <v>3854</v>
      </c>
      <c r="K217" s="26" t="s">
        <v>3854</v>
      </c>
      <c r="L217" s="26" t="s">
        <v>3854</v>
      </c>
      <c r="M217" s="26" t="s">
        <v>3854</v>
      </c>
      <c r="N217" s="26" t="s">
        <v>3854</v>
      </c>
      <c r="O217" s="26" t="s">
        <v>3854</v>
      </c>
      <c r="P217" s="26" t="s">
        <v>3854</v>
      </c>
      <c r="Q217" s="26" t="s">
        <v>3854</v>
      </c>
      <c r="R217" s="26"/>
      <c r="S217" s="31"/>
      <c r="T217" s="31" t="s">
        <v>3855</v>
      </c>
    </row>
    <row r="218">
      <c r="A218" s="34" t="s">
        <v>3948</v>
      </c>
      <c r="B218" s="34" t="s">
        <v>3146</v>
      </c>
      <c r="C218" s="41">
        <v>45903.0</v>
      </c>
      <c r="D218" s="26"/>
      <c r="E218" s="41" t="s">
        <v>3851</v>
      </c>
      <c r="F218" s="34"/>
      <c r="G218" s="57" t="s">
        <v>3852</v>
      </c>
      <c r="H218" s="48" t="s">
        <v>3853</v>
      </c>
      <c r="I218" s="26" t="s">
        <v>3856</v>
      </c>
      <c r="J218" s="26" t="s">
        <v>3854</v>
      </c>
      <c r="K218" s="26" t="s">
        <v>3854</v>
      </c>
      <c r="L218" s="26" t="s">
        <v>3854</v>
      </c>
      <c r="M218" s="26" t="s">
        <v>3854</v>
      </c>
      <c r="N218" s="26" t="s">
        <v>3854</v>
      </c>
      <c r="O218" s="26" t="s">
        <v>3854</v>
      </c>
      <c r="P218" s="26" t="s">
        <v>3854</v>
      </c>
      <c r="Q218" s="26" t="s">
        <v>3854</v>
      </c>
      <c r="R218" s="26"/>
      <c r="S218" s="31"/>
      <c r="T218" s="31" t="s">
        <v>3855</v>
      </c>
    </row>
    <row r="219">
      <c r="A219" s="34" t="s">
        <v>3949</v>
      </c>
      <c r="B219" s="34" t="s">
        <v>3950</v>
      </c>
      <c r="C219" s="41">
        <v>45903.0</v>
      </c>
      <c r="D219" s="26"/>
      <c r="E219" s="41" t="s">
        <v>3851</v>
      </c>
      <c r="F219" s="34"/>
      <c r="G219" s="57" t="s">
        <v>3852</v>
      </c>
      <c r="H219" s="48" t="s">
        <v>3853</v>
      </c>
      <c r="I219" s="26" t="s">
        <v>3856</v>
      </c>
      <c r="J219" s="26" t="s">
        <v>3854</v>
      </c>
      <c r="K219" s="26" t="s">
        <v>3854</v>
      </c>
      <c r="L219" s="26" t="s">
        <v>3854</v>
      </c>
      <c r="M219" s="26" t="s">
        <v>3854</v>
      </c>
      <c r="N219" s="26" t="s">
        <v>3854</v>
      </c>
      <c r="O219" s="26" t="s">
        <v>3854</v>
      </c>
      <c r="P219" s="26" t="s">
        <v>3854</v>
      </c>
      <c r="Q219" s="26" t="s">
        <v>3854</v>
      </c>
      <c r="R219" s="26"/>
      <c r="S219" s="31"/>
      <c r="T219" s="31" t="s">
        <v>3855</v>
      </c>
    </row>
    <row r="220">
      <c r="A220" s="34" t="s">
        <v>3951</v>
      </c>
      <c r="B220" s="34" t="s">
        <v>3014</v>
      </c>
      <c r="C220" s="41">
        <v>45903.0</v>
      </c>
      <c r="D220" s="26"/>
      <c r="E220" s="41" t="s">
        <v>3851</v>
      </c>
      <c r="F220" s="34"/>
      <c r="G220" s="57" t="s">
        <v>3852</v>
      </c>
      <c r="H220" s="48" t="s">
        <v>3853</v>
      </c>
      <c r="I220" s="26" t="s">
        <v>3856</v>
      </c>
      <c r="J220" s="26" t="s">
        <v>3854</v>
      </c>
      <c r="K220" s="26" t="s">
        <v>3854</v>
      </c>
      <c r="L220" s="26" t="s">
        <v>3854</v>
      </c>
      <c r="M220" s="26" t="s">
        <v>3854</v>
      </c>
      <c r="N220" s="26" t="s">
        <v>3854</v>
      </c>
      <c r="O220" s="26" t="s">
        <v>3854</v>
      </c>
      <c r="P220" s="26" t="s">
        <v>3854</v>
      </c>
      <c r="Q220" s="26" t="s">
        <v>3854</v>
      </c>
      <c r="R220" s="26"/>
      <c r="S220" s="31"/>
      <c r="T220" s="31" t="s">
        <v>3855</v>
      </c>
    </row>
    <row r="221">
      <c r="A221" s="34" t="s">
        <v>3952</v>
      </c>
      <c r="B221" s="34" t="s">
        <v>3024</v>
      </c>
      <c r="C221" s="41">
        <v>45903.0</v>
      </c>
      <c r="D221" s="26"/>
      <c r="E221" s="41" t="s">
        <v>3851</v>
      </c>
      <c r="F221" s="34"/>
      <c r="G221" s="57" t="s">
        <v>3852</v>
      </c>
      <c r="H221" s="48" t="s">
        <v>3853</v>
      </c>
      <c r="I221" s="26" t="s">
        <v>3856</v>
      </c>
      <c r="J221" s="26" t="s">
        <v>3854</v>
      </c>
      <c r="K221" s="26" t="s">
        <v>3854</v>
      </c>
      <c r="L221" s="26" t="s">
        <v>3854</v>
      </c>
      <c r="M221" s="26" t="s">
        <v>3854</v>
      </c>
      <c r="N221" s="26" t="s">
        <v>3854</v>
      </c>
      <c r="O221" s="26" t="s">
        <v>3854</v>
      </c>
      <c r="P221" s="26" t="s">
        <v>3854</v>
      </c>
      <c r="Q221" s="26" t="s">
        <v>3854</v>
      </c>
      <c r="R221" s="26"/>
      <c r="S221" s="31"/>
      <c r="T221" s="31" t="s">
        <v>3855</v>
      </c>
    </row>
    <row r="222">
      <c r="A222" s="34" t="s">
        <v>3953</v>
      </c>
      <c r="B222" s="34" t="s">
        <v>3047</v>
      </c>
      <c r="C222" s="41">
        <v>45903.0</v>
      </c>
      <c r="D222" s="26"/>
      <c r="E222" s="41" t="s">
        <v>3851</v>
      </c>
      <c r="F222" s="34"/>
      <c r="G222" s="57" t="s">
        <v>3852</v>
      </c>
      <c r="H222" s="48" t="s">
        <v>3853</v>
      </c>
      <c r="I222" s="26" t="s">
        <v>3856</v>
      </c>
      <c r="J222" s="26" t="s">
        <v>3854</v>
      </c>
      <c r="K222" s="26" t="s">
        <v>3854</v>
      </c>
      <c r="L222" s="26" t="s">
        <v>3854</v>
      </c>
      <c r="M222" s="26" t="s">
        <v>3854</v>
      </c>
      <c r="N222" s="26" t="s">
        <v>3854</v>
      </c>
      <c r="O222" s="26" t="s">
        <v>3854</v>
      </c>
      <c r="P222" s="26" t="s">
        <v>3854</v>
      </c>
      <c r="Q222" s="26" t="s">
        <v>3854</v>
      </c>
      <c r="R222" s="26"/>
      <c r="S222" s="31"/>
      <c r="T222" s="31" t="s">
        <v>3855</v>
      </c>
    </row>
    <row r="223">
      <c r="A223" s="34" t="s">
        <v>3954</v>
      </c>
      <c r="B223" s="34" t="s">
        <v>3020</v>
      </c>
      <c r="C223" s="41">
        <v>45903.0</v>
      </c>
      <c r="D223" s="26"/>
      <c r="E223" s="41" t="s">
        <v>3851</v>
      </c>
      <c r="F223" s="34"/>
      <c r="G223" s="57" t="s">
        <v>3852</v>
      </c>
      <c r="H223" s="48" t="s">
        <v>3853</v>
      </c>
      <c r="I223" s="26" t="s">
        <v>3856</v>
      </c>
      <c r="J223" s="26" t="s">
        <v>3854</v>
      </c>
      <c r="K223" s="26" t="s">
        <v>3854</v>
      </c>
      <c r="L223" s="26" t="s">
        <v>3854</v>
      </c>
      <c r="M223" s="26" t="s">
        <v>3854</v>
      </c>
      <c r="N223" s="26" t="s">
        <v>3854</v>
      </c>
      <c r="O223" s="26" t="s">
        <v>3854</v>
      </c>
      <c r="P223" s="26" t="s">
        <v>3854</v>
      </c>
      <c r="Q223" s="26" t="s">
        <v>3854</v>
      </c>
      <c r="R223" s="26"/>
      <c r="S223" s="31"/>
      <c r="T223" s="31" t="s">
        <v>3855</v>
      </c>
    </row>
    <row r="224">
      <c r="A224" s="34" t="s">
        <v>3955</v>
      </c>
      <c r="B224" s="34" t="s">
        <v>3053</v>
      </c>
      <c r="C224" s="41">
        <v>45903.0</v>
      </c>
      <c r="D224" s="26"/>
      <c r="E224" s="41" t="s">
        <v>3851</v>
      </c>
      <c r="F224" s="34"/>
      <c r="G224" s="57" t="s">
        <v>3852</v>
      </c>
      <c r="H224" s="48" t="s">
        <v>3853</v>
      </c>
      <c r="I224" s="26" t="s">
        <v>3856</v>
      </c>
      <c r="J224" s="26" t="s">
        <v>3854</v>
      </c>
      <c r="K224" s="26" t="s">
        <v>3854</v>
      </c>
      <c r="L224" s="26" t="s">
        <v>3854</v>
      </c>
      <c r="M224" s="26" t="s">
        <v>3854</v>
      </c>
      <c r="N224" s="26" t="s">
        <v>3854</v>
      </c>
      <c r="O224" s="26" t="s">
        <v>3854</v>
      </c>
      <c r="P224" s="26" t="s">
        <v>3854</v>
      </c>
      <c r="Q224" s="26" t="s">
        <v>3854</v>
      </c>
      <c r="R224" s="26"/>
      <c r="S224" s="31"/>
      <c r="T224" s="31" t="s">
        <v>3855</v>
      </c>
    </row>
    <row r="225">
      <c r="A225" s="34" t="s">
        <v>3956</v>
      </c>
      <c r="B225" s="34" t="s">
        <v>3045</v>
      </c>
      <c r="C225" s="41">
        <v>45903.0</v>
      </c>
      <c r="D225" s="26"/>
      <c r="E225" s="41" t="s">
        <v>3851</v>
      </c>
      <c r="F225" s="34"/>
      <c r="G225" s="57" t="s">
        <v>3852</v>
      </c>
      <c r="H225" s="48" t="s">
        <v>3853</v>
      </c>
      <c r="I225" s="26" t="s">
        <v>3856</v>
      </c>
      <c r="J225" s="26" t="s">
        <v>3854</v>
      </c>
      <c r="K225" s="26" t="s">
        <v>3854</v>
      </c>
      <c r="L225" s="26" t="s">
        <v>3854</v>
      </c>
      <c r="M225" s="26" t="s">
        <v>3854</v>
      </c>
      <c r="N225" s="26" t="s">
        <v>3854</v>
      </c>
      <c r="O225" s="26" t="s">
        <v>3854</v>
      </c>
      <c r="P225" s="26" t="s">
        <v>3854</v>
      </c>
      <c r="Q225" s="26" t="s">
        <v>3854</v>
      </c>
      <c r="R225" s="26"/>
      <c r="S225" s="31"/>
      <c r="T225" s="31" t="s">
        <v>3855</v>
      </c>
    </row>
    <row r="226">
      <c r="A226" s="34" t="s">
        <v>3957</v>
      </c>
      <c r="B226" s="34" t="s">
        <v>3049</v>
      </c>
      <c r="C226" s="41">
        <v>45903.0</v>
      </c>
      <c r="D226" s="26"/>
      <c r="E226" s="37" t="s">
        <v>3851</v>
      </c>
      <c r="F226" s="34"/>
      <c r="G226" s="57" t="s">
        <v>3852</v>
      </c>
      <c r="H226" s="48" t="s">
        <v>3853</v>
      </c>
      <c r="I226" s="26" t="s">
        <v>3856</v>
      </c>
      <c r="J226" s="26" t="s">
        <v>3854</v>
      </c>
      <c r="K226" s="26" t="s">
        <v>3854</v>
      </c>
      <c r="L226" s="26" t="s">
        <v>3854</v>
      </c>
      <c r="M226" s="26" t="s">
        <v>3854</v>
      </c>
      <c r="N226" s="26" t="s">
        <v>3854</v>
      </c>
      <c r="O226" s="26" t="s">
        <v>3854</v>
      </c>
      <c r="P226" s="26" t="s">
        <v>3854</v>
      </c>
      <c r="Q226" s="26" t="s">
        <v>3854</v>
      </c>
      <c r="R226" s="26"/>
      <c r="S226" s="31"/>
      <c r="T226" s="31" t="s">
        <v>3855</v>
      </c>
    </row>
    <row r="227">
      <c r="A227" s="34" t="s">
        <v>3958</v>
      </c>
      <c r="B227" s="34" t="s">
        <v>3142</v>
      </c>
      <c r="C227" s="41">
        <v>45903.0</v>
      </c>
      <c r="D227" s="26"/>
      <c r="E227" s="41" t="s">
        <v>3851</v>
      </c>
      <c r="F227" s="34"/>
      <c r="G227" s="57" t="s">
        <v>3852</v>
      </c>
      <c r="H227" s="48" t="s">
        <v>3853</v>
      </c>
      <c r="I227" s="26" t="s">
        <v>3856</v>
      </c>
      <c r="J227" s="26" t="s">
        <v>3854</v>
      </c>
      <c r="K227" s="26" t="s">
        <v>3854</v>
      </c>
      <c r="L227" s="26" t="s">
        <v>3854</v>
      </c>
      <c r="M227" s="26" t="s">
        <v>3854</v>
      </c>
      <c r="N227" s="26" t="s">
        <v>3854</v>
      </c>
      <c r="O227" s="26" t="s">
        <v>3854</v>
      </c>
      <c r="P227" s="26" t="s">
        <v>3854</v>
      </c>
      <c r="Q227" s="26" t="s">
        <v>3854</v>
      </c>
      <c r="R227" s="26"/>
      <c r="S227" s="31"/>
      <c r="T227" s="31" t="s">
        <v>3855</v>
      </c>
    </row>
    <row r="228">
      <c r="A228" s="34" t="s">
        <v>3959</v>
      </c>
      <c r="B228" s="34" t="s">
        <v>3144</v>
      </c>
      <c r="C228" s="41">
        <v>45903.0</v>
      </c>
      <c r="D228" s="26"/>
      <c r="E228" s="41" t="s">
        <v>3851</v>
      </c>
      <c r="F228" s="34"/>
      <c r="G228" s="57" t="s">
        <v>3852</v>
      </c>
      <c r="H228" s="48" t="s">
        <v>3853</v>
      </c>
      <c r="I228" s="26" t="s">
        <v>3856</v>
      </c>
      <c r="J228" s="26" t="s">
        <v>3854</v>
      </c>
      <c r="K228" s="26" t="s">
        <v>3854</v>
      </c>
      <c r="L228" s="26" t="s">
        <v>3854</v>
      </c>
      <c r="M228" s="26" t="s">
        <v>3854</v>
      </c>
      <c r="N228" s="26" t="s">
        <v>3854</v>
      </c>
      <c r="O228" s="26" t="s">
        <v>3854</v>
      </c>
      <c r="P228" s="26" t="s">
        <v>3854</v>
      </c>
      <c r="Q228" s="26" t="s">
        <v>3854</v>
      </c>
      <c r="R228" s="26"/>
      <c r="S228" s="31"/>
      <c r="T228" s="31" t="s">
        <v>3855</v>
      </c>
    </row>
    <row r="229">
      <c r="A229" s="34" t="s">
        <v>3960</v>
      </c>
      <c r="B229" s="34" t="s">
        <v>1372</v>
      </c>
      <c r="C229" s="41">
        <v>45903.0</v>
      </c>
      <c r="D229" s="26"/>
      <c r="E229" s="41" t="s">
        <v>3851</v>
      </c>
      <c r="F229" s="34"/>
      <c r="G229" s="57" t="s">
        <v>3852</v>
      </c>
      <c r="H229" s="48" t="s">
        <v>3853</v>
      </c>
      <c r="I229" s="26" t="s">
        <v>3856</v>
      </c>
      <c r="J229" s="26" t="s">
        <v>3854</v>
      </c>
      <c r="K229" s="26" t="s">
        <v>3854</v>
      </c>
      <c r="L229" s="26" t="s">
        <v>3854</v>
      </c>
      <c r="M229" s="26" t="s">
        <v>3854</v>
      </c>
      <c r="N229" s="26" t="s">
        <v>3854</v>
      </c>
      <c r="O229" s="26" t="s">
        <v>3854</v>
      </c>
      <c r="P229" s="26" t="s">
        <v>3854</v>
      </c>
      <c r="Q229" s="26" t="s">
        <v>3854</v>
      </c>
      <c r="R229" s="26"/>
      <c r="S229" s="31"/>
      <c r="T229" s="31" t="s">
        <v>3855</v>
      </c>
    </row>
    <row r="230">
      <c r="A230" s="34" t="s">
        <v>3961</v>
      </c>
      <c r="B230" s="34" t="s">
        <v>1162</v>
      </c>
      <c r="C230" s="41">
        <v>45903.0</v>
      </c>
      <c r="D230" s="26"/>
      <c r="E230" s="41" t="s">
        <v>3851</v>
      </c>
      <c r="F230" s="34"/>
      <c r="G230" s="57" t="s">
        <v>3852</v>
      </c>
      <c r="H230" s="48" t="s">
        <v>3853</v>
      </c>
      <c r="I230" s="26" t="s">
        <v>3856</v>
      </c>
      <c r="J230" s="26" t="s">
        <v>3854</v>
      </c>
      <c r="K230" s="26" t="s">
        <v>3854</v>
      </c>
      <c r="L230" s="26" t="s">
        <v>3854</v>
      </c>
      <c r="M230" s="26" t="s">
        <v>3854</v>
      </c>
      <c r="N230" s="26" t="s">
        <v>3854</v>
      </c>
      <c r="O230" s="26" t="s">
        <v>3854</v>
      </c>
      <c r="P230" s="26" t="s">
        <v>3854</v>
      </c>
      <c r="Q230" s="26" t="s">
        <v>3854</v>
      </c>
      <c r="R230" s="26"/>
      <c r="S230" s="31"/>
      <c r="T230" s="31" t="s">
        <v>3855</v>
      </c>
    </row>
    <row r="231">
      <c r="A231" s="34" t="s">
        <v>3962</v>
      </c>
      <c r="B231" s="34" t="s">
        <v>3016</v>
      </c>
      <c r="C231" s="41">
        <v>45903.0</v>
      </c>
      <c r="D231" s="26"/>
      <c r="E231" s="41" t="s">
        <v>3851</v>
      </c>
      <c r="F231" s="34"/>
      <c r="G231" s="57" t="s">
        <v>3852</v>
      </c>
      <c r="H231" s="48" t="s">
        <v>3853</v>
      </c>
      <c r="I231" s="26" t="s">
        <v>3856</v>
      </c>
      <c r="J231" s="26" t="s">
        <v>3854</v>
      </c>
      <c r="K231" s="26" t="s">
        <v>3854</v>
      </c>
      <c r="L231" s="26" t="s">
        <v>3854</v>
      </c>
      <c r="M231" s="26" t="s">
        <v>3854</v>
      </c>
      <c r="N231" s="26" t="s">
        <v>3854</v>
      </c>
      <c r="O231" s="26" t="s">
        <v>3854</v>
      </c>
      <c r="P231" s="26" t="s">
        <v>3854</v>
      </c>
      <c r="Q231" s="26" t="s">
        <v>3854</v>
      </c>
      <c r="R231" s="26"/>
      <c r="S231" s="31"/>
      <c r="T231" s="31" t="s">
        <v>3855</v>
      </c>
    </row>
    <row r="232">
      <c r="A232" s="34" t="s">
        <v>3963</v>
      </c>
      <c r="B232" s="34" t="s">
        <v>1631</v>
      </c>
      <c r="C232" s="41">
        <v>45903.0</v>
      </c>
      <c r="D232" s="26"/>
      <c r="E232" s="41" t="s">
        <v>3851</v>
      </c>
      <c r="F232" s="34"/>
      <c r="G232" s="57" t="s">
        <v>3852</v>
      </c>
      <c r="H232" s="48" t="s">
        <v>3853</v>
      </c>
      <c r="I232" s="26" t="s">
        <v>3856</v>
      </c>
      <c r="J232" s="26" t="s">
        <v>3854</v>
      </c>
      <c r="K232" s="26" t="s">
        <v>3854</v>
      </c>
      <c r="L232" s="26" t="s">
        <v>3854</v>
      </c>
      <c r="M232" s="26" t="s">
        <v>3854</v>
      </c>
      <c r="N232" s="26" t="s">
        <v>3854</v>
      </c>
      <c r="O232" s="26" t="s">
        <v>3854</v>
      </c>
      <c r="P232" s="26" t="s">
        <v>3854</v>
      </c>
      <c r="Q232" s="26" t="s">
        <v>3854</v>
      </c>
      <c r="R232" s="26"/>
      <c r="S232" s="31"/>
      <c r="T232" s="31" t="s">
        <v>3855</v>
      </c>
    </row>
    <row r="233">
      <c r="A233" s="34" t="s">
        <v>1662</v>
      </c>
      <c r="B233" s="34" t="s">
        <v>1663</v>
      </c>
      <c r="C233" s="41">
        <v>45904.0</v>
      </c>
      <c r="D233" s="26"/>
      <c r="E233" s="41" t="s">
        <v>3851</v>
      </c>
      <c r="F233" s="34"/>
      <c r="G233" s="57" t="s">
        <v>3852</v>
      </c>
      <c r="H233" s="48" t="s">
        <v>3853</v>
      </c>
      <c r="I233" s="26" t="s">
        <v>3856</v>
      </c>
      <c r="J233" s="26" t="s">
        <v>3854</v>
      </c>
      <c r="K233" s="26" t="s">
        <v>3856</v>
      </c>
      <c r="L233" s="26" t="s">
        <v>3854</v>
      </c>
      <c r="M233" s="26" t="s">
        <v>3854</v>
      </c>
      <c r="N233" s="26" t="s">
        <v>3854</v>
      </c>
      <c r="O233" s="26" t="s">
        <v>3854</v>
      </c>
      <c r="P233" s="26" t="s">
        <v>3854</v>
      </c>
      <c r="Q233" s="26" t="s">
        <v>3854</v>
      </c>
      <c r="R233" s="26"/>
      <c r="S233" s="31"/>
      <c r="T233" s="31" t="s">
        <v>3855</v>
      </c>
    </row>
    <row r="234">
      <c r="A234" s="34" t="s">
        <v>1398</v>
      </c>
      <c r="B234" s="34" t="s">
        <v>1399</v>
      </c>
      <c r="C234" s="41">
        <v>45904.0</v>
      </c>
      <c r="D234" s="26"/>
      <c r="E234" s="41" t="s">
        <v>3851</v>
      </c>
      <c r="F234" s="34"/>
      <c r="G234" s="57" t="s">
        <v>3852</v>
      </c>
      <c r="H234" s="48" t="s">
        <v>3853</v>
      </c>
      <c r="I234" s="26" t="s">
        <v>3856</v>
      </c>
      <c r="J234" s="26" t="s">
        <v>3854</v>
      </c>
      <c r="K234" s="26" t="s">
        <v>3854</v>
      </c>
      <c r="L234" s="26" t="s">
        <v>3854</v>
      </c>
      <c r="M234" s="26" t="s">
        <v>3854</v>
      </c>
      <c r="N234" s="26" t="s">
        <v>3854</v>
      </c>
      <c r="O234" s="26" t="s">
        <v>3854</v>
      </c>
      <c r="P234" s="26" t="s">
        <v>3854</v>
      </c>
      <c r="Q234" s="26" t="s">
        <v>3854</v>
      </c>
      <c r="R234" s="26"/>
      <c r="S234" s="31"/>
      <c r="T234" s="31" t="s">
        <v>3855</v>
      </c>
    </row>
    <row r="235">
      <c r="A235" s="34" t="s">
        <v>3011</v>
      </c>
      <c r="B235" s="34" t="s">
        <v>3012</v>
      </c>
      <c r="C235" s="41">
        <v>45904.0</v>
      </c>
      <c r="D235" s="26"/>
      <c r="E235" s="41" t="s">
        <v>3851</v>
      </c>
      <c r="F235" s="34"/>
      <c r="G235" s="57" t="s">
        <v>3852</v>
      </c>
      <c r="H235" s="48" t="s">
        <v>3853</v>
      </c>
      <c r="I235" s="26" t="s">
        <v>3856</v>
      </c>
      <c r="J235" s="26" t="s">
        <v>3854</v>
      </c>
      <c r="K235" s="26" t="s">
        <v>3854</v>
      </c>
      <c r="L235" s="26" t="s">
        <v>3854</v>
      </c>
      <c r="M235" s="26" t="s">
        <v>3854</v>
      </c>
      <c r="N235" s="26" t="s">
        <v>3854</v>
      </c>
      <c r="O235" s="26" t="s">
        <v>3854</v>
      </c>
      <c r="P235" s="26" t="s">
        <v>3854</v>
      </c>
      <c r="Q235" s="26" t="s">
        <v>3854</v>
      </c>
      <c r="R235" s="26"/>
      <c r="S235" s="31"/>
      <c r="T235" s="31" t="s">
        <v>3855</v>
      </c>
    </row>
    <row r="236">
      <c r="A236" s="34" t="s">
        <v>3147</v>
      </c>
      <c r="B236" s="34" t="s">
        <v>3148</v>
      </c>
      <c r="C236" s="41">
        <v>45904.0</v>
      </c>
      <c r="D236" s="26"/>
      <c r="E236" s="41" t="s">
        <v>3851</v>
      </c>
      <c r="F236" s="34"/>
      <c r="G236" s="57" t="s">
        <v>3852</v>
      </c>
      <c r="H236" s="48" t="s">
        <v>3853</v>
      </c>
      <c r="I236" s="26" t="s">
        <v>3856</v>
      </c>
      <c r="J236" s="26" t="s">
        <v>3854</v>
      </c>
      <c r="K236" s="26" t="s">
        <v>3854</v>
      </c>
      <c r="L236" s="26" t="s">
        <v>3854</v>
      </c>
      <c r="M236" s="26" t="s">
        <v>3854</v>
      </c>
      <c r="N236" s="26" t="s">
        <v>3854</v>
      </c>
      <c r="O236" s="26" t="s">
        <v>3854</v>
      </c>
      <c r="P236" s="26" t="s">
        <v>3854</v>
      </c>
      <c r="Q236" s="26" t="s">
        <v>3854</v>
      </c>
      <c r="R236" s="26"/>
      <c r="S236" s="31"/>
      <c r="T236" s="31" t="s">
        <v>3855</v>
      </c>
    </row>
    <row r="237">
      <c r="A237" s="34" t="s">
        <v>1527</v>
      </c>
      <c r="B237" s="34" t="s">
        <v>1528</v>
      </c>
      <c r="C237" s="41">
        <v>45904.0</v>
      </c>
      <c r="D237" s="26"/>
      <c r="E237" s="41" t="s">
        <v>3851</v>
      </c>
      <c r="F237" s="34"/>
      <c r="G237" s="57" t="s">
        <v>3852</v>
      </c>
      <c r="H237" s="48" t="s">
        <v>3853</v>
      </c>
      <c r="I237" s="26" t="s">
        <v>3856</v>
      </c>
      <c r="J237" s="26" t="s">
        <v>3854</v>
      </c>
      <c r="K237" s="26" t="s">
        <v>3854</v>
      </c>
      <c r="L237" s="26" t="s">
        <v>3854</v>
      </c>
      <c r="M237" s="26" t="s">
        <v>3854</v>
      </c>
      <c r="N237" s="26" t="s">
        <v>3854</v>
      </c>
      <c r="O237" s="26" t="s">
        <v>3854</v>
      </c>
      <c r="P237" s="26" t="s">
        <v>3854</v>
      </c>
      <c r="Q237" s="26" t="s">
        <v>3854</v>
      </c>
      <c r="R237" s="26"/>
      <c r="S237" s="31"/>
      <c r="T237" s="31" t="s">
        <v>3855</v>
      </c>
    </row>
    <row r="238">
      <c r="A238" s="34" t="s">
        <v>1744</v>
      </c>
      <c r="B238" s="34" t="s">
        <v>1745</v>
      </c>
      <c r="C238" s="41">
        <v>45904.0</v>
      </c>
      <c r="D238" s="26"/>
      <c r="E238" s="41" t="s">
        <v>3851</v>
      </c>
      <c r="F238" s="34"/>
      <c r="G238" s="57" t="s">
        <v>3852</v>
      </c>
      <c r="H238" s="48" t="s">
        <v>3853</v>
      </c>
      <c r="I238" s="26" t="s">
        <v>3856</v>
      </c>
      <c r="J238" s="26" t="s">
        <v>3854</v>
      </c>
      <c r="K238" s="26" t="s">
        <v>3854</v>
      </c>
      <c r="L238" s="26" t="s">
        <v>3854</v>
      </c>
      <c r="M238" s="26" t="s">
        <v>3854</v>
      </c>
      <c r="N238" s="26" t="s">
        <v>3854</v>
      </c>
      <c r="O238" s="26" t="s">
        <v>3854</v>
      </c>
      <c r="P238" s="26" t="s">
        <v>3854</v>
      </c>
      <c r="Q238" s="26" t="s">
        <v>3854</v>
      </c>
      <c r="R238" s="26"/>
      <c r="S238" s="31"/>
      <c r="T238" s="31" t="s">
        <v>3855</v>
      </c>
    </row>
    <row r="239">
      <c r="A239" s="34" t="s">
        <v>3964</v>
      </c>
      <c r="B239" s="34" t="s">
        <v>1557</v>
      </c>
      <c r="C239" s="41">
        <v>45904.0</v>
      </c>
      <c r="D239" s="26"/>
      <c r="E239" s="41" t="s">
        <v>3851</v>
      </c>
      <c r="F239" s="34"/>
      <c r="G239" s="57" t="s">
        <v>3852</v>
      </c>
      <c r="H239" s="48" t="s">
        <v>3853</v>
      </c>
      <c r="I239" s="26" t="s">
        <v>3856</v>
      </c>
      <c r="J239" s="26" t="s">
        <v>3854</v>
      </c>
      <c r="K239" s="26" t="s">
        <v>3854</v>
      </c>
      <c r="L239" s="26" t="s">
        <v>3854</v>
      </c>
      <c r="M239" s="26" t="s">
        <v>3854</v>
      </c>
      <c r="N239" s="26" t="s">
        <v>3854</v>
      </c>
      <c r="O239" s="26" t="s">
        <v>3854</v>
      </c>
      <c r="P239" s="26" t="s">
        <v>3854</v>
      </c>
      <c r="Q239" s="26" t="s">
        <v>3854</v>
      </c>
      <c r="R239" s="26"/>
      <c r="S239" s="31"/>
      <c r="T239" s="31" t="s">
        <v>3855</v>
      </c>
    </row>
    <row r="240">
      <c r="A240" s="34" t="s">
        <v>1793</v>
      </c>
      <c r="B240" s="34" t="s">
        <v>1794</v>
      </c>
      <c r="C240" s="41">
        <v>45904.0</v>
      </c>
      <c r="D240" s="26"/>
      <c r="E240" s="41" t="s">
        <v>3851</v>
      </c>
      <c r="F240" s="34"/>
      <c r="G240" s="57" t="s">
        <v>3852</v>
      </c>
      <c r="H240" s="48" t="s">
        <v>3853</v>
      </c>
      <c r="I240" s="26" t="s">
        <v>3856</v>
      </c>
      <c r="J240" s="26" t="s">
        <v>3854</v>
      </c>
      <c r="K240" s="26" t="s">
        <v>3854</v>
      </c>
      <c r="L240" s="26" t="s">
        <v>3854</v>
      </c>
      <c r="M240" s="26" t="s">
        <v>3854</v>
      </c>
      <c r="N240" s="26" t="s">
        <v>3854</v>
      </c>
      <c r="O240" s="26" t="s">
        <v>3854</v>
      </c>
      <c r="P240" s="26" t="s">
        <v>3854</v>
      </c>
      <c r="Q240" s="26" t="s">
        <v>3854</v>
      </c>
      <c r="R240" s="26"/>
      <c r="S240" s="31"/>
      <c r="T240" s="31" t="s">
        <v>3855</v>
      </c>
    </row>
    <row r="241">
      <c r="A241" s="34" t="s">
        <v>1189</v>
      </c>
      <c r="B241" s="34" t="s">
        <v>1190</v>
      </c>
      <c r="C241" s="41">
        <v>45904.0</v>
      </c>
      <c r="D241" s="26"/>
      <c r="E241" s="41" t="s">
        <v>3851</v>
      </c>
      <c r="F241" s="34"/>
      <c r="G241" s="57" t="s">
        <v>3852</v>
      </c>
      <c r="H241" s="48" t="s">
        <v>3853</v>
      </c>
      <c r="I241" s="26" t="s">
        <v>3856</v>
      </c>
      <c r="J241" s="26" t="s">
        <v>3854</v>
      </c>
      <c r="K241" s="26" t="s">
        <v>3854</v>
      </c>
      <c r="L241" s="26" t="s">
        <v>3854</v>
      </c>
      <c r="M241" s="26" t="s">
        <v>3854</v>
      </c>
      <c r="N241" s="26" t="s">
        <v>3854</v>
      </c>
      <c r="O241" s="26" t="s">
        <v>3854</v>
      </c>
      <c r="P241" s="26" t="s">
        <v>3854</v>
      </c>
      <c r="Q241" s="26" t="s">
        <v>3854</v>
      </c>
      <c r="R241" s="26"/>
      <c r="S241" s="31"/>
      <c r="T241" s="31" t="s">
        <v>3855</v>
      </c>
    </row>
    <row r="242">
      <c r="A242" s="34" t="s">
        <v>1215</v>
      </c>
      <c r="B242" s="34" t="s">
        <v>1216</v>
      </c>
      <c r="C242" s="41">
        <v>45904.0</v>
      </c>
      <c r="D242" s="26"/>
      <c r="E242" s="41" t="s">
        <v>3851</v>
      </c>
      <c r="F242" s="34"/>
      <c r="G242" s="57" t="s">
        <v>3852</v>
      </c>
      <c r="H242" s="48" t="s">
        <v>3853</v>
      </c>
      <c r="I242" s="26" t="s">
        <v>3856</v>
      </c>
      <c r="J242" s="26" t="s">
        <v>3854</v>
      </c>
      <c r="K242" s="26" t="s">
        <v>3854</v>
      </c>
      <c r="L242" s="26" t="s">
        <v>3854</v>
      </c>
      <c r="M242" s="26" t="s">
        <v>3854</v>
      </c>
      <c r="N242" s="26" t="s">
        <v>3854</v>
      </c>
      <c r="O242" s="26" t="s">
        <v>3854</v>
      </c>
      <c r="P242" s="26" t="s">
        <v>3854</v>
      </c>
      <c r="Q242" s="26" t="s">
        <v>3854</v>
      </c>
      <c r="R242" s="26"/>
      <c r="S242" s="31"/>
      <c r="T242" s="31" t="s">
        <v>3855</v>
      </c>
    </row>
    <row r="243">
      <c r="A243" s="34" t="s">
        <v>1617</v>
      </c>
      <c r="B243" s="34" t="s">
        <v>1618</v>
      </c>
      <c r="C243" s="41">
        <v>45904.0</v>
      </c>
      <c r="D243" s="26"/>
      <c r="E243" s="41" t="s">
        <v>3851</v>
      </c>
      <c r="F243" s="34"/>
      <c r="G243" s="57" t="s">
        <v>3852</v>
      </c>
      <c r="H243" s="48" t="s">
        <v>3853</v>
      </c>
      <c r="I243" s="26" t="s">
        <v>3856</v>
      </c>
      <c r="J243" s="26" t="s">
        <v>3854</v>
      </c>
      <c r="K243" s="26" t="s">
        <v>3854</v>
      </c>
      <c r="L243" s="26" t="s">
        <v>3854</v>
      </c>
      <c r="M243" s="26" t="s">
        <v>3854</v>
      </c>
      <c r="N243" s="26" t="s">
        <v>3854</v>
      </c>
      <c r="O243" s="26" t="s">
        <v>3854</v>
      </c>
      <c r="P243" s="26" t="s">
        <v>3854</v>
      </c>
      <c r="Q243" s="26" t="s">
        <v>3854</v>
      </c>
      <c r="R243" s="26"/>
      <c r="S243" s="31"/>
      <c r="T243" s="31" t="s">
        <v>3855</v>
      </c>
    </row>
    <row r="244">
      <c r="A244" s="34" t="s">
        <v>1384</v>
      </c>
      <c r="B244" s="34" t="s">
        <v>1385</v>
      </c>
      <c r="C244" s="41">
        <v>45904.0</v>
      </c>
      <c r="D244" s="26"/>
      <c r="E244" s="41" t="s">
        <v>3851</v>
      </c>
      <c r="F244" s="34"/>
      <c r="G244" s="57" t="s">
        <v>3852</v>
      </c>
      <c r="H244" s="48" t="s">
        <v>3853</v>
      </c>
      <c r="I244" s="26" t="s">
        <v>3856</v>
      </c>
      <c r="J244" s="26" t="s">
        <v>3854</v>
      </c>
      <c r="K244" s="26" t="s">
        <v>3854</v>
      </c>
      <c r="L244" s="26" t="s">
        <v>3854</v>
      </c>
      <c r="M244" s="26" t="s">
        <v>3854</v>
      </c>
      <c r="N244" s="26" t="s">
        <v>3854</v>
      </c>
      <c r="O244" s="26" t="s">
        <v>3854</v>
      </c>
      <c r="P244" s="26" t="s">
        <v>3854</v>
      </c>
      <c r="Q244" s="26" t="s">
        <v>3854</v>
      </c>
      <c r="R244" s="26"/>
      <c r="S244" s="31"/>
      <c r="T244" s="31" t="s">
        <v>3855</v>
      </c>
    </row>
    <row r="245">
      <c r="A245" s="34" t="s">
        <v>1148</v>
      </c>
      <c r="B245" s="34" t="s">
        <v>1149</v>
      </c>
      <c r="C245" s="41">
        <v>45904.0</v>
      </c>
      <c r="D245" s="26"/>
      <c r="E245" s="41" t="s">
        <v>3851</v>
      </c>
      <c r="F245" s="34"/>
      <c r="G245" s="57" t="s">
        <v>3852</v>
      </c>
      <c r="H245" s="48" t="s">
        <v>3853</v>
      </c>
      <c r="I245" s="26" t="s">
        <v>3856</v>
      </c>
      <c r="J245" s="26" t="s">
        <v>3854</v>
      </c>
      <c r="K245" s="26" t="s">
        <v>3854</v>
      </c>
      <c r="L245" s="26" t="s">
        <v>3854</v>
      </c>
      <c r="M245" s="26" t="s">
        <v>3854</v>
      </c>
      <c r="N245" s="26" t="s">
        <v>3854</v>
      </c>
      <c r="O245" s="26" t="s">
        <v>3854</v>
      </c>
      <c r="P245" s="26" t="s">
        <v>3854</v>
      </c>
      <c r="Q245" s="26" t="s">
        <v>3854</v>
      </c>
      <c r="R245" s="26"/>
      <c r="S245" s="31"/>
      <c r="T245" s="31" t="s">
        <v>3855</v>
      </c>
    </row>
    <row r="246">
      <c r="A246" s="34" t="s">
        <v>3965</v>
      </c>
      <c r="B246" s="34" t="s">
        <v>1652</v>
      </c>
      <c r="C246" s="41">
        <v>45904.0</v>
      </c>
      <c r="D246" s="26"/>
      <c r="E246" s="41" t="s">
        <v>3851</v>
      </c>
      <c r="F246" s="34"/>
      <c r="G246" s="57" t="s">
        <v>3852</v>
      </c>
      <c r="H246" s="48" t="s">
        <v>3853</v>
      </c>
      <c r="I246" s="26" t="s">
        <v>3856</v>
      </c>
      <c r="J246" s="26" t="s">
        <v>3854</v>
      </c>
      <c r="K246" s="26" t="s">
        <v>3854</v>
      </c>
      <c r="L246" s="26" t="s">
        <v>3854</v>
      </c>
      <c r="M246" s="26" t="s">
        <v>3854</v>
      </c>
      <c r="N246" s="26" t="s">
        <v>3854</v>
      </c>
      <c r="O246" s="26" t="s">
        <v>3854</v>
      </c>
      <c r="P246" s="26" t="s">
        <v>3854</v>
      </c>
      <c r="Q246" s="26" t="s">
        <v>3854</v>
      </c>
      <c r="R246" s="26"/>
      <c r="S246" s="31"/>
      <c r="T246" s="31" t="s">
        <v>3855</v>
      </c>
    </row>
    <row r="247">
      <c r="A247" s="34" t="s">
        <v>1343</v>
      </c>
      <c r="B247" s="34" t="s">
        <v>1344</v>
      </c>
      <c r="C247" s="41">
        <v>45904.0</v>
      </c>
      <c r="D247" s="26"/>
      <c r="E247" s="41" t="s">
        <v>3851</v>
      </c>
      <c r="F247" s="34"/>
      <c r="G247" s="57" t="s">
        <v>3852</v>
      </c>
      <c r="H247" s="48" t="s">
        <v>3853</v>
      </c>
      <c r="I247" s="26" t="s">
        <v>3856</v>
      </c>
      <c r="J247" s="26" t="s">
        <v>3854</v>
      </c>
      <c r="K247" s="26" t="s">
        <v>3854</v>
      </c>
      <c r="L247" s="26" t="s">
        <v>3854</v>
      </c>
      <c r="M247" s="26" t="s">
        <v>3854</v>
      </c>
      <c r="N247" s="26" t="s">
        <v>3854</v>
      </c>
      <c r="O247" s="26" t="s">
        <v>3854</v>
      </c>
      <c r="P247" s="26" t="s">
        <v>3854</v>
      </c>
      <c r="Q247" s="26" t="s">
        <v>3854</v>
      </c>
      <c r="R247" s="26"/>
      <c r="S247" s="31"/>
      <c r="T247" s="31" t="s">
        <v>3855</v>
      </c>
    </row>
    <row r="248">
      <c r="A248" s="34" t="s">
        <v>1619</v>
      </c>
      <c r="B248" s="34" t="s">
        <v>1620</v>
      </c>
      <c r="C248" s="41">
        <v>45904.0</v>
      </c>
      <c r="D248" s="26"/>
      <c r="E248" s="41" t="s">
        <v>3851</v>
      </c>
      <c r="F248" s="34"/>
      <c r="G248" s="57" t="s">
        <v>3852</v>
      </c>
      <c r="H248" s="48" t="s">
        <v>3853</v>
      </c>
      <c r="I248" s="26" t="s">
        <v>3856</v>
      </c>
      <c r="J248" s="26" t="s">
        <v>3854</v>
      </c>
      <c r="K248" s="26" t="s">
        <v>3854</v>
      </c>
      <c r="L248" s="26" t="s">
        <v>3854</v>
      </c>
      <c r="M248" s="26" t="s">
        <v>3854</v>
      </c>
      <c r="N248" s="26" t="s">
        <v>3854</v>
      </c>
      <c r="O248" s="26" t="s">
        <v>3854</v>
      </c>
      <c r="P248" s="26" t="s">
        <v>3854</v>
      </c>
      <c r="Q248" s="26" t="s">
        <v>3854</v>
      </c>
      <c r="R248" s="26"/>
      <c r="S248" s="31"/>
      <c r="T248" s="31" t="s">
        <v>3855</v>
      </c>
    </row>
    <row r="249">
      <c r="A249" s="34" t="s">
        <v>1492</v>
      </c>
      <c r="B249" s="34" t="s">
        <v>1493</v>
      </c>
      <c r="C249" s="41">
        <v>45905.0</v>
      </c>
      <c r="D249" s="26"/>
      <c r="E249" s="41" t="s">
        <v>3851</v>
      </c>
      <c r="F249" s="34"/>
      <c r="G249" s="57" t="s">
        <v>3852</v>
      </c>
      <c r="H249" s="48" t="s">
        <v>3853</v>
      </c>
      <c r="I249" s="26" t="s">
        <v>3856</v>
      </c>
      <c r="J249" s="26" t="s">
        <v>3854</v>
      </c>
      <c r="K249" s="26" t="s">
        <v>3856</v>
      </c>
      <c r="L249" s="26" t="s">
        <v>3854</v>
      </c>
      <c r="M249" s="26" t="s">
        <v>3854</v>
      </c>
      <c r="N249" s="26" t="s">
        <v>3854</v>
      </c>
      <c r="O249" s="26" t="s">
        <v>3854</v>
      </c>
      <c r="P249" s="26" t="s">
        <v>3854</v>
      </c>
      <c r="Q249" s="26" t="s">
        <v>3854</v>
      </c>
      <c r="R249" s="26"/>
      <c r="S249" s="31"/>
      <c r="T249" s="31" t="s">
        <v>3855</v>
      </c>
    </row>
    <row r="250">
      <c r="A250" s="34" t="s">
        <v>1172</v>
      </c>
      <c r="B250" s="34" t="s">
        <v>1173</v>
      </c>
      <c r="C250" s="41">
        <v>45905.0</v>
      </c>
      <c r="D250" s="26"/>
      <c r="E250" s="41" t="s">
        <v>3851</v>
      </c>
      <c r="F250" s="34"/>
      <c r="G250" s="57" t="s">
        <v>3852</v>
      </c>
      <c r="H250" s="48" t="s">
        <v>3853</v>
      </c>
      <c r="I250" s="26" t="s">
        <v>3856</v>
      </c>
      <c r="J250" s="26" t="s">
        <v>3856</v>
      </c>
      <c r="K250" s="26" t="s">
        <v>3854</v>
      </c>
      <c r="L250" s="26" t="s">
        <v>3854</v>
      </c>
      <c r="M250" s="26" t="s">
        <v>3854</v>
      </c>
      <c r="N250" s="26" t="s">
        <v>3854</v>
      </c>
      <c r="O250" s="26" t="s">
        <v>3854</v>
      </c>
      <c r="P250" s="26" t="s">
        <v>3854</v>
      </c>
      <c r="Q250" s="26" t="s">
        <v>3854</v>
      </c>
      <c r="R250" s="26"/>
      <c r="S250" s="31"/>
      <c r="T250" s="31" t="s">
        <v>3855</v>
      </c>
    </row>
    <row r="251">
      <c r="A251" s="34" t="s">
        <v>1601</v>
      </c>
      <c r="B251" s="34" t="s">
        <v>1602</v>
      </c>
      <c r="C251" s="41">
        <v>45905.0</v>
      </c>
      <c r="D251" s="26"/>
      <c r="E251" s="41" t="s">
        <v>3851</v>
      </c>
      <c r="F251" s="34"/>
      <c r="G251" s="57" t="s">
        <v>3852</v>
      </c>
      <c r="H251" s="48" t="s">
        <v>3853</v>
      </c>
      <c r="I251" s="26" t="s">
        <v>3856</v>
      </c>
      <c r="J251" s="26" t="s">
        <v>3856</v>
      </c>
      <c r="K251" s="26" t="s">
        <v>3854</v>
      </c>
      <c r="L251" s="26" t="s">
        <v>3854</v>
      </c>
      <c r="M251" s="26" t="s">
        <v>3854</v>
      </c>
      <c r="N251" s="26" t="s">
        <v>3854</v>
      </c>
      <c r="O251" s="26" t="s">
        <v>3854</v>
      </c>
      <c r="P251" s="26" t="s">
        <v>3854</v>
      </c>
      <c r="Q251" s="26" t="s">
        <v>3856</v>
      </c>
      <c r="R251" s="26"/>
      <c r="S251" s="31"/>
      <c r="T251" s="31" t="s">
        <v>3855</v>
      </c>
    </row>
    <row r="252">
      <c r="A252" s="34" t="s">
        <v>3966</v>
      </c>
      <c r="B252" s="34" t="s">
        <v>2996</v>
      </c>
      <c r="C252" s="41">
        <v>45905.0</v>
      </c>
      <c r="D252" s="26"/>
      <c r="E252" s="41" t="s">
        <v>3851</v>
      </c>
      <c r="F252" s="34"/>
      <c r="G252" s="57" t="s">
        <v>3852</v>
      </c>
      <c r="H252" s="48" t="s">
        <v>3853</v>
      </c>
      <c r="I252" s="26" t="s">
        <v>3856</v>
      </c>
      <c r="J252" s="26" t="s">
        <v>3854</v>
      </c>
      <c r="K252" s="26" t="s">
        <v>3854</v>
      </c>
      <c r="L252" s="26" t="s">
        <v>3854</v>
      </c>
      <c r="M252" s="26" t="s">
        <v>3854</v>
      </c>
      <c r="N252" s="26" t="s">
        <v>3854</v>
      </c>
      <c r="O252" s="26" t="s">
        <v>3854</v>
      </c>
      <c r="P252" s="26" t="s">
        <v>3854</v>
      </c>
      <c r="Q252" s="26" t="s">
        <v>3854</v>
      </c>
      <c r="R252" s="26"/>
      <c r="S252" s="31"/>
      <c r="T252" s="31" t="s">
        <v>3855</v>
      </c>
    </row>
    <row r="253">
      <c r="A253" s="34" t="s">
        <v>1740</v>
      </c>
      <c r="B253" s="34" t="s">
        <v>1741</v>
      </c>
      <c r="C253" s="41">
        <v>45905.0</v>
      </c>
      <c r="D253" s="26"/>
      <c r="E253" s="41" t="s">
        <v>3851</v>
      </c>
      <c r="F253" s="34"/>
      <c r="G253" s="57" t="s">
        <v>3852</v>
      </c>
      <c r="H253" s="48" t="s">
        <v>3853</v>
      </c>
      <c r="I253" s="26" t="s">
        <v>3856</v>
      </c>
      <c r="J253" s="26" t="s">
        <v>3854</v>
      </c>
      <c r="K253" s="26" t="s">
        <v>3854</v>
      </c>
      <c r="L253" s="26" t="s">
        <v>3854</v>
      </c>
      <c r="M253" s="26" t="s">
        <v>3854</v>
      </c>
      <c r="N253" s="26" t="s">
        <v>3854</v>
      </c>
      <c r="O253" s="26" t="s">
        <v>3854</v>
      </c>
      <c r="P253" s="26" t="s">
        <v>3854</v>
      </c>
      <c r="Q253" s="26" t="s">
        <v>3854</v>
      </c>
      <c r="R253" s="26"/>
      <c r="S253" s="31"/>
      <c r="T253" s="31" t="s">
        <v>3855</v>
      </c>
    </row>
    <row r="254">
      <c r="A254" s="34" t="s">
        <v>1259</v>
      </c>
      <c r="B254" s="34" t="s">
        <v>1260</v>
      </c>
      <c r="C254" s="41">
        <v>45905.0</v>
      </c>
      <c r="D254" s="26"/>
      <c r="E254" s="41" t="s">
        <v>3851</v>
      </c>
      <c r="F254" s="34"/>
      <c r="G254" s="57" t="s">
        <v>3852</v>
      </c>
      <c r="H254" s="48" t="s">
        <v>3853</v>
      </c>
      <c r="I254" s="26" t="s">
        <v>3856</v>
      </c>
      <c r="J254" s="26" t="s">
        <v>3854</v>
      </c>
      <c r="K254" s="26" t="s">
        <v>3854</v>
      </c>
      <c r="L254" s="26" t="s">
        <v>3854</v>
      </c>
      <c r="M254" s="26" t="s">
        <v>3854</v>
      </c>
      <c r="N254" s="26" t="s">
        <v>3854</v>
      </c>
      <c r="O254" s="26" t="s">
        <v>3854</v>
      </c>
      <c r="P254" s="26" t="s">
        <v>3854</v>
      </c>
      <c r="Q254" s="26" t="s">
        <v>3854</v>
      </c>
      <c r="R254" s="26"/>
      <c r="S254" s="31"/>
      <c r="T254" s="31" t="s">
        <v>3855</v>
      </c>
    </row>
    <row r="255">
      <c r="A255" s="34" t="s">
        <v>3169</v>
      </c>
      <c r="B255" s="34" t="s">
        <v>3170</v>
      </c>
      <c r="C255" s="41">
        <v>45905.0</v>
      </c>
      <c r="D255" s="26"/>
      <c r="E255" s="41" t="s">
        <v>3851</v>
      </c>
      <c r="F255" s="34"/>
      <c r="G255" s="57" t="s">
        <v>3852</v>
      </c>
      <c r="H255" s="48" t="s">
        <v>3853</v>
      </c>
      <c r="I255" s="26" t="s">
        <v>3856</v>
      </c>
      <c r="J255" s="26" t="s">
        <v>3854</v>
      </c>
      <c r="K255" s="26" t="s">
        <v>3856</v>
      </c>
      <c r="L255" s="26" t="s">
        <v>3854</v>
      </c>
      <c r="M255" s="26" t="s">
        <v>3854</v>
      </c>
      <c r="N255" s="26" t="s">
        <v>3854</v>
      </c>
      <c r="O255" s="26" t="s">
        <v>3854</v>
      </c>
      <c r="P255" s="26" t="s">
        <v>3854</v>
      </c>
      <c r="Q255" s="26" t="s">
        <v>3854</v>
      </c>
      <c r="R255" s="26"/>
      <c r="S255" s="31"/>
      <c r="T255" s="31" t="s">
        <v>3855</v>
      </c>
    </row>
    <row r="256">
      <c r="A256" s="34" t="s">
        <v>3072</v>
      </c>
      <c r="B256" s="34" t="s">
        <v>3073</v>
      </c>
      <c r="C256" s="41">
        <v>45905.0</v>
      </c>
      <c r="D256" s="26"/>
      <c r="E256" s="41" t="s">
        <v>3851</v>
      </c>
      <c r="F256" s="34"/>
      <c r="G256" s="57" t="s">
        <v>3852</v>
      </c>
      <c r="H256" s="48" t="s">
        <v>3853</v>
      </c>
      <c r="I256" s="26" t="s">
        <v>3856</v>
      </c>
      <c r="J256" s="26" t="s">
        <v>3854</v>
      </c>
      <c r="K256" s="26" t="s">
        <v>3856</v>
      </c>
      <c r="L256" s="26" t="s">
        <v>3854</v>
      </c>
      <c r="M256" s="26" t="s">
        <v>3854</v>
      </c>
      <c r="N256" s="26" t="s">
        <v>3854</v>
      </c>
      <c r="O256" s="26" t="s">
        <v>3854</v>
      </c>
      <c r="P256" s="26" t="s">
        <v>3854</v>
      </c>
      <c r="Q256" s="26" t="s">
        <v>3854</v>
      </c>
      <c r="R256" s="26"/>
      <c r="S256" s="31"/>
      <c r="T256" s="31" t="s">
        <v>3855</v>
      </c>
    </row>
    <row r="257">
      <c r="A257" s="34" t="s">
        <v>1446</v>
      </c>
      <c r="B257" s="34" t="s">
        <v>1447</v>
      </c>
      <c r="C257" s="41">
        <v>45905.0</v>
      </c>
      <c r="D257" s="26"/>
      <c r="E257" s="41" t="s">
        <v>3851</v>
      </c>
      <c r="F257" s="34"/>
      <c r="G257" s="57" t="s">
        <v>3852</v>
      </c>
      <c r="H257" s="48" t="s">
        <v>3853</v>
      </c>
      <c r="I257" s="26" t="s">
        <v>3856</v>
      </c>
      <c r="J257" s="26" t="s">
        <v>3854</v>
      </c>
      <c r="K257" s="26" t="s">
        <v>3856</v>
      </c>
      <c r="L257" s="26" t="s">
        <v>3854</v>
      </c>
      <c r="M257" s="26" t="s">
        <v>3854</v>
      </c>
      <c r="N257" s="26" t="s">
        <v>3854</v>
      </c>
      <c r="O257" s="26" t="s">
        <v>3854</v>
      </c>
      <c r="P257" s="26" t="s">
        <v>3854</v>
      </c>
      <c r="Q257" s="26" t="s">
        <v>3854</v>
      </c>
      <c r="R257" s="26"/>
      <c r="S257" s="31"/>
      <c r="T257" s="31" t="s">
        <v>3855</v>
      </c>
    </row>
    <row r="258">
      <c r="A258" s="34" t="s">
        <v>1666</v>
      </c>
      <c r="B258" s="34" t="s">
        <v>1667</v>
      </c>
      <c r="C258" s="41">
        <v>45905.0</v>
      </c>
      <c r="D258" s="26"/>
      <c r="E258" s="41" t="s">
        <v>3851</v>
      </c>
      <c r="F258" s="34"/>
      <c r="G258" s="57" t="s">
        <v>3852</v>
      </c>
      <c r="H258" s="48" t="s">
        <v>3853</v>
      </c>
      <c r="I258" s="26" t="s">
        <v>3856</v>
      </c>
      <c r="J258" s="26" t="s">
        <v>3854</v>
      </c>
      <c r="K258" s="26" t="s">
        <v>3854</v>
      </c>
      <c r="L258" s="26" t="s">
        <v>3854</v>
      </c>
      <c r="M258" s="26" t="s">
        <v>3854</v>
      </c>
      <c r="N258" s="26" t="s">
        <v>3854</v>
      </c>
      <c r="O258" s="26" t="s">
        <v>3854</v>
      </c>
      <c r="P258" s="26" t="s">
        <v>3854</v>
      </c>
      <c r="Q258" s="26" t="s">
        <v>3854</v>
      </c>
      <c r="R258" s="26"/>
      <c r="S258" s="31"/>
      <c r="T258" s="31" t="s">
        <v>3855</v>
      </c>
    </row>
    <row r="259">
      <c r="A259" s="34" t="s">
        <v>1304</v>
      </c>
      <c r="B259" s="34" t="s">
        <v>1305</v>
      </c>
      <c r="C259" s="41">
        <v>45905.0</v>
      </c>
      <c r="D259" s="26"/>
      <c r="E259" s="41" t="s">
        <v>3851</v>
      </c>
      <c r="F259" s="34"/>
      <c r="G259" s="57" t="s">
        <v>3852</v>
      </c>
      <c r="H259" s="48" t="s">
        <v>3853</v>
      </c>
      <c r="I259" s="26" t="s">
        <v>3856</v>
      </c>
      <c r="J259" s="26" t="s">
        <v>3854</v>
      </c>
      <c r="K259" s="26" t="s">
        <v>3854</v>
      </c>
      <c r="L259" s="26" t="s">
        <v>3854</v>
      </c>
      <c r="M259" s="26" t="s">
        <v>3854</v>
      </c>
      <c r="N259" s="26" t="s">
        <v>3854</v>
      </c>
      <c r="O259" s="26" t="s">
        <v>3854</v>
      </c>
      <c r="P259" s="26" t="s">
        <v>3854</v>
      </c>
      <c r="Q259" s="26" t="s">
        <v>3854</v>
      </c>
      <c r="R259" s="26"/>
      <c r="S259" s="31"/>
      <c r="T259" s="31" t="s">
        <v>3855</v>
      </c>
    </row>
    <row r="260">
      <c r="A260" s="34" t="s">
        <v>1309</v>
      </c>
      <c r="B260" s="34" t="s">
        <v>1310</v>
      </c>
      <c r="C260" s="41">
        <v>45908.0</v>
      </c>
      <c r="D260" s="26"/>
      <c r="E260" s="41" t="s">
        <v>3851</v>
      </c>
      <c r="F260" s="34"/>
      <c r="G260" s="57" t="s">
        <v>3852</v>
      </c>
      <c r="H260" s="48" t="s">
        <v>3853</v>
      </c>
      <c r="I260" s="26" t="s">
        <v>3856</v>
      </c>
      <c r="J260" s="26" t="s">
        <v>3854</v>
      </c>
      <c r="K260" s="26" t="s">
        <v>3854</v>
      </c>
      <c r="L260" s="26" t="s">
        <v>3854</v>
      </c>
      <c r="M260" s="26" t="s">
        <v>3854</v>
      </c>
      <c r="N260" s="26" t="s">
        <v>3854</v>
      </c>
      <c r="O260" s="26" t="s">
        <v>3854</v>
      </c>
      <c r="P260" s="26" t="s">
        <v>3854</v>
      </c>
      <c r="Q260" s="26" t="s">
        <v>3854</v>
      </c>
      <c r="R260" s="26"/>
      <c r="S260" s="31"/>
      <c r="T260" s="31" t="s">
        <v>3855</v>
      </c>
    </row>
    <row r="261">
      <c r="A261" s="34" t="s">
        <v>1851</v>
      </c>
      <c r="B261" s="34" t="s">
        <v>1852</v>
      </c>
      <c r="C261" s="41">
        <v>45908.0</v>
      </c>
      <c r="D261" s="26"/>
      <c r="E261" s="41" t="s">
        <v>3851</v>
      </c>
      <c r="F261" s="34"/>
      <c r="G261" s="57" t="s">
        <v>3852</v>
      </c>
      <c r="H261" s="48" t="s">
        <v>3853</v>
      </c>
      <c r="I261" s="26" t="s">
        <v>3856</v>
      </c>
      <c r="J261" s="26" t="s">
        <v>3854</v>
      </c>
      <c r="K261" s="26" t="s">
        <v>3854</v>
      </c>
      <c r="L261" s="26" t="s">
        <v>3854</v>
      </c>
      <c r="M261" s="26" t="s">
        <v>3854</v>
      </c>
      <c r="N261" s="26" t="s">
        <v>3854</v>
      </c>
      <c r="O261" s="26" t="s">
        <v>3854</v>
      </c>
      <c r="P261" s="26" t="s">
        <v>3854</v>
      </c>
      <c r="Q261" s="26" t="s">
        <v>3854</v>
      </c>
      <c r="R261" s="26"/>
      <c r="S261" s="31"/>
      <c r="T261" s="31" t="s">
        <v>3855</v>
      </c>
    </row>
    <row r="262">
      <c r="A262" s="34" t="s">
        <v>1574</v>
      </c>
      <c r="B262" s="34" t="s">
        <v>1575</v>
      </c>
      <c r="C262" s="41">
        <v>45908.0</v>
      </c>
      <c r="D262" s="26"/>
      <c r="E262" s="41" t="s">
        <v>3851</v>
      </c>
      <c r="F262" s="34"/>
      <c r="G262" s="57" t="s">
        <v>3852</v>
      </c>
      <c r="H262" s="48" t="s">
        <v>3853</v>
      </c>
      <c r="I262" s="26" t="s">
        <v>3856</v>
      </c>
      <c r="J262" s="26" t="s">
        <v>3854</v>
      </c>
      <c r="K262" s="26" t="s">
        <v>3854</v>
      </c>
      <c r="L262" s="26" t="s">
        <v>3854</v>
      </c>
      <c r="M262" s="26" t="s">
        <v>3854</v>
      </c>
      <c r="N262" s="26" t="s">
        <v>3854</v>
      </c>
      <c r="O262" s="26" t="s">
        <v>3854</v>
      </c>
      <c r="P262" s="26" t="s">
        <v>3854</v>
      </c>
      <c r="Q262" s="26" t="s">
        <v>3854</v>
      </c>
      <c r="R262" s="26"/>
      <c r="S262" s="31"/>
      <c r="T262" s="31" t="s">
        <v>3855</v>
      </c>
    </row>
    <row r="263">
      <c r="A263" s="34" t="s">
        <v>3061</v>
      </c>
      <c r="B263" s="34" t="s">
        <v>3062</v>
      </c>
      <c r="C263" s="41">
        <v>45908.0</v>
      </c>
      <c r="D263" s="26"/>
      <c r="E263" s="41" t="s">
        <v>3851</v>
      </c>
      <c r="F263" s="34"/>
      <c r="G263" s="57" t="s">
        <v>3852</v>
      </c>
      <c r="H263" s="48" t="s">
        <v>3853</v>
      </c>
      <c r="I263" s="26" t="s">
        <v>3856</v>
      </c>
      <c r="J263" s="26" t="s">
        <v>3854</v>
      </c>
      <c r="K263" s="26" t="s">
        <v>3856</v>
      </c>
      <c r="L263" s="26" t="s">
        <v>3854</v>
      </c>
      <c r="M263" s="26" t="s">
        <v>3854</v>
      </c>
      <c r="N263" s="26" t="s">
        <v>3854</v>
      </c>
      <c r="O263" s="26" t="s">
        <v>3854</v>
      </c>
      <c r="P263" s="26" t="s">
        <v>3854</v>
      </c>
      <c r="Q263" s="26" t="s">
        <v>3854</v>
      </c>
      <c r="R263" s="26"/>
      <c r="S263" s="31"/>
      <c r="T263" s="31" t="s">
        <v>3855</v>
      </c>
    </row>
    <row r="264">
      <c r="A264" s="34" t="s">
        <v>3967</v>
      </c>
      <c r="B264" s="34" t="s">
        <v>1084</v>
      </c>
      <c r="C264" s="41">
        <v>45908.0</v>
      </c>
      <c r="D264" s="26"/>
      <c r="E264" s="41" t="s">
        <v>3851</v>
      </c>
      <c r="F264" s="34"/>
      <c r="G264" s="57" t="s">
        <v>3852</v>
      </c>
      <c r="H264" s="48" t="s">
        <v>3853</v>
      </c>
      <c r="I264" s="26" t="s">
        <v>3856</v>
      </c>
      <c r="J264" s="26" t="s">
        <v>3856</v>
      </c>
      <c r="K264" s="26" t="s">
        <v>3856</v>
      </c>
      <c r="L264" s="26" t="s">
        <v>3854</v>
      </c>
      <c r="M264" s="26" t="s">
        <v>3854</v>
      </c>
      <c r="N264" s="26" t="s">
        <v>3854</v>
      </c>
      <c r="O264" s="26" t="s">
        <v>3854</v>
      </c>
      <c r="P264" s="26" t="s">
        <v>3854</v>
      </c>
      <c r="Q264" s="26" t="s">
        <v>3854</v>
      </c>
      <c r="R264" s="26"/>
      <c r="S264" s="31"/>
      <c r="T264" s="31" t="s">
        <v>3855</v>
      </c>
    </row>
    <row r="265">
      <c r="A265" s="34" t="s">
        <v>1628</v>
      </c>
      <c r="B265" s="34" t="s">
        <v>1629</v>
      </c>
      <c r="C265" s="41">
        <v>45909.0</v>
      </c>
      <c r="D265" s="26"/>
      <c r="E265" s="41" t="s">
        <v>3851</v>
      </c>
      <c r="F265" s="34"/>
      <c r="G265" s="57" t="s">
        <v>3852</v>
      </c>
      <c r="H265" s="48" t="s">
        <v>3853</v>
      </c>
      <c r="I265" s="26" t="s">
        <v>3856</v>
      </c>
      <c r="J265" s="26" t="s">
        <v>3854</v>
      </c>
      <c r="K265" s="26" t="s">
        <v>3856</v>
      </c>
      <c r="L265" s="26" t="s">
        <v>3854</v>
      </c>
      <c r="M265" s="26" t="s">
        <v>3854</v>
      </c>
      <c r="N265" s="26" t="s">
        <v>3854</v>
      </c>
      <c r="O265" s="26" t="s">
        <v>3854</v>
      </c>
      <c r="P265" s="26" t="s">
        <v>3854</v>
      </c>
      <c r="Q265" s="26" t="s">
        <v>3854</v>
      </c>
      <c r="R265" s="26"/>
      <c r="S265" s="31"/>
      <c r="T265" s="31" t="s">
        <v>3855</v>
      </c>
    </row>
    <row r="266">
      <c r="A266" s="34" t="s">
        <v>1498</v>
      </c>
      <c r="B266" s="34" t="s">
        <v>1499</v>
      </c>
      <c r="C266" s="41">
        <v>45909.0</v>
      </c>
      <c r="D266" s="26"/>
      <c r="E266" s="41" t="s">
        <v>3851</v>
      </c>
      <c r="F266" s="34"/>
      <c r="G266" s="57" t="s">
        <v>3852</v>
      </c>
      <c r="H266" s="48" t="s">
        <v>3853</v>
      </c>
      <c r="I266" s="26" t="s">
        <v>3856</v>
      </c>
      <c r="J266" s="26" t="s">
        <v>3854</v>
      </c>
      <c r="K266" s="26" t="s">
        <v>3856</v>
      </c>
      <c r="L266" s="26" t="s">
        <v>3854</v>
      </c>
      <c r="M266" s="26" t="s">
        <v>3854</v>
      </c>
      <c r="N266" s="26" t="s">
        <v>3854</v>
      </c>
      <c r="O266" s="26" t="s">
        <v>3854</v>
      </c>
      <c r="P266" s="26" t="s">
        <v>3854</v>
      </c>
      <c r="Q266" s="26" t="s">
        <v>3856</v>
      </c>
      <c r="R266" s="26"/>
      <c r="S266" s="31"/>
      <c r="T266" s="31" t="s">
        <v>3855</v>
      </c>
    </row>
    <row r="267">
      <c r="A267" s="34" t="s">
        <v>2963</v>
      </c>
      <c r="B267" s="34" t="s">
        <v>2964</v>
      </c>
      <c r="C267" s="41">
        <v>45909.0</v>
      </c>
      <c r="D267" s="26"/>
      <c r="E267" s="41" t="s">
        <v>3851</v>
      </c>
      <c r="F267" s="34"/>
      <c r="G267" s="57" t="s">
        <v>3852</v>
      </c>
      <c r="H267" s="48" t="s">
        <v>3853</v>
      </c>
      <c r="I267" s="26" t="s">
        <v>3856</v>
      </c>
      <c r="J267" s="26" t="s">
        <v>3854</v>
      </c>
      <c r="K267" s="26" t="s">
        <v>3854</v>
      </c>
      <c r="L267" s="26" t="s">
        <v>3854</v>
      </c>
      <c r="M267" s="26" t="s">
        <v>3854</v>
      </c>
      <c r="N267" s="26" t="s">
        <v>3854</v>
      </c>
      <c r="O267" s="26" t="s">
        <v>3854</v>
      </c>
      <c r="P267" s="26" t="s">
        <v>3854</v>
      </c>
      <c r="Q267" s="26" t="s">
        <v>3856</v>
      </c>
      <c r="R267" s="26"/>
      <c r="S267" s="31"/>
      <c r="T267" s="31" t="s">
        <v>3855</v>
      </c>
    </row>
    <row r="268">
      <c r="A268" s="34" t="s">
        <v>1401</v>
      </c>
      <c r="B268" s="34" t="s">
        <v>1402</v>
      </c>
      <c r="C268" s="41">
        <v>45909.0</v>
      </c>
      <c r="D268" s="26"/>
      <c r="E268" s="41" t="s">
        <v>3851</v>
      </c>
      <c r="F268" s="34"/>
      <c r="G268" s="57" t="s">
        <v>3852</v>
      </c>
      <c r="H268" s="48" t="s">
        <v>3853</v>
      </c>
      <c r="I268" s="26" t="s">
        <v>3856</v>
      </c>
      <c r="J268" s="26" t="s">
        <v>3854</v>
      </c>
      <c r="K268" s="26" t="s">
        <v>3856</v>
      </c>
      <c r="L268" s="26" t="s">
        <v>3854</v>
      </c>
      <c r="M268" s="26" t="s">
        <v>3854</v>
      </c>
      <c r="N268" s="26" t="s">
        <v>3854</v>
      </c>
      <c r="O268" s="26" t="s">
        <v>3854</v>
      </c>
      <c r="P268" s="26" t="s">
        <v>3854</v>
      </c>
      <c r="Q268" s="26" t="s">
        <v>3854</v>
      </c>
      <c r="R268" s="26"/>
      <c r="S268" s="31"/>
      <c r="T268" s="31" t="s">
        <v>3855</v>
      </c>
    </row>
    <row r="269">
      <c r="A269" s="34" t="s">
        <v>3134</v>
      </c>
      <c r="B269" s="34" t="s">
        <v>3135</v>
      </c>
      <c r="C269" s="41">
        <v>45909.0</v>
      </c>
      <c r="D269" s="26"/>
      <c r="E269" s="41" t="s">
        <v>3851</v>
      </c>
      <c r="F269" s="34"/>
      <c r="G269" s="57" t="s">
        <v>3852</v>
      </c>
      <c r="H269" s="48" t="s">
        <v>3853</v>
      </c>
      <c r="I269" s="26" t="s">
        <v>3856</v>
      </c>
      <c r="J269" s="26" t="s">
        <v>3854</v>
      </c>
      <c r="K269" s="26" t="s">
        <v>3856</v>
      </c>
      <c r="L269" s="26" t="s">
        <v>3854</v>
      </c>
      <c r="M269" s="26" t="s">
        <v>3854</v>
      </c>
      <c r="N269" s="26" t="s">
        <v>3854</v>
      </c>
      <c r="O269" s="26" t="s">
        <v>3854</v>
      </c>
      <c r="P269" s="26" t="s">
        <v>3854</v>
      </c>
      <c r="Q269" s="26" t="s">
        <v>3854</v>
      </c>
      <c r="R269" s="26"/>
      <c r="S269" s="31"/>
      <c r="T269" s="31" t="s">
        <v>3855</v>
      </c>
    </row>
    <row r="270">
      <c r="A270" s="26" t="s">
        <v>1653</v>
      </c>
      <c r="B270" s="26" t="s">
        <v>1654</v>
      </c>
      <c r="C270" s="37">
        <v>45909.0</v>
      </c>
      <c r="D270" s="56">
        <v>45909.0</v>
      </c>
      <c r="E270" s="37" t="s">
        <v>3851</v>
      </c>
      <c r="F270" s="34"/>
      <c r="G270" s="57" t="s">
        <v>3852</v>
      </c>
      <c r="H270" s="48" t="s">
        <v>3853</v>
      </c>
      <c r="I270" s="26" t="s">
        <v>3856</v>
      </c>
      <c r="J270" s="26" t="s">
        <v>3854</v>
      </c>
      <c r="K270" s="26" t="s">
        <v>3854</v>
      </c>
      <c r="L270" s="26" t="s">
        <v>3854</v>
      </c>
      <c r="M270" s="26" t="s">
        <v>3854</v>
      </c>
      <c r="N270" s="26" t="s">
        <v>3854</v>
      </c>
      <c r="O270" s="26" t="s">
        <v>3854</v>
      </c>
      <c r="P270" s="26" t="s">
        <v>3854</v>
      </c>
      <c r="Q270" s="26" t="s">
        <v>3854</v>
      </c>
      <c r="R270" s="26"/>
      <c r="S270" s="31"/>
      <c r="T270" s="31" t="s">
        <v>3855</v>
      </c>
    </row>
    <row r="271">
      <c r="A271" s="34" t="s">
        <v>1545</v>
      </c>
      <c r="B271" s="34" t="s">
        <v>1546</v>
      </c>
      <c r="C271" s="41">
        <v>45912.0</v>
      </c>
      <c r="D271" s="26"/>
      <c r="E271" s="41" t="s">
        <v>3851</v>
      </c>
      <c r="F271" s="34"/>
      <c r="G271" s="57" t="s">
        <v>3852</v>
      </c>
      <c r="H271" s="48" t="s">
        <v>3853</v>
      </c>
      <c r="I271" s="26" t="s">
        <v>3856</v>
      </c>
      <c r="J271" s="26" t="s">
        <v>3854</v>
      </c>
      <c r="K271" s="26" t="s">
        <v>3854</v>
      </c>
      <c r="L271" s="26" t="s">
        <v>3854</v>
      </c>
      <c r="M271" s="26" t="s">
        <v>3854</v>
      </c>
      <c r="N271" s="26" t="s">
        <v>3854</v>
      </c>
      <c r="O271" s="26" t="s">
        <v>3854</v>
      </c>
      <c r="P271" s="26" t="s">
        <v>3854</v>
      </c>
      <c r="Q271" s="26" t="s">
        <v>3854</v>
      </c>
      <c r="R271" s="26"/>
      <c r="S271" s="31"/>
      <c r="T271" s="31" t="s">
        <v>3855</v>
      </c>
    </row>
    <row r="272">
      <c r="A272" s="34" t="s">
        <v>3968</v>
      </c>
      <c r="B272" s="34" t="s">
        <v>1423</v>
      </c>
      <c r="C272" s="41">
        <v>45912.0</v>
      </c>
      <c r="D272" s="26"/>
      <c r="E272" s="41" t="s">
        <v>3851</v>
      </c>
      <c r="F272" s="34"/>
      <c r="G272" s="57" t="s">
        <v>3852</v>
      </c>
      <c r="H272" s="48" t="s">
        <v>3853</v>
      </c>
      <c r="I272" s="26" t="s">
        <v>3856</v>
      </c>
      <c r="J272" s="26" t="s">
        <v>3854</v>
      </c>
      <c r="K272" s="26" t="s">
        <v>3856</v>
      </c>
      <c r="L272" s="26" t="s">
        <v>3856</v>
      </c>
      <c r="M272" s="26" t="s">
        <v>3854</v>
      </c>
      <c r="N272" s="26" t="s">
        <v>3854</v>
      </c>
      <c r="O272" s="26" t="s">
        <v>3856</v>
      </c>
      <c r="P272" s="26" t="s">
        <v>3854</v>
      </c>
      <c r="Q272" s="26" t="s">
        <v>3856</v>
      </c>
      <c r="R272" s="26"/>
      <c r="S272" s="31"/>
      <c r="T272" s="31" t="s">
        <v>3855</v>
      </c>
    </row>
    <row r="273">
      <c r="A273" s="34" t="s">
        <v>1122</v>
      </c>
      <c r="B273" s="34" t="s">
        <v>1123</v>
      </c>
      <c r="C273" s="41">
        <v>45912.0</v>
      </c>
      <c r="D273" s="26"/>
      <c r="E273" s="41" t="s">
        <v>3851</v>
      </c>
      <c r="F273" s="34"/>
      <c r="G273" s="57" t="s">
        <v>3852</v>
      </c>
      <c r="H273" s="48" t="s">
        <v>3853</v>
      </c>
      <c r="I273" s="26" t="s">
        <v>3856</v>
      </c>
      <c r="J273" s="26" t="s">
        <v>3854</v>
      </c>
      <c r="K273" s="26" t="s">
        <v>3856</v>
      </c>
      <c r="L273" s="26" t="s">
        <v>3854</v>
      </c>
      <c r="M273" s="26" t="s">
        <v>3854</v>
      </c>
      <c r="N273" s="26" t="s">
        <v>3854</v>
      </c>
      <c r="O273" s="26" t="s">
        <v>3854</v>
      </c>
      <c r="P273" s="26" t="s">
        <v>3854</v>
      </c>
      <c r="Q273" s="26" t="s">
        <v>3854</v>
      </c>
      <c r="R273" s="26"/>
      <c r="S273" s="31"/>
      <c r="T273" s="31" t="s">
        <v>3855</v>
      </c>
    </row>
    <row r="274">
      <c r="A274" s="34" t="s">
        <v>1810</v>
      </c>
      <c r="B274" s="34" t="s">
        <v>1811</v>
      </c>
      <c r="C274" s="41">
        <v>45912.0</v>
      </c>
      <c r="D274" s="26"/>
      <c r="E274" s="41" t="s">
        <v>3851</v>
      </c>
      <c r="F274" s="34"/>
      <c r="G274" s="57" t="s">
        <v>3852</v>
      </c>
      <c r="H274" s="48" t="s">
        <v>3853</v>
      </c>
      <c r="I274" s="26" t="s">
        <v>3856</v>
      </c>
      <c r="J274" s="26" t="s">
        <v>3854</v>
      </c>
      <c r="K274" s="26" t="s">
        <v>3856</v>
      </c>
      <c r="L274" s="26" t="s">
        <v>3854</v>
      </c>
      <c r="M274" s="26" t="s">
        <v>3854</v>
      </c>
      <c r="N274" s="26" t="s">
        <v>3854</v>
      </c>
      <c r="O274" s="26" t="s">
        <v>3854</v>
      </c>
      <c r="P274" s="26" t="s">
        <v>3854</v>
      </c>
      <c r="Q274" s="26" t="s">
        <v>3854</v>
      </c>
      <c r="R274" s="26"/>
      <c r="S274" s="31"/>
      <c r="T274" s="31" t="s">
        <v>3855</v>
      </c>
    </row>
    <row r="275">
      <c r="A275" s="34" t="s">
        <v>1254</v>
      </c>
      <c r="B275" s="34" t="s">
        <v>1255</v>
      </c>
      <c r="C275" s="41">
        <v>45912.0</v>
      </c>
      <c r="D275" s="26"/>
      <c r="E275" s="41" t="s">
        <v>3851</v>
      </c>
      <c r="F275" s="34"/>
      <c r="G275" s="57" t="s">
        <v>3852</v>
      </c>
      <c r="H275" s="48" t="s">
        <v>3853</v>
      </c>
      <c r="I275" s="26" t="s">
        <v>3856</v>
      </c>
      <c r="J275" s="26" t="s">
        <v>3854</v>
      </c>
      <c r="K275" s="26" t="s">
        <v>3856</v>
      </c>
      <c r="L275" s="26" t="s">
        <v>3856</v>
      </c>
      <c r="M275" s="26" t="s">
        <v>3854</v>
      </c>
      <c r="N275" s="26" t="s">
        <v>3854</v>
      </c>
      <c r="O275" s="26" t="s">
        <v>3854</v>
      </c>
      <c r="P275" s="26" t="s">
        <v>3854</v>
      </c>
      <c r="Q275" s="26" t="s">
        <v>3854</v>
      </c>
      <c r="R275" s="26"/>
      <c r="S275" s="31"/>
      <c r="T275" s="31" t="s">
        <v>3855</v>
      </c>
    </row>
    <row r="276">
      <c r="A276" s="34" t="s">
        <v>1633</v>
      </c>
      <c r="B276" s="34" t="s">
        <v>1040</v>
      </c>
      <c r="C276" s="41">
        <v>45912.0</v>
      </c>
      <c r="D276" s="26"/>
      <c r="E276" s="41" t="s">
        <v>3851</v>
      </c>
      <c r="F276" s="34"/>
      <c r="G276" s="57" t="s">
        <v>3852</v>
      </c>
      <c r="H276" s="48" t="s">
        <v>3853</v>
      </c>
      <c r="I276" s="26" t="s">
        <v>3856</v>
      </c>
      <c r="J276" s="26" t="s">
        <v>3854</v>
      </c>
      <c r="K276" s="26" t="s">
        <v>3856</v>
      </c>
      <c r="L276" s="26" t="s">
        <v>3854</v>
      </c>
      <c r="M276" s="26" t="s">
        <v>3854</v>
      </c>
      <c r="N276" s="26" t="s">
        <v>3854</v>
      </c>
      <c r="O276" s="26" t="s">
        <v>3854</v>
      </c>
      <c r="P276" s="26" t="s">
        <v>3854</v>
      </c>
      <c r="Q276" s="26" t="s">
        <v>3856</v>
      </c>
      <c r="R276" s="26"/>
      <c r="S276" s="31"/>
      <c r="T276" s="31" t="s">
        <v>3855</v>
      </c>
    </row>
    <row r="277">
      <c r="A277" s="34" t="s">
        <v>1772</v>
      </c>
      <c r="B277" s="34" t="s">
        <v>1773</v>
      </c>
      <c r="C277" s="41">
        <v>45912.0</v>
      </c>
      <c r="D277" s="26"/>
      <c r="E277" s="41" t="s">
        <v>3851</v>
      </c>
      <c r="F277" s="34"/>
      <c r="G277" s="57" t="s">
        <v>3852</v>
      </c>
      <c r="H277" s="48" t="s">
        <v>3853</v>
      </c>
      <c r="I277" s="26" t="s">
        <v>3856</v>
      </c>
      <c r="J277" s="26" t="s">
        <v>3854</v>
      </c>
      <c r="K277" s="26" t="s">
        <v>3856</v>
      </c>
      <c r="L277" s="26" t="s">
        <v>3856</v>
      </c>
      <c r="M277" s="26" t="s">
        <v>3854</v>
      </c>
      <c r="N277" s="26" t="s">
        <v>3854</v>
      </c>
      <c r="O277" s="26" t="s">
        <v>3854</v>
      </c>
      <c r="P277" s="26" t="s">
        <v>3854</v>
      </c>
      <c r="Q277" s="26" t="s">
        <v>3854</v>
      </c>
      <c r="R277" s="26"/>
      <c r="S277" s="31"/>
      <c r="T277" s="31" t="s">
        <v>3855</v>
      </c>
    </row>
    <row r="278">
      <c r="A278" s="34" t="s">
        <v>1130</v>
      </c>
      <c r="B278" s="34" t="s">
        <v>1131</v>
      </c>
      <c r="C278" s="41">
        <v>45912.0</v>
      </c>
      <c r="D278" s="26"/>
      <c r="E278" s="37" t="s">
        <v>3851</v>
      </c>
      <c r="F278" s="34"/>
      <c r="G278" s="57" t="s">
        <v>3852</v>
      </c>
      <c r="H278" s="48" t="s">
        <v>3853</v>
      </c>
      <c r="I278" s="26" t="s">
        <v>3856</v>
      </c>
      <c r="J278" s="26" t="s">
        <v>3854</v>
      </c>
      <c r="K278" s="26" t="s">
        <v>3856</v>
      </c>
      <c r="L278" s="26" t="s">
        <v>3854</v>
      </c>
      <c r="M278" s="26" t="s">
        <v>3854</v>
      </c>
      <c r="N278" s="26" t="s">
        <v>3854</v>
      </c>
      <c r="O278" s="26" t="s">
        <v>3856</v>
      </c>
      <c r="P278" s="26" t="s">
        <v>3856</v>
      </c>
      <c r="Q278" s="26" t="s">
        <v>3856</v>
      </c>
      <c r="R278" s="26"/>
      <c r="S278" s="31"/>
      <c r="T278" s="31" t="s">
        <v>3855</v>
      </c>
    </row>
    <row r="279">
      <c r="A279" s="34" t="s">
        <v>1408</v>
      </c>
      <c r="B279" s="34" t="s">
        <v>1409</v>
      </c>
      <c r="C279" s="41">
        <v>45912.0</v>
      </c>
      <c r="D279" s="26"/>
      <c r="E279" s="41" t="s">
        <v>3851</v>
      </c>
      <c r="F279" s="34"/>
      <c r="G279" s="57" t="s">
        <v>3852</v>
      </c>
      <c r="H279" s="48" t="s">
        <v>3853</v>
      </c>
      <c r="I279" s="26" t="s">
        <v>3856</v>
      </c>
      <c r="J279" s="26" t="s">
        <v>3854</v>
      </c>
      <c r="K279" s="26" t="s">
        <v>3854</v>
      </c>
      <c r="L279" s="26" t="s">
        <v>3854</v>
      </c>
      <c r="M279" s="26" t="s">
        <v>3854</v>
      </c>
      <c r="N279" s="26" t="s">
        <v>3854</v>
      </c>
      <c r="O279" s="26" t="s">
        <v>3854</v>
      </c>
      <c r="P279" s="26" t="s">
        <v>3854</v>
      </c>
      <c r="Q279" s="26" t="s">
        <v>3854</v>
      </c>
      <c r="R279" s="26"/>
      <c r="S279" s="31"/>
      <c r="T279" s="31" t="s">
        <v>3855</v>
      </c>
    </row>
    <row r="280">
      <c r="A280" s="34" t="s">
        <v>1143</v>
      </c>
      <c r="B280" s="34" t="s">
        <v>1144</v>
      </c>
      <c r="C280" s="41">
        <v>45912.0</v>
      </c>
      <c r="D280" s="26"/>
      <c r="E280" s="41" t="s">
        <v>3851</v>
      </c>
      <c r="F280" s="34"/>
      <c r="G280" s="57" t="s">
        <v>3852</v>
      </c>
      <c r="H280" s="48" t="s">
        <v>3853</v>
      </c>
      <c r="I280" s="26" t="s">
        <v>3856</v>
      </c>
      <c r="J280" s="26" t="s">
        <v>3854</v>
      </c>
      <c r="K280" s="26" t="s">
        <v>3856</v>
      </c>
      <c r="L280" s="26" t="s">
        <v>3854</v>
      </c>
      <c r="M280" s="26" t="s">
        <v>3854</v>
      </c>
      <c r="N280" s="26" t="s">
        <v>3854</v>
      </c>
      <c r="O280" s="26" t="s">
        <v>3856</v>
      </c>
      <c r="P280" s="26" t="s">
        <v>3856</v>
      </c>
      <c r="Q280" s="26" t="s">
        <v>3856</v>
      </c>
      <c r="R280" s="26"/>
      <c r="S280" s="31"/>
      <c r="T280" s="31" t="s">
        <v>3855</v>
      </c>
    </row>
    <row r="281">
      <c r="A281" s="34" t="s">
        <v>1487</v>
      </c>
      <c r="B281" s="34" t="s">
        <v>1488</v>
      </c>
      <c r="C281" s="41">
        <v>45912.0</v>
      </c>
      <c r="D281" s="26"/>
      <c r="E281" s="41" t="s">
        <v>3851</v>
      </c>
      <c r="F281" s="34"/>
      <c r="G281" s="57" t="s">
        <v>3852</v>
      </c>
      <c r="H281" s="48" t="s">
        <v>3853</v>
      </c>
      <c r="I281" s="26" t="s">
        <v>3856</v>
      </c>
      <c r="J281" s="26" t="s">
        <v>3856</v>
      </c>
      <c r="K281" s="26" t="s">
        <v>3856</v>
      </c>
      <c r="L281" s="26" t="s">
        <v>3854</v>
      </c>
      <c r="M281" s="26" t="s">
        <v>3854</v>
      </c>
      <c r="N281" s="26" t="s">
        <v>3854</v>
      </c>
      <c r="O281" s="26" t="s">
        <v>3856</v>
      </c>
      <c r="P281" s="26" t="s">
        <v>3856</v>
      </c>
      <c r="Q281" s="26" t="s">
        <v>3854</v>
      </c>
      <c r="R281" s="26"/>
      <c r="S281" s="26" t="s">
        <v>3969</v>
      </c>
      <c r="T281" s="31" t="s">
        <v>3855</v>
      </c>
    </row>
    <row r="282">
      <c r="A282" s="34" t="s">
        <v>1475</v>
      </c>
      <c r="B282" s="34" t="s">
        <v>1476</v>
      </c>
      <c r="C282" s="41">
        <v>45912.0</v>
      </c>
      <c r="D282" s="26"/>
      <c r="E282" s="41" t="s">
        <v>3851</v>
      </c>
      <c r="F282" s="34"/>
      <c r="G282" s="57" t="s">
        <v>3852</v>
      </c>
      <c r="H282" s="48" t="s">
        <v>3853</v>
      </c>
      <c r="I282" s="26" t="s">
        <v>3856</v>
      </c>
      <c r="J282" s="26" t="s">
        <v>3854</v>
      </c>
      <c r="K282" s="26" t="s">
        <v>3856</v>
      </c>
      <c r="L282" s="26" t="s">
        <v>3856</v>
      </c>
      <c r="M282" s="26" t="s">
        <v>3854</v>
      </c>
      <c r="N282" s="26" t="s">
        <v>3854</v>
      </c>
      <c r="O282" s="26" t="s">
        <v>3856</v>
      </c>
      <c r="P282" s="26" t="s">
        <v>3856</v>
      </c>
      <c r="Q282" s="26" t="s">
        <v>3854</v>
      </c>
      <c r="R282" s="26"/>
      <c r="S282" s="31"/>
      <c r="T282" s="31" t="s">
        <v>3855</v>
      </c>
    </row>
    <row r="283">
      <c r="A283" s="34" t="s">
        <v>1362</v>
      </c>
      <c r="B283" s="34" t="s">
        <v>1363</v>
      </c>
      <c r="C283" s="41">
        <v>45912.0</v>
      </c>
      <c r="D283" s="26"/>
      <c r="E283" s="41" t="s">
        <v>3851</v>
      </c>
      <c r="F283" s="34"/>
      <c r="G283" s="57" t="s">
        <v>3852</v>
      </c>
      <c r="H283" s="48" t="s">
        <v>3853</v>
      </c>
      <c r="I283" s="26" t="s">
        <v>3856</v>
      </c>
      <c r="J283" s="26" t="s">
        <v>3854</v>
      </c>
      <c r="K283" s="26" t="s">
        <v>3854</v>
      </c>
      <c r="L283" s="26" t="s">
        <v>3854</v>
      </c>
      <c r="M283" s="26" t="s">
        <v>3854</v>
      </c>
      <c r="N283" s="26" t="s">
        <v>3854</v>
      </c>
      <c r="O283" s="26" t="s">
        <v>3856</v>
      </c>
      <c r="P283" s="26" t="s">
        <v>3854</v>
      </c>
      <c r="Q283" s="26" t="s">
        <v>3854</v>
      </c>
      <c r="R283" s="26"/>
      <c r="S283" s="31"/>
      <c r="T283" s="31" t="s">
        <v>3855</v>
      </c>
    </row>
    <row r="284">
      <c r="A284" s="34" t="s">
        <v>1736</v>
      </c>
      <c r="B284" s="34" t="s">
        <v>1287</v>
      </c>
      <c r="C284" s="41">
        <v>45912.0</v>
      </c>
      <c r="D284" s="26"/>
      <c r="E284" s="37" t="s">
        <v>3851</v>
      </c>
      <c r="F284" s="34"/>
      <c r="G284" s="57" t="s">
        <v>3970</v>
      </c>
      <c r="H284" s="48" t="s">
        <v>3971</v>
      </c>
      <c r="I284" s="26" t="s">
        <v>3856</v>
      </c>
      <c r="J284" s="26" t="s">
        <v>3854</v>
      </c>
      <c r="K284" s="26" t="s">
        <v>3856</v>
      </c>
      <c r="L284" s="26" t="s">
        <v>3854</v>
      </c>
      <c r="M284" s="26" t="s">
        <v>3854</v>
      </c>
      <c r="N284" s="26" t="s">
        <v>3854</v>
      </c>
      <c r="O284" s="26" t="s">
        <v>3856</v>
      </c>
      <c r="P284" s="26" t="s">
        <v>3854</v>
      </c>
      <c r="Q284" s="26" t="s">
        <v>3854</v>
      </c>
      <c r="R284" s="26"/>
      <c r="S284" s="31"/>
      <c r="T284" s="31" t="s">
        <v>3855</v>
      </c>
    </row>
    <row r="285">
      <c r="A285" s="34" t="s">
        <v>1635</v>
      </c>
      <c r="B285" s="34" t="s">
        <v>1323</v>
      </c>
      <c r="C285" s="41">
        <v>45912.0</v>
      </c>
      <c r="D285" s="26"/>
      <c r="E285" s="41" t="s">
        <v>3851</v>
      </c>
      <c r="F285" s="34"/>
      <c r="G285" s="57" t="s">
        <v>3852</v>
      </c>
      <c r="H285" s="48" t="s">
        <v>3853</v>
      </c>
      <c r="I285" s="26" t="s">
        <v>3856</v>
      </c>
      <c r="J285" s="26" t="s">
        <v>3854</v>
      </c>
      <c r="K285" s="26" t="s">
        <v>3856</v>
      </c>
      <c r="L285" s="26" t="s">
        <v>3854</v>
      </c>
      <c r="M285" s="26" t="s">
        <v>3854</v>
      </c>
      <c r="N285" s="26" t="s">
        <v>3854</v>
      </c>
      <c r="O285" s="26" t="s">
        <v>3854</v>
      </c>
      <c r="P285" s="26" t="s">
        <v>3854</v>
      </c>
      <c r="Q285" s="26" t="s">
        <v>3854</v>
      </c>
      <c r="R285" s="26"/>
      <c r="S285" s="26" t="s">
        <v>3972</v>
      </c>
      <c r="T285" s="31" t="s">
        <v>3855</v>
      </c>
    </row>
    <row r="286">
      <c r="A286" s="34" t="s">
        <v>3973</v>
      </c>
      <c r="B286" s="34" t="s">
        <v>1443</v>
      </c>
      <c r="C286" s="41">
        <v>45912.0</v>
      </c>
      <c r="D286" s="26"/>
      <c r="E286" s="37" t="s">
        <v>3851</v>
      </c>
      <c r="F286" s="34"/>
      <c r="G286" s="57" t="s">
        <v>3852</v>
      </c>
      <c r="H286" s="48" t="s">
        <v>3853</v>
      </c>
      <c r="I286" s="26" t="s">
        <v>3856</v>
      </c>
      <c r="J286" s="26" t="s">
        <v>3854</v>
      </c>
      <c r="K286" s="26" t="s">
        <v>3856</v>
      </c>
      <c r="L286" s="26" t="s">
        <v>3854</v>
      </c>
      <c r="M286" s="26" t="s">
        <v>3854</v>
      </c>
      <c r="N286" s="26" t="s">
        <v>3854</v>
      </c>
      <c r="O286" s="26" t="s">
        <v>3854</v>
      </c>
      <c r="P286" s="26" t="s">
        <v>3854</v>
      </c>
      <c r="Q286" s="26" t="s">
        <v>3854</v>
      </c>
      <c r="R286" s="26"/>
      <c r="S286" s="31"/>
      <c r="T286" s="31" t="s">
        <v>3855</v>
      </c>
    </row>
    <row r="287">
      <c r="A287" s="34" t="s">
        <v>1176</v>
      </c>
      <c r="B287" s="34" t="s">
        <v>1177</v>
      </c>
      <c r="C287" s="41">
        <v>45912.0</v>
      </c>
      <c r="D287" s="26"/>
      <c r="E287" s="41" t="s">
        <v>3851</v>
      </c>
      <c r="F287" s="34"/>
      <c r="G287" s="57" t="s">
        <v>3852</v>
      </c>
      <c r="H287" s="48" t="s">
        <v>3853</v>
      </c>
      <c r="I287" s="26" t="s">
        <v>3856</v>
      </c>
      <c r="J287" s="26" t="s">
        <v>3854</v>
      </c>
      <c r="K287" s="26" t="s">
        <v>3854</v>
      </c>
      <c r="L287" s="26" t="s">
        <v>3854</v>
      </c>
      <c r="M287" s="26" t="s">
        <v>3854</v>
      </c>
      <c r="N287" s="26" t="s">
        <v>3854</v>
      </c>
      <c r="O287" s="26" t="s">
        <v>3854</v>
      </c>
      <c r="P287" s="26" t="s">
        <v>3854</v>
      </c>
      <c r="Q287" s="26" t="s">
        <v>3854</v>
      </c>
      <c r="R287" s="26"/>
      <c r="S287" s="31"/>
      <c r="T287" s="31" t="s">
        <v>3855</v>
      </c>
    </row>
    <row r="288">
      <c r="A288" s="34" t="s">
        <v>1193</v>
      </c>
      <c r="B288" s="34" t="s">
        <v>1194</v>
      </c>
      <c r="C288" s="41">
        <v>45912.0</v>
      </c>
      <c r="D288" s="26"/>
      <c r="E288" s="41" t="s">
        <v>3851</v>
      </c>
      <c r="F288" s="34"/>
      <c r="G288" s="57" t="s">
        <v>3852</v>
      </c>
      <c r="H288" s="48" t="s">
        <v>3853</v>
      </c>
      <c r="I288" s="26" t="s">
        <v>3856</v>
      </c>
      <c r="J288" s="26" t="s">
        <v>3854</v>
      </c>
      <c r="K288" s="26" t="s">
        <v>3856</v>
      </c>
      <c r="L288" s="26" t="s">
        <v>3856</v>
      </c>
      <c r="M288" s="26" t="s">
        <v>3854</v>
      </c>
      <c r="N288" s="26" t="s">
        <v>3854</v>
      </c>
      <c r="O288" s="26" t="s">
        <v>3856</v>
      </c>
      <c r="P288" s="26" t="s">
        <v>3854</v>
      </c>
      <c r="Q288" s="26" t="s">
        <v>3854</v>
      </c>
      <c r="R288" s="26"/>
      <c r="S288" s="31"/>
      <c r="T288" s="31" t="s">
        <v>3855</v>
      </c>
    </row>
    <row r="289">
      <c r="A289" s="34" t="s">
        <v>1204</v>
      </c>
      <c r="B289" s="34" t="s">
        <v>1036</v>
      </c>
      <c r="C289" s="41">
        <v>45912.0</v>
      </c>
      <c r="D289" s="26"/>
      <c r="E289" s="41" t="s">
        <v>3851</v>
      </c>
      <c r="F289" s="34"/>
      <c r="G289" s="57" t="s">
        <v>3852</v>
      </c>
      <c r="H289" s="48" t="s">
        <v>3853</v>
      </c>
      <c r="I289" s="26" t="s">
        <v>3856</v>
      </c>
      <c r="J289" s="26" t="s">
        <v>3854</v>
      </c>
      <c r="K289" s="26" t="s">
        <v>3856</v>
      </c>
      <c r="L289" s="26" t="s">
        <v>3854</v>
      </c>
      <c r="M289" s="26" t="s">
        <v>3854</v>
      </c>
      <c r="N289" s="26" t="s">
        <v>3854</v>
      </c>
      <c r="O289" s="26" t="s">
        <v>3856</v>
      </c>
      <c r="P289" s="26" t="s">
        <v>3854</v>
      </c>
      <c r="Q289" s="26" t="s">
        <v>3856</v>
      </c>
      <c r="R289" s="26"/>
      <c r="S289" s="31"/>
      <c r="T289" s="31" t="s">
        <v>3855</v>
      </c>
    </row>
    <row r="290">
      <c r="A290" s="34" t="s">
        <v>1057</v>
      </c>
      <c r="B290" s="34" t="s">
        <v>1058</v>
      </c>
      <c r="C290" s="41">
        <v>45912.0</v>
      </c>
      <c r="D290" s="26"/>
      <c r="E290" s="41" t="s">
        <v>3851</v>
      </c>
      <c r="F290" s="34"/>
      <c r="G290" s="57" t="s">
        <v>3852</v>
      </c>
      <c r="H290" s="48" t="s">
        <v>3853</v>
      </c>
      <c r="I290" s="26" t="s">
        <v>3856</v>
      </c>
      <c r="J290" s="26" t="s">
        <v>3854</v>
      </c>
      <c r="K290" s="26" t="s">
        <v>3856</v>
      </c>
      <c r="L290" s="26" t="s">
        <v>3854</v>
      </c>
      <c r="M290" s="26" t="s">
        <v>3854</v>
      </c>
      <c r="N290" s="26" t="s">
        <v>3854</v>
      </c>
      <c r="O290" s="26" t="s">
        <v>3854</v>
      </c>
      <c r="P290" s="26" t="s">
        <v>3854</v>
      </c>
      <c r="Q290" s="26" t="s">
        <v>3854</v>
      </c>
      <c r="R290" s="26"/>
      <c r="S290" s="31"/>
      <c r="T290" s="31" t="s">
        <v>3855</v>
      </c>
    </row>
    <row r="291">
      <c r="A291" s="34" t="s">
        <v>1746</v>
      </c>
      <c r="B291" s="34" t="s">
        <v>1747</v>
      </c>
      <c r="C291" s="41">
        <v>45912.0</v>
      </c>
      <c r="D291" s="26"/>
      <c r="E291" s="41" t="s">
        <v>3851</v>
      </c>
      <c r="F291" s="34"/>
      <c r="G291" s="57" t="s">
        <v>3852</v>
      </c>
      <c r="H291" s="48" t="s">
        <v>3853</v>
      </c>
      <c r="I291" s="26" t="s">
        <v>3856</v>
      </c>
      <c r="J291" s="26" t="s">
        <v>3854</v>
      </c>
      <c r="K291" s="26" t="s">
        <v>3856</v>
      </c>
      <c r="L291" s="26" t="s">
        <v>3854</v>
      </c>
      <c r="M291" s="26" t="s">
        <v>3854</v>
      </c>
      <c r="N291" s="26" t="s">
        <v>3854</v>
      </c>
      <c r="O291" s="26" t="s">
        <v>3854</v>
      </c>
      <c r="P291" s="26" t="s">
        <v>3854</v>
      </c>
      <c r="Q291" s="26" t="s">
        <v>3854</v>
      </c>
      <c r="R291" s="26"/>
      <c r="S291" s="31"/>
      <c r="T291" s="31" t="s">
        <v>3855</v>
      </c>
    </row>
    <row r="292">
      <c r="A292" s="34" t="s">
        <v>1437</v>
      </c>
      <c r="B292" s="34" t="s">
        <v>1438</v>
      </c>
      <c r="C292" s="41">
        <v>45912.0</v>
      </c>
      <c r="D292" s="26"/>
      <c r="E292" s="41" t="s">
        <v>3851</v>
      </c>
      <c r="F292" s="34"/>
      <c r="G292" s="57" t="s">
        <v>3852</v>
      </c>
      <c r="H292" s="48" t="s">
        <v>3853</v>
      </c>
      <c r="I292" s="26" t="s">
        <v>3856</v>
      </c>
      <c r="J292" s="26" t="s">
        <v>3854</v>
      </c>
      <c r="K292" s="26" t="s">
        <v>3854</v>
      </c>
      <c r="L292" s="26" t="s">
        <v>3854</v>
      </c>
      <c r="M292" s="26" t="s">
        <v>3854</v>
      </c>
      <c r="N292" s="26" t="s">
        <v>3854</v>
      </c>
      <c r="O292" s="26" t="s">
        <v>3854</v>
      </c>
      <c r="P292" s="26" t="s">
        <v>3854</v>
      </c>
      <c r="Q292" s="26" t="s">
        <v>3854</v>
      </c>
      <c r="R292" s="26"/>
      <c r="S292" s="31"/>
      <c r="T292" s="31" t="s">
        <v>3855</v>
      </c>
    </row>
    <row r="293">
      <c r="A293" s="34" t="s">
        <v>1538</v>
      </c>
      <c r="B293" s="34" t="s">
        <v>1539</v>
      </c>
      <c r="C293" s="41">
        <v>45912.0</v>
      </c>
      <c r="D293" s="26"/>
      <c r="E293" s="41" t="s">
        <v>3851</v>
      </c>
      <c r="F293" s="34"/>
      <c r="G293" s="57" t="s">
        <v>3852</v>
      </c>
      <c r="H293" s="48" t="s">
        <v>3853</v>
      </c>
      <c r="I293" s="26" t="s">
        <v>3856</v>
      </c>
      <c r="J293" s="26" t="s">
        <v>3854</v>
      </c>
      <c r="K293" s="26" t="s">
        <v>3856</v>
      </c>
      <c r="L293" s="26" t="s">
        <v>3854</v>
      </c>
      <c r="M293" s="26" t="s">
        <v>3854</v>
      </c>
      <c r="N293" s="26" t="s">
        <v>3854</v>
      </c>
      <c r="O293" s="26" t="s">
        <v>3856</v>
      </c>
      <c r="P293" s="26" t="s">
        <v>3854</v>
      </c>
      <c r="Q293" s="26" t="s">
        <v>3854</v>
      </c>
      <c r="R293" s="26"/>
      <c r="S293" s="31"/>
      <c r="T293" s="31" t="s">
        <v>3855</v>
      </c>
    </row>
    <row r="294">
      <c r="A294" s="34" t="s">
        <v>1345</v>
      </c>
      <c r="B294" s="34" t="s">
        <v>1346</v>
      </c>
      <c r="C294" s="41">
        <v>45912.0</v>
      </c>
      <c r="D294" s="26"/>
      <c r="E294" s="41" t="s">
        <v>3851</v>
      </c>
      <c r="F294" s="34"/>
      <c r="G294" s="57" t="s">
        <v>3852</v>
      </c>
      <c r="H294" s="48" t="s">
        <v>3853</v>
      </c>
      <c r="I294" s="26" t="s">
        <v>3856</v>
      </c>
      <c r="J294" s="26" t="s">
        <v>3854</v>
      </c>
      <c r="K294" s="26" t="s">
        <v>3856</v>
      </c>
      <c r="L294" s="26" t="s">
        <v>3854</v>
      </c>
      <c r="M294" s="26" t="s">
        <v>3854</v>
      </c>
      <c r="N294" s="26" t="s">
        <v>3854</v>
      </c>
      <c r="O294" s="26" t="s">
        <v>3854</v>
      </c>
      <c r="P294" s="26" t="s">
        <v>3854</v>
      </c>
      <c r="Q294" s="26" t="s">
        <v>3854</v>
      </c>
      <c r="R294" s="26"/>
      <c r="S294" s="31"/>
      <c r="T294" s="31" t="s">
        <v>3855</v>
      </c>
    </row>
    <row r="295">
      <c r="A295" s="34" t="s">
        <v>1782</v>
      </c>
      <c r="B295" s="34" t="s">
        <v>3974</v>
      </c>
      <c r="C295" s="41">
        <v>45912.0</v>
      </c>
      <c r="D295" s="26"/>
      <c r="E295" s="41" t="s">
        <v>3851</v>
      </c>
      <c r="F295" s="34"/>
      <c r="G295" s="57" t="s">
        <v>3852</v>
      </c>
      <c r="H295" s="48" t="s">
        <v>3853</v>
      </c>
      <c r="I295" s="26" t="s">
        <v>3856</v>
      </c>
      <c r="J295" s="26" t="s">
        <v>3854</v>
      </c>
      <c r="K295" s="26" t="s">
        <v>3854</v>
      </c>
      <c r="L295" s="26" t="s">
        <v>3854</v>
      </c>
      <c r="M295" s="26" t="s">
        <v>3854</v>
      </c>
      <c r="N295" s="26" t="s">
        <v>3854</v>
      </c>
      <c r="O295" s="26" t="s">
        <v>3854</v>
      </c>
      <c r="P295" s="26" t="s">
        <v>3854</v>
      </c>
      <c r="Q295" s="26" t="s">
        <v>3854</v>
      </c>
      <c r="R295" s="26"/>
      <c r="S295" s="31"/>
      <c r="T295" s="31" t="s">
        <v>3855</v>
      </c>
    </row>
    <row r="296">
      <c r="A296" s="34" t="s">
        <v>3975</v>
      </c>
      <c r="B296" s="34" t="s">
        <v>1063</v>
      </c>
      <c r="C296" s="41">
        <v>45912.0</v>
      </c>
      <c r="D296" s="26"/>
      <c r="E296" s="41" t="s">
        <v>3851</v>
      </c>
      <c r="F296" s="34"/>
      <c r="G296" s="57" t="s">
        <v>3852</v>
      </c>
      <c r="H296" s="48" t="s">
        <v>3853</v>
      </c>
      <c r="I296" s="26" t="s">
        <v>3856</v>
      </c>
      <c r="J296" s="26" t="s">
        <v>3854</v>
      </c>
      <c r="K296" s="26" t="s">
        <v>3856</v>
      </c>
      <c r="L296" s="26" t="s">
        <v>3854</v>
      </c>
      <c r="M296" s="26" t="s">
        <v>3854</v>
      </c>
      <c r="N296" s="26" t="s">
        <v>3854</v>
      </c>
      <c r="O296" s="26" t="s">
        <v>3854</v>
      </c>
      <c r="P296" s="26" t="s">
        <v>3854</v>
      </c>
      <c r="Q296" s="26" t="s">
        <v>3854</v>
      </c>
      <c r="R296" s="26"/>
      <c r="S296" s="31"/>
      <c r="T296" s="31" t="s">
        <v>3855</v>
      </c>
    </row>
    <row r="297">
      <c r="A297" s="34" t="s">
        <v>3976</v>
      </c>
      <c r="B297" s="34" t="s">
        <v>1096</v>
      </c>
      <c r="C297" s="41">
        <v>45912.0</v>
      </c>
      <c r="D297" s="26"/>
      <c r="E297" s="41" t="s">
        <v>3851</v>
      </c>
      <c r="F297" s="34"/>
      <c r="G297" s="57" t="s">
        <v>3852</v>
      </c>
      <c r="H297" s="48" t="s">
        <v>3853</v>
      </c>
      <c r="I297" s="26" t="s">
        <v>3856</v>
      </c>
      <c r="J297" s="26" t="s">
        <v>3854</v>
      </c>
      <c r="K297" s="26" t="s">
        <v>3856</v>
      </c>
      <c r="L297" s="26" t="s">
        <v>3854</v>
      </c>
      <c r="M297" s="26" t="s">
        <v>3854</v>
      </c>
      <c r="N297" s="26" t="s">
        <v>3854</v>
      </c>
      <c r="O297" s="26" t="s">
        <v>3856</v>
      </c>
      <c r="P297" s="26" t="s">
        <v>3854</v>
      </c>
      <c r="Q297" s="26" t="s">
        <v>3854</v>
      </c>
      <c r="R297" s="26"/>
      <c r="S297" s="31"/>
      <c r="T297" s="31" t="s">
        <v>3855</v>
      </c>
    </row>
    <row r="298">
      <c r="A298" s="34" t="s">
        <v>1181</v>
      </c>
      <c r="B298" s="34" t="s">
        <v>1182</v>
      </c>
      <c r="C298" s="41">
        <v>45912.0</v>
      </c>
      <c r="D298" s="26"/>
      <c r="E298" s="41" t="s">
        <v>3851</v>
      </c>
      <c r="F298" s="34"/>
      <c r="G298" s="57" t="s">
        <v>3852</v>
      </c>
      <c r="H298" s="48" t="s">
        <v>3853</v>
      </c>
      <c r="I298" s="26" t="s">
        <v>3856</v>
      </c>
      <c r="J298" s="26" t="s">
        <v>3854</v>
      </c>
      <c r="K298" s="26" t="s">
        <v>3856</v>
      </c>
      <c r="L298" s="26" t="s">
        <v>3854</v>
      </c>
      <c r="M298" s="26" t="s">
        <v>3854</v>
      </c>
      <c r="N298" s="26" t="s">
        <v>3854</v>
      </c>
      <c r="O298" s="26" t="s">
        <v>3854</v>
      </c>
      <c r="P298" s="26" t="s">
        <v>3854</v>
      </c>
      <c r="Q298" s="26" t="s">
        <v>3854</v>
      </c>
      <c r="R298" s="26"/>
      <c r="S298" s="31"/>
      <c r="T298" s="31" t="s">
        <v>3855</v>
      </c>
    </row>
    <row r="299">
      <c r="A299" s="34" t="s">
        <v>3977</v>
      </c>
      <c r="B299" s="34" t="s">
        <v>1258</v>
      </c>
      <c r="C299" s="41">
        <v>45912.0</v>
      </c>
      <c r="D299" s="26"/>
      <c r="E299" s="41" t="s">
        <v>3851</v>
      </c>
      <c r="F299" s="34"/>
      <c r="G299" s="57" t="s">
        <v>3852</v>
      </c>
      <c r="H299" s="48" t="s">
        <v>3853</v>
      </c>
      <c r="I299" s="26" t="s">
        <v>3856</v>
      </c>
      <c r="J299" s="26" t="s">
        <v>3854</v>
      </c>
      <c r="K299" s="26" t="s">
        <v>3856</v>
      </c>
      <c r="L299" s="26" t="s">
        <v>3854</v>
      </c>
      <c r="M299" s="26" t="s">
        <v>3854</v>
      </c>
      <c r="N299" s="26" t="s">
        <v>3854</v>
      </c>
      <c r="O299" s="26" t="s">
        <v>3854</v>
      </c>
      <c r="P299" s="26" t="s">
        <v>3854</v>
      </c>
      <c r="Q299" s="26" t="s">
        <v>3854</v>
      </c>
      <c r="R299" s="26"/>
      <c r="S299" s="31"/>
      <c r="T299" s="31" t="s">
        <v>3855</v>
      </c>
    </row>
    <row r="300">
      <c r="A300" s="34" t="s">
        <v>1277</v>
      </c>
      <c r="B300" s="34" t="s">
        <v>1278</v>
      </c>
      <c r="C300" s="41">
        <v>45912.0</v>
      </c>
      <c r="D300" s="26"/>
      <c r="E300" s="41" t="s">
        <v>3851</v>
      </c>
      <c r="F300" s="34"/>
      <c r="G300" s="57" t="s">
        <v>3852</v>
      </c>
      <c r="H300" s="48" t="s">
        <v>3853</v>
      </c>
      <c r="I300" s="26" t="s">
        <v>3856</v>
      </c>
      <c r="J300" s="26" t="s">
        <v>3854</v>
      </c>
      <c r="K300" s="26" t="s">
        <v>3856</v>
      </c>
      <c r="L300" s="26" t="s">
        <v>3854</v>
      </c>
      <c r="M300" s="26" t="s">
        <v>3854</v>
      </c>
      <c r="N300" s="26" t="s">
        <v>3854</v>
      </c>
      <c r="O300" s="26" t="s">
        <v>3856</v>
      </c>
      <c r="P300" s="26" t="s">
        <v>3854</v>
      </c>
      <c r="Q300" s="26" t="s">
        <v>3854</v>
      </c>
      <c r="R300" s="26"/>
      <c r="S300" s="31"/>
      <c r="T300" s="31" t="s">
        <v>3855</v>
      </c>
    </row>
    <row r="301">
      <c r="A301" s="34" t="s">
        <v>1339</v>
      </c>
      <c r="B301" s="34" t="s">
        <v>1340</v>
      </c>
      <c r="C301" s="41">
        <v>45912.0</v>
      </c>
      <c r="D301" s="26"/>
      <c r="E301" s="41" t="s">
        <v>3851</v>
      </c>
      <c r="F301" s="34"/>
      <c r="G301" s="57" t="s">
        <v>3852</v>
      </c>
      <c r="H301" s="48" t="s">
        <v>3853</v>
      </c>
      <c r="I301" s="26" t="s">
        <v>3856</v>
      </c>
      <c r="J301" s="26" t="s">
        <v>3854</v>
      </c>
      <c r="K301" s="26" t="s">
        <v>3856</v>
      </c>
      <c r="L301" s="26" t="s">
        <v>3854</v>
      </c>
      <c r="M301" s="26" t="s">
        <v>3854</v>
      </c>
      <c r="N301" s="26" t="s">
        <v>3854</v>
      </c>
      <c r="O301" s="26" t="s">
        <v>3856</v>
      </c>
      <c r="P301" s="26" t="s">
        <v>3854</v>
      </c>
      <c r="Q301" s="26" t="s">
        <v>3854</v>
      </c>
      <c r="R301" s="26"/>
      <c r="S301" s="31"/>
      <c r="T301" s="31" t="s">
        <v>3855</v>
      </c>
    </row>
    <row r="302">
      <c r="A302" s="34" t="s">
        <v>1588</v>
      </c>
      <c r="B302" s="34" t="s">
        <v>1589</v>
      </c>
      <c r="C302" s="41">
        <v>45912.0</v>
      </c>
      <c r="D302" s="26"/>
      <c r="E302" s="41" t="s">
        <v>3851</v>
      </c>
      <c r="F302" s="34"/>
      <c r="G302" s="57" t="s">
        <v>3852</v>
      </c>
      <c r="H302" s="48" t="s">
        <v>3853</v>
      </c>
      <c r="I302" s="26" t="s">
        <v>3856</v>
      </c>
      <c r="J302" s="26" t="s">
        <v>3854</v>
      </c>
      <c r="K302" s="26" t="s">
        <v>3856</v>
      </c>
      <c r="L302" s="26" t="s">
        <v>3854</v>
      </c>
      <c r="M302" s="26" t="s">
        <v>3854</v>
      </c>
      <c r="N302" s="26" t="s">
        <v>3854</v>
      </c>
      <c r="O302" s="26" t="s">
        <v>3856</v>
      </c>
      <c r="P302" s="26" t="s">
        <v>3854</v>
      </c>
      <c r="Q302" s="26" t="s">
        <v>3854</v>
      </c>
      <c r="R302" s="26"/>
      <c r="S302" s="31"/>
      <c r="T302" s="31" t="s">
        <v>3855</v>
      </c>
    </row>
    <row r="303">
      <c r="A303" s="34" t="s">
        <v>3978</v>
      </c>
      <c r="B303" s="34" t="s">
        <v>1753</v>
      </c>
      <c r="C303" s="41">
        <v>45912.0</v>
      </c>
      <c r="D303" s="26"/>
      <c r="E303" s="41" t="s">
        <v>3851</v>
      </c>
      <c r="F303" s="34"/>
      <c r="G303" s="57" t="s">
        <v>3852</v>
      </c>
      <c r="H303" s="48" t="s">
        <v>3853</v>
      </c>
      <c r="I303" s="26" t="s">
        <v>3856</v>
      </c>
      <c r="J303" s="26" t="s">
        <v>3854</v>
      </c>
      <c r="K303" s="26" t="s">
        <v>3856</v>
      </c>
      <c r="L303" s="26" t="s">
        <v>3854</v>
      </c>
      <c r="M303" s="26" t="s">
        <v>3854</v>
      </c>
      <c r="N303" s="26" t="s">
        <v>3854</v>
      </c>
      <c r="O303" s="26" t="s">
        <v>3856</v>
      </c>
      <c r="P303" s="26" t="s">
        <v>3854</v>
      </c>
      <c r="Q303" s="26" t="s">
        <v>3854</v>
      </c>
      <c r="R303" s="26"/>
      <c r="S303" s="31"/>
      <c r="T303" s="31" t="s">
        <v>3855</v>
      </c>
    </row>
    <row r="304">
      <c r="A304" s="34" t="s">
        <v>1756</v>
      </c>
      <c r="B304" s="34" t="s">
        <v>1757</v>
      </c>
      <c r="C304" s="41">
        <v>45912.0</v>
      </c>
      <c r="D304" s="26"/>
      <c r="E304" s="41" t="s">
        <v>3851</v>
      </c>
      <c r="F304" s="34"/>
      <c r="G304" s="57" t="s">
        <v>3852</v>
      </c>
      <c r="H304" s="48" t="s">
        <v>3853</v>
      </c>
      <c r="I304" s="26" t="s">
        <v>3856</v>
      </c>
      <c r="J304" s="26" t="s">
        <v>3854</v>
      </c>
      <c r="K304" s="26" t="s">
        <v>3856</v>
      </c>
      <c r="L304" s="26" t="s">
        <v>3854</v>
      </c>
      <c r="M304" s="26" t="s">
        <v>3854</v>
      </c>
      <c r="N304" s="26" t="s">
        <v>3854</v>
      </c>
      <c r="O304" s="26" t="s">
        <v>3856</v>
      </c>
      <c r="P304" s="26" t="s">
        <v>3854</v>
      </c>
      <c r="Q304" s="26" t="s">
        <v>3854</v>
      </c>
      <c r="R304" s="26"/>
      <c r="S304" s="31"/>
      <c r="T304" s="31" t="s">
        <v>3855</v>
      </c>
    </row>
    <row r="305">
      <c r="A305" s="34" t="s">
        <v>3979</v>
      </c>
      <c r="B305" s="34" t="s">
        <v>1777</v>
      </c>
      <c r="C305" s="41">
        <v>45912.0</v>
      </c>
      <c r="D305" s="26"/>
      <c r="E305" s="41" t="s">
        <v>3851</v>
      </c>
      <c r="F305" s="34"/>
      <c r="G305" s="57" t="s">
        <v>3852</v>
      </c>
      <c r="H305" s="48" t="s">
        <v>3853</v>
      </c>
      <c r="I305" s="26" t="s">
        <v>3856</v>
      </c>
      <c r="J305" s="26" t="s">
        <v>3854</v>
      </c>
      <c r="K305" s="26" t="s">
        <v>3856</v>
      </c>
      <c r="L305" s="26" t="s">
        <v>3854</v>
      </c>
      <c r="M305" s="26" t="s">
        <v>3854</v>
      </c>
      <c r="N305" s="26" t="s">
        <v>3854</v>
      </c>
      <c r="O305" s="26" t="s">
        <v>3856</v>
      </c>
      <c r="P305" s="26" t="s">
        <v>3854</v>
      </c>
      <c r="Q305" s="26" t="s">
        <v>3854</v>
      </c>
      <c r="R305" s="26"/>
      <c r="S305" s="31"/>
      <c r="T305" s="31" t="s">
        <v>3855</v>
      </c>
    </row>
    <row r="306">
      <c r="A306" s="34" t="s">
        <v>1778</v>
      </c>
      <c r="B306" s="34" t="s">
        <v>1779</v>
      </c>
      <c r="C306" s="41">
        <v>45912.0</v>
      </c>
      <c r="D306" s="26"/>
      <c r="E306" s="41" t="s">
        <v>3851</v>
      </c>
      <c r="F306" s="34"/>
      <c r="G306" s="57" t="s">
        <v>3852</v>
      </c>
      <c r="H306" s="48" t="s">
        <v>3853</v>
      </c>
      <c r="I306" s="26" t="s">
        <v>3856</v>
      </c>
      <c r="J306" s="26" t="s">
        <v>3854</v>
      </c>
      <c r="K306" s="26" t="s">
        <v>3856</v>
      </c>
      <c r="L306" s="26" t="s">
        <v>3854</v>
      </c>
      <c r="M306" s="26" t="s">
        <v>3854</v>
      </c>
      <c r="N306" s="26" t="s">
        <v>3854</v>
      </c>
      <c r="O306" s="26" t="s">
        <v>3856</v>
      </c>
      <c r="P306" s="26" t="s">
        <v>3854</v>
      </c>
      <c r="Q306" s="26" t="s">
        <v>3854</v>
      </c>
      <c r="R306" s="26"/>
      <c r="S306" s="31"/>
      <c r="T306" s="31" t="s">
        <v>3855</v>
      </c>
    </row>
    <row r="307">
      <c r="A307" s="34" t="s">
        <v>1453</v>
      </c>
      <c r="B307" s="34" t="s">
        <v>1454</v>
      </c>
      <c r="C307" s="41">
        <v>45912.0</v>
      </c>
      <c r="D307" s="26"/>
      <c r="E307" s="41" t="s">
        <v>3851</v>
      </c>
      <c r="F307" s="34"/>
      <c r="G307" s="57" t="s">
        <v>3852</v>
      </c>
      <c r="H307" s="48" t="s">
        <v>3853</v>
      </c>
      <c r="I307" s="26" t="s">
        <v>3856</v>
      </c>
      <c r="J307" s="26" t="s">
        <v>3854</v>
      </c>
      <c r="K307" s="26" t="s">
        <v>3856</v>
      </c>
      <c r="L307" s="26" t="s">
        <v>3854</v>
      </c>
      <c r="M307" s="26" t="s">
        <v>3854</v>
      </c>
      <c r="N307" s="26" t="s">
        <v>3854</v>
      </c>
      <c r="O307" s="26" t="s">
        <v>3856</v>
      </c>
      <c r="P307" s="26" t="s">
        <v>3854</v>
      </c>
      <c r="Q307" s="26" t="s">
        <v>3856</v>
      </c>
      <c r="R307" s="26"/>
      <c r="S307" s="31"/>
      <c r="T307" s="31" t="s">
        <v>3855</v>
      </c>
    </row>
    <row r="308">
      <c r="A308" s="34" t="s">
        <v>1517</v>
      </c>
      <c r="B308" s="34" t="s">
        <v>1518</v>
      </c>
      <c r="C308" s="41">
        <v>45912.0</v>
      </c>
      <c r="D308" s="26"/>
      <c r="E308" s="41" t="s">
        <v>3851</v>
      </c>
      <c r="F308" s="34"/>
      <c r="G308" s="57" t="s">
        <v>3852</v>
      </c>
      <c r="H308" s="48" t="s">
        <v>3853</v>
      </c>
      <c r="I308" s="26" t="s">
        <v>3856</v>
      </c>
      <c r="J308" s="26" t="s">
        <v>3854</v>
      </c>
      <c r="K308" s="26" t="s">
        <v>3856</v>
      </c>
      <c r="L308" s="26" t="s">
        <v>3854</v>
      </c>
      <c r="M308" s="26" t="s">
        <v>3854</v>
      </c>
      <c r="N308" s="26" t="s">
        <v>3854</v>
      </c>
      <c r="O308" s="26" t="s">
        <v>3854</v>
      </c>
      <c r="P308" s="26" t="s">
        <v>3854</v>
      </c>
      <c r="Q308" s="26" t="s">
        <v>3854</v>
      </c>
      <c r="R308" s="26"/>
      <c r="S308" s="31"/>
      <c r="T308" s="31" t="s">
        <v>3855</v>
      </c>
    </row>
    <row r="309">
      <c r="A309" s="34" t="s">
        <v>3980</v>
      </c>
      <c r="B309" s="34" t="s">
        <v>1212</v>
      </c>
      <c r="C309" s="41">
        <v>45912.0</v>
      </c>
      <c r="D309" s="26"/>
      <c r="E309" s="41" t="s">
        <v>3851</v>
      </c>
      <c r="F309" s="34"/>
      <c r="G309" s="57" t="s">
        <v>3852</v>
      </c>
      <c r="H309" s="48" t="s">
        <v>3853</v>
      </c>
      <c r="I309" s="26" t="s">
        <v>3856</v>
      </c>
      <c r="J309" s="26" t="s">
        <v>3854</v>
      </c>
      <c r="K309" s="26" t="s">
        <v>3856</v>
      </c>
      <c r="L309" s="26" t="s">
        <v>3854</v>
      </c>
      <c r="M309" s="26" t="s">
        <v>3854</v>
      </c>
      <c r="N309" s="26" t="s">
        <v>3854</v>
      </c>
      <c r="O309" s="26" t="s">
        <v>3856</v>
      </c>
      <c r="P309" s="26" t="s">
        <v>3854</v>
      </c>
      <c r="Q309" s="26" t="s">
        <v>3854</v>
      </c>
      <c r="R309" s="26"/>
      <c r="S309" s="31"/>
      <c r="T309" s="31" t="s">
        <v>3855</v>
      </c>
    </row>
    <row r="310">
      <c r="A310" s="34" t="s">
        <v>1335</v>
      </c>
      <c r="B310" s="34" t="s">
        <v>1336</v>
      </c>
      <c r="C310" s="41">
        <v>45912.0</v>
      </c>
      <c r="D310" s="26"/>
      <c r="E310" s="41" t="s">
        <v>3851</v>
      </c>
      <c r="F310" s="34"/>
      <c r="G310" s="57" t="s">
        <v>3852</v>
      </c>
      <c r="H310" s="48" t="s">
        <v>3853</v>
      </c>
      <c r="I310" s="26" t="s">
        <v>3856</v>
      </c>
      <c r="J310" s="26" t="s">
        <v>3854</v>
      </c>
      <c r="K310" s="26" t="s">
        <v>3856</v>
      </c>
      <c r="L310" s="26" t="s">
        <v>3854</v>
      </c>
      <c r="M310" s="26" t="s">
        <v>3854</v>
      </c>
      <c r="N310" s="26" t="s">
        <v>3854</v>
      </c>
      <c r="O310" s="26" t="s">
        <v>3856</v>
      </c>
      <c r="P310" s="26" t="s">
        <v>3856</v>
      </c>
      <c r="Q310" s="26" t="s">
        <v>3854</v>
      </c>
      <c r="R310" s="26"/>
      <c r="S310" s="31"/>
      <c r="T310" s="31" t="s">
        <v>3855</v>
      </c>
    </row>
    <row r="311">
      <c r="A311" s="34" t="s">
        <v>1754</v>
      </c>
      <c r="B311" s="34" t="s">
        <v>1755</v>
      </c>
      <c r="C311" s="41">
        <v>45912.0</v>
      </c>
      <c r="D311" s="26"/>
      <c r="E311" s="41" t="s">
        <v>3851</v>
      </c>
      <c r="F311" s="34"/>
      <c r="G311" s="57" t="s">
        <v>3852</v>
      </c>
      <c r="H311" s="48" t="s">
        <v>3853</v>
      </c>
      <c r="I311" s="26" t="s">
        <v>3856</v>
      </c>
      <c r="J311" s="26" t="s">
        <v>3854</v>
      </c>
      <c r="K311" s="26" t="s">
        <v>3856</v>
      </c>
      <c r="L311" s="26" t="s">
        <v>3854</v>
      </c>
      <c r="M311" s="26" t="s">
        <v>3854</v>
      </c>
      <c r="N311" s="26" t="s">
        <v>3854</v>
      </c>
      <c r="O311" s="26" t="s">
        <v>3856</v>
      </c>
      <c r="P311" s="26" t="s">
        <v>3856</v>
      </c>
      <c r="Q311" s="26" t="s">
        <v>3854</v>
      </c>
      <c r="R311" s="26"/>
      <c r="S311" s="31"/>
      <c r="T311" s="31" t="s">
        <v>3855</v>
      </c>
    </row>
    <row r="312">
      <c r="A312" s="34" t="s">
        <v>1136</v>
      </c>
      <c r="B312" s="34" t="s">
        <v>1137</v>
      </c>
      <c r="C312" s="41">
        <v>45912.0</v>
      </c>
      <c r="D312" s="26"/>
      <c r="E312" s="41" t="s">
        <v>3851</v>
      </c>
      <c r="F312" s="34"/>
      <c r="G312" s="57" t="s">
        <v>3852</v>
      </c>
      <c r="H312" s="48" t="s">
        <v>3853</v>
      </c>
      <c r="I312" s="26" t="s">
        <v>3856</v>
      </c>
      <c r="J312" s="26" t="s">
        <v>3854</v>
      </c>
      <c r="K312" s="26" t="s">
        <v>3856</v>
      </c>
      <c r="L312" s="26" t="s">
        <v>3854</v>
      </c>
      <c r="M312" s="26" t="s">
        <v>3854</v>
      </c>
      <c r="N312" s="26" t="s">
        <v>3854</v>
      </c>
      <c r="O312" s="26" t="s">
        <v>3854</v>
      </c>
      <c r="P312" s="26" t="s">
        <v>3856</v>
      </c>
      <c r="Q312" s="26" t="s">
        <v>3854</v>
      </c>
      <c r="R312" s="26"/>
      <c r="S312" s="31"/>
      <c r="T312" s="31" t="s">
        <v>3855</v>
      </c>
    </row>
    <row r="313">
      <c r="A313" s="34" t="s">
        <v>3981</v>
      </c>
      <c r="B313" s="34" t="s">
        <v>1266</v>
      </c>
      <c r="C313" s="41">
        <v>45912.0</v>
      </c>
      <c r="D313" s="26"/>
      <c r="E313" s="41" t="s">
        <v>3851</v>
      </c>
      <c r="F313" s="34"/>
      <c r="G313" s="57" t="s">
        <v>3852</v>
      </c>
      <c r="H313" s="48" t="s">
        <v>3853</v>
      </c>
      <c r="I313" s="26" t="s">
        <v>3856</v>
      </c>
      <c r="J313" s="26" t="s">
        <v>3854</v>
      </c>
      <c r="K313" s="26" t="s">
        <v>3856</v>
      </c>
      <c r="L313" s="26" t="s">
        <v>3854</v>
      </c>
      <c r="M313" s="26" t="s">
        <v>3854</v>
      </c>
      <c r="N313" s="26" t="s">
        <v>3854</v>
      </c>
      <c r="O313" s="26" t="s">
        <v>3854</v>
      </c>
      <c r="P313" s="26" t="s">
        <v>3854</v>
      </c>
      <c r="Q313" s="26" t="s">
        <v>3854</v>
      </c>
      <c r="R313" s="26"/>
      <c r="S313" s="31"/>
      <c r="T313" s="31" t="s">
        <v>3855</v>
      </c>
    </row>
    <row r="314">
      <c r="A314" s="34" t="s">
        <v>1152</v>
      </c>
      <c r="B314" s="34" t="s">
        <v>1153</v>
      </c>
      <c r="C314" s="41">
        <v>45912.0</v>
      </c>
      <c r="D314" s="26"/>
      <c r="E314" s="41" t="s">
        <v>3851</v>
      </c>
      <c r="F314" s="34"/>
      <c r="G314" s="57" t="s">
        <v>3852</v>
      </c>
      <c r="H314" s="48" t="s">
        <v>3853</v>
      </c>
      <c r="I314" s="26" t="s">
        <v>3856</v>
      </c>
      <c r="J314" s="26" t="s">
        <v>3854</v>
      </c>
      <c r="K314" s="26" t="s">
        <v>3854</v>
      </c>
      <c r="L314" s="26" t="s">
        <v>3854</v>
      </c>
      <c r="M314" s="26" t="s">
        <v>3854</v>
      </c>
      <c r="N314" s="26" t="s">
        <v>3854</v>
      </c>
      <c r="O314" s="26" t="s">
        <v>3856</v>
      </c>
      <c r="P314" s="26" t="s">
        <v>3854</v>
      </c>
      <c r="Q314" s="26" t="s">
        <v>3854</v>
      </c>
      <c r="R314" s="26"/>
      <c r="S314" s="31"/>
      <c r="T314" s="31" t="s">
        <v>3855</v>
      </c>
    </row>
    <row r="315">
      <c r="A315" s="34" t="s">
        <v>1780</v>
      </c>
      <c r="B315" s="34" t="s">
        <v>1781</v>
      </c>
      <c r="C315" s="41">
        <v>45912.0</v>
      </c>
      <c r="D315" s="26"/>
      <c r="E315" s="41" t="s">
        <v>3851</v>
      </c>
      <c r="F315" s="34"/>
      <c r="G315" s="57" t="s">
        <v>3852</v>
      </c>
      <c r="H315" s="48" t="s">
        <v>3853</v>
      </c>
      <c r="I315" s="26" t="s">
        <v>3856</v>
      </c>
      <c r="J315" s="26" t="s">
        <v>3854</v>
      </c>
      <c r="K315" s="26" t="s">
        <v>3856</v>
      </c>
      <c r="L315" s="26" t="s">
        <v>3854</v>
      </c>
      <c r="M315" s="26" t="s">
        <v>3854</v>
      </c>
      <c r="N315" s="26" t="s">
        <v>3854</v>
      </c>
      <c r="O315" s="26" t="s">
        <v>3854</v>
      </c>
      <c r="P315" s="26" t="s">
        <v>3854</v>
      </c>
      <c r="Q315" s="26" t="s">
        <v>3854</v>
      </c>
      <c r="R315" s="26"/>
      <c r="S315" s="31"/>
      <c r="T315" s="31" t="s">
        <v>3855</v>
      </c>
    </row>
    <row r="316">
      <c r="A316" s="34" t="s">
        <v>1219</v>
      </c>
      <c r="B316" s="34" t="s">
        <v>1220</v>
      </c>
      <c r="C316" s="41">
        <v>45912.0</v>
      </c>
      <c r="D316" s="26"/>
      <c r="E316" s="41" t="s">
        <v>3851</v>
      </c>
      <c r="F316" s="34"/>
      <c r="G316" s="57" t="s">
        <v>3852</v>
      </c>
      <c r="H316" s="48" t="s">
        <v>3853</v>
      </c>
      <c r="I316" s="26" t="s">
        <v>3856</v>
      </c>
      <c r="J316" s="26" t="s">
        <v>3854</v>
      </c>
      <c r="K316" s="26" t="s">
        <v>3856</v>
      </c>
      <c r="L316" s="26" t="s">
        <v>3854</v>
      </c>
      <c r="M316" s="26" t="s">
        <v>3854</v>
      </c>
      <c r="N316" s="26" t="s">
        <v>3854</v>
      </c>
      <c r="O316" s="26" t="s">
        <v>3856</v>
      </c>
      <c r="P316" s="26" t="s">
        <v>3854</v>
      </c>
      <c r="Q316" s="26" t="s">
        <v>3854</v>
      </c>
      <c r="R316" s="26"/>
      <c r="S316" s="31"/>
      <c r="T316" s="31" t="s">
        <v>3855</v>
      </c>
    </row>
    <row r="317">
      <c r="A317" s="34" t="s">
        <v>1590</v>
      </c>
      <c r="B317" s="34" t="s">
        <v>1591</v>
      </c>
      <c r="C317" s="41">
        <v>45912.0</v>
      </c>
      <c r="D317" s="26"/>
      <c r="E317" s="41" t="s">
        <v>3851</v>
      </c>
      <c r="F317" s="34"/>
      <c r="G317" s="57" t="s">
        <v>3852</v>
      </c>
      <c r="H317" s="48" t="s">
        <v>3853</v>
      </c>
      <c r="I317" s="26" t="s">
        <v>3856</v>
      </c>
      <c r="J317" s="26" t="s">
        <v>3854</v>
      </c>
      <c r="K317" s="26" t="s">
        <v>3856</v>
      </c>
      <c r="L317" s="26" t="s">
        <v>3854</v>
      </c>
      <c r="M317" s="26" t="s">
        <v>3854</v>
      </c>
      <c r="N317" s="26" t="s">
        <v>3854</v>
      </c>
      <c r="O317" s="26" t="s">
        <v>3856</v>
      </c>
      <c r="P317" s="26" t="s">
        <v>3854</v>
      </c>
      <c r="Q317" s="26" t="s">
        <v>3854</v>
      </c>
      <c r="R317" s="26"/>
      <c r="S317" s="31"/>
      <c r="T317" s="31" t="s">
        <v>3855</v>
      </c>
    </row>
    <row r="318">
      <c r="A318" s="34" t="s">
        <v>3982</v>
      </c>
      <c r="B318" s="34" t="s">
        <v>1360</v>
      </c>
      <c r="C318" s="41">
        <v>45912.0</v>
      </c>
      <c r="D318" s="26"/>
      <c r="E318" s="41" t="s">
        <v>3851</v>
      </c>
      <c r="F318" s="34"/>
      <c r="G318" s="57" t="s">
        <v>3852</v>
      </c>
      <c r="H318" s="48" t="s">
        <v>3853</v>
      </c>
      <c r="I318" s="26" t="s">
        <v>3856</v>
      </c>
      <c r="J318" s="26" t="s">
        <v>3854</v>
      </c>
      <c r="K318" s="26" t="s">
        <v>3856</v>
      </c>
      <c r="L318" s="26" t="s">
        <v>3854</v>
      </c>
      <c r="M318" s="26" t="s">
        <v>3854</v>
      </c>
      <c r="N318" s="26" t="s">
        <v>3854</v>
      </c>
      <c r="O318" s="26" t="s">
        <v>3856</v>
      </c>
      <c r="P318" s="26" t="s">
        <v>3854</v>
      </c>
      <c r="Q318" s="26" t="s">
        <v>3854</v>
      </c>
      <c r="R318" s="26"/>
      <c r="S318" s="31"/>
      <c r="T318" s="31" t="s">
        <v>3855</v>
      </c>
    </row>
    <row r="319">
      <c r="A319" s="34" t="s">
        <v>1519</v>
      </c>
      <c r="B319" s="34" t="s">
        <v>1520</v>
      </c>
      <c r="C319" s="41">
        <v>45912.0</v>
      </c>
      <c r="D319" s="56">
        <v>45955.0</v>
      </c>
      <c r="E319" s="37" t="s">
        <v>3851</v>
      </c>
      <c r="F319" s="34"/>
      <c r="G319" s="57" t="s">
        <v>3852</v>
      </c>
      <c r="H319" s="48" t="s">
        <v>3853</v>
      </c>
      <c r="I319" s="26" t="s">
        <v>3856</v>
      </c>
      <c r="J319" s="26" t="s">
        <v>3854</v>
      </c>
      <c r="K319" s="26" t="s">
        <v>3856</v>
      </c>
      <c r="L319" s="26" t="s">
        <v>3854</v>
      </c>
      <c r="M319" s="26" t="s">
        <v>3854</v>
      </c>
      <c r="N319" s="26" t="s">
        <v>3854</v>
      </c>
      <c r="O319" s="26" t="s">
        <v>3856</v>
      </c>
      <c r="P319" s="26" t="s">
        <v>3856</v>
      </c>
      <c r="Q319" s="26" t="s">
        <v>3854</v>
      </c>
      <c r="R319" s="26"/>
      <c r="S319" s="31"/>
      <c r="T319" s="31" t="s">
        <v>3855</v>
      </c>
    </row>
    <row r="320">
      <c r="A320" s="34" t="s">
        <v>1818</v>
      </c>
      <c r="B320" s="34" t="s">
        <v>1819</v>
      </c>
      <c r="C320" s="41">
        <v>45912.0</v>
      </c>
      <c r="D320" s="26"/>
      <c r="E320" s="41" t="s">
        <v>3851</v>
      </c>
      <c r="F320" s="34"/>
      <c r="G320" s="57" t="s">
        <v>3852</v>
      </c>
      <c r="H320" s="48" t="s">
        <v>3853</v>
      </c>
      <c r="I320" s="26" t="s">
        <v>3856</v>
      </c>
      <c r="J320" s="26" t="s">
        <v>3854</v>
      </c>
      <c r="K320" s="26" t="s">
        <v>3856</v>
      </c>
      <c r="L320" s="26" t="s">
        <v>3854</v>
      </c>
      <c r="M320" s="26" t="s">
        <v>3854</v>
      </c>
      <c r="N320" s="26" t="s">
        <v>3854</v>
      </c>
      <c r="O320" s="26" t="s">
        <v>3856</v>
      </c>
      <c r="P320" s="26" t="s">
        <v>3856</v>
      </c>
      <c r="Q320" s="26" t="s">
        <v>3854</v>
      </c>
      <c r="R320" s="26"/>
      <c r="S320" s="26" t="s">
        <v>1642</v>
      </c>
      <c r="T320" s="31" t="s">
        <v>3855</v>
      </c>
    </row>
    <row r="321">
      <c r="A321" s="34" t="s">
        <v>1791</v>
      </c>
      <c r="B321" s="34" t="s">
        <v>1792</v>
      </c>
      <c r="C321" s="41">
        <v>45912.0</v>
      </c>
      <c r="D321" s="26"/>
      <c r="E321" s="41" t="s">
        <v>3851</v>
      </c>
      <c r="F321" s="34"/>
      <c r="G321" s="57" t="s">
        <v>3852</v>
      </c>
      <c r="H321" s="48" t="s">
        <v>3853</v>
      </c>
      <c r="I321" s="26" t="s">
        <v>3856</v>
      </c>
      <c r="J321" s="26" t="s">
        <v>3854</v>
      </c>
      <c r="K321" s="26" t="s">
        <v>3856</v>
      </c>
      <c r="L321" s="26" t="s">
        <v>3854</v>
      </c>
      <c r="M321" s="26" t="s">
        <v>3854</v>
      </c>
      <c r="N321" s="26" t="s">
        <v>3854</v>
      </c>
      <c r="O321" s="26" t="s">
        <v>3856</v>
      </c>
      <c r="P321" s="26" t="s">
        <v>3856</v>
      </c>
      <c r="Q321" s="26" t="s">
        <v>3854</v>
      </c>
      <c r="R321" s="26"/>
      <c r="S321" s="31"/>
      <c r="T321" s="31" t="s">
        <v>3855</v>
      </c>
    </row>
    <row r="322">
      <c r="A322" s="34" t="s">
        <v>1788</v>
      </c>
      <c r="B322" s="34" t="s">
        <v>1789</v>
      </c>
      <c r="C322" s="41">
        <v>45912.0</v>
      </c>
      <c r="D322" s="26"/>
      <c r="E322" s="41" t="s">
        <v>3851</v>
      </c>
      <c r="F322" s="34"/>
      <c r="G322" s="57" t="s">
        <v>3852</v>
      </c>
      <c r="H322" s="48" t="s">
        <v>3853</v>
      </c>
      <c r="I322" s="26" t="s">
        <v>3856</v>
      </c>
      <c r="J322" s="26" t="s">
        <v>3854</v>
      </c>
      <c r="K322" s="26" t="s">
        <v>3856</v>
      </c>
      <c r="L322" s="26" t="s">
        <v>3854</v>
      </c>
      <c r="M322" s="26" t="s">
        <v>3854</v>
      </c>
      <c r="N322" s="26" t="s">
        <v>3854</v>
      </c>
      <c r="O322" s="26" t="s">
        <v>3856</v>
      </c>
      <c r="P322" s="26" t="s">
        <v>3854</v>
      </c>
      <c r="Q322" s="26" t="s">
        <v>3854</v>
      </c>
      <c r="R322" s="26"/>
      <c r="S322" s="31"/>
      <c r="T322" s="31" t="s">
        <v>3855</v>
      </c>
    </row>
    <row r="323">
      <c r="A323" s="34" t="s">
        <v>1738</v>
      </c>
      <c r="B323" s="34" t="s">
        <v>1739</v>
      </c>
      <c r="C323" s="41">
        <v>45912.0</v>
      </c>
      <c r="D323" s="26"/>
      <c r="E323" s="37" t="s">
        <v>3851</v>
      </c>
      <c r="F323" s="34"/>
      <c r="G323" s="57" t="s">
        <v>3852</v>
      </c>
      <c r="H323" s="48" t="s">
        <v>3853</v>
      </c>
      <c r="I323" s="26" t="s">
        <v>3856</v>
      </c>
      <c r="J323" s="26" t="s">
        <v>3854</v>
      </c>
      <c r="K323" s="26" t="s">
        <v>3856</v>
      </c>
      <c r="L323" s="26" t="s">
        <v>3854</v>
      </c>
      <c r="M323" s="26" t="s">
        <v>3854</v>
      </c>
      <c r="N323" s="26" t="s">
        <v>3854</v>
      </c>
      <c r="O323" s="26" t="s">
        <v>3854</v>
      </c>
      <c r="P323" s="26" t="s">
        <v>3856</v>
      </c>
      <c r="Q323" s="26" t="s">
        <v>3856</v>
      </c>
      <c r="R323" s="26"/>
      <c r="S323" s="31"/>
      <c r="T323" s="31" t="s">
        <v>3855</v>
      </c>
    </row>
    <row r="324">
      <c r="A324" s="34" t="s">
        <v>97</v>
      </c>
      <c r="B324" s="34" t="s">
        <v>1051</v>
      </c>
      <c r="C324" s="41">
        <v>45912.0</v>
      </c>
      <c r="D324" s="56">
        <v>45955.0</v>
      </c>
      <c r="E324" s="37" t="s">
        <v>3851</v>
      </c>
      <c r="F324" s="34"/>
      <c r="G324" s="57" t="s">
        <v>3852</v>
      </c>
      <c r="H324" s="48" t="s">
        <v>3853</v>
      </c>
      <c r="I324" s="26" t="s">
        <v>3856</v>
      </c>
      <c r="J324" s="26" t="s">
        <v>3854</v>
      </c>
      <c r="K324" s="26" t="s">
        <v>3854</v>
      </c>
      <c r="L324" s="26" t="s">
        <v>3854</v>
      </c>
      <c r="M324" s="26" t="s">
        <v>3854</v>
      </c>
      <c r="N324" s="26" t="s">
        <v>3854</v>
      </c>
      <c r="O324" s="26" t="s">
        <v>3856</v>
      </c>
      <c r="P324" s="26" t="s">
        <v>3854</v>
      </c>
      <c r="Q324" s="26" t="s">
        <v>3854</v>
      </c>
      <c r="R324" s="26"/>
      <c r="S324" s="31"/>
      <c r="T324" s="31" t="s">
        <v>3855</v>
      </c>
    </row>
    <row r="325">
      <c r="A325" s="34" t="s">
        <v>1748</v>
      </c>
      <c r="B325" s="34" t="s">
        <v>1749</v>
      </c>
      <c r="C325" s="41">
        <v>45912.0</v>
      </c>
      <c r="D325" s="26"/>
      <c r="E325" s="41" t="s">
        <v>3851</v>
      </c>
      <c r="F325" s="34"/>
      <c r="G325" s="57" t="s">
        <v>3852</v>
      </c>
      <c r="H325" s="48" t="s">
        <v>3853</v>
      </c>
      <c r="I325" s="26" t="s">
        <v>3856</v>
      </c>
      <c r="J325" s="26" t="s">
        <v>3854</v>
      </c>
      <c r="K325" s="26" t="s">
        <v>3856</v>
      </c>
      <c r="L325" s="26" t="s">
        <v>3854</v>
      </c>
      <c r="M325" s="26" t="s">
        <v>3854</v>
      </c>
      <c r="N325" s="26" t="s">
        <v>3854</v>
      </c>
      <c r="O325" s="26" t="s">
        <v>3854</v>
      </c>
      <c r="P325" s="26" t="s">
        <v>3856</v>
      </c>
      <c r="Q325" s="26" t="s">
        <v>3854</v>
      </c>
      <c r="R325" s="26"/>
      <c r="S325" s="31"/>
      <c r="T325" s="31" t="s">
        <v>3855</v>
      </c>
    </row>
    <row r="326">
      <c r="A326" s="34" t="s">
        <v>3983</v>
      </c>
      <c r="B326" s="34" t="s">
        <v>1342</v>
      </c>
      <c r="C326" s="41">
        <v>45912.0</v>
      </c>
      <c r="D326" s="26"/>
      <c r="E326" s="41" t="s">
        <v>3851</v>
      </c>
      <c r="F326" s="34"/>
      <c r="G326" s="57" t="s">
        <v>3852</v>
      </c>
      <c r="H326" s="48" t="s">
        <v>3853</v>
      </c>
      <c r="I326" s="26" t="s">
        <v>3856</v>
      </c>
      <c r="J326" s="26" t="s">
        <v>3854</v>
      </c>
      <c r="K326" s="26" t="s">
        <v>3854</v>
      </c>
      <c r="L326" s="26" t="s">
        <v>3854</v>
      </c>
      <c r="M326" s="26" t="s">
        <v>3854</v>
      </c>
      <c r="N326" s="26" t="s">
        <v>3854</v>
      </c>
      <c r="O326" s="26" t="s">
        <v>3856</v>
      </c>
      <c r="P326" s="26" t="s">
        <v>3854</v>
      </c>
      <c r="Q326" s="26" t="s">
        <v>3854</v>
      </c>
      <c r="R326" s="26"/>
      <c r="S326" s="31"/>
      <c r="T326" s="31" t="s">
        <v>3855</v>
      </c>
    </row>
    <row r="327">
      <c r="A327" s="34" t="s">
        <v>351</v>
      </c>
      <c r="B327" s="34" t="s">
        <v>1854</v>
      </c>
      <c r="C327" s="41">
        <v>45912.0</v>
      </c>
      <c r="D327" s="26"/>
      <c r="E327" s="41" t="s">
        <v>3851</v>
      </c>
      <c r="F327" s="34"/>
      <c r="G327" s="57" t="s">
        <v>3852</v>
      </c>
      <c r="H327" s="48" t="s">
        <v>3853</v>
      </c>
      <c r="I327" s="26" t="s">
        <v>3856</v>
      </c>
      <c r="J327" s="26" t="s">
        <v>3854</v>
      </c>
      <c r="K327" s="26" t="s">
        <v>3856</v>
      </c>
      <c r="L327" s="26" t="s">
        <v>3854</v>
      </c>
      <c r="M327" s="26" t="s">
        <v>3854</v>
      </c>
      <c r="N327" s="26" t="s">
        <v>3854</v>
      </c>
      <c r="O327" s="26" t="s">
        <v>3856</v>
      </c>
      <c r="P327" s="26" t="s">
        <v>3854</v>
      </c>
      <c r="Q327" s="26" t="s">
        <v>3854</v>
      </c>
      <c r="R327" s="26"/>
      <c r="S327" s="31"/>
      <c r="T327" s="31" t="s">
        <v>3855</v>
      </c>
    </row>
    <row r="328">
      <c r="A328" s="34" t="s">
        <v>1466</v>
      </c>
      <c r="B328" s="34" t="s">
        <v>1467</v>
      </c>
      <c r="C328" s="41">
        <v>45912.0</v>
      </c>
      <c r="D328" s="26"/>
      <c r="E328" s="41" t="s">
        <v>3851</v>
      </c>
      <c r="F328" s="34"/>
      <c r="G328" s="57" t="s">
        <v>3852</v>
      </c>
      <c r="H328" s="48" t="s">
        <v>3853</v>
      </c>
      <c r="I328" s="26" t="s">
        <v>3856</v>
      </c>
      <c r="J328" s="26" t="s">
        <v>3854</v>
      </c>
      <c r="K328" s="26" t="s">
        <v>3856</v>
      </c>
      <c r="L328" s="26" t="s">
        <v>3854</v>
      </c>
      <c r="M328" s="26" t="s">
        <v>3854</v>
      </c>
      <c r="N328" s="26" t="s">
        <v>3854</v>
      </c>
      <c r="O328" s="26" t="s">
        <v>3854</v>
      </c>
      <c r="P328" s="26" t="s">
        <v>3854</v>
      </c>
      <c r="Q328" s="26" t="s">
        <v>3854</v>
      </c>
      <c r="R328" s="26"/>
      <c r="S328" s="31"/>
      <c r="T328" s="31" t="s">
        <v>3855</v>
      </c>
    </row>
    <row r="329">
      <c r="A329" s="34" t="s">
        <v>1706</v>
      </c>
      <c r="B329" s="34" t="s">
        <v>1187</v>
      </c>
      <c r="C329" s="41">
        <v>45912.0</v>
      </c>
      <c r="D329" s="26"/>
      <c r="E329" s="41" t="s">
        <v>3851</v>
      </c>
      <c r="F329" s="34"/>
      <c r="G329" s="57" t="s">
        <v>3852</v>
      </c>
      <c r="H329" s="48" t="s">
        <v>3853</v>
      </c>
      <c r="I329" s="26" t="s">
        <v>3856</v>
      </c>
      <c r="J329" s="26" t="s">
        <v>3854</v>
      </c>
      <c r="K329" s="26" t="s">
        <v>3856</v>
      </c>
      <c r="L329" s="26" t="s">
        <v>3854</v>
      </c>
      <c r="M329" s="26" t="s">
        <v>3854</v>
      </c>
      <c r="N329" s="26" t="s">
        <v>3854</v>
      </c>
      <c r="O329" s="26" t="s">
        <v>3856</v>
      </c>
      <c r="P329" s="26" t="s">
        <v>3856</v>
      </c>
      <c r="Q329" s="26" t="s">
        <v>3854</v>
      </c>
      <c r="R329" s="26"/>
      <c r="S329" s="26" t="s">
        <v>3865</v>
      </c>
      <c r="T329" s="31" t="s">
        <v>3855</v>
      </c>
    </row>
    <row r="330">
      <c r="A330" s="34" t="s">
        <v>3984</v>
      </c>
      <c r="B330" s="34" t="s">
        <v>1837</v>
      </c>
      <c r="C330" s="41">
        <v>45912.0</v>
      </c>
      <c r="D330" s="26"/>
      <c r="E330" s="41" t="s">
        <v>3851</v>
      </c>
      <c r="F330" s="34"/>
      <c r="G330" s="57" t="s">
        <v>3852</v>
      </c>
      <c r="H330" s="48" t="s">
        <v>3853</v>
      </c>
      <c r="I330" s="26" t="s">
        <v>3856</v>
      </c>
      <c r="J330" s="26" t="s">
        <v>3854</v>
      </c>
      <c r="K330" s="26" t="s">
        <v>3856</v>
      </c>
      <c r="L330" s="26" t="s">
        <v>3854</v>
      </c>
      <c r="M330" s="26" t="s">
        <v>3854</v>
      </c>
      <c r="N330" s="26" t="s">
        <v>3854</v>
      </c>
      <c r="O330" s="26" t="s">
        <v>3856</v>
      </c>
      <c r="P330" s="26" t="s">
        <v>3854</v>
      </c>
      <c r="Q330" s="26" t="s">
        <v>3854</v>
      </c>
      <c r="R330" s="26"/>
      <c r="S330" s="31"/>
      <c r="T330" s="31" t="s">
        <v>3855</v>
      </c>
    </row>
    <row r="331">
      <c r="A331" s="34" t="s">
        <v>1767</v>
      </c>
      <c r="B331" s="34" t="s">
        <v>1616</v>
      </c>
      <c r="C331" s="41">
        <v>45912.0</v>
      </c>
      <c r="D331" s="26"/>
      <c r="E331" s="41" t="s">
        <v>3851</v>
      </c>
      <c r="F331" s="34"/>
      <c r="G331" s="57" t="s">
        <v>3852</v>
      </c>
      <c r="H331" s="48" t="s">
        <v>3853</v>
      </c>
      <c r="I331" s="26" t="s">
        <v>3856</v>
      </c>
      <c r="J331" s="26" t="s">
        <v>3854</v>
      </c>
      <c r="K331" s="26" t="s">
        <v>3856</v>
      </c>
      <c r="L331" s="26" t="s">
        <v>3854</v>
      </c>
      <c r="M331" s="26" t="s">
        <v>3854</v>
      </c>
      <c r="N331" s="26" t="s">
        <v>3854</v>
      </c>
      <c r="O331" s="26" t="s">
        <v>3856</v>
      </c>
      <c r="P331" s="26" t="s">
        <v>3854</v>
      </c>
      <c r="Q331" s="26" t="s">
        <v>3854</v>
      </c>
      <c r="R331" s="26"/>
      <c r="S331" s="31"/>
      <c r="T331" s="31" t="s">
        <v>3855</v>
      </c>
    </row>
    <row r="332">
      <c r="A332" s="34" t="s">
        <v>1458</v>
      </c>
      <c r="B332" s="34" t="s">
        <v>1053</v>
      </c>
      <c r="C332" s="41">
        <v>45912.0</v>
      </c>
      <c r="D332" s="26"/>
      <c r="E332" s="41" t="s">
        <v>3851</v>
      </c>
      <c r="F332" s="34"/>
      <c r="G332" s="57" t="s">
        <v>3852</v>
      </c>
      <c r="H332" s="48" t="s">
        <v>3853</v>
      </c>
      <c r="I332" s="26" t="s">
        <v>3856</v>
      </c>
      <c r="J332" s="26" t="s">
        <v>3854</v>
      </c>
      <c r="K332" s="26" t="s">
        <v>3856</v>
      </c>
      <c r="L332" s="26" t="s">
        <v>3854</v>
      </c>
      <c r="M332" s="26" t="s">
        <v>3854</v>
      </c>
      <c r="N332" s="26" t="s">
        <v>3854</v>
      </c>
      <c r="O332" s="26" t="s">
        <v>3856</v>
      </c>
      <c r="P332" s="26" t="s">
        <v>3856</v>
      </c>
      <c r="Q332" s="26" t="s">
        <v>3854</v>
      </c>
      <c r="R332" s="26"/>
      <c r="S332" s="31"/>
      <c r="T332" s="31" t="s">
        <v>3855</v>
      </c>
    </row>
    <row r="333">
      <c r="A333" s="34" t="s">
        <v>1668</v>
      </c>
      <c r="B333" s="34" t="s">
        <v>1400</v>
      </c>
      <c r="C333" s="41">
        <v>45912.0</v>
      </c>
      <c r="D333" s="26"/>
      <c r="E333" s="41" t="s">
        <v>3851</v>
      </c>
      <c r="F333" s="34"/>
      <c r="G333" s="57" t="s">
        <v>3852</v>
      </c>
      <c r="H333" s="48" t="s">
        <v>3853</v>
      </c>
      <c r="I333" s="26" t="s">
        <v>3856</v>
      </c>
      <c r="J333" s="26" t="s">
        <v>3854</v>
      </c>
      <c r="K333" s="26" t="s">
        <v>3856</v>
      </c>
      <c r="L333" s="26" t="s">
        <v>3854</v>
      </c>
      <c r="M333" s="26" t="s">
        <v>3854</v>
      </c>
      <c r="N333" s="26" t="s">
        <v>3854</v>
      </c>
      <c r="O333" s="26" t="s">
        <v>3856</v>
      </c>
      <c r="P333" s="26" t="s">
        <v>3856</v>
      </c>
      <c r="Q333" s="26" t="s">
        <v>3854</v>
      </c>
      <c r="R333" s="26"/>
      <c r="S333" s="31"/>
      <c r="T333" s="31" t="s">
        <v>3855</v>
      </c>
    </row>
    <row r="334">
      <c r="A334" s="34" t="s">
        <v>3985</v>
      </c>
      <c r="B334" s="34" t="s">
        <v>1248</v>
      </c>
      <c r="C334" s="41">
        <v>45912.0</v>
      </c>
      <c r="D334" s="26"/>
      <c r="E334" s="41" t="s">
        <v>3851</v>
      </c>
      <c r="F334" s="34"/>
      <c r="G334" s="57" t="s">
        <v>3852</v>
      </c>
      <c r="H334" s="48" t="s">
        <v>3853</v>
      </c>
      <c r="I334" s="26" t="s">
        <v>3856</v>
      </c>
      <c r="J334" s="26" t="s">
        <v>3854</v>
      </c>
      <c r="K334" s="26" t="s">
        <v>3856</v>
      </c>
      <c r="L334" s="26" t="s">
        <v>3854</v>
      </c>
      <c r="M334" s="26" t="s">
        <v>3854</v>
      </c>
      <c r="N334" s="26" t="s">
        <v>3854</v>
      </c>
      <c r="O334" s="26" t="s">
        <v>3856</v>
      </c>
      <c r="P334" s="26" t="s">
        <v>3854</v>
      </c>
      <c r="Q334" s="26" t="s">
        <v>3854</v>
      </c>
      <c r="R334" s="26"/>
      <c r="S334" s="31"/>
      <c r="T334" s="31" t="s">
        <v>3855</v>
      </c>
    </row>
    <row r="335">
      <c r="A335" s="34" t="s">
        <v>1728</v>
      </c>
      <c r="B335" s="34" t="s">
        <v>1729</v>
      </c>
      <c r="C335" s="41">
        <v>45912.0</v>
      </c>
      <c r="D335" s="26"/>
      <c r="E335" s="41" t="s">
        <v>3851</v>
      </c>
      <c r="F335" s="34"/>
      <c r="G335" s="57" t="s">
        <v>3852</v>
      </c>
      <c r="H335" s="48" t="s">
        <v>3853</v>
      </c>
      <c r="I335" s="26" t="s">
        <v>3856</v>
      </c>
      <c r="J335" s="26" t="s">
        <v>3854</v>
      </c>
      <c r="K335" s="26" t="s">
        <v>3856</v>
      </c>
      <c r="L335" s="26" t="s">
        <v>3854</v>
      </c>
      <c r="M335" s="26" t="s">
        <v>3854</v>
      </c>
      <c r="N335" s="26" t="s">
        <v>3854</v>
      </c>
      <c r="O335" s="26" t="s">
        <v>3856</v>
      </c>
      <c r="P335" s="26" t="s">
        <v>3856</v>
      </c>
      <c r="Q335" s="26" t="s">
        <v>3854</v>
      </c>
      <c r="R335" s="26"/>
      <c r="S335" s="31"/>
      <c r="T335" s="31" t="s">
        <v>3855</v>
      </c>
    </row>
    <row r="336">
      <c r="A336" s="34" t="s">
        <v>1596</v>
      </c>
      <c r="B336" s="34" t="s">
        <v>1597</v>
      </c>
      <c r="C336" s="41">
        <v>45912.0</v>
      </c>
      <c r="D336" s="26"/>
      <c r="E336" s="41" t="s">
        <v>3851</v>
      </c>
      <c r="F336" s="34"/>
      <c r="G336" s="57" t="s">
        <v>3852</v>
      </c>
      <c r="H336" s="48" t="s">
        <v>3853</v>
      </c>
      <c r="I336" s="26" t="s">
        <v>3856</v>
      </c>
      <c r="J336" s="26" t="s">
        <v>3854</v>
      </c>
      <c r="K336" s="26" t="s">
        <v>3856</v>
      </c>
      <c r="L336" s="26" t="s">
        <v>3854</v>
      </c>
      <c r="M336" s="26" t="s">
        <v>3854</v>
      </c>
      <c r="N336" s="26" t="s">
        <v>3854</v>
      </c>
      <c r="O336" s="26" t="s">
        <v>3856</v>
      </c>
      <c r="P336" s="26" t="s">
        <v>3854</v>
      </c>
      <c r="Q336" s="26" t="s">
        <v>3854</v>
      </c>
      <c r="R336" s="26"/>
      <c r="S336" s="31"/>
      <c r="T336" s="31" t="s">
        <v>3855</v>
      </c>
    </row>
    <row r="337">
      <c r="A337" s="34" t="s">
        <v>1625</v>
      </c>
      <c r="B337" s="34" t="s">
        <v>1626</v>
      </c>
      <c r="C337" s="41">
        <v>45912.0</v>
      </c>
      <c r="D337" s="26"/>
      <c r="E337" s="41" t="s">
        <v>3851</v>
      </c>
      <c r="F337" s="34"/>
      <c r="G337" s="57" t="s">
        <v>3852</v>
      </c>
      <c r="H337" s="48" t="s">
        <v>3853</v>
      </c>
      <c r="I337" s="26" t="s">
        <v>3856</v>
      </c>
      <c r="J337" s="26" t="s">
        <v>3854</v>
      </c>
      <c r="K337" s="26" t="s">
        <v>3856</v>
      </c>
      <c r="L337" s="26" t="s">
        <v>3854</v>
      </c>
      <c r="M337" s="26" t="s">
        <v>3854</v>
      </c>
      <c r="N337" s="26" t="s">
        <v>3854</v>
      </c>
      <c r="O337" s="26" t="s">
        <v>3856</v>
      </c>
      <c r="P337" s="26" t="s">
        <v>3854</v>
      </c>
      <c r="Q337" s="26" t="s">
        <v>3854</v>
      </c>
      <c r="R337" s="26"/>
      <c r="S337" s="31"/>
      <c r="T337" s="31" t="s">
        <v>3855</v>
      </c>
    </row>
    <row r="338">
      <c r="A338" s="34" t="s">
        <v>1244</v>
      </c>
      <c r="B338" s="34" t="s">
        <v>1245</v>
      </c>
      <c r="C338" s="41">
        <v>45912.0</v>
      </c>
      <c r="D338" s="26"/>
      <c r="E338" s="41" t="s">
        <v>3851</v>
      </c>
      <c r="F338" s="34"/>
      <c r="G338" s="57" t="s">
        <v>3852</v>
      </c>
      <c r="H338" s="48" t="s">
        <v>3853</v>
      </c>
      <c r="I338" s="26" t="s">
        <v>3856</v>
      </c>
      <c r="J338" s="26" t="s">
        <v>3854</v>
      </c>
      <c r="K338" s="26" t="s">
        <v>3856</v>
      </c>
      <c r="L338" s="26" t="s">
        <v>3854</v>
      </c>
      <c r="M338" s="26" t="s">
        <v>3854</v>
      </c>
      <c r="N338" s="26" t="s">
        <v>3854</v>
      </c>
      <c r="O338" s="26" t="s">
        <v>3854</v>
      </c>
      <c r="P338" s="26" t="s">
        <v>3856</v>
      </c>
      <c r="Q338" s="26" t="s">
        <v>3854</v>
      </c>
      <c r="R338" s="26"/>
      <c r="S338" s="31"/>
      <c r="T338" s="31" t="s">
        <v>3855</v>
      </c>
    </row>
    <row r="339">
      <c r="A339" s="34" t="s">
        <v>1740</v>
      </c>
      <c r="B339" s="34" t="s">
        <v>1742</v>
      </c>
      <c r="C339" s="41">
        <v>45912.0</v>
      </c>
      <c r="D339" s="26"/>
      <c r="E339" s="41" t="s">
        <v>3851</v>
      </c>
      <c r="F339" s="34"/>
      <c r="G339" s="57" t="s">
        <v>3852</v>
      </c>
      <c r="H339" s="48" t="s">
        <v>3853</v>
      </c>
      <c r="I339" s="26" t="s">
        <v>3856</v>
      </c>
      <c r="J339" s="26" t="s">
        <v>3854</v>
      </c>
      <c r="K339" s="26" t="s">
        <v>3856</v>
      </c>
      <c r="L339" s="26" t="s">
        <v>3854</v>
      </c>
      <c r="M339" s="26" t="s">
        <v>3854</v>
      </c>
      <c r="N339" s="26" t="s">
        <v>3854</v>
      </c>
      <c r="O339" s="26" t="s">
        <v>3856</v>
      </c>
      <c r="P339" s="26" t="s">
        <v>3854</v>
      </c>
      <c r="Q339" s="26" t="s">
        <v>3854</v>
      </c>
      <c r="R339" s="26"/>
      <c r="S339" s="31"/>
      <c r="T339" s="31" t="s">
        <v>3855</v>
      </c>
    </row>
    <row r="340">
      <c r="A340" s="34" t="s">
        <v>1449</v>
      </c>
      <c r="B340" s="34" t="s">
        <v>1192</v>
      </c>
      <c r="C340" s="41">
        <v>45912.0</v>
      </c>
      <c r="D340" s="26"/>
      <c r="E340" s="41" t="s">
        <v>3851</v>
      </c>
      <c r="F340" s="34"/>
      <c r="G340" s="57" t="s">
        <v>3852</v>
      </c>
      <c r="H340" s="48" t="s">
        <v>3853</v>
      </c>
      <c r="I340" s="26" t="s">
        <v>3856</v>
      </c>
      <c r="J340" s="26" t="s">
        <v>3854</v>
      </c>
      <c r="K340" s="26" t="s">
        <v>3856</v>
      </c>
      <c r="L340" s="26" t="s">
        <v>3854</v>
      </c>
      <c r="M340" s="26" t="s">
        <v>3854</v>
      </c>
      <c r="N340" s="26" t="s">
        <v>3854</v>
      </c>
      <c r="O340" s="26" t="s">
        <v>3854</v>
      </c>
      <c r="P340" s="26" t="s">
        <v>3854</v>
      </c>
      <c r="Q340" s="26" t="s">
        <v>3854</v>
      </c>
      <c r="R340" s="26"/>
      <c r="S340" s="31"/>
      <c r="T340" s="31" t="s">
        <v>3855</v>
      </c>
    </row>
    <row r="341">
      <c r="A341" s="34" t="s">
        <v>1381</v>
      </c>
      <c r="B341" s="34" t="s">
        <v>1382</v>
      </c>
      <c r="C341" s="41">
        <v>45912.0</v>
      </c>
      <c r="D341" s="26"/>
      <c r="E341" s="41" t="s">
        <v>3851</v>
      </c>
      <c r="F341" s="34"/>
      <c r="G341" s="57" t="s">
        <v>3852</v>
      </c>
      <c r="H341" s="48" t="s">
        <v>3853</v>
      </c>
      <c r="I341" s="26" t="s">
        <v>3856</v>
      </c>
      <c r="J341" s="26" t="s">
        <v>3854</v>
      </c>
      <c r="K341" s="26" t="s">
        <v>3856</v>
      </c>
      <c r="L341" s="26" t="s">
        <v>3854</v>
      </c>
      <c r="M341" s="26" t="s">
        <v>3854</v>
      </c>
      <c r="N341" s="26" t="s">
        <v>3854</v>
      </c>
      <c r="O341" s="26" t="s">
        <v>3854</v>
      </c>
      <c r="P341" s="26" t="s">
        <v>3854</v>
      </c>
      <c r="Q341" s="26" t="s">
        <v>3854</v>
      </c>
      <c r="R341" s="26"/>
      <c r="S341" s="31"/>
      <c r="T341" s="31" t="s">
        <v>3855</v>
      </c>
    </row>
    <row r="342">
      <c r="A342" s="34" t="s">
        <v>1165</v>
      </c>
      <c r="B342" s="34" t="s">
        <v>1166</v>
      </c>
      <c r="C342" s="41">
        <v>45912.0</v>
      </c>
      <c r="D342" s="26"/>
      <c r="E342" s="41" t="s">
        <v>3851</v>
      </c>
      <c r="F342" s="34"/>
      <c r="G342" s="57" t="s">
        <v>3852</v>
      </c>
      <c r="H342" s="48" t="s">
        <v>3853</v>
      </c>
      <c r="I342" s="26" t="s">
        <v>3856</v>
      </c>
      <c r="J342" s="26" t="s">
        <v>3854</v>
      </c>
      <c r="K342" s="26" t="s">
        <v>3854</v>
      </c>
      <c r="L342" s="26" t="s">
        <v>3854</v>
      </c>
      <c r="M342" s="26" t="s">
        <v>3854</v>
      </c>
      <c r="N342" s="26" t="s">
        <v>3854</v>
      </c>
      <c r="O342" s="26" t="s">
        <v>3856</v>
      </c>
      <c r="P342" s="26" t="s">
        <v>3854</v>
      </c>
      <c r="Q342" s="26" t="s">
        <v>3854</v>
      </c>
      <c r="R342" s="26"/>
      <c r="S342" s="31"/>
      <c r="T342" s="31" t="s">
        <v>3855</v>
      </c>
    </row>
    <row r="343">
      <c r="A343" s="34" t="s">
        <v>1217</v>
      </c>
      <c r="B343" s="34" t="s">
        <v>1218</v>
      </c>
      <c r="C343" s="41">
        <v>45912.0</v>
      </c>
      <c r="D343" s="26"/>
      <c r="E343" s="41" t="s">
        <v>3851</v>
      </c>
      <c r="F343" s="34"/>
      <c r="G343" s="57" t="s">
        <v>3852</v>
      </c>
      <c r="H343" s="48" t="s">
        <v>3853</v>
      </c>
      <c r="I343" s="26" t="s">
        <v>3856</v>
      </c>
      <c r="J343" s="26" t="s">
        <v>3854</v>
      </c>
      <c r="K343" s="26" t="s">
        <v>3854</v>
      </c>
      <c r="L343" s="26" t="s">
        <v>3854</v>
      </c>
      <c r="M343" s="26" t="s">
        <v>3854</v>
      </c>
      <c r="N343" s="26" t="s">
        <v>3854</v>
      </c>
      <c r="O343" s="26" t="s">
        <v>3856</v>
      </c>
      <c r="P343" s="26" t="s">
        <v>3854</v>
      </c>
      <c r="Q343" s="26" t="s">
        <v>3854</v>
      </c>
      <c r="R343" s="26"/>
      <c r="S343" s="31"/>
      <c r="T343" s="31" t="s">
        <v>3855</v>
      </c>
    </row>
    <row r="344">
      <c r="A344" s="34" t="s">
        <v>1027</v>
      </c>
      <c r="B344" s="34" t="s">
        <v>1028</v>
      </c>
      <c r="C344" s="41">
        <v>45912.0</v>
      </c>
      <c r="D344" s="26"/>
      <c r="E344" s="41" t="s">
        <v>3851</v>
      </c>
      <c r="F344" s="34"/>
      <c r="G344" s="57" t="s">
        <v>3852</v>
      </c>
      <c r="H344" s="48" t="s">
        <v>3853</v>
      </c>
      <c r="I344" s="26" t="s">
        <v>3856</v>
      </c>
      <c r="J344" s="26" t="s">
        <v>3854</v>
      </c>
      <c r="K344" s="26" t="s">
        <v>3856</v>
      </c>
      <c r="L344" s="26" t="s">
        <v>3854</v>
      </c>
      <c r="M344" s="26" t="s">
        <v>3854</v>
      </c>
      <c r="N344" s="26" t="s">
        <v>3854</v>
      </c>
      <c r="O344" s="26" t="s">
        <v>3856</v>
      </c>
      <c r="P344" s="26" t="s">
        <v>3856</v>
      </c>
      <c r="Q344" s="26" t="s">
        <v>3854</v>
      </c>
      <c r="R344" s="26"/>
      <c r="S344" s="31"/>
      <c r="T344" s="31" t="s">
        <v>3855</v>
      </c>
    </row>
    <row r="345">
      <c r="A345" s="34" t="s">
        <v>1113</v>
      </c>
      <c r="B345" s="34" t="s">
        <v>1114</v>
      </c>
      <c r="C345" s="41">
        <v>45912.0</v>
      </c>
      <c r="D345" s="26"/>
      <c r="E345" s="37" t="s">
        <v>3851</v>
      </c>
      <c r="F345" s="34"/>
      <c r="G345" s="57" t="s">
        <v>3852</v>
      </c>
      <c r="H345" s="48" t="s">
        <v>3853</v>
      </c>
      <c r="I345" s="26" t="s">
        <v>3856</v>
      </c>
      <c r="J345" s="26" t="s">
        <v>3854</v>
      </c>
      <c r="K345" s="26" t="s">
        <v>3856</v>
      </c>
      <c r="L345" s="26" t="s">
        <v>3854</v>
      </c>
      <c r="M345" s="26" t="s">
        <v>3854</v>
      </c>
      <c r="N345" s="26" t="s">
        <v>3854</v>
      </c>
      <c r="O345" s="26" t="s">
        <v>3856</v>
      </c>
      <c r="P345" s="26" t="s">
        <v>3856</v>
      </c>
      <c r="Q345" s="26" t="s">
        <v>3854</v>
      </c>
      <c r="R345" s="26"/>
      <c r="S345" s="31"/>
      <c r="T345" s="31" t="s">
        <v>3855</v>
      </c>
    </row>
    <row r="346">
      <c r="A346" s="34" t="s">
        <v>1717</v>
      </c>
      <c r="B346" s="34" t="s">
        <v>1718</v>
      </c>
      <c r="C346" s="41">
        <v>45912.0</v>
      </c>
      <c r="D346" s="26"/>
      <c r="E346" s="41" t="s">
        <v>3851</v>
      </c>
      <c r="F346" s="34"/>
      <c r="G346" s="57" t="s">
        <v>3852</v>
      </c>
      <c r="H346" s="48" t="s">
        <v>3853</v>
      </c>
      <c r="I346" s="26" t="s">
        <v>3856</v>
      </c>
      <c r="J346" s="26" t="s">
        <v>3854</v>
      </c>
      <c r="K346" s="26" t="s">
        <v>3854</v>
      </c>
      <c r="L346" s="26" t="s">
        <v>3854</v>
      </c>
      <c r="M346" s="26" t="s">
        <v>3854</v>
      </c>
      <c r="N346" s="26" t="s">
        <v>3854</v>
      </c>
      <c r="O346" s="26" t="s">
        <v>3856</v>
      </c>
      <c r="P346" s="26" t="s">
        <v>3856</v>
      </c>
      <c r="Q346" s="26" t="s">
        <v>3854</v>
      </c>
      <c r="R346" s="26"/>
      <c r="S346" s="31"/>
      <c r="T346" s="31" t="s">
        <v>3855</v>
      </c>
    </row>
    <row r="347">
      <c r="A347" s="34" t="s">
        <v>1842</v>
      </c>
      <c r="B347" s="34" t="s">
        <v>1843</v>
      </c>
      <c r="C347" s="41">
        <v>45912.0</v>
      </c>
      <c r="D347" s="26"/>
      <c r="E347" s="41" t="s">
        <v>3851</v>
      </c>
      <c r="F347" s="34"/>
      <c r="G347" s="57" t="s">
        <v>3852</v>
      </c>
      <c r="H347" s="48" t="s">
        <v>3853</v>
      </c>
      <c r="I347" s="26" t="s">
        <v>3856</v>
      </c>
      <c r="J347" s="26" t="s">
        <v>3854</v>
      </c>
      <c r="K347" s="26" t="s">
        <v>3854</v>
      </c>
      <c r="L347" s="26" t="s">
        <v>3854</v>
      </c>
      <c r="M347" s="26" t="s">
        <v>3854</v>
      </c>
      <c r="N347" s="26" t="s">
        <v>3854</v>
      </c>
      <c r="O347" s="26" t="s">
        <v>3856</v>
      </c>
      <c r="P347" s="26" t="s">
        <v>3854</v>
      </c>
      <c r="Q347" s="26" t="s">
        <v>3854</v>
      </c>
      <c r="R347" s="26"/>
      <c r="S347" s="31"/>
      <c r="T347" s="31" t="s">
        <v>3855</v>
      </c>
    </row>
    <row r="348">
      <c r="A348" s="34" t="s">
        <v>1637</v>
      </c>
      <c r="B348" s="34" t="s">
        <v>1638</v>
      </c>
      <c r="C348" s="41">
        <v>45912.0</v>
      </c>
      <c r="D348" s="26"/>
      <c r="E348" s="41" t="s">
        <v>3851</v>
      </c>
      <c r="F348" s="34"/>
      <c r="G348" s="57" t="s">
        <v>3852</v>
      </c>
      <c r="H348" s="48" t="s">
        <v>3853</v>
      </c>
      <c r="I348" s="26" t="s">
        <v>3856</v>
      </c>
      <c r="J348" s="26" t="s">
        <v>3854</v>
      </c>
      <c r="K348" s="26" t="s">
        <v>3854</v>
      </c>
      <c r="L348" s="26" t="s">
        <v>3854</v>
      </c>
      <c r="M348" s="26" t="s">
        <v>3854</v>
      </c>
      <c r="N348" s="26" t="s">
        <v>3854</v>
      </c>
      <c r="O348" s="26" t="s">
        <v>3856</v>
      </c>
      <c r="P348" s="26" t="s">
        <v>3856</v>
      </c>
      <c r="Q348" s="26" t="s">
        <v>3854</v>
      </c>
      <c r="R348" s="26"/>
      <c r="S348" s="31"/>
      <c r="T348" s="31" t="s">
        <v>3855</v>
      </c>
    </row>
    <row r="349">
      <c r="A349" s="34" t="s">
        <v>1104</v>
      </c>
      <c r="B349" s="34" t="s">
        <v>1105</v>
      </c>
      <c r="C349" s="41">
        <v>45912.0</v>
      </c>
      <c r="D349" s="26"/>
      <c r="E349" s="41" t="s">
        <v>3851</v>
      </c>
      <c r="F349" s="34"/>
      <c r="G349" s="57" t="s">
        <v>3852</v>
      </c>
      <c r="H349" s="48" t="s">
        <v>3853</v>
      </c>
      <c r="I349" s="26" t="s">
        <v>3856</v>
      </c>
      <c r="J349" s="26" t="s">
        <v>3854</v>
      </c>
      <c r="K349" s="26" t="s">
        <v>3856</v>
      </c>
      <c r="L349" s="26" t="s">
        <v>3854</v>
      </c>
      <c r="M349" s="26" t="s">
        <v>3854</v>
      </c>
      <c r="N349" s="26" t="s">
        <v>3854</v>
      </c>
      <c r="O349" s="26" t="s">
        <v>3856</v>
      </c>
      <c r="P349" s="26" t="s">
        <v>3856</v>
      </c>
      <c r="Q349" s="26" t="s">
        <v>3856</v>
      </c>
      <c r="R349" s="26"/>
      <c r="S349" s="31"/>
      <c r="T349" s="31" t="s">
        <v>3855</v>
      </c>
    </row>
    <row r="350">
      <c r="A350" s="34" t="s">
        <v>1502</v>
      </c>
      <c r="B350" s="34" t="s">
        <v>1503</v>
      </c>
      <c r="C350" s="41">
        <v>45912.0</v>
      </c>
      <c r="D350" s="26"/>
      <c r="E350" s="41" t="s">
        <v>3851</v>
      </c>
      <c r="F350" s="34"/>
      <c r="G350" s="57" t="s">
        <v>3852</v>
      </c>
      <c r="H350" s="48" t="s">
        <v>3853</v>
      </c>
      <c r="I350" s="26" t="s">
        <v>3856</v>
      </c>
      <c r="J350" s="26" t="s">
        <v>3854</v>
      </c>
      <c r="K350" s="26" t="s">
        <v>3854</v>
      </c>
      <c r="L350" s="26" t="s">
        <v>3854</v>
      </c>
      <c r="M350" s="26" t="s">
        <v>3854</v>
      </c>
      <c r="N350" s="26" t="s">
        <v>3854</v>
      </c>
      <c r="O350" s="26" t="s">
        <v>3856</v>
      </c>
      <c r="P350" s="26" t="s">
        <v>3856</v>
      </c>
      <c r="Q350" s="26" t="s">
        <v>3854</v>
      </c>
      <c r="R350" s="26"/>
      <c r="S350" s="31"/>
      <c r="T350" s="31" t="s">
        <v>3855</v>
      </c>
    </row>
    <row r="351">
      <c r="A351" s="34" t="s">
        <v>1750</v>
      </c>
      <c r="B351" s="34" t="s">
        <v>1751</v>
      </c>
      <c r="C351" s="41">
        <v>45912.0</v>
      </c>
      <c r="D351" s="26"/>
      <c r="E351" s="41" t="s">
        <v>3851</v>
      </c>
      <c r="F351" s="34"/>
      <c r="G351" s="57" t="s">
        <v>3852</v>
      </c>
      <c r="H351" s="48" t="s">
        <v>3853</v>
      </c>
      <c r="I351" s="26" t="s">
        <v>3856</v>
      </c>
      <c r="J351" s="26" t="s">
        <v>3854</v>
      </c>
      <c r="K351" s="26" t="s">
        <v>3856</v>
      </c>
      <c r="L351" s="26" t="s">
        <v>3854</v>
      </c>
      <c r="M351" s="26" t="s">
        <v>3854</v>
      </c>
      <c r="N351" s="26" t="s">
        <v>3854</v>
      </c>
      <c r="O351" s="26" t="s">
        <v>3856</v>
      </c>
      <c r="P351" s="26" t="s">
        <v>3856</v>
      </c>
      <c r="Q351" s="26" t="s">
        <v>3854</v>
      </c>
      <c r="R351" s="26"/>
      <c r="S351" s="31"/>
      <c r="T351" s="31" t="s">
        <v>3855</v>
      </c>
    </row>
    <row r="352">
      <c r="A352" s="34" t="s">
        <v>1785</v>
      </c>
      <c r="B352" s="34" t="s">
        <v>1786</v>
      </c>
      <c r="C352" s="41">
        <v>45912.0</v>
      </c>
      <c r="D352" s="26"/>
      <c r="E352" s="41" t="s">
        <v>3851</v>
      </c>
      <c r="F352" s="34"/>
      <c r="G352" s="57" t="s">
        <v>3852</v>
      </c>
      <c r="H352" s="48" t="s">
        <v>3853</v>
      </c>
      <c r="I352" s="26" t="s">
        <v>3856</v>
      </c>
      <c r="J352" s="26" t="s">
        <v>3854</v>
      </c>
      <c r="K352" s="26" t="s">
        <v>3854</v>
      </c>
      <c r="L352" s="26" t="s">
        <v>3854</v>
      </c>
      <c r="M352" s="26" t="s">
        <v>3854</v>
      </c>
      <c r="N352" s="26" t="s">
        <v>3854</v>
      </c>
      <c r="O352" s="26" t="s">
        <v>3856</v>
      </c>
      <c r="P352" s="26" t="s">
        <v>3856</v>
      </c>
      <c r="Q352" s="26" t="s">
        <v>3854</v>
      </c>
      <c r="R352" s="26"/>
      <c r="S352" s="31"/>
      <c r="T352" s="31" t="s">
        <v>3855</v>
      </c>
    </row>
    <row r="353">
      <c r="A353" s="34" t="s">
        <v>3986</v>
      </c>
      <c r="B353" s="34" t="s">
        <v>1704</v>
      </c>
      <c r="C353" s="41">
        <v>45912.0</v>
      </c>
      <c r="D353" s="26"/>
      <c r="E353" s="41" t="s">
        <v>3851</v>
      </c>
      <c r="F353" s="34"/>
      <c r="G353" s="57" t="s">
        <v>3852</v>
      </c>
      <c r="H353" s="48" t="s">
        <v>3853</v>
      </c>
      <c r="I353" s="26" t="s">
        <v>3856</v>
      </c>
      <c r="J353" s="26" t="s">
        <v>3854</v>
      </c>
      <c r="K353" s="26" t="s">
        <v>3856</v>
      </c>
      <c r="L353" s="26" t="s">
        <v>3854</v>
      </c>
      <c r="M353" s="26" t="s">
        <v>3854</v>
      </c>
      <c r="N353" s="26" t="s">
        <v>3854</v>
      </c>
      <c r="O353" s="26" t="s">
        <v>3854</v>
      </c>
      <c r="P353" s="26" t="s">
        <v>3856</v>
      </c>
      <c r="Q353" s="26" t="s">
        <v>3856</v>
      </c>
      <c r="R353" s="26"/>
      <c r="S353" s="31"/>
      <c r="T353" s="31" t="s">
        <v>3855</v>
      </c>
    </row>
    <row r="354">
      <c r="A354" s="34" t="s">
        <v>1614</v>
      </c>
      <c r="B354" s="34" t="s">
        <v>1615</v>
      </c>
      <c r="C354" s="41">
        <v>45912.0</v>
      </c>
      <c r="D354" s="26"/>
      <c r="E354" s="41" t="s">
        <v>3851</v>
      </c>
      <c r="F354" s="34"/>
      <c r="G354" s="57" t="s">
        <v>3852</v>
      </c>
      <c r="H354" s="48" t="s">
        <v>3853</v>
      </c>
      <c r="I354" s="26" t="s">
        <v>3856</v>
      </c>
      <c r="J354" s="26" t="s">
        <v>3854</v>
      </c>
      <c r="K354" s="26" t="s">
        <v>3854</v>
      </c>
      <c r="L354" s="26" t="s">
        <v>3854</v>
      </c>
      <c r="M354" s="26" t="s">
        <v>3854</v>
      </c>
      <c r="N354" s="26" t="s">
        <v>3854</v>
      </c>
      <c r="O354" s="26" t="s">
        <v>3856</v>
      </c>
      <c r="P354" s="26" t="s">
        <v>3856</v>
      </c>
      <c r="Q354" s="26" t="s">
        <v>3854</v>
      </c>
      <c r="R354" s="26"/>
      <c r="S354" s="31"/>
      <c r="T354" s="31" t="s">
        <v>3855</v>
      </c>
    </row>
    <row r="355">
      <c r="A355" s="34" t="s">
        <v>1593</v>
      </c>
      <c r="B355" s="34" t="s">
        <v>1594</v>
      </c>
      <c r="C355" s="41">
        <v>45912.0</v>
      </c>
      <c r="D355" s="26"/>
      <c r="E355" s="41" t="s">
        <v>3851</v>
      </c>
      <c r="F355" s="34"/>
      <c r="G355" s="57" t="s">
        <v>3852</v>
      </c>
      <c r="H355" s="48" t="s">
        <v>3853</v>
      </c>
      <c r="I355" s="26" t="s">
        <v>3856</v>
      </c>
      <c r="J355" s="26" t="s">
        <v>3854</v>
      </c>
      <c r="K355" s="26" t="s">
        <v>3854</v>
      </c>
      <c r="L355" s="26" t="s">
        <v>3854</v>
      </c>
      <c r="M355" s="26" t="s">
        <v>3854</v>
      </c>
      <c r="N355" s="26" t="s">
        <v>3854</v>
      </c>
      <c r="O355" s="26" t="s">
        <v>3856</v>
      </c>
      <c r="P355" s="26" t="s">
        <v>3854</v>
      </c>
      <c r="Q355" s="26" t="s">
        <v>3854</v>
      </c>
      <c r="R355" s="26"/>
      <c r="S355" s="31"/>
      <c r="T355" s="31" t="s">
        <v>3855</v>
      </c>
    </row>
    <row r="356">
      <c r="A356" s="34" t="s">
        <v>1774</v>
      </c>
      <c r="B356" s="34" t="s">
        <v>1769</v>
      </c>
      <c r="C356" s="41">
        <v>45912.0</v>
      </c>
      <c r="D356" s="26"/>
      <c r="E356" s="41" t="s">
        <v>3851</v>
      </c>
      <c r="F356" s="34"/>
      <c r="G356" s="57" t="s">
        <v>3852</v>
      </c>
      <c r="H356" s="48" t="s">
        <v>3853</v>
      </c>
      <c r="I356" s="26" t="s">
        <v>3856</v>
      </c>
      <c r="J356" s="26" t="s">
        <v>3854</v>
      </c>
      <c r="K356" s="26" t="s">
        <v>3854</v>
      </c>
      <c r="L356" s="26" t="s">
        <v>3854</v>
      </c>
      <c r="M356" s="26" t="s">
        <v>3854</v>
      </c>
      <c r="N356" s="26" t="s">
        <v>3854</v>
      </c>
      <c r="O356" s="26" t="s">
        <v>3854</v>
      </c>
      <c r="P356" s="26" t="s">
        <v>3854</v>
      </c>
      <c r="Q356" s="26" t="s">
        <v>3854</v>
      </c>
      <c r="R356" s="26"/>
      <c r="S356" s="31"/>
      <c r="T356" s="31" t="s">
        <v>3855</v>
      </c>
    </row>
    <row r="357">
      <c r="A357" s="34" t="s">
        <v>1480</v>
      </c>
      <c r="B357" s="34" t="s">
        <v>1481</v>
      </c>
      <c r="C357" s="41">
        <v>45912.0</v>
      </c>
      <c r="D357" s="26"/>
      <c r="E357" s="41" t="s">
        <v>3851</v>
      </c>
      <c r="F357" s="34"/>
      <c r="G357" s="57" t="s">
        <v>3852</v>
      </c>
      <c r="H357" s="48" t="s">
        <v>3853</v>
      </c>
      <c r="I357" s="26" t="s">
        <v>3856</v>
      </c>
      <c r="J357" s="26" t="s">
        <v>3854</v>
      </c>
      <c r="K357" s="26" t="s">
        <v>3856</v>
      </c>
      <c r="L357" s="26" t="s">
        <v>3854</v>
      </c>
      <c r="M357" s="26" t="s">
        <v>3854</v>
      </c>
      <c r="N357" s="26" t="s">
        <v>3854</v>
      </c>
      <c r="O357" s="26" t="s">
        <v>3854</v>
      </c>
      <c r="P357" s="26" t="s">
        <v>3854</v>
      </c>
      <c r="Q357" s="26" t="s">
        <v>3856</v>
      </c>
      <c r="R357" s="26"/>
      <c r="S357" s="31"/>
      <c r="T357" s="31" t="s">
        <v>3855</v>
      </c>
    </row>
    <row r="358">
      <c r="A358" s="34" t="s">
        <v>3987</v>
      </c>
      <c r="B358" s="34" t="s">
        <v>1606</v>
      </c>
      <c r="C358" s="41">
        <v>45912.0</v>
      </c>
      <c r="D358" s="26"/>
      <c r="E358" s="41" t="s">
        <v>3851</v>
      </c>
      <c r="F358" s="34"/>
      <c r="G358" s="57" t="s">
        <v>3852</v>
      </c>
      <c r="H358" s="48" t="s">
        <v>3853</v>
      </c>
      <c r="I358" s="26" t="s">
        <v>3856</v>
      </c>
      <c r="J358" s="26" t="s">
        <v>3854</v>
      </c>
      <c r="K358" s="26" t="s">
        <v>3854</v>
      </c>
      <c r="L358" s="26" t="s">
        <v>3854</v>
      </c>
      <c r="M358" s="26" t="s">
        <v>3854</v>
      </c>
      <c r="N358" s="26" t="s">
        <v>3854</v>
      </c>
      <c r="O358" s="26" t="s">
        <v>3854</v>
      </c>
      <c r="P358" s="26" t="s">
        <v>3856</v>
      </c>
      <c r="Q358" s="26" t="s">
        <v>3854</v>
      </c>
      <c r="R358" s="26"/>
      <c r="S358" s="31"/>
      <c r="T358" s="31" t="s">
        <v>3855</v>
      </c>
    </row>
    <row r="359">
      <c r="A359" s="34" t="s">
        <v>3988</v>
      </c>
      <c r="B359" s="34" t="s">
        <v>1484</v>
      </c>
      <c r="C359" s="41">
        <v>45912.0</v>
      </c>
      <c r="D359" s="26"/>
      <c r="E359" s="41" t="s">
        <v>3851</v>
      </c>
      <c r="F359" s="34"/>
      <c r="G359" s="57" t="s">
        <v>3852</v>
      </c>
      <c r="H359" s="48" t="s">
        <v>3853</v>
      </c>
      <c r="I359" s="26" t="s">
        <v>3856</v>
      </c>
      <c r="J359" s="26" t="s">
        <v>3854</v>
      </c>
      <c r="K359" s="26" t="s">
        <v>3856</v>
      </c>
      <c r="L359" s="26" t="s">
        <v>3854</v>
      </c>
      <c r="M359" s="26" t="s">
        <v>3854</v>
      </c>
      <c r="N359" s="26" t="s">
        <v>3854</v>
      </c>
      <c r="O359" s="26" t="s">
        <v>3854</v>
      </c>
      <c r="P359" s="26" t="s">
        <v>3856</v>
      </c>
      <c r="Q359" s="26" t="s">
        <v>3854</v>
      </c>
      <c r="R359" s="26"/>
      <c r="S359" s="31"/>
      <c r="T359" s="31" t="s">
        <v>3855</v>
      </c>
    </row>
    <row r="360">
      <c r="A360" s="34" t="s">
        <v>1139</v>
      </c>
      <c r="B360" s="34" t="s">
        <v>1140</v>
      </c>
      <c r="C360" s="41">
        <v>45912.0</v>
      </c>
      <c r="D360" s="26"/>
      <c r="E360" s="41" t="s">
        <v>3851</v>
      </c>
      <c r="F360" s="34"/>
      <c r="G360" s="57" t="s">
        <v>3852</v>
      </c>
      <c r="H360" s="48" t="s">
        <v>3853</v>
      </c>
      <c r="I360" s="26" t="s">
        <v>3856</v>
      </c>
      <c r="J360" s="26" t="s">
        <v>3854</v>
      </c>
      <c r="K360" s="26" t="s">
        <v>3856</v>
      </c>
      <c r="L360" s="26" t="s">
        <v>3854</v>
      </c>
      <c r="M360" s="26" t="s">
        <v>3854</v>
      </c>
      <c r="N360" s="26" t="s">
        <v>3854</v>
      </c>
      <c r="O360" s="26" t="s">
        <v>3854</v>
      </c>
      <c r="P360" s="26" t="s">
        <v>3854</v>
      </c>
      <c r="Q360" s="26" t="s">
        <v>3854</v>
      </c>
      <c r="R360" s="26"/>
      <c r="S360" s="31"/>
      <c r="T360" s="31" t="s">
        <v>3855</v>
      </c>
    </row>
    <row r="361">
      <c r="A361" s="34" t="s">
        <v>1101</v>
      </c>
      <c r="B361" s="34" t="s">
        <v>1066</v>
      </c>
      <c r="C361" s="41">
        <v>45912.0</v>
      </c>
      <c r="D361" s="26"/>
      <c r="E361" s="41" t="s">
        <v>3851</v>
      </c>
      <c r="F361" s="34"/>
      <c r="G361" s="57" t="s">
        <v>3852</v>
      </c>
      <c r="H361" s="48" t="s">
        <v>3853</v>
      </c>
      <c r="I361" s="26" t="s">
        <v>3856</v>
      </c>
      <c r="J361" s="26" t="s">
        <v>3854</v>
      </c>
      <c r="K361" s="26" t="s">
        <v>3856</v>
      </c>
      <c r="L361" s="26" t="s">
        <v>3854</v>
      </c>
      <c r="M361" s="26" t="s">
        <v>3854</v>
      </c>
      <c r="N361" s="26" t="s">
        <v>3854</v>
      </c>
      <c r="O361" s="26" t="s">
        <v>3856</v>
      </c>
      <c r="P361" s="26" t="s">
        <v>3854</v>
      </c>
      <c r="Q361" s="26" t="s">
        <v>3854</v>
      </c>
      <c r="R361" s="26"/>
      <c r="S361" s="31"/>
      <c r="T361" s="31" t="s">
        <v>3855</v>
      </c>
    </row>
    <row r="362">
      <c r="A362" s="34" t="s">
        <v>1814</v>
      </c>
      <c r="B362" s="34" t="s">
        <v>1815</v>
      </c>
      <c r="C362" s="41">
        <v>45912.0</v>
      </c>
      <c r="D362" s="26"/>
      <c r="E362" s="58" t="str">
        <f>VLOOKUP(B362,AT_Data!A:D,4,0)</f>
        <v>Revoked </v>
      </c>
      <c r="F362" s="34"/>
      <c r="G362" s="57" t="s">
        <v>3852</v>
      </c>
      <c r="H362" s="48" t="s">
        <v>3853</v>
      </c>
      <c r="I362" s="26" t="s">
        <v>3856</v>
      </c>
      <c r="J362" s="26" t="s">
        <v>3854</v>
      </c>
      <c r="K362" s="26" t="s">
        <v>3856</v>
      </c>
      <c r="L362" s="26" t="s">
        <v>3854</v>
      </c>
      <c r="M362" s="26" t="s">
        <v>3854</v>
      </c>
      <c r="N362" s="26" t="s">
        <v>3854</v>
      </c>
      <c r="O362" s="26" t="s">
        <v>3854</v>
      </c>
      <c r="P362" s="26" t="s">
        <v>3856</v>
      </c>
      <c r="Q362" s="26" t="s">
        <v>3854</v>
      </c>
      <c r="R362" s="26"/>
      <c r="S362" s="31"/>
      <c r="T362" s="31" t="s">
        <v>3855</v>
      </c>
    </row>
    <row r="363">
      <c r="A363" s="34" t="s">
        <v>3989</v>
      </c>
      <c r="B363" s="34" t="s">
        <v>1530</v>
      </c>
      <c r="C363" s="41">
        <v>45912.0</v>
      </c>
      <c r="D363" s="26"/>
      <c r="E363" s="41" t="s">
        <v>3851</v>
      </c>
      <c r="F363" s="34"/>
      <c r="G363" s="57" t="s">
        <v>3852</v>
      </c>
      <c r="H363" s="48" t="s">
        <v>3853</v>
      </c>
      <c r="I363" s="26" t="s">
        <v>3856</v>
      </c>
      <c r="J363" s="26" t="s">
        <v>3854</v>
      </c>
      <c r="K363" s="26" t="s">
        <v>3856</v>
      </c>
      <c r="L363" s="26" t="s">
        <v>3854</v>
      </c>
      <c r="M363" s="26" t="s">
        <v>3854</v>
      </c>
      <c r="N363" s="26" t="s">
        <v>3854</v>
      </c>
      <c r="O363" s="26" t="s">
        <v>3854</v>
      </c>
      <c r="P363" s="26" t="s">
        <v>3854</v>
      </c>
      <c r="Q363" s="26" t="s">
        <v>3854</v>
      </c>
      <c r="R363" s="26"/>
      <c r="S363" s="31"/>
      <c r="T363" s="31" t="s">
        <v>3855</v>
      </c>
    </row>
    <row r="364">
      <c r="A364" s="34" t="s">
        <v>1078</v>
      </c>
      <c r="B364" s="34" t="s">
        <v>1079</v>
      </c>
      <c r="C364" s="41">
        <v>45912.0</v>
      </c>
      <c r="D364" s="26"/>
      <c r="E364" s="37" t="s">
        <v>3851</v>
      </c>
      <c r="F364" s="34"/>
      <c r="G364" s="57" t="s">
        <v>3852</v>
      </c>
      <c r="H364" s="48" t="s">
        <v>3853</v>
      </c>
      <c r="I364" s="26" t="s">
        <v>3856</v>
      </c>
      <c r="J364" s="26" t="s">
        <v>3854</v>
      </c>
      <c r="K364" s="26" t="s">
        <v>3856</v>
      </c>
      <c r="L364" s="26" t="s">
        <v>3854</v>
      </c>
      <c r="M364" s="26" t="s">
        <v>3854</v>
      </c>
      <c r="N364" s="26" t="s">
        <v>3854</v>
      </c>
      <c r="O364" s="26" t="s">
        <v>3856</v>
      </c>
      <c r="P364" s="26" t="s">
        <v>3856</v>
      </c>
      <c r="Q364" s="26" t="s">
        <v>3856</v>
      </c>
      <c r="R364" s="26"/>
      <c r="S364" s="31"/>
      <c r="T364" s="31" t="s">
        <v>3855</v>
      </c>
    </row>
    <row r="365">
      <c r="A365" s="34" t="s">
        <v>1252</v>
      </c>
      <c r="B365" s="34" t="s">
        <v>1253</v>
      </c>
      <c r="C365" s="41">
        <v>45912.0</v>
      </c>
      <c r="D365" s="26"/>
      <c r="E365" s="41" t="s">
        <v>3851</v>
      </c>
      <c r="F365" s="34"/>
      <c r="G365" s="57" t="s">
        <v>3852</v>
      </c>
      <c r="H365" s="48" t="s">
        <v>3853</v>
      </c>
      <c r="I365" s="26" t="s">
        <v>3856</v>
      </c>
      <c r="J365" s="26" t="s">
        <v>3854</v>
      </c>
      <c r="K365" s="26" t="s">
        <v>3854</v>
      </c>
      <c r="L365" s="26" t="s">
        <v>3854</v>
      </c>
      <c r="M365" s="26" t="s">
        <v>3854</v>
      </c>
      <c r="N365" s="26" t="s">
        <v>3854</v>
      </c>
      <c r="O365" s="26" t="s">
        <v>3856</v>
      </c>
      <c r="P365" s="26" t="s">
        <v>3854</v>
      </c>
      <c r="Q365" s="26" t="s">
        <v>3854</v>
      </c>
      <c r="R365" s="26"/>
      <c r="S365" s="31"/>
      <c r="T365" s="31" t="s">
        <v>3855</v>
      </c>
    </row>
    <row r="366">
      <c r="A366" s="34" t="s">
        <v>1067</v>
      </c>
      <c r="B366" s="34" t="s">
        <v>1068</v>
      </c>
      <c r="C366" s="41">
        <v>45912.0</v>
      </c>
      <c r="D366" s="26"/>
      <c r="E366" s="41" t="s">
        <v>3851</v>
      </c>
      <c r="F366" s="34"/>
      <c r="G366" s="57" t="s">
        <v>3852</v>
      </c>
      <c r="H366" s="48" t="s">
        <v>3853</v>
      </c>
      <c r="I366" s="26" t="s">
        <v>3856</v>
      </c>
      <c r="J366" s="26" t="s">
        <v>3854</v>
      </c>
      <c r="K366" s="26" t="s">
        <v>3854</v>
      </c>
      <c r="L366" s="26" t="s">
        <v>3854</v>
      </c>
      <c r="M366" s="26" t="s">
        <v>3854</v>
      </c>
      <c r="N366" s="26" t="s">
        <v>3854</v>
      </c>
      <c r="O366" s="26" t="s">
        <v>3856</v>
      </c>
      <c r="P366" s="26" t="s">
        <v>3854</v>
      </c>
      <c r="Q366" s="26" t="s">
        <v>3854</v>
      </c>
      <c r="R366" s="26"/>
      <c r="S366" s="31"/>
      <c r="T366" s="31" t="s">
        <v>3855</v>
      </c>
    </row>
    <row r="367">
      <c r="A367" s="34" t="s">
        <v>3990</v>
      </c>
      <c r="B367" s="34" t="s">
        <v>1610</v>
      </c>
      <c r="C367" s="41">
        <v>45912.0</v>
      </c>
      <c r="D367" s="26"/>
      <c r="E367" s="41" t="s">
        <v>3851</v>
      </c>
      <c r="F367" s="34"/>
      <c r="G367" s="57" t="s">
        <v>3852</v>
      </c>
      <c r="H367" s="48" t="s">
        <v>3853</v>
      </c>
      <c r="I367" s="26" t="s">
        <v>3856</v>
      </c>
      <c r="J367" s="26" t="s">
        <v>3854</v>
      </c>
      <c r="K367" s="26" t="s">
        <v>3856</v>
      </c>
      <c r="L367" s="26" t="s">
        <v>3854</v>
      </c>
      <c r="M367" s="26" t="s">
        <v>3854</v>
      </c>
      <c r="N367" s="26" t="s">
        <v>3854</v>
      </c>
      <c r="O367" s="26" t="s">
        <v>3854</v>
      </c>
      <c r="P367" s="26" t="s">
        <v>3854</v>
      </c>
      <c r="Q367" s="26" t="s">
        <v>3854</v>
      </c>
      <c r="R367" s="26"/>
      <c r="S367" s="31"/>
      <c r="T367" s="31" t="s">
        <v>3855</v>
      </c>
    </row>
    <row r="368">
      <c r="A368" s="34" t="s">
        <v>1117</v>
      </c>
      <c r="B368" s="34" t="s">
        <v>1118</v>
      </c>
      <c r="C368" s="41">
        <v>45912.0</v>
      </c>
      <c r="D368" s="26"/>
      <c r="E368" s="41" t="s">
        <v>3851</v>
      </c>
      <c r="F368" s="34"/>
      <c r="G368" s="57" t="s">
        <v>3852</v>
      </c>
      <c r="H368" s="48" t="s">
        <v>3853</v>
      </c>
      <c r="I368" s="26" t="s">
        <v>3856</v>
      </c>
      <c r="J368" s="26" t="s">
        <v>3854</v>
      </c>
      <c r="K368" s="26" t="s">
        <v>3856</v>
      </c>
      <c r="L368" s="26" t="s">
        <v>3854</v>
      </c>
      <c r="M368" s="26" t="s">
        <v>3854</v>
      </c>
      <c r="N368" s="26" t="s">
        <v>3854</v>
      </c>
      <c r="O368" s="26" t="s">
        <v>3854</v>
      </c>
      <c r="P368" s="26" t="s">
        <v>3854</v>
      </c>
      <c r="Q368" s="26" t="s">
        <v>3854</v>
      </c>
      <c r="R368" s="26"/>
      <c r="S368" s="31"/>
      <c r="T368" s="31" t="s">
        <v>3855</v>
      </c>
    </row>
    <row r="369">
      <c r="A369" s="34" t="s">
        <v>1714</v>
      </c>
      <c r="B369" s="34" t="s">
        <v>1715</v>
      </c>
      <c r="C369" s="41">
        <v>45912.0</v>
      </c>
      <c r="D369" s="26"/>
      <c r="E369" s="41" t="s">
        <v>3851</v>
      </c>
      <c r="F369" s="34"/>
      <c r="G369" s="57" t="s">
        <v>3852</v>
      </c>
      <c r="H369" s="48" t="s">
        <v>3853</v>
      </c>
      <c r="I369" s="26" t="s">
        <v>3856</v>
      </c>
      <c r="J369" s="26" t="s">
        <v>3854</v>
      </c>
      <c r="K369" s="26" t="s">
        <v>3854</v>
      </c>
      <c r="L369" s="26" t="s">
        <v>3854</v>
      </c>
      <c r="M369" s="26" t="s">
        <v>3854</v>
      </c>
      <c r="N369" s="26" t="s">
        <v>3854</v>
      </c>
      <c r="O369" s="26" t="s">
        <v>3856</v>
      </c>
      <c r="P369" s="26" t="s">
        <v>3854</v>
      </c>
      <c r="Q369" s="26" t="s">
        <v>3854</v>
      </c>
      <c r="R369" s="26"/>
      <c r="S369" s="31"/>
      <c r="T369" s="31" t="s">
        <v>3855</v>
      </c>
    </row>
    <row r="370">
      <c r="A370" s="34" t="s">
        <v>1275</v>
      </c>
      <c r="B370" s="34" t="s">
        <v>1276</v>
      </c>
      <c r="C370" s="41">
        <v>45912.0</v>
      </c>
      <c r="D370" s="26"/>
      <c r="E370" s="41" t="s">
        <v>3851</v>
      </c>
      <c r="F370" s="34"/>
      <c r="G370" s="57" t="s">
        <v>3852</v>
      </c>
      <c r="H370" s="48" t="s">
        <v>3853</v>
      </c>
      <c r="I370" s="26" t="s">
        <v>3856</v>
      </c>
      <c r="J370" s="26" t="s">
        <v>3854</v>
      </c>
      <c r="K370" s="26" t="s">
        <v>3856</v>
      </c>
      <c r="L370" s="26" t="s">
        <v>3854</v>
      </c>
      <c r="M370" s="26" t="s">
        <v>3854</v>
      </c>
      <c r="N370" s="26" t="s">
        <v>3854</v>
      </c>
      <c r="O370" s="26" t="s">
        <v>3854</v>
      </c>
      <c r="P370" s="26" t="s">
        <v>3854</v>
      </c>
      <c r="Q370" s="26" t="s">
        <v>3856</v>
      </c>
      <c r="R370" s="26"/>
      <c r="S370" s="31"/>
      <c r="T370" s="31" t="s">
        <v>3855</v>
      </c>
    </row>
    <row r="371">
      <c r="A371" s="34" t="s">
        <v>1472</v>
      </c>
      <c r="B371" s="34" t="s">
        <v>1473</v>
      </c>
      <c r="C371" s="41">
        <v>45912.0</v>
      </c>
      <c r="D371" s="26"/>
      <c r="E371" s="58" t="str">
        <f>VLOOKUP(B371,AT_Data!A:D,4,0)</f>
        <v>Revoked </v>
      </c>
      <c r="F371" s="34"/>
      <c r="G371" s="57" t="s">
        <v>3852</v>
      </c>
      <c r="H371" s="48" t="s">
        <v>3853</v>
      </c>
      <c r="I371" s="26" t="s">
        <v>3856</v>
      </c>
      <c r="J371" s="26" t="s">
        <v>3854</v>
      </c>
      <c r="K371" s="26" t="s">
        <v>3856</v>
      </c>
      <c r="L371" s="26" t="s">
        <v>3854</v>
      </c>
      <c r="M371" s="26" t="s">
        <v>3854</v>
      </c>
      <c r="N371" s="26" t="s">
        <v>3854</v>
      </c>
      <c r="O371" s="26" t="s">
        <v>3854</v>
      </c>
      <c r="P371" s="26" t="s">
        <v>3854</v>
      </c>
      <c r="Q371" s="26" t="s">
        <v>3854</v>
      </c>
      <c r="R371" s="26"/>
      <c r="S371" s="31"/>
      <c r="T371" s="31" t="s">
        <v>3855</v>
      </c>
    </row>
    <row r="372">
      <c r="A372" s="34" t="s">
        <v>1563</v>
      </c>
      <c r="B372" s="26" t="s">
        <v>3991</v>
      </c>
      <c r="C372" s="41">
        <v>45912.0</v>
      </c>
      <c r="D372" s="26"/>
      <c r="E372" s="41" t="s">
        <v>3851</v>
      </c>
      <c r="F372" s="34"/>
      <c r="G372" s="57" t="s">
        <v>3970</v>
      </c>
      <c r="H372" s="48" t="s">
        <v>3992</v>
      </c>
      <c r="I372" s="26" t="s">
        <v>3856</v>
      </c>
      <c r="J372" s="26" t="s">
        <v>3854</v>
      </c>
      <c r="K372" s="26" t="s">
        <v>3854</v>
      </c>
      <c r="L372" s="26" t="s">
        <v>3854</v>
      </c>
      <c r="M372" s="26" t="s">
        <v>3854</v>
      </c>
      <c r="N372" s="26" t="s">
        <v>3854</v>
      </c>
      <c r="O372" s="26" t="s">
        <v>3854</v>
      </c>
      <c r="P372" s="26" t="s">
        <v>3854</v>
      </c>
      <c r="Q372" s="26" t="s">
        <v>3854</v>
      </c>
      <c r="R372" s="26"/>
      <c r="S372" s="26" t="s">
        <v>3993</v>
      </c>
      <c r="T372" s="31" t="s">
        <v>3855</v>
      </c>
    </row>
    <row r="373">
      <c r="A373" s="34" t="s">
        <v>1500</v>
      </c>
      <c r="B373" s="34" t="s">
        <v>1501</v>
      </c>
      <c r="C373" s="41">
        <v>45912.0</v>
      </c>
      <c r="D373" s="26"/>
      <c r="E373" s="41" t="s">
        <v>3851</v>
      </c>
      <c r="F373" s="34"/>
      <c r="G373" s="57" t="s">
        <v>3852</v>
      </c>
      <c r="H373" s="48" t="s">
        <v>3853</v>
      </c>
      <c r="I373" s="26" t="s">
        <v>3856</v>
      </c>
      <c r="J373" s="26" t="s">
        <v>3854</v>
      </c>
      <c r="K373" s="26" t="s">
        <v>3856</v>
      </c>
      <c r="L373" s="26" t="s">
        <v>3854</v>
      </c>
      <c r="M373" s="26" t="s">
        <v>3854</v>
      </c>
      <c r="N373" s="26" t="s">
        <v>3854</v>
      </c>
      <c r="O373" s="26" t="s">
        <v>3854</v>
      </c>
      <c r="P373" s="26" t="s">
        <v>3854</v>
      </c>
      <c r="Q373" s="26" t="s">
        <v>3854</v>
      </c>
      <c r="R373" s="26"/>
      <c r="S373" s="31"/>
      <c r="T373" s="31" t="s">
        <v>3855</v>
      </c>
    </row>
    <row r="374">
      <c r="A374" s="34" t="s">
        <v>275</v>
      </c>
      <c r="B374" s="34" t="s">
        <v>1198</v>
      </c>
      <c r="C374" s="41">
        <v>45912.0</v>
      </c>
      <c r="D374" s="26"/>
      <c r="E374" s="41" t="s">
        <v>3851</v>
      </c>
      <c r="F374" s="34"/>
      <c r="G374" s="57" t="s">
        <v>3852</v>
      </c>
      <c r="H374" s="48" t="s">
        <v>3853</v>
      </c>
      <c r="I374" s="26" t="s">
        <v>3856</v>
      </c>
      <c r="J374" s="26" t="s">
        <v>3854</v>
      </c>
      <c r="K374" s="26" t="s">
        <v>3856</v>
      </c>
      <c r="L374" s="26" t="s">
        <v>3854</v>
      </c>
      <c r="M374" s="26" t="s">
        <v>3854</v>
      </c>
      <c r="N374" s="26" t="s">
        <v>3854</v>
      </c>
      <c r="O374" s="26" t="s">
        <v>3854</v>
      </c>
      <c r="P374" s="26" t="s">
        <v>3854</v>
      </c>
      <c r="Q374" s="26" t="s">
        <v>3854</v>
      </c>
      <c r="R374" s="26"/>
      <c r="S374" s="31"/>
      <c r="T374" s="31" t="s">
        <v>3855</v>
      </c>
    </row>
    <row r="375">
      <c r="A375" s="34" t="s">
        <v>3994</v>
      </c>
      <c r="B375" s="34" t="s">
        <v>1452</v>
      </c>
      <c r="C375" s="41">
        <v>45912.0</v>
      </c>
      <c r="D375" s="26"/>
      <c r="E375" s="41" t="s">
        <v>3851</v>
      </c>
      <c r="F375" s="34"/>
      <c r="G375" s="57" t="s">
        <v>3852</v>
      </c>
      <c r="H375" s="48" t="s">
        <v>3853</v>
      </c>
      <c r="I375" s="26" t="s">
        <v>3856</v>
      </c>
      <c r="J375" s="26" t="s">
        <v>3854</v>
      </c>
      <c r="K375" s="26" t="s">
        <v>3856</v>
      </c>
      <c r="L375" s="26" t="s">
        <v>3854</v>
      </c>
      <c r="M375" s="26" t="s">
        <v>3854</v>
      </c>
      <c r="N375" s="26" t="s">
        <v>3854</v>
      </c>
      <c r="O375" s="26" t="s">
        <v>3854</v>
      </c>
      <c r="P375" s="26" t="s">
        <v>3856</v>
      </c>
      <c r="Q375" s="26" t="s">
        <v>3854</v>
      </c>
      <c r="R375" s="26"/>
      <c r="S375" s="31"/>
      <c r="T375" s="31" t="s">
        <v>3855</v>
      </c>
    </row>
    <row r="376">
      <c r="A376" s="34" t="s">
        <v>3995</v>
      </c>
      <c r="B376" s="34" t="s">
        <v>1434</v>
      </c>
      <c r="C376" s="41">
        <v>45912.0</v>
      </c>
      <c r="D376" s="26"/>
      <c r="E376" s="41" t="s">
        <v>3851</v>
      </c>
      <c r="F376" s="34"/>
      <c r="G376" s="57" t="s">
        <v>3852</v>
      </c>
      <c r="H376" s="48" t="s">
        <v>3853</v>
      </c>
      <c r="I376" s="26" t="s">
        <v>3856</v>
      </c>
      <c r="J376" s="26" t="s">
        <v>3854</v>
      </c>
      <c r="K376" s="26" t="s">
        <v>3856</v>
      </c>
      <c r="L376" s="26" t="s">
        <v>3854</v>
      </c>
      <c r="M376" s="26" t="s">
        <v>3854</v>
      </c>
      <c r="N376" s="26" t="s">
        <v>3854</v>
      </c>
      <c r="O376" s="26" t="s">
        <v>3856</v>
      </c>
      <c r="P376" s="26" t="s">
        <v>3856</v>
      </c>
      <c r="Q376" s="26" t="s">
        <v>3854</v>
      </c>
      <c r="R376" s="26"/>
      <c r="S376" s="31"/>
      <c r="T376" s="31" t="s">
        <v>3855</v>
      </c>
    </row>
    <row r="377">
      <c r="A377" s="34" t="s">
        <v>1126</v>
      </c>
      <c r="B377" s="34" t="s">
        <v>1127</v>
      </c>
      <c r="C377" s="41">
        <v>45912.0</v>
      </c>
      <c r="D377" s="26"/>
      <c r="E377" s="41" t="s">
        <v>3851</v>
      </c>
      <c r="F377" s="34"/>
      <c r="G377" s="57" t="s">
        <v>3852</v>
      </c>
      <c r="H377" s="48" t="s">
        <v>3853</v>
      </c>
      <c r="I377" s="26" t="s">
        <v>3856</v>
      </c>
      <c r="J377" s="26" t="s">
        <v>3854</v>
      </c>
      <c r="K377" s="26" t="s">
        <v>3854</v>
      </c>
      <c r="L377" s="26" t="s">
        <v>3854</v>
      </c>
      <c r="M377" s="26" t="s">
        <v>3854</v>
      </c>
      <c r="N377" s="26" t="s">
        <v>3854</v>
      </c>
      <c r="O377" s="26" t="s">
        <v>3856</v>
      </c>
      <c r="P377" s="26" t="s">
        <v>3854</v>
      </c>
      <c r="Q377" s="26" t="s">
        <v>3854</v>
      </c>
      <c r="R377" s="26"/>
      <c r="S377" s="31"/>
      <c r="T377" s="31" t="s">
        <v>3855</v>
      </c>
    </row>
    <row r="378">
      <c r="A378" s="34" t="s">
        <v>1477</v>
      </c>
      <c r="B378" s="34" t="s">
        <v>1478</v>
      </c>
      <c r="C378" s="41">
        <v>45912.0</v>
      </c>
      <c r="D378" s="26"/>
      <c r="E378" s="41" t="s">
        <v>3851</v>
      </c>
      <c r="F378" s="34"/>
      <c r="G378" s="57" t="s">
        <v>3852</v>
      </c>
      <c r="H378" s="48" t="s">
        <v>3853</v>
      </c>
      <c r="I378" s="26" t="s">
        <v>3856</v>
      </c>
      <c r="J378" s="26" t="s">
        <v>3854</v>
      </c>
      <c r="K378" s="26" t="s">
        <v>3856</v>
      </c>
      <c r="L378" s="26" t="s">
        <v>3854</v>
      </c>
      <c r="M378" s="26" t="s">
        <v>3854</v>
      </c>
      <c r="N378" s="26" t="s">
        <v>3854</v>
      </c>
      <c r="O378" s="26" t="s">
        <v>3854</v>
      </c>
      <c r="P378" s="26" t="s">
        <v>3854</v>
      </c>
      <c r="Q378" s="26" t="s">
        <v>3854</v>
      </c>
      <c r="R378" s="26"/>
      <c r="S378" s="31"/>
      <c r="T378" s="31" t="s">
        <v>3855</v>
      </c>
    </row>
    <row r="379">
      <c r="A379" s="34" t="s">
        <v>1643</v>
      </c>
      <c r="B379" s="34" t="s">
        <v>1644</v>
      </c>
      <c r="C379" s="41">
        <v>45912.0</v>
      </c>
      <c r="D379" s="26"/>
      <c r="E379" s="41" t="s">
        <v>3851</v>
      </c>
      <c r="F379" s="34"/>
      <c r="G379" s="57" t="s">
        <v>3852</v>
      </c>
      <c r="H379" s="48" t="s">
        <v>3853</v>
      </c>
      <c r="I379" s="26" t="s">
        <v>3856</v>
      </c>
      <c r="J379" s="26" t="s">
        <v>3854</v>
      </c>
      <c r="K379" s="26" t="s">
        <v>3856</v>
      </c>
      <c r="L379" s="26" t="s">
        <v>3854</v>
      </c>
      <c r="M379" s="26" t="s">
        <v>3854</v>
      </c>
      <c r="N379" s="26" t="s">
        <v>3854</v>
      </c>
      <c r="O379" s="26" t="s">
        <v>3856</v>
      </c>
      <c r="P379" s="26" t="s">
        <v>3856</v>
      </c>
      <c r="Q379" s="26" t="s">
        <v>3854</v>
      </c>
      <c r="R379" s="26"/>
      <c r="S379" s="31"/>
      <c r="T379" s="31" t="s">
        <v>3855</v>
      </c>
    </row>
    <row r="380">
      <c r="A380" s="34" t="s">
        <v>1419</v>
      </c>
      <c r="B380" s="34" t="s">
        <v>1420</v>
      </c>
      <c r="C380" s="41">
        <v>45912.0</v>
      </c>
      <c r="D380" s="26"/>
      <c r="E380" s="41" t="s">
        <v>3851</v>
      </c>
      <c r="F380" s="34"/>
      <c r="G380" s="57" t="s">
        <v>3852</v>
      </c>
      <c r="H380" s="48" t="s">
        <v>3853</v>
      </c>
      <c r="I380" s="26" t="s">
        <v>3856</v>
      </c>
      <c r="J380" s="26" t="s">
        <v>3854</v>
      </c>
      <c r="K380" s="26" t="s">
        <v>3856</v>
      </c>
      <c r="L380" s="26" t="s">
        <v>3854</v>
      </c>
      <c r="M380" s="26" t="s">
        <v>3854</v>
      </c>
      <c r="N380" s="26" t="s">
        <v>3854</v>
      </c>
      <c r="O380" s="26" t="s">
        <v>3854</v>
      </c>
      <c r="P380" s="26" t="s">
        <v>3854</v>
      </c>
      <c r="Q380" s="26" t="s">
        <v>3854</v>
      </c>
      <c r="R380" s="26"/>
      <c r="S380" s="31"/>
      <c r="T380" s="31" t="s">
        <v>3855</v>
      </c>
    </row>
    <row r="381">
      <c r="A381" s="34" t="s">
        <v>1708</v>
      </c>
      <c r="B381" s="34" t="s">
        <v>1709</v>
      </c>
      <c r="C381" s="41">
        <v>45912.0</v>
      </c>
      <c r="D381" s="26"/>
      <c r="E381" s="41" t="s">
        <v>3851</v>
      </c>
      <c r="F381" s="34"/>
      <c r="G381" s="57" t="s">
        <v>3852</v>
      </c>
      <c r="H381" s="48" t="s">
        <v>3853</v>
      </c>
      <c r="I381" s="26" t="s">
        <v>3856</v>
      </c>
      <c r="J381" s="26" t="s">
        <v>3854</v>
      </c>
      <c r="K381" s="26" t="s">
        <v>3854</v>
      </c>
      <c r="L381" s="26" t="s">
        <v>3854</v>
      </c>
      <c r="M381" s="26" t="s">
        <v>3854</v>
      </c>
      <c r="N381" s="26" t="s">
        <v>3854</v>
      </c>
      <c r="O381" s="26" t="s">
        <v>3854</v>
      </c>
      <c r="P381" s="26" t="s">
        <v>3854</v>
      </c>
      <c r="Q381" s="26" t="s">
        <v>3854</v>
      </c>
      <c r="R381" s="26"/>
      <c r="S381" s="31"/>
      <c r="T381" s="31" t="s">
        <v>3855</v>
      </c>
    </row>
    <row r="382">
      <c r="A382" s="34" t="s">
        <v>1352</v>
      </c>
      <c r="B382" s="34" t="s">
        <v>1353</v>
      </c>
      <c r="C382" s="41">
        <v>45912.0</v>
      </c>
      <c r="D382" s="26"/>
      <c r="E382" s="41" t="s">
        <v>3851</v>
      </c>
      <c r="F382" s="34"/>
      <c r="G382" s="57" t="s">
        <v>3852</v>
      </c>
      <c r="H382" s="48" t="s">
        <v>3853</v>
      </c>
      <c r="I382" s="26" t="s">
        <v>3856</v>
      </c>
      <c r="J382" s="26" t="s">
        <v>3854</v>
      </c>
      <c r="K382" s="26" t="s">
        <v>3854</v>
      </c>
      <c r="L382" s="26" t="s">
        <v>3854</v>
      </c>
      <c r="M382" s="26" t="s">
        <v>3854</v>
      </c>
      <c r="N382" s="26" t="s">
        <v>3854</v>
      </c>
      <c r="O382" s="26" t="s">
        <v>3854</v>
      </c>
      <c r="P382" s="26" t="s">
        <v>3854</v>
      </c>
      <c r="Q382" s="26" t="s">
        <v>3854</v>
      </c>
      <c r="R382" s="26"/>
      <c r="S382" s="31"/>
      <c r="T382" s="31" t="s">
        <v>3855</v>
      </c>
    </row>
    <row r="383">
      <c r="A383" s="34" t="s">
        <v>1584</v>
      </c>
      <c r="B383" s="34" t="s">
        <v>1585</v>
      </c>
      <c r="C383" s="41">
        <v>45912.0</v>
      </c>
      <c r="D383" s="26"/>
      <c r="E383" s="41" t="s">
        <v>3851</v>
      </c>
      <c r="F383" s="34"/>
      <c r="G383" s="57" t="s">
        <v>3852</v>
      </c>
      <c r="H383" s="48" t="s">
        <v>3853</v>
      </c>
      <c r="I383" s="26" t="s">
        <v>3856</v>
      </c>
      <c r="J383" s="26" t="s">
        <v>3854</v>
      </c>
      <c r="K383" s="26" t="s">
        <v>3854</v>
      </c>
      <c r="L383" s="26" t="s">
        <v>3854</v>
      </c>
      <c r="M383" s="26" t="s">
        <v>3854</v>
      </c>
      <c r="N383" s="26" t="s">
        <v>3854</v>
      </c>
      <c r="O383" s="26" t="s">
        <v>3854</v>
      </c>
      <c r="P383" s="26" t="s">
        <v>3854</v>
      </c>
      <c r="Q383" s="26" t="s">
        <v>3854</v>
      </c>
      <c r="R383" s="26"/>
      <c r="S383" s="31"/>
      <c r="T383" s="31" t="s">
        <v>3855</v>
      </c>
    </row>
    <row r="384">
      <c r="A384" s="34" t="s">
        <v>1621</v>
      </c>
      <c r="B384" s="34" t="s">
        <v>1622</v>
      </c>
      <c r="C384" s="41">
        <v>45912.0</v>
      </c>
      <c r="D384" s="26"/>
      <c r="E384" s="41" t="s">
        <v>3851</v>
      </c>
      <c r="F384" s="34"/>
      <c r="G384" s="57" t="s">
        <v>3852</v>
      </c>
      <c r="H384" s="48" t="s">
        <v>3853</v>
      </c>
      <c r="I384" s="26" t="s">
        <v>3856</v>
      </c>
      <c r="J384" s="26" t="s">
        <v>3854</v>
      </c>
      <c r="K384" s="26" t="s">
        <v>3854</v>
      </c>
      <c r="L384" s="26" t="s">
        <v>3854</v>
      </c>
      <c r="M384" s="26" t="s">
        <v>3854</v>
      </c>
      <c r="N384" s="26" t="s">
        <v>3854</v>
      </c>
      <c r="O384" s="26" t="s">
        <v>3854</v>
      </c>
      <c r="P384" s="26" t="s">
        <v>3854</v>
      </c>
      <c r="Q384" s="26" t="s">
        <v>3854</v>
      </c>
      <c r="R384" s="26"/>
      <c r="S384" s="31"/>
      <c r="T384" s="31" t="s">
        <v>3855</v>
      </c>
    </row>
    <row r="385">
      <c r="A385" s="34" t="s">
        <v>1677</v>
      </c>
      <c r="B385" s="34" t="s">
        <v>1678</v>
      </c>
      <c r="C385" s="41">
        <v>45912.0</v>
      </c>
      <c r="D385" s="26"/>
      <c r="E385" s="41" t="s">
        <v>3851</v>
      </c>
      <c r="F385" s="34"/>
      <c r="G385" s="57" t="s">
        <v>3852</v>
      </c>
      <c r="H385" s="48" t="s">
        <v>3853</v>
      </c>
      <c r="I385" s="26" t="s">
        <v>3856</v>
      </c>
      <c r="J385" s="26" t="s">
        <v>3854</v>
      </c>
      <c r="K385" s="26" t="s">
        <v>3854</v>
      </c>
      <c r="L385" s="26" t="s">
        <v>3854</v>
      </c>
      <c r="M385" s="26" t="s">
        <v>3854</v>
      </c>
      <c r="N385" s="26" t="s">
        <v>3854</v>
      </c>
      <c r="O385" s="26" t="s">
        <v>3854</v>
      </c>
      <c r="P385" s="26" t="s">
        <v>3854</v>
      </c>
      <c r="Q385" s="26" t="s">
        <v>3854</v>
      </c>
      <c r="R385" s="26"/>
      <c r="S385" s="31"/>
      <c r="T385" s="31" t="s">
        <v>3855</v>
      </c>
    </row>
    <row r="386">
      <c r="A386" s="34" t="s">
        <v>1348</v>
      </c>
      <c r="B386" s="34" t="s">
        <v>1349</v>
      </c>
      <c r="C386" s="41">
        <v>45912.0</v>
      </c>
      <c r="D386" s="26"/>
      <c r="E386" s="41" t="s">
        <v>3851</v>
      </c>
      <c r="F386" s="34"/>
      <c r="G386" s="57" t="s">
        <v>3852</v>
      </c>
      <c r="H386" s="48" t="s">
        <v>3853</v>
      </c>
      <c r="I386" s="26" t="s">
        <v>3856</v>
      </c>
      <c r="J386" s="26" t="s">
        <v>3854</v>
      </c>
      <c r="K386" s="26" t="s">
        <v>3856</v>
      </c>
      <c r="L386" s="26" t="s">
        <v>3854</v>
      </c>
      <c r="M386" s="26" t="s">
        <v>3854</v>
      </c>
      <c r="N386" s="26" t="s">
        <v>3854</v>
      </c>
      <c r="O386" s="26" t="s">
        <v>3854</v>
      </c>
      <c r="P386" s="26" t="s">
        <v>3854</v>
      </c>
      <c r="Q386" s="26" t="s">
        <v>3854</v>
      </c>
      <c r="R386" s="26"/>
      <c r="S386" s="31"/>
      <c r="T386" s="31" t="s">
        <v>3855</v>
      </c>
    </row>
    <row r="387">
      <c r="A387" s="34" t="s">
        <v>1320</v>
      </c>
      <c r="B387" s="34" t="s">
        <v>1321</v>
      </c>
      <c r="C387" s="41">
        <v>45912.0</v>
      </c>
      <c r="D387" s="26"/>
      <c r="E387" s="41" t="s">
        <v>3851</v>
      </c>
      <c r="F387" s="34"/>
      <c r="G387" s="57" t="s">
        <v>3852</v>
      </c>
      <c r="H387" s="48" t="s">
        <v>3853</v>
      </c>
      <c r="I387" s="26" t="s">
        <v>3856</v>
      </c>
      <c r="J387" s="26" t="s">
        <v>3854</v>
      </c>
      <c r="K387" s="26" t="s">
        <v>3854</v>
      </c>
      <c r="L387" s="26" t="s">
        <v>3854</v>
      </c>
      <c r="M387" s="26" t="s">
        <v>3854</v>
      </c>
      <c r="N387" s="26" t="s">
        <v>3854</v>
      </c>
      <c r="O387" s="26" t="s">
        <v>3854</v>
      </c>
      <c r="P387" s="26" t="s">
        <v>3854</v>
      </c>
      <c r="Q387" s="26" t="s">
        <v>3854</v>
      </c>
      <c r="R387" s="26"/>
      <c r="S387" s="31"/>
      <c r="T387" s="31" t="s">
        <v>3855</v>
      </c>
    </row>
    <row r="388">
      <c r="A388" s="34" t="s">
        <v>3996</v>
      </c>
      <c r="B388" s="34" t="s">
        <v>1514</v>
      </c>
      <c r="C388" s="41">
        <v>45912.0</v>
      </c>
      <c r="D388" s="26"/>
      <c r="E388" s="41" t="s">
        <v>3851</v>
      </c>
      <c r="F388" s="34"/>
      <c r="G388" s="57" t="s">
        <v>3852</v>
      </c>
      <c r="H388" s="48" t="s">
        <v>3853</v>
      </c>
      <c r="I388" s="26" t="s">
        <v>3856</v>
      </c>
      <c r="J388" s="26" t="s">
        <v>3854</v>
      </c>
      <c r="K388" s="26" t="s">
        <v>3856</v>
      </c>
      <c r="L388" s="26" t="s">
        <v>3854</v>
      </c>
      <c r="M388" s="26" t="s">
        <v>3854</v>
      </c>
      <c r="N388" s="26" t="s">
        <v>3854</v>
      </c>
      <c r="O388" s="26" t="s">
        <v>3856</v>
      </c>
      <c r="P388" s="26" t="s">
        <v>3854</v>
      </c>
      <c r="Q388" s="26" t="s">
        <v>3854</v>
      </c>
      <c r="R388" s="26"/>
      <c r="S388" s="31"/>
      <c r="T388" s="31" t="s">
        <v>3855</v>
      </c>
    </row>
    <row r="389">
      <c r="A389" s="34" t="s">
        <v>1284</v>
      </c>
      <c r="B389" s="34" t="s">
        <v>1285</v>
      </c>
      <c r="C389" s="41">
        <v>45912.0</v>
      </c>
      <c r="D389" s="26"/>
      <c r="E389" s="41" t="s">
        <v>3851</v>
      </c>
      <c r="F389" s="34"/>
      <c r="G389" s="57" t="s">
        <v>3852</v>
      </c>
      <c r="H389" s="48" t="s">
        <v>3853</v>
      </c>
      <c r="I389" s="26" t="s">
        <v>3856</v>
      </c>
      <c r="J389" s="26" t="s">
        <v>3854</v>
      </c>
      <c r="K389" s="26" t="s">
        <v>3854</v>
      </c>
      <c r="L389" s="26" t="s">
        <v>3854</v>
      </c>
      <c r="M389" s="26" t="s">
        <v>3854</v>
      </c>
      <c r="N389" s="26" t="s">
        <v>3854</v>
      </c>
      <c r="O389" s="26" t="s">
        <v>3854</v>
      </c>
      <c r="P389" s="26" t="s">
        <v>3854</v>
      </c>
      <c r="Q389" s="26" t="s">
        <v>3854</v>
      </c>
      <c r="R389" s="26"/>
      <c r="S389" s="31"/>
      <c r="T389" s="31" t="s">
        <v>3855</v>
      </c>
    </row>
    <row r="390">
      <c r="A390" s="34" t="s">
        <v>3997</v>
      </c>
      <c r="B390" s="34" t="s">
        <v>1646</v>
      </c>
      <c r="C390" s="41">
        <v>45912.0</v>
      </c>
      <c r="D390" s="26"/>
      <c r="E390" s="41" t="s">
        <v>3851</v>
      </c>
      <c r="F390" s="34"/>
      <c r="G390" s="57" t="s">
        <v>3852</v>
      </c>
      <c r="H390" s="48" t="s">
        <v>3853</v>
      </c>
      <c r="I390" s="26" t="s">
        <v>3856</v>
      </c>
      <c r="J390" s="26" t="s">
        <v>3854</v>
      </c>
      <c r="K390" s="26" t="s">
        <v>3854</v>
      </c>
      <c r="L390" s="26" t="s">
        <v>3854</v>
      </c>
      <c r="M390" s="26" t="s">
        <v>3854</v>
      </c>
      <c r="N390" s="26" t="s">
        <v>3854</v>
      </c>
      <c r="O390" s="26" t="s">
        <v>3854</v>
      </c>
      <c r="P390" s="26" t="s">
        <v>3854</v>
      </c>
      <c r="Q390" s="26" t="s">
        <v>3854</v>
      </c>
      <c r="R390" s="26"/>
      <c r="S390" s="31"/>
      <c r="T390" s="31" t="s">
        <v>3855</v>
      </c>
    </row>
    <row r="391">
      <c r="A391" s="34" t="s">
        <v>3998</v>
      </c>
      <c r="B391" s="34" t="s">
        <v>1289</v>
      </c>
      <c r="C391" s="41">
        <v>45912.0</v>
      </c>
      <c r="D391" s="26"/>
      <c r="E391" s="41" t="s">
        <v>3851</v>
      </c>
      <c r="F391" s="34"/>
      <c r="G391" s="57" t="s">
        <v>3852</v>
      </c>
      <c r="H391" s="48" t="s">
        <v>3853</v>
      </c>
      <c r="I391" s="26" t="s">
        <v>3856</v>
      </c>
      <c r="J391" s="26" t="s">
        <v>3854</v>
      </c>
      <c r="K391" s="26" t="s">
        <v>3856</v>
      </c>
      <c r="L391" s="26" t="s">
        <v>3854</v>
      </c>
      <c r="M391" s="26" t="s">
        <v>3854</v>
      </c>
      <c r="N391" s="26" t="s">
        <v>3854</v>
      </c>
      <c r="O391" s="26" t="s">
        <v>3854</v>
      </c>
      <c r="P391" s="26" t="s">
        <v>3854</v>
      </c>
      <c r="Q391" s="26" t="s">
        <v>3854</v>
      </c>
      <c r="R391" s="26"/>
      <c r="S391" s="31"/>
      <c r="T391" s="31" t="s">
        <v>3855</v>
      </c>
    </row>
    <row r="392">
      <c r="A392" s="34" t="s">
        <v>3999</v>
      </c>
      <c r="B392" s="34" t="s">
        <v>1087</v>
      </c>
      <c r="C392" s="41">
        <v>45912.0</v>
      </c>
      <c r="D392" s="26"/>
      <c r="E392" s="41" t="s">
        <v>3851</v>
      </c>
      <c r="F392" s="34"/>
      <c r="G392" s="57" t="s">
        <v>3852</v>
      </c>
      <c r="H392" s="48" t="s">
        <v>3853</v>
      </c>
      <c r="I392" s="26" t="s">
        <v>3856</v>
      </c>
      <c r="J392" s="26" t="s">
        <v>3854</v>
      </c>
      <c r="K392" s="26" t="s">
        <v>3854</v>
      </c>
      <c r="L392" s="26" t="s">
        <v>3854</v>
      </c>
      <c r="M392" s="26" t="s">
        <v>3854</v>
      </c>
      <c r="N392" s="26" t="s">
        <v>3854</v>
      </c>
      <c r="O392" s="26" t="s">
        <v>3854</v>
      </c>
      <c r="P392" s="26" t="s">
        <v>3854</v>
      </c>
      <c r="Q392" s="26" t="s">
        <v>3854</v>
      </c>
      <c r="R392" s="26"/>
      <c r="S392" s="31"/>
      <c r="T392" s="31" t="s">
        <v>3855</v>
      </c>
    </row>
    <row r="393">
      <c r="A393" s="34" t="s">
        <v>1261</v>
      </c>
      <c r="B393" s="34" t="s">
        <v>1262</v>
      </c>
      <c r="C393" s="41">
        <v>45912.0</v>
      </c>
      <c r="D393" s="26"/>
      <c r="E393" s="41" t="s">
        <v>3851</v>
      </c>
      <c r="F393" s="34"/>
      <c r="G393" s="57" t="s">
        <v>3852</v>
      </c>
      <c r="H393" s="48" t="s">
        <v>3853</v>
      </c>
      <c r="I393" s="26" t="s">
        <v>3856</v>
      </c>
      <c r="J393" s="26" t="s">
        <v>3854</v>
      </c>
      <c r="K393" s="26" t="s">
        <v>3856</v>
      </c>
      <c r="L393" s="26" t="s">
        <v>3854</v>
      </c>
      <c r="M393" s="26" t="s">
        <v>3854</v>
      </c>
      <c r="N393" s="26" t="s">
        <v>3854</v>
      </c>
      <c r="O393" s="26" t="s">
        <v>3854</v>
      </c>
      <c r="P393" s="26" t="s">
        <v>3854</v>
      </c>
      <c r="Q393" s="26" t="s">
        <v>3854</v>
      </c>
      <c r="R393" s="26"/>
      <c r="S393" s="31"/>
      <c r="T393" s="31" t="s">
        <v>3855</v>
      </c>
    </row>
    <row r="394">
      <c r="A394" s="34" t="s">
        <v>1298</v>
      </c>
      <c r="B394" s="34" t="s">
        <v>1299</v>
      </c>
      <c r="C394" s="41">
        <v>45912.0</v>
      </c>
      <c r="D394" s="26"/>
      <c r="E394" s="41" t="s">
        <v>3851</v>
      </c>
      <c r="F394" s="34"/>
      <c r="G394" s="57" t="s">
        <v>3852</v>
      </c>
      <c r="H394" s="48" t="s">
        <v>3853</v>
      </c>
      <c r="I394" s="26" t="s">
        <v>3856</v>
      </c>
      <c r="J394" s="26" t="s">
        <v>3854</v>
      </c>
      <c r="K394" s="26" t="s">
        <v>3856</v>
      </c>
      <c r="L394" s="26" t="s">
        <v>3854</v>
      </c>
      <c r="M394" s="26" t="s">
        <v>3854</v>
      </c>
      <c r="N394" s="26" t="s">
        <v>3854</v>
      </c>
      <c r="O394" s="26" t="s">
        <v>3854</v>
      </c>
      <c r="P394" s="26" t="s">
        <v>3856</v>
      </c>
      <c r="Q394" s="26" t="s">
        <v>3854</v>
      </c>
      <c r="R394" s="26"/>
      <c r="S394" s="31"/>
      <c r="T394" s="31" t="s">
        <v>3855</v>
      </c>
    </row>
    <row r="395">
      <c r="A395" s="34" t="s">
        <v>1374</v>
      </c>
      <c r="B395" s="34" t="s">
        <v>1375</v>
      </c>
      <c r="C395" s="41">
        <v>45912.0</v>
      </c>
      <c r="D395" s="26"/>
      <c r="E395" s="41" t="s">
        <v>3851</v>
      </c>
      <c r="F395" s="34"/>
      <c r="G395" s="57" t="s">
        <v>3852</v>
      </c>
      <c r="H395" s="48" t="s">
        <v>3853</v>
      </c>
      <c r="I395" s="26" t="s">
        <v>3856</v>
      </c>
      <c r="J395" s="26" t="s">
        <v>3854</v>
      </c>
      <c r="K395" s="26" t="s">
        <v>3856</v>
      </c>
      <c r="L395" s="26" t="s">
        <v>3854</v>
      </c>
      <c r="M395" s="26" t="s">
        <v>3854</v>
      </c>
      <c r="N395" s="26" t="s">
        <v>3854</v>
      </c>
      <c r="O395" s="26" t="s">
        <v>3854</v>
      </c>
      <c r="P395" s="26" t="s">
        <v>3854</v>
      </c>
      <c r="Q395" s="26" t="s">
        <v>3856</v>
      </c>
      <c r="R395" s="26"/>
      <c r="S395" s="31"/>
      <c r="T395" s="31" t="s">
        <v>3855</v>
      </c>
    </row>
    <row r="396">
      <c r="A396" s="34" t="s">
        <v>4000</v>
      </c>
      <c r="B396" s="34" t="s">
        <v>1019</v>
      </c>
      <c r="C396" s="41">
        <v>45912.0</v>
      </c>
      <c r="D396" s="26"/>
      <c r="E396" s="41" t="s">
        <v>3851</v>
      </c>
      <c r="F396" s="34"/>
      <c r="G396" s="57" t="s">
        <v>3852</v>
      </c>
      <c r="H396" s="48" t="s">
        <v>3853</v>
      </c>
      <c r="I396" s="26" t="s">
        <v>3856</v>
      </c>
      <c r="J396" s="26" t="s">
        <v>3854</v>
      </c>
      <c r="K396" s="26" t="s">
        <v>3856</v>
      </c>
      <c r="L396" s="26" t="s">
        <v>3854</v>
      </c>
      <c r="M396" s="26" t="s">
        <v>3854</v>
      </c>
      <c r="N396" s="26" t="s">
        <v>3854</v>
      </c>
      <c r="O396" s="26" t="s">
        <v>3854</v>
      </c>
      <c r="P396" s="26" t="s">
        <v>3856</v>
      </c>
      <c r="Q396" s="26" t="s">
        <v>3854</v>
      </c>
      <c r="R396" s="26"/>
      <c r="S396" s="31"/>
      <c r="T396" s="31" t="s">
        <v>3855</v>
      </c>
    </row>
    <row r="397">
      <c r="A397" s="34" t="s">
        <v>589</v>
      </c>
      <c r="B397" s="34" t="s">
        <v>1523</v>
      </c>
      <c r="C397" s="41">
        <v>45912.0</v>
      </c>
      <c r="D397" s="26"/>
      <c r="E397" s="41" t="s">
        <v>3851</v>
      </c>
      <c r="F397" s="34"/>
      <c r="G397" s="57" t="s">
        <v>3852</v>
      </c>
      <c r="H397" s="48" t="s">
        <v>3853</v>
      </c>
      <c r="I397" s="26" t="s">
        <v>3856</v>
      </c>
      <c r="J397" s="26" t="s">
        <v>3854</v>
      </c>
      <c r="K397" s="26" t="s">
        <v>3856</v>
      </c>
      <c r="L397" s="26" t="s">
        <v>3854</v>
      </c>
      <c r="M397" s="26" t="s">
        <v>3854</v>
      </c>
      <c r="N397" s="26" t="s">
        <v>3854</v>
      </c>
      <c r="O397" s="26" t="s">
        <v>3854</v>
      </c>
      <c r="P397" s="26" t="s">
        <v>3856</v>
      </c>
      <c r="Q397" s="26" t="s">
        <v>3854</v>
      </c>
      <c r="R397" s="26"/>
      <c r="S397" s="31"/>
      <c r="T397" s="31" t="s">
        <v>3855</v>
      </c>
    </row>
    <row r="398">
      <c r="A398" s="34" t="s">
        <v>1412</v>
      </c>
      <c r="B398" s="34" t="s">
        <v>1413</v>
      </c>
      <c r="C398" s="41">
        <v>45912.0</v>
      </c>
      <c r="D398" s="26"/>
      <c r="E398" s="41" t="s">
        <v>3851</v>
      </c>
      <c r="F398" s="34"/>
      <c r="G398" s="57" t="s">
        <v>3852</v>
      </c>
      <c r="H398" s="48" t="s">
        <v>3853</v>
      </c>
      <c r="I398" s="26" t="s">
        <v>3856</v>
      </c>
      <c r="J398" s="26" t="s">
        <v>3854</v>
      </c>
      <c r="K398" s="26" t="s">
        <v>3856</v>
      </c>
      <c r="L398" s="26" t="s">
        <v>3854</v>
      </c>
      <c r="M398" s="26" t="s">
        <v>3854</v>
      </c>
      <c r="N398" s="26" t="s">
        <v>3854</v>
      </c>
      <c r="O398" s="26" t="s">
        <v>3854</v>
      </c>
      <c r="P398" s="26" t="s">
        <v>3856</v>
      </c>
      <c r="Q398" s="26" t="s">
        <v>3854</v>
      </c>
      <c r="R398" s="26"/>
      <c r="S398" s="31"/>
      <c r="T398" s="31" t="s">
        <v>3855</v>
      </c>
    </row>
    <row r="399">
      <c r="A399" s="34" t="s">
        <v>1760</v>
      </c>
      <c r="B399" s="34" t="s">
        <v>1761</v>
      </c>
      <c r="C399" s="41">
        <v>45912.0</v>
      </c>
      <c r="D399" s="26"/>
      <c r="E399" s="41" t="s">
        <v>3851</v>
      </c>
      <c r="F399" s="34"/>
      <c r="G399" s="57" t="s">
        <v>3852</v>
      </c>
      <c r="H399" s="48" t="s">
        <v>3853</v>
      </c>
      <c r="I399" s="26" t="s">
        <v>3856</v>
      </c>
      <c r="J399" s="26" t="s">
        <v>3854</v>
      </c>
      <c r="K399" s="26" t="s">
        <v>3856</v>
      </c>
      <c r="L399" s="26" t="s">
        <v>3854</v>
      </c>
      <c r="M399" s="26" t="s">
        <v>3854</v>
      </c>
      <c r="N399" s="26" t="s">
        <v>3854</v>
      </c>
      <c r="O399" s="26" t="s">
        <v>3854</v>
      </c>
      <c r="P399" s="26" t="s">
        <v>3854</v>
      </c>
      <c r="Q399" s="26" t="s">
        <v>3854</v>
      </c>
      <c r="R399" s="26"/>
      <c r="S399" s="31"/>
      <c r="T399" s="31" t="s">
        <v>3855</v>
      </c>
    </row>
    <row r="400">
      <c r="A400" s="34" t="s">
        <v>1511</v>
      </c>
      <c r="B400" s="34" t="s">
        <v>1512</v>
      </c>
      <c r="C400" s="41">
        <v>45912.0</v>
      </c>
      <c r="D400" s="26"/>
      <c r="E400" s="41" t="s">
        <v>3851</v>
      </c>
      <c r="F400" s="34"/>
      <c r="G400" s="57" t="s">
        <v>3852</v>
      </c>
      <c r="H400" s="48" t="s">
        <v>3853</v>
      </c>
      <c r="I400" s="26" t="s">
        <v>3856</v>
      </c>
      <c r="J400" s="26" t="s">
        <v>3854</v>
      </c>
      <c r="K400" s="26" t="s">
        <v>3856</v>
      </c>
      <c r="L400" s="26" t="s">
        <v>3854</v>
      </c>
      <c r="M400" s="26" t="s">
        <v>3854</v>
      </c>
      <c r="N400" s="26" t="s">
        <v>3854</v>
      </c>
      <c r="O400" s="26" t="s">
        <v>3854</v>
      </c>
      <c r="P400" s="26" t="s">
        <v>3856</v>
      </c>
      <c r="Q400" s="26" t="s">
        <v>3854</v>
      </c>
      <c r="R400" s="26"/>
      <c r="S400" s="31"/>
      <c r="T400" s="31" t="s">
        <v>3855</v>
      </c>
    </row>
    <row r="401">
      <c r="A401" s="34" t="s">
        <v>1797</v>
      </c>
      <c r="B401" s="34" t="s">
        <v>1798</v>
      </c>
      <c r="C401" s="41">
        <v>45912.0</v>
      </c>
      <c r="D401" s="26"/>
      <c r="E401" s="41" t="s">
        <v>3851</v>
      </c>
      <c r="F401" s="34"/>
      <c r="G401" s="57" t="s">
        <v>3852</v>
      </c>
      <c r="H401" s="48" t="s">
        <v>3853</v>
      </c>
      <c r="I401" s="26" t="s">
        <v>3856</v>
      </c>
      <c r="J401" s="26" t="s">
        <v>3854</v>
      </c>
      <c r="K401" s="26" t="s">
        <v>3856</v>
      </c>
      <c r="L401" s="26" t="s">
        <v>3854</v>
      </c>
      <c r="M401" s="26" t="s">
        <v>3854</v>
      </c>
      <c r="N401" s="26" t="s">
        <v>3854</v>
      </c>
      <c r="O401" s="26" t="s">
        <v>3854</v>
      </c>
      <c r="P401" s="26" t="s">
        <v>3854</v>
      </c>
      <c r="Q401" s="26" t="s">
        <v>3854</v>
      </c>
      <c r="R401" s="26"/>
      <c r="S401" s="31"/>
      <c r="T401" s="31" t="s">
        <v>3855</v>
      </c>
    </row>
    <row r="402">
      <c r="A402" s="34" t="s">
        <v>2882</v>
      </c>
      <c r="B402" s="34" t="s">
        <v>2883</v>
      </c>
      <c r="C402" s="41">
        <v>45912.0</v>
      </c>
      <c r="D402" s="26"/>
      <c r="E402" s="41" t="s">
        <v>3851</v>
      </c>
      <c r="F402" s="34"/>
      <c r="G402" s="57" t="s">
        <v>3852</v>
      </c>
      <c r="H402" s="48" t="s">
        <v>3853</v>
      </c>
      <c r="I402" s="26" t="s">
        <v>3856</v>
      </c>
      <c r="J402" s="26" t="s">
        <v>3854</v>
      </c>
      <c r="K402" s="26" t="s">
        <v>3856</v>
      </c>
      <c r="L402" s="26" t="s">
        <v>3854</v>
      </c>
      <c r="M402" s="26" t="s">
        <v>3854</v>
      </c>
      <c r="N402" s="26" t="s">
        <v>3854</v>
      </c>
      <c r="O402" s="26" t="s">
        <v>3854</v>
      </c>
      <c r="P402" s="26" t="s">
        <v>3854</v>
      </c>
      <c r="Q402" s="26" t="s">
        <v>3854</v>
      </c>
      <c r="R402" s="26"/>
      <c r="S402" s="31"/>
      <c r="T402" s="31" t="s">
        <v>3855</v>
      </c>
    </row>
    <row r="403">
      <c r="A403" s="34" t="s">
        <v>2893</v>
      </c>
      <c r="B403" s="26" t="s">
        <v>2894</v>
      </c>
      <c r="C403" s="41">
        <v>45912.0</v>
      </c>
      <c r="D403" s="26"/>
      <c r="E403" s="41" t="s">
        <v>3851</v>
      </c>
      <c r="F403" s="34"/>
      <c r="G403" s="57" t="s">
        <v>3970</v>
      </c>
      <c r="H403" s="48" t="s">
        <v>3992</v>
      </c>
      <c r="I403" s="26" t="s">
        <v>3856</v>
      </c>
      <c r="J403" s="26" t="s">
        <v>3854</v>
      </c>
      <c r="K403" s="26" t="s">
        <v>3854</v>
      </c>
      <c r="L403" s="26" t="s">
        <v>3854</v>
      </c>
      <c r="M403" s="26" t="s">
        <v>3854</v>
      </c>
      <c r="N403" s="26" t="s">
        <v>3854</v>
      </c>
      <c r="O403" s="26" t="s">
        <v>3854</v>
      </c>
      <c r="P403" s="26" t="s">
        <v>3854</v>
      </c>
      <c r="Q403" s="26" t="s">
        <v>3854</v>
      </c>
      <c r="R403" s="26"/>
      <c r="S403" s="31"/>
      <c r="T403" s="31" t="s">
        <v>3855</v>
      </c>
    </row>
    <row r="404">
      <c r="A404" s="34" t="s">
        <v>2902</v>
      </c>
      <c r="B404" s="34" t="s">
        <v>2903</v>
      </c>
      <c r="C404" s="41">
        <v>45912.0</v>
      </c>
      <c r="D404" s="26"/>
      <c r="E404" s="41" t="s">
        <v>3851</v>
      </c>
      <c r="F404" s="34"/>
      <c r="G404" s="57" t="s">
        <v>3852</v>
      </c>
      <c r="H404" s="48" t="s">
        <v>3853</v>
      </c>
      <c r="I404" s="26" t="s">
        <v>3856</v>
      </c>
      <c r="J404" s="26" t="s">
        <v>3854</v>
      </c>
      <c r="K404" s="26" t="s">
        <v>3854</v>
      </c>
      <c r="L404" s="26" t="s">
        <v>3854</v>
      </c>
      <c r="M404" s="26" t="s">
        <v>3854</v>
      </c>
      <c r="N404" s="26" t="s">
        <v>3854</v>
      </c>
      <c r="O404" s="26" t="s">
        <v>3854</v>
      </c>
      <c r="P404" s="26" t="s">
        <v>3854</v>
      </c>
      <c r="Q404" s="26" t="s">
        <v>3854</v>
      </c>
      <c r="R404" s="26"/>
      <c r="S404" s="31"/>
      <c r="T404" s="31" t="s">
        <v>3855</v>
      </c>
    </row>
    <row r="405">
      <c r="A405" s="34" t="s">
        <v>2922</v>
      </c>
      <c r="B405" s="34" t="s">
        <v>2923</v>
      </c>
      <c r="C405" s="41">
        <v>45912.0</v>
      </c>
      <c r="D405" s="26"/>
      <c r="E405" s="41" t="s">
        <v>3851</v>
      </c>
      <c r="F405" s="34"/>
      <c r="G405" s="57" t="s">
        <v>3852</v>
      </c>
      <c r="H405" s="48" t="s">
        <v>3853</v>
      </c>
      <c r="I405" s="26" t="s">
        <v>3856</v>
      </c>
      <c r="J405" s="26" t="s">
        <v>3854</v>
      </c>
      <c r="K405" s="26" t="s">
        <v>3856</v>
      </c>
      <c r="L405" s="26" t="s">
        <v>3854</v>
      </c>
      <c r="M405" s="26" t="s">
        <v>3854</v>
      </c>
      <c r="N405" s="26" t="s">
        <v>3854</v>
      </c>
      <c r="O405" s="26" t="s">
        <v>3854</v>
      </c>
      <c r="P405" s="26" t="s">
        <v>3854</v>
      </c>
      <c r="Q405" s="26" t="s">
        <v>3854</v>
      </c>
      <c r="R405" s="26"/>
      <c r="S405" s="31"/>
      <c r="T405" s="31" t="s">
        <v>3855</v>
      </c>
    </row>
    <row r="406">
      <c r="A406" s="34" t="s">
        <v>2920</v>
      </c>
      <c r="B406" s="34" t="s">
        <v>2921</v>
      </c>
      <c r="C406" s="41">
        <v>45912.0</v>
      </c>
      <c r="D406" s="26"/>
      <c r="E406" s="41" t="s">
        <v>3851</v>
      </c>
      <c r="F406" s="34"/>
      <c r="G406" s="57" t="s">
        <v>3852</v>
      </c>
      <c r="H406" s="48" t="s">
        <v>3853</v>
      </c>
      <c r="I406" s="26" t="s">
        <v>3856</v>
      </c>
      <c r="J406" s="26" t="s">
        <v>3854</v>
      </c>
      <c r="K406" s="26" t="s">
        <v>3856</v>
      </c>
      <c r="L406" s="26" t="s">
        <v>3854</v>
      </c>
      <c r="M406" s="26" t="s">
        <v>3854</v>
      </c>
      <c r="N406" s="26" t="s">
        <v>3854</v>
      </c>
      <c r="O406" s="26" t="s">
        <v>3854</v>
      </c>
      <c r="P406" s="26" t="s">
        <v>3856</v>
      </c>
      <c r="Q406" s="26" t="s">
        <v>3854</v>
      </c>
      <c r="R406" s="26"/>
      <c r="S406" s="31"/>
      <c r="T406" s="31" t="s">
        <v>3855</v>
      </c>
    </row>
    <row r="407">
      <c r="A407" s="34" t="s">
        <v>2918</v>
      </c>
      <c r="B407" s="34" t="s">
        <v>2919</v>
      </c>
      <c r="C407" s="41">
        <v>45912.0</v>
      </c>
      <c r="D407" s="26"/>
      <c r="E407" s="41" t="s">
        <v>3851</v>
      </c>
      <c r="F407" s="34"/>
      <c r="G407" s="57" t="s">
        <v>3852</v>
      </c>
      <c r="H407" s="48" t="s">
        <v>3853</v>
      </c>
      <c r="I407" s="26" t="s">
        <v>3856</v>
      </c>
      <c r="J407" s="26" t="s">
        <v>3854</v>
      </c>
      <c r="K407" s="26" t="s">
        <v>3856</v>
      </c>
      <c r="L407" s="26" t="s">
        <v>3854</v>
      </c>
      <c r="M407" s="26" t="s">
        <v>3854</v>
      </c>
      <c r="N407" s="26" t="s">
        <v>3854</v>
      </c>
      <c r="O407" s="26" t="s">
        <v>3854</v>
      </c>
      <c r="P407" s="26" t="s">
        <v>3856</v>
      </c>
      <c r="Q407" s="26" t="s">
        <v>3854</v>
      </c>
      <c r="R407" s="26"/>
      <c r="S407" s="31"/>
      <c r="T407" s="31" t="s">
        <v>3855</v>
      </c>
    </row>
    <row r="408">
      <c r="A408" s="34" t="s">
        <v>4001</v>
      </c>
      <c r="B408" s="34" t="s">
        <v>2940</v>
      </c>
      <c r="C408" s="41">
        <v>45912.0</v>
      </c>
      <c r="D408" s="26"/>
      <c r="E408" s="41" t="s">
        <v>3851</v>
      </c>
      <c r="F408" s="34"/>
      <c r="G408" s="57" t="s">
        <v>3852</v>
      </c>
      <c r="H408" s="48" t="s">
        <v>3853</v>
      </c>
      <c r="I408" s="26" t="s">
        <v>3856</v>
      </c>
      <c r="J408" s="26" t="s">
        <v>3854</v>
      </c>
      <c r="K408" s="26" t="s">
        <v>3854</v>
      </c>
      <c r="L408" s="26" t="s">
        <v>3854</v>
      </c>
      <c r="M408" s="26" t="s">
        <v>3854</v>
      </c>
      <c r="N408" s="26" t="s">
        <v>3854</v>
      </c>
      <c r="O408" s="26" t="s">
        <v>3854</v>
      </c>
      <c r="P408" s="26" t="s">
        <v>3854</v>
      </c>
      <c r="Q408" s="26" t="s">
        <v>3854</v>
      </c>
      <c r="R408" s="26"/>
      <c r="S408" s="31"/>
      <c r="T408" s="31" t="s">
        <v>3855</v>
      </c>
    </row>
    <row r="409">
      <c r="A409" s="34" t="s">
        <v>2746</v>
      </c>
      <c r="B409" s="34" t="s">
        <v>2935</v>
      </c>
      <c r="C409" s="41">
        <v>45912.0</v>
      </c>
      <c r="D409" s="26"/>
      <c r="E409" s="41" t="s">
        <v>3851</v>
      </c>
      <c r="F409" s="34"/>
      <c r="G409" s="57" t="s">
        <v>3852</v>
      </c>
      <c r="H409" s="48" t="s">
        <v>3853</v>
      </c>
      <c r="I409" s="26" t="s">
        <v>3856</v>
      </c>
      <c r="J409" s="26" t="s">
        <v>3854</v>
      </c>
      <c r="K409" s="26" t="s">
        <v>3856</v>
      </c>
      <c r="L409" s="26" t="s">
        <v>3854</v>
      </c>
      <c r="M409" s="26" t="s">
        <v>3854</v>
      </c>
      <c r="N409" s="26" t="s">
        <v>3854</v>
      </c>
      <c r="O409" s="26" t="s">
        <v>3854</v>
      </c>
      <c r="P409" s="26" t="s">
        <v>3854</v>
      </c>
      <c r="Q409" s="26" t="s">
        <v>3854</v>
      </c>
      <c r="R409" s="26"/>
      <c r="S409" s="31"/>
      <c r="T409" s="31" t="s">
        <v>3855</v>
      </c>
    </row>
    <row r="410">
      <c r="A410" s="34" t="s">
        <v>2942</v>
      </c>
      <c r="B410" s="34" t="s">
        <v>2943</v>
      </c>
      <c r="C410" s="41">
        <v>45912.0</v>
      </c>
      <c r="D410" s="26"/>
      <c r="E410" s="41" t="s">
        <v>3851</v>
      </c>
      <c r="F410" s="34"/>
      <c r="G410" s="57" t="s">
        <v>3852</v>
      </c>
      <c r="H410" s="48" t="s">
        <v>3853</v>
      </c>
      <c r="I410" s="26" t="s">
        <v>3856</v>
      </c>
      <c r="J410" s="26" t="s">
        <v>3854</v>
      </c>
      <c r="K410" s="26" t="s">
        <v>3856</v>
      </c>
      <c r="L410" s="26" t="s">
        <v>3854</v>
      </c>
      <c r="M410" s="26" t="s">
        <v>3854</v>
      </c>
      <c r="N410" s="26" t="s">
        <v>3854</v>
      </c>
      <c r="O410" s="26" t="s">
        <v>3854</v>
      </c>
      <c r="P410" s="26" t="s">
        <v>3854</v>
      </c>
      <c r="Q410" s="26" t="s">
        <v>3854</v>
      </c>
      <c r="R410" s="26"/>
      <c r="S410" s="31"/>
      <c r="T410" s="31" t="s">
        <v>3855</v>
      </c>
    </row>
    <row r="411">
      <c r="A411" s="34" t="s">
        <v>2958</v>
      </c>
      <c r="B411" s="34" t="s">
        <v>2959</v>
      </c>
      <c r="C411" s="41">
        <v>45912.0</v>
      </c>
      <c r="D411" s="26"/>
      <c r="E411" s="41" t="s">
        <v>3851</v>
      </c>
      <c r="F411" s="34"/>
      <c r="G411" s="57" t="s">
        <v>3852</v>
      </c>
      <c r="H411" s="48" t="s">
        <v>3853</v>
      </c>
      <c r="I411" s="26" t="s">
        <v>3856</v>
      </c>
      <c r="J411" s="26" t="s">
        <v>3854</v>
      </c>
      <c r="K411" s="26" t="s">
        <v>3856</v>
      </c>
      <c r="L411" s="26" t="s">
        <v>3854</v>
      </c>
      <c r="M411" s="26" t="s">
        <v>3854</v>
      </c>
      <c r="N411" s="26" t="s">
        <v>3854</v>
      </c>
      <c r="O411" s="26" t="s">
        <v>3854</v>
      </c>
      <c r="P411" s="26" t="s">
        <v>3854</v>
      </c>
      <c r="Q411" s="26" t="s">
        <v>3856</v>
      </c>
      <c r="R411" s="26"/>
      <c r="S411" s="31"/>
      <c r="T411" s="31" t="s">
        <v>3855</v>
      </c>
    </row>
    <row r="412">
      <c r="A412" s="34" t="s">
        <v>4002</v>
      </c>
      <c r="B412" s="34" t="s">
        <v>2970</v>
      </c>
      <c r="C412" s="41">
        <v>45912.0</v>
      </c>
      <c r="D412" s="26"/>
      <c r="E412" s="41" t="s">
        <v>3851</v>
      </c>
      <c r="F412" s="34"/>
      <c r="G412" s="57" t="s">
        <v>3852</v>
      </c>
      <c r="H412" s="48" t="s">
        <v>3853</v>
      </c>
      <c r="I412" s="26" t="s">
        <v>3856</v>
      </c>
      <c r="J412" s="26" t="s">
        <v>3854</v>
      </c>
      <c r="K412" s="26" t="s">
        <v>3854</v>
      </c>
      <c r="L412" s="26" t="s">
        <v>3854</v>
      </c>
      <c r="M412" s="26" t="s">
        <v>3854</v>
      </c>
      <c r="N412" s="26" t="s">
        <v>3854</v>
      </c>
      <c r="O412" s="26" t="s">
        <v>3854</v>
      </c>
      <c r="P412" s="26" t="s">
        <v>3854</v>
      </c>
      <c r="Q412" s="26" t="s">
        <v>3854</v>
      </c>
      <c r="R412" s="26"/>
      <c r="S412" s="31"/>
      <c r="T412" s="31" t="s">
        <v>3855</v>
      </c>
    </row>
    <row r="413">
      <c r="A413" s="34" t="s">
        <v>2967</v>
      </c>
      <c r="B413" s="34" t="s">
        <v>2968</v>
      </c>
      <c r="C413" s="41">
        <v>45912.0</v>
      </c>
      <c r="D413" s="26"/>
      <c r="E413" s="41" t="s">
        <v>3851</v>
      </c>
      <c r="F413" s="34"/>
      <c r="G413" s="57" t="s">
        <v>3852</v>
      </c>
      <c r="H413" s="48" t="s">
        <v>3853</v>
      </c>
      <c r="I413" s="26" t="s">
        <v>3856</v>
      </c>
      <c r="J413" s="26" t="s">
        <v>3854</v>
      </c>
      <c r="K413" s="26" t="s">
        <v>3854</v>
      </c>
      <c r="L413" s="26" t="s">
        <v>3854</v>
      </c>
      <c r="M413" s="26" t="s">
        <v>3854</v>
      </c>
      <c r="N413" s="26" t="s">
        <v>3854</v>
      </c>
      <c r="O413" s="26" t="s">
        <v>3854</v>
      </c>
      <c r="P413" s="26" t="s">
        <v>3854</v>
      </c>
      <c r="Q413" s="26" t="s">
        <v>3854</v>
      </c>
      <c r="R413" s="26"/>
      <c r="S413" s="31"/>
      <c r="T413" s="31" t="s">
        <v>3855</v>
      </c>
    </row>
    <row r="414">
      <c r="A414" s="34" t="s">
        <v>2965</v>
      </c>
      <c r="B414" s="34" t="s">
        <v>2966</v>
      </c>
      <c r="C414" s="41">
        <v>45912.0</v>
      </c>
      <c r="D414" s="26"/>
      <c r="E414" s="41" t="s">
        <v>3851</v>
      </c>
      <c r="F414" s="34"/>
      <c r="G414" s="57" t="s">
        <v>3852</v>
      </c>
      <c r="H414" s="48" t="s">
        <v>3853</v>
      </c>
      <c r="I414" s="26" t="s">
        <v>3856</v>
      </c>
      <c r="J414" s="26" t="s">
        <v>3854</v>
      </c>
      <c r="K414" s="26" t="s">
        <v>3856</v>
      </c>
      <c r="L414" s="26" t="s">
        <v>3854</v>
      </c>
      <c r="M414" s="26" t="s">
        <v>3854</v>
      </c>
      <c r="N414" s="26" t="s">
        <v>3854</v>
      </c>
      <c r="O414" s="26" t="s">
        <v>3854</v>
      </c>
      <c r="P414" s="26" t="s">
        <v>3854</v>
      </c>
      <c r="Q414" s="26" t="s">
        <v>3854</v>
      </c>
      <c r="R414" s="26"/>
      <c r="S414" s="31"/>
      <c r="T414" s="31" t="s">
        <v>3855</v>
      </c>
    </row>
    <row r="415">
      <c r="A415" s="34" t="s">
        <v>2985</v>
      </c>
      <c r="B415" s="34" t="s">
        <v>2986</v>
      </c>
      <c r="C415" s="41">
        <v>45912.0</v>
      </c>
      <c r="D415" s="26"/>
      <c r="E415" s="41" t="s">
        <v>3851</v>
      </c>
      <c r="F415" s="34"/>
      <c r="G415" s="57" t="s">
        <v>3852</v>
      </c>
      <c r="H415" s="48" t="s">
        <v>3853</v>
      </c>
      <c r="I415" s="26" t="s">
        <v>3856</v>
      </c>
      <c r="J415" s="26" t="s">
        <v>3854</v>
      </c>
      <c r="K415" s="26" t="s">
        <v>3854</v>
      </c>
      <c r="L415" s="26" t="s">
        <v>3854</v>
      </c>
      <c r="M415" s="26" t="s">
        <v>3854</v>
      </c>
      <c r="N415" s="26" t="s">
        <v>3854</v>
      </c>
      <c r="O415" s="26" t="s">
        <v>3854</v>
      </c>
      <c r="P415" s="26" t="s">
        <v>3854</v>
      </c>
      <c r="Q415" s="26" t="s">
        <v>3854</v>
      </c>
      <c r="R415" s="26"/>
      <c r="S415" s="31"/>
      <c r="T415" s="31" t="s">
        <v>3855</v>
      </c>
    </row>
    <row r="416">
      <c r="A416" s="34" t="s">
        <v>2982</v>
      </c>
      <c r="B416" s="34" t="s">
        <v>2983</v>
      </c>
      <c r="C416" s="41">
        <v>45912.0</v>
      </c>
      <c r="D416" s="26"/>
      <c r="E416" s="41" t="s">
        <v>3851</v>
      </c>
      <c r="F416" s="34"/>
      <c r="G416" s="57" t="s">
        <v>3852</v>
      </c>
      <c r="H416" s="48" t="s">
        <v>3853</v>
      </c>
      <c r="I416" s="26" t="s">
        <v>3856</v>
      </c>
      <c r="J416" s="26" t="s">
        <v>3854</v>
      </c>
      <c r="K416" s="26" t="s">
        <v>3856</v>
      </c>
      <c r="L416" s="26" t="s">
        <v>3854</v>
      </c>
      <c r="M416" s="26" t="s">
        <v>3854</v>
      </c>
      <c r="N416" s="26" t="s">
        <v>3854</v>
      </c>
      <c r="O416" s="26" t="s">
        <v>3854</v>
      </c>
      <c r="P416" s="26" t="s">
        <v>3854</v>
      </c>
      <c r="Q416" s="26" t="s">
        <v>3854</v>
      </c>
      <c r="R416" s="26"/>
      <c r="S416" s="31"/>
      <c r="T416" s="31" t="s">
        <v>3855</v>
      </c>
    </row>
    <row r="417">
      <c r="A417" s="34" t="s">
        <v>3006</v>
      </c>
      <c r="B417" s="34" t="s">
        <v>3007</v>
      </c>
      <c r="C417" s="41">
        <v>45912.0</v>
      </c>
      <c r="D417" s="26"/>
      <c r="E417" s="41" t="s">
        <v>3851</v>
      </c>
      <c r="F417" s="34"/>
      <c r="G417" s="57" t="s">
        <v>3852</v>
      </c>
      <c r="H417" s="48" t="s">
        <v>3853</v>
      </c>
      <c r="I417" s="26" t="s">
        <v>3856</v>
      </c>
      <c r="J417" s="26" t="s">
        <v>3854</v>
      </c>
      <c r="K417" s="26" t="s">
        <v>3856</v>
      </c>
      <c r="L417" s="26" t="s">
        <v>3854</v>
      </c>
      <c r="M417" s="26" t="s">
        <v>3854</v>
      </c>
      <c r="N417" s="26" t="s">
        <v>3854</v>
      </c>
      <c r="O417" s="26" t="s">
        <v>3854</v>
      </c>
      <c r="P417" s="26" t="s">
        <v>3854</v>
      </c>
      <c r="Q417" s="26" t="s">
        <v>3854</v>
      </c>
      <c r="R417" s="26"/>
      <c r="S417" s="31"/>
      <c r="T417" s="31" t="s">
        <v>3855</v>
      </c>
    </row>
    <row r="418">
      <c r="A418" s="34" t="s">
        <v>2998</v>
      </c>
      <c r="B418" s="34" t="s">
        <v>2999</v>
      </c>
      <c r="C418" s="41">
        <v>45912.0</v>
      </c>
      <c r="D418" s="26"/>
      <c r="E418" s="41" t="s">
        <v>3851</v>
      </c>
      <c r="F418" s="34"/>
      <c r="G418" s="57" t="s">
        <v>3852</v>
      </c>
      <c r="H418" s="48" t="s">
        <v>3853</v>
      </c>
      <c r="I418" s="26" t="s">
        <v>3856</v>
      </c>
      <c r="J418" s="26" t="s">
        <v>3854</v>
      </c>
      <c r="K418" s="26" t="s">
        <v>3856</v>
      </c>
      <c r="L418" s="26" t="s">
        <v>3854</v>
      </c>
      <c r="M418" s="26" t="s">
        <v>3854</v>
      </c>
      <c r="N418" s="26" t="s">
        <v>3854</v>
      </c>
      <c r="O418" s="26" t="s">
        <v>3854</v>
      </c>
      <c r="P418" s="26" t="s">
        <v>3854</v>
      </c>
      <c r="Q418" s="26" t="s">
        <v>3854</v>
      </c>
      <c r="R418" s="26"/>
      <c r="S418" s="31"/>
      <c r="T418" s="31" t="s">
        <v>3855</v>
      </c>
    </row>
    <row r="419">
      <c r="A419" s="34" t="s">
        <v>3029</v>
      </c>
      <c r="B419" s="34" t="s">
        <v>3030</v>
      </c>
      <c r="C419" s="41">
        <v>45912.0</v>
      </c>
      <c r="D419" s="60">
        <v>46096.0</v>
      </c>
      <c r="E419" s="41" t="s">
        <v>3851</v>
      </c>
      <c r="F419" s="34"/>
      <c r="G419" s="57" t="s">
        <v>3852</v>
      </c>
      <c r="H419" s="48" t="s">
        <v>3853</v>
      </c>
      <c r="I419" s="26" t="s">
        <v>3856</v>
      </c>
      <c r="J419" s="26" t="s">
        <v>3854</v>
      </c>
      <c r="K419" s="26" t="s">
        <v>3856</v>
      </c>
      <c r="L419" s="26" t="s">
        <v>3854</v>
      </c>
      <c r="M419" s="26" t="s">
        <v>3854</v>
      </c>
      <c r="N419" s="26" t="s">
        <v>3854</v>
      </c>
      <c r="O419" s="26" t="s">
        <v>3854</v>
      </c>
      <c r="P419" s="26" t="s">
        <v>3854</v>
      </c>
      <c r="Q419" s="26" t="s">
        <v>3854</v>
      </c>
      <c r="R419" s="26" t="s">
        <v>3856</v>
      </c>
      <c r="S419" s="31"/>
      <c r="T419" s="31" t="s">
        <v>3855</v>
      </c>
    </row>
    <row r="420">
      <c r="A420" s="34" t="s">
        <v>4003</v>
      </c>
      <c r="B420" s="34" t="s">
        <v>3034</v>
      </c>
      <c r="C420" s="41">
        <v>45912.0</v>
      </c>
      <c r="D420" s="26"/>
      <c r="E420" s="41" t="s">
        <v>3851</v>
      </c>
      <c r="F420" s="34"/>
      <c r="G420" s="57" t="s">
        <v>3852</v>
      </c>
      <c r="H420" s="48" t="s">
        <v>3853</v>
      </c>
      <c r="I420" s="26" t="s">
        <v>3856</v>
      </c>
      <c r="J420" s="26" t="s">
        <v>3854</v>
      </c>
      <c r="K420" s="26" t="s">
        <v>3854</v>
      </c>
      <c r="L420" s="26" t="s">
        <v>3854</v>
      </c>
      <c r="M420" s="26" t="s">
        <v>3854</v>
      </c>
      <c r="N420" s="26" t="s">
        <v>3854</v>
      </c>
      <c r="O420" s="26" t="s">
        <v>3856</v>
      </c>
      <c r="P420" s="26" t="s">
        <v>3854</v>
      </c>
      <c r="Q420" s="26" t="s">
        <v>3854</v>
      </c>
      <c r="R420" s="26"/>
      <c r="S420" s="31"/>
      <c r="T420" s="31" t="s">
        <v>3855</v>
      </c>
    </row>
    <row r="421">
      <c r="A421" s="34" t="s">
        <v>4004</v>
      </c>
      <c r="B421" s="34" t="s">
        <v>3041</v>
      </c>
      <c r="C421" s="41">
        <v>45912.0</v>
      </c>
      <c r="D421" s="26"/>
      <c r="E421" s="41" t="s">
        <v>3851</v>
      </c>
      <c r="F421" s="34"/>
      <c r="G421" s="57" t="s">
        <v>3852</v>
      </c>
      <c r="H421" s="48" t="s">
        <v>3853</v>
      </c>
      <c r="I421" s="26" t="s">
        <v>3856</v>
      </c>
      <c r="J421" s="26" t="s">
        <v>3854</v>
      </c>
      <c r="K421" s="26" t="s">
        <v>3856</v>
      </c>
      <c r="L421" s="26" t="s">
        <v>3854</v>
      </c>
      <c r="M421" s="26" t="s">
        <v>3854</v>
      </c>
      <c r="N421" s="26" t="s">
        <v>3854</v>
      </c>
      <c r="O421" s="26" t="s">
        <v>3854</v>
      </c>
      <c r="P421" s="26" t="s">
        <v>3854</v>
      </c>
      <c r="Q421" s="26" t="s">
        <v>3854</v>
      </c>
      <c r="R421" s="26"/>
      <c r="S421" s="31"/>
      <c r="T421" s="31" t="s">
        <v>3855</v>
      </c>
    </row>
    <row r="422">
      <c r="A422" s="34" t="s">
        <v>3059</v>
      </c>
      <c r="B422" s="34" t="s">
        <v>3060</v>
      </c>
      <c r="C422" s="41">
        <v>45912.0</v>
      </c>
      <c r="D422" s="26"/>
      <c r="E422" s="41" t="s">
        <v>3851</v>
      </c>
      <c r="F422" s="34"/>
      <c r="G422" s="57" t="s">
        <v>3852</v>
      </c>
      <c r="H422" s="48" t="s">
        <v>3853</v>
      </c>
      <c r="I422" s="26" t="s">
        <v>3856</v>
      </c>
      <c r="J422" s="26" t="s">
        <v>3854</v>
      </c>
      <c r="K422" s="26" t="s">
        <v>3856</v>
      </c>
      <c r="L422" s="26" t="s">
        <v>3854</v>
      </c>
      <c r="M422" s="26" t="s">
        <v>3854</v>
      </c>
      <c r="N422" s="26" t="s">
        <v>3854</v>
      </c>
      <c r="O422" s="26" t="s">
        <v>3854</v>
      </c>
      <c r="P422" s="26" t="s">
        <v>3854</v>
      </c>
      <c r="Q422" s="26" t="s">
        <v>3854</v>
      </c>
      <c r="R422" s="26"/>
      <c r="S422" s="31"/>
      <c r="T422" s="31" t="s">
        <v>3855</v>
      </c>
    </row>
    <row r="423">
      <c r="A423" s="34" t="s">
        <v>3063</v>
      </c>
      <c r="B423" s="34" t="s">
        <v>3064</v>
      </c>
      <c r="C423" s="41">
        <v>45912.0</v>
      </c>
      <c r="D423" s="26"/>
      <c r="E423" s="41" t="s">
        <v>3851</v>
      </c>
      <c r="F423" s="34"/>
      <c r="G423" s="57" t="s">
        <v>3852</v>
      </c>
      <c r="H423" s="48" t="s">
        <v>3853</v>
      </c>
      <c r="I423" s="26" t="s">
        <v>3856</v>
      </c>
      <c r="J423" s="26" t="s">
        <v>3854</v>
      </c>
      <c r="K423" s="26" t="s">
        <v>3856</v>
      </c>
      <c r="L423" s="26" t="s">
        <v>3854</v>
      </c>
      <c r="M423" s="26" t="s">
        <v>3854</v>
      </c>
      <c r="N423" s="26" t="s">
        <v>3854</v>
      </c>
      <c r="O423" s="26" t="s">
        <v>3854</v>
      </c>
      <c r="P423" s="26" t="s">
        <v>3856</v>
      </c>
      <c r="Q423" s="26" t="s">
        <v>3854</v>
      </c>
      <c r="R423" s="26"/>
      <c r="S423" s="31"/>
      <c r="T423" s="31" t="s">
        <v>3855</v>
      </c>
    </row>
    <row r="424">
      <c r="A424" s="34" t="s">
        <v>3054</v>
      </c>
      <c r="B424" s="34" t="s">
        <v>3055</v>
      </c>
      <c r="C424" s="41">
        <v>45912.0</v>
      </c>
      <c r="D424" s="26"/>
      <c r="E424" s="41" t="s">
        <v>3851</v>
      </c>
      <c r="F424" s="34"/>
      <c r="G424" s="57" t="s">
        <v>3852</v>
      </c>
      <c r="H424" s="48" t="s">
        <v>3853</v>
      </c>
      <c r="I424" s="26" t="s">
        <v>3856</v>
      </c>
      <c r="J424" s="26" t="s">
        <v>3854</v>
      </c>
      <c r="K424" s="26" t="s">
        <v>3854</v>
      </c>
      <c r="L424" s="26" t="s">
        <v>3854</v>
      </c>
      <c r="M424" s="26" t="s">
        <v>3854</v>
      </c>
      <c r="N424" s="26" t="s">
        <v>3854</v>
      </c>
      <c r="O424" s="26" t="s">
        <v>3854</v>
      </c>
      <c r="P424" s="26" t="s">
        <v>3854</v>
      </c>
      <c r="Q424" s="26" t="s">
        <v>3854</v>
      </c>
      <c r="R424" s="26"/>
      <c r="S424" s="31"/>
      <c r="T424" s="31" t="s">
        <v>3855</v>
      </c>
    </row>
    <row r="425">
      <c r="A425" s="34" t="s">
        <v>3094</v>
      </c>
      <c r="B425" s="34" t="s">
        <v>3095</v>
      </c>
      <c r="C425" s="41">
        <v>45912.0</v>
      </c>
      <c r="D425" s="26"/>
      <c r="E425" s="41" t="s">
        <v>3851</v>
      </c>
      <c r="F425" s="34"/>
      <c r="G425" s="57" t="s">
        <v>3852</v>
      </c>
      <c r="H425" s="48" t="s">
        <v>3853</v>
      </c>
      <c r="I425" s="26" t="s">
        <v>3856</v>
      </c>
      <c r="J425" s="26" t="s">
        <v>3854</v>
      </c>
      <c r="K425" s="26" t="s">
        <v>3856</v>
      </c>
      <c r="L425" s="26" t="s">
        <v>3854</v>
      </c>
      <c r="M425" s="26" t="s">
        <v>3854</v>
      </c>
      <c r="N425" s="26" t="s">
        <v>3854</v>
      </c>
      <c r="O425" s="26" t="s">
        <v>3854</v>
      </c>
      <c r="P425" s="26" t="s">
        <v>3854</v>
      </c>
      <c r="Q425" s="26" t="s">
        <v>3854</v>
      </c>
      <c r="R425" s="26"/>
      <c r="S425" s="31"/>
      <c r="T425" s="31" t="s">
        <v>3855</v>
      </c>
    </row>
    <row r="426">
      <c r="A426" s="34" t="s">
        <v>3096</v>
      </c>
      <c r="B426" s="34" t="s">
        <v>3097</v>
      </c>
      <c r="C426" s="41">
        <v>45912.0</v>
      </c>
      <c r="D426" s="26"/>
      <c r="E426" s="41" t="s">
        <v>3851</v>
      </c>
      <c r="F426" s="34"/>
      <c r="G426" s="57" t="s">
        <v>3852</v>
      </c>
      <c r="H426" s="48" t="s">
        <v>3853</v>
      </c>
      <c r="I426" s="26" t="s">
        <v>3856</v>
      </c>
      <c r="J426" s="26" t="s">
        <v>3854</v>
      </c>
      <c r="K426" s="26" t="s">
        <v>3854</v>
      </c>
      <c r="L426" s="26" t="s">
        <v>3854</v>
      </c>
      <c r="M426" s="26" t="s">
        <v>3854</v>
      </c>
      <c r="N426" s="26" t="s">
        <v>3854</v>
      </c>
      <c r="O426" s="26" t="s">
        <v>3854</v>
      </c>
      <c r="P426" s="26" t="s">
        <v>3854</v>
      </c>
      <c r="Q426" s="26" t="s">
        <v>3854</v>
      </c>
      <c r="R426" s="26"/>
      <c r="S426" s="31"/>
      <c r="T426" s="31" t="s">
        <v>3855</v>
      </c>
    </row>
    <row r="427">
      <c r="A427" s="34" t="s">
        <v>4005</v>
      </c>
      <c r="B427" s="34" t="s">
        <v>3084</v>
      </c>
      <c r="C427" s="41">
        <v>45912.0</v>
      </c>
      <c r="D427" s="26"/>
      <c r="E427" s="41" t="s">
        <v>3851</v>
      </c>
      <c r="F427" s="34"/>
      <c r="G427" s="57" t="s">
        <v>3852</v>
      </c>
      <c r="H427" s="48" t="s">
        <v>3853</v>
      </c>
      <c r="I427" s="26" t="s">
        <v>3856</v>
      </c>
      <c r="J427" s="26" t="s">
        <v>3854</v>
      </c>
      <c r="K427" s="26" t="s">
        <v>3856</v>
      </c>
      <c r="L427" s="26" t="s">
        <v>3854</v>
      </c>
      <c r="M427" s="26" t="s">
        <v>3854</v>
      </c>
      <c r="N427" s="26" t="s">
        <v>3854</v>
      </c>
      <c r="O427" s="26" t="s">
        <v>3854</v>
      </c>
      <c r="P427" s="26" t="s">
        <v>3854</v>
      </c>
      <c r="Q427" s="26" t="s">
        <v>3854</v>
      </c>
      <c r="R427" s="26"/>
      <c r="S427" s="31"/>
      <c r="T427" s="31" t="s">
        <v>3855</v>
      </c>
    </row>
    <row r="428">
      <c r="A428" s="34" t="s">
        <v>3108</v>
      </c>
      <c r="B428" s="34" t="s">
        <v>3109</v>
      </c>
      <c r="C428" s="41">
        <v>45912.0</v>
      </c>
      <c r="D428" s="26"/>
      <c r="E428" s="41" t="s">
        <v>3851</v>
      </c>
      <c r="F428" s="34"/>
      <c r="G428" s="57" t="s">
        <v>3852</v>
      </c>
      <c r="H428" s="48" t="s">
        <v>3853</v>
      </c>
      <c r="I428" s="26" t="s">
        <v>3856</v>
      </c>
      <c r="J428" s="26" t="s">
        <v>3854</v>
      </c>
      <c r="K428" s="26" t="s">
        <v>3856</v>
      </c>
      <c r="L428" s="26" t="s">
        <v>3854</v>
      </c>
      <c r="M428" s="26" t="s">
        <v>3854</v>
      </c>
      <c r="N428" s="26" t="s">
        <v>3854</v>
      </c>
      <c r="O428" s="26" t="s">
        <v>3854</v>
      </c>
      <c r="P428" s="26" t="s">
        <v>3854</v>
      </c>
      <c r="Q428" s="26" t="s">
        <v>3854</v>
      </c>
      <c r="R428" s="26"/>
      <c r="S428" s="31"/>
      <c r="T428" s="31" t="s">
        <v>3855</v>
      </c>
    </row>
    <row r="429">
      <c r="A429" s="34" t="s">
        <v>3123</v>
      </c>
      <c r="B429" s="34" t="s">
        <v>3124</v>
      </c>
      <c r="C429" s="41">
        <v>45912.0</v>
      </c>
      <c r="D429" s="26"/>
      <c r="E429" s="41" t="s">
        <v>3851</v>
      </c>
      <c r="F429" s="34"/>
      <c r="G429" s="57" t="s">
        <v>3852</v>
      </c>
      <c r="H429" s="48" t="s">
        <v>3853</v>
      </c>
      <c r="I429" s="26" t="s">
        <v>3856</v>
      </c>
      <c r="J429" s="26" t="s">
        <v>3854</v>
      </c>
      <c r="K429" s="26" t="s">
        <v>3856</v>
      </c>
      <c r="L429" s="26" t="s">
        <v>3854</v>
      </c>
      <c r="M429" s="26" t="s">
        <v>3854</v>
      </c>
      <c r="N429" s="26" t="s">
        <v>3854</v>
      </c>
      <c r="O429" s="26" t="s">
        <v>3854</v>
      </c>
      <c r="P429" s="26" t="s">
        <v>3854</v>
      </c>
      <c r="Q429" s="26" t="s">
        <v>3854</v>
      </c>
      <c r="R429" s="26"/>
      <c r="S429" s="31"/>
      <c r="T429" s="31" t="s">
        <v>3855</v>
      </c>
    </row>
    <row r="430">
      <c r="A430" s="34" t="s">
        <v>3158</v>
      </c>
      <c r="B430" s="34" t="s">
        <v>3159</v>
      </c>
      <c r="C430" s="41">
        <v>45912.0</v>
      </c>
      <c r="D430" s="26"/>
      <c r="E430" s="41" t="s">
        <v>3851</v>
      </c>
      <c r="F430" s="34"/>
      <c r="G430" s="57" t="s">
        <v>3852</v>
      </c>
      <c r="H430" s="48" t="s">
        <v>3853</v>
      </c>
      <c r="I430" s="26" t="s">
        <v>3856</v>
      </c>
      <c r="J430" s="26" t="s">
        <v>3854</v>
      </c>
      <c r="K430" s="26" t="s">
        <v>3856</v>
      </c>
      <c r="L430" s="26" t="s">
        <v>3856</v>
      </c>
      <c r="M430" s="26" t="s">
        <v>3854</v>
      </c>
      <c r="N430" s="26" t="s">
        <v>3854</v>
      </c>
      <c r="O430" s="26" t="s">
        <v>3854</v>
      </c>
      <c r="P430" s="26" t="s">
        <v>3856</v>
      </c>
      <c r="Q430" s="26" t="s">
        <v>3854</v>
      </c>
      <c r="R430" s="26"/>
      <c r="S430" s="31"/>
      <c r="T430" s="31" t="s">
        <v>3855</v>
      </c>
    </row>
    <row r="431">
      <c r="A431" s="34" t="s">
        <v>3194</v>
      </c>
      <c r="B431" s="34" t="s">
        <v>3195</v>
      </c>
      <c r="C431" s="41">
        <v>45912.0</v>
      </c>
      <c r="D431" s="26"/>
      <c r="E431" s="41" t="s">
        <v>3851</v>
      </c>
      <c r="F431" s="34"/>
      <c r="G431" s="57" t="s">
        <v>3852</v>
      </c>
      <c r="H431" s="48" t="s">
        <v>3853</v>
      </c>
      <c r="I431" s="26" t="s">
        <v>3856</v>
      </c>
      <c r="J431" s="26" t="s">
        <v>3854</v>
      </c>
      <c r="K431" s="26" t="s">
        <v>3854</v>
      </c>
      <c r="L431" s="26" t="s">
        <v>3854</v>
      </c>
      <c r="M431" s="26" t="s">
        <v>3854</v>
      </c>
      <c r="N431" s="26" t="s">
        <v>3854</v>
      </c>
      <c r="O431" s="26" t="s">
        <v>3854</v>
      </c>
      <c r="P431" s="26" t="s">
        <v>3854</v>
      </c>
      <c r="Q431" s="26" t="s">
        <v>3854</v>
      </c>
      <c r="R431" s="26"/>
      <c r="S431" s="31"/>
      <c r="T431" s="31" t="s">
        <v>3855</v>
      </c>
    </row>
    <row r="432">
      <c r="A432" s="34" t="s">
        <v>3176</v>
      </c>
      <c r="B432" s="34" t="s">
        <v>3177</v>
      </c>
      <c r="C432" s="41">
        <v>45912.0</v>
      </c>
      <c r="D432" s="26"/>
      <c r="E432" s="41" t="s">
        <v>3851</v>
      </c>
      <c r="F432" s="34"/>
      <c r="G432" s="57" t="s">
        <v>3852</v>
      </c>
      <c r="H432" s="48" t="s">
        <v>3853</v>
      </c>
      <c r="I432" s="26" t="s">
        <v>3856</v>
      </c>
      <c r="J432" s="26" t="s">
        <v>3854</v>
      </c>
      <c r="K432" s="26" t="s">
        <v>3856</v>
      </c>
      <c r="L432" s="26" t="s">
        <v>3854</v>
      </c>
      <c r="M432" s="26" t="s">
        <v>3854</v>
      </c>
      <c r="N432" s="26" t="s">
        <v>3854</v>
      </c>
      <c r="O432" s="26" t="s">
        <v>3854</v>
      </c>
      <c r="P432" s="26" t="s">
        <v>3854</v>
      </c>
      <c r="Q432" s="26" t="s">
        <v>3854</v>
      </c>
      <c r="R432" s="26"/>
      <c r="S432" s="31"/>
      <c r="T432" s="31" t="s">
        <v>3855</v>
      </c>
    </row>
    <row r="433">
      <c r="A433" s="34" t="s">
        <v>3164</v>
      </c>
      <c r="B433" s="34" t="s">
        <v>3165</v>
      </c>
      <c r="C433" s="41">
        <v>45912.0</v>
      </c>
      <c r="D433" s="26"/>
      <c r="E433" s="41" t="s">
        <v>3851</v>
      </c>
      <c r="F433" s="34"/>
      <c r="G433" s="57" t="s">
        <v>3852</v>
      </c>
      <c r="H433" s="48" t="s">
        <v>3853</v>
      </c>
      <c r="I433" s="26" t="s">
        <v>3856</v>
      </c>
      <c r="J433" s="26" t="s">
        <v>3854</v>
      </c>
      <c r="K433" s="26" t="s">
        <v>3856</v>
      </c>
      <c r="L433" s="26" t="s">
        <v>3854</v>
      </c>
      <c r="M433" s="26" t="s">
        <v>3854</v>
      </c>
      <c r="N433" s="26" t="s">
        <v>3854</v>
      </c>
      <c r="O433" s="26" t="s">
        <v>3854</v>
      </c>
      <c r="P433" s="26" t="s">
        <v>3856</v>
      </c>
      <c r="Q433" s="26" t="s">
        <v>3854</v>
      </c>
      <c r="R433" s="26"/>
      <c r="S433" s="31"/>
      <c r="T433" s="31" t="s">
        <v>3855</v>
      </c>
    </row>
    <row r="434">
      <c r="A434" s="34" t="s">
        <v>3183</v>
      </c>
      <c r="B434" s="34" t="s">
        <v>3184</v>
      </c>
      <c r="C434" s="41">
        <v>45912.0</v>
      </c>
      <c r="D434" s="26"/>
      <c r="E434" s="41" t="s">
        <v>3851</v>
      </c>
      <c r="F434" s="34"/>
      <c r="G434" s="57" t="s">
        <v>3852</v>
      </c>
      <c r="H434" s="48" t="s">
        <v>3853</v>
      </c>
      <c r="I434" s="26" t="s">
        <v>3856</v>
      </c>
      <c r="J434" s="26" t="s">
        <v>3854</v>
      </c>
      <c r="K434" s="26" t="s">
        <v>3856</v>
      </c>
      <c r="L434" s="26" t="s">
        <v>3854</v>
      </c>
      <c r="M434" s="26" t="s">
        <v>3854</v>
      </c>
      <c r="N434" s="26" t="s">
        <v>3854</v>
      </c>
      <c r="O434" s="26" t="s">
        <v>3854</v>
      </c>
      <c r="P434" s="26" t="s">
        <v>3854</v>
      </c>
      <c r="Q434" s="26" t="s">
        <v>3854</v>
      </c>
      <c r="R434" s="26"/>
      <c r="S434" s="31"/>
      <c r="T434" s="31" t="s">
        <v>3855</v>
      </c>
    </row>
    <row r="435">
      <c r="A435" s="34" t="s">
        <v>3162</v>
      </c>
      <c r="B435" s="34" t="s">
        <v>3163</v>
      </c>
      <c r="C435" s="41">
        <v>45912.0</v>
      </c>
      <c r="D435" s="26"/>
      <c r="E435" s="41" t="s">
        <v>3851</v>
      </c>
      <c r="F435" s="34"/>
      <c r="G435" s="57" t="s">
        <v>3852</v>
      </c>
      <c r="H435" s="48" t="s">
        <v>3853</v>
      </c>
      <c r="I435" s="26" t="s">
        <v>3856</v>
      </c>
      <c r="J435" s="26" t="s">
        <v>3854</v>
      </c>
      <c r="K435" s="26" t="s">
        <v>3854</v>
      </c>
      <c r="L435" s="26" t="s">
        <v>3854</v>
      </c>
      <c r="M435" s="26" t="s">
        <v>3854</v>
      </c>
      <c r="N435" s="26" t="s">
        <v>3854</v>
      </c>
      <c r="O435" s="26" t="s">
        <v>3854</v>
      </c>
      <c r="P435" s="26" t="s">
        <v>3854</v>
      </c>
      <c r="Q435" s="26" t="s">
        <v>3854</v>
      </c>
      <c r="R435" s="26"/>
      <c r="S435" s="31"/>
      <c r="T435" s="31" t="s">
        <v>3855</v>
      </c>
    </row>
    <row r="436">
      <c r="A436" s="34" t="s">
        <v>3180</v>
      </c>
      <c r="B436" s="34" t="s">
        <v>3181</v>
      </c>
      <c r="C436" s="41">
        <v>45912.0</v>
      </c>
      <c r="D436" s="26"/>
      <c r="E436" s="41" t="s">
        <v>3851</v>
      </c>
      <c r="F436" s="34"/>
      <c r="G436" s="57" t="s">
        <v>3852</v>
      </c>
      <c r="H436" s="48" t="s">
        <v>3853</v>
      </c>
      <c r="I436" s="26" t="s">
        <v>3856</v>
      </c>
      <c r="J436" s="26" t="s">
        <v>3854</v>
      </c>
      <c r="K436" s="26" t="s">
        <v>3854</v>
      </c>
      <c r="L436" s="26" t="s">
        <v>3854</v>
      </c>
      <c r="M436" s="26" t="s">
        <v>3854</v>
      </c>
      <c r="N436" s="26" t="s">
        <v>3854</v>
      </c>
      <c r="O436" s="26" t="s">
        <v>3854</v>
      </c>
      <c r="P436" s="26" t="s">
        <v>3854</v>
      </c>
      <c r="Q436" s="26" t="s">
        <v>3854</v>
      </c>
      <c r="R436" s="26"/>
      <c r="S436" s="31"/>
      <c r="T436" s="31" t="s">
        <v>3855</v>
      </c>
    </row>
    <row r="437">
      <c r="A437" s="34" t="s">
        <v>3118</v>
      </c>
      <c r="B437" s="34" t="s">
        <v>3119</v>
      </c>
      <c r="C437" s="41">
        <v>45912.0</v>
      </c>
      <c r="D437" s="26"/>
      <c r="E437" s="41" t="s">
        <v>3851</v>
      </c>
      <c r="F437" s="34"/>
      <c r="G437" s="57" t="s">
        <v>3852</v>
      </c>
      <c r="H437" s="48" t="s">
        <v>3853</v>
      </c>
      <c r="I437" s="26" t="s">
        <v>3856</v>
      </c>
      <c r="J437" s="26" t="s">
        <v>3854</v>
      </c>
      <c r="K437" s="26" t="s">
        <v>3856</v>
      </c>
      <c r="L437" s="26" t="s">
        <v>3854</v>
      </c>
      <c r="M437" s="26" t="s">
        <v>3854</v>
      </c>
      <c r="N437" s="26" t="s">
        <v>3854</v>
      </c>
      <c r="O437" s="26" t="s">
        <v>3854</v>
      </c>
      <c r="P437" s="26" t="s">
        <v>3854</v>
      </c>
      <c r="Q437" s="26" t="s">
        <v>3856</v>
      </c>
      <c r="R437" s="26"/>
      <c r="S437" s="31"/>
      <c r="T437" s="31" t="s">
        <v>3855</v>
      </c>
    </row>
    <row r="438">
      <c r="A438" s="34" t="s">
        <v>1659</v>
      </c>
      <c r="B438" s="34" t="s">
        <v>1660</v>
      </c>
      <c r="C438" s="41">
        <v>45915.0</v>
      </c>
      <c r="D438" s="26"/>
      <c r="E438" s="41" t="s">
        <v>3851</v>
      </c>
      <c r="F438" s="31"/>
      <c r="G438" s="57" t="s">
        <v>3852</v>
      </c>
      <c r="H438" s="48" t="s">
        <v>3853</v>
      </c>
      <c r="I438" s="26" t="s">
        <v>3856</v>
      </c>
      <c r="J438" s="26" t="s">
        <v>3854</v>
      </c>
      <c r="K438" s="26" t="s">
        <v>3856</v>
      </c>
      <c r="L438" s="26" t="s">
        <v>3856</v>
      </c>
      <c r="M438" s="26" t="s">
        <v>3854</v>
      </c>
      <c r="N438" s="26" t="s">
        <v>3854</v>
      </c>
      <c r="O438" s="26" t="s">
        <v>3854</v>
      </c>
      <c r="P438" s="26" t="s">
        <v>3854</v>
      </c>
      <c r="Q438" s="26" t="s">
        <v>3856</v>
      </c>
      <c r="R438" s="26"/>
      <c r="S438" s="31"/>
      <c r="T438" s="31" t="s">
        <v>3855</v>
      </c>
    </row>
    <row r="439">
      <c r="A439" s="34" t="s">
        <v>2924</v>
      </c>
      <c r="B439" s="34" t="s">
        <v>2925</v>
      </c>
      <c r="C439" s="41">
        <v>45915.0</v>
      </c>
      <c r="D439" s="26"/>
      <c r="E439" s="41" t="s">
        <v>3851</v>
      </c>
      <c r="F439" s="31"/>
      <c r="G439" s="57" t="s">
        <v>3852</v>
      </c>
      <c r="H439" s="48" t="s">
        <v>3853</v>
      </c>
      <c r="I439" s="26" t="s">
        <v>3856</v>
      </c>
      <c r="J439" s="26" t="s">
        <v>3854</v>
      </c>
      <c r="K439" s="26" t="s">
        <v>3856</v>
      </c>
      <c r="L439" s="26" t="s">
        <v>3854</v>
      </c>
      <c r="M439" s="26" t="s">
        <v>3854</v>
      </c>
      <c r="N439" s="26" t="s">
        <v>3854</v>
      </c>
      <c r="O439" s="26" t="s">
        <v>3854</v>
      </c>
      <c r="P439" s="26" t="s">
        <v>3854</v>
      </c>
      <c r="Q439" s="26" t="s">
        <v>3856</v>
      </c>
      <c r="R439" s="26"/>
      <c r="S439" s="31"/>
      <c r="T439" s="31" t="s">
        <v>3855</v>
      </c>
    </row>
    <row r="440">
      <c r="A440" s="34" t="s">
        <v>3031</v>
      </c>
      <c r="B440" s="34" t="s">
        <v>3032</v>
      </c>
      <c r="C440" s="41">
        <v>45915.0</v>
      </c>
      <c r="D440" s="26"/>
      <c r="E440" s="37" t="s">
        <v>3851</v>
      </c>
      <c r="F440" s="34"/>
      <c r="G440" s="57" t="s">
        <v>3852</v>
      </c>
      <c r="H440" s="48" t="s">
        <v>3853</v>
      </c>
      <c r="I440" s="26" t="s">
        <v>3856</v>
      </c>
      <c r="J440" s="26" t="s">
        <v>3854</v>
      </c>
      <c r="K440" s="26" t="s">
        <v>3856</v>
      </c>
      <c r="L440" s="26" t="s">
        <v>3854</v>
      </c>
      <c r="M440" s="26" t="s">
        <v>3854</v>
      </c>
      <c r="N440" s="26" t="s">
        <v>3854</v>
      </c>
      <c r="O440" s="26" t="s">
        <v>3854</v>
      </c>
      <c r="P440" s="26" t="s">
        <v>3854</v>
      </c>
      <c r="Q440" s="26" t="s">
        <v>3854</v>
      </c>
      <c r="R440" s="26"/>
      <c r="S440" s="31"/>
      <c r="T440" s="31" t="s">
        <v>3855</v>
      </c>
    </row>
    <row r="441">
      <c r="A441" s="34" t="s">
        <v>1567</v>
      </c>
      <c r="B441" s="34" t="s">
        <v>1568</v>
      </c>
      <c r="C441" s="41">
        <v>45916.0</v>
      </c>
      <c r="D441" s="26"/>
      <c r="E441" s="37" t="s">
        <v>3851</v>
      </c>
      <c r="F441" s="34"/>
      <c r="G441" s="57" t="s">
        <v>3852</v>
      </c>
      <c r="H441" s="48" t="s">
        <v>3853</v>
      </c>
      <c r="I441" s="26" t="s">
        <v>3856</v>
      </c>
      <c r="J441" s="26" t="s">
        <v>3854</v>
      </c>
      <c r="K441" s="26" t="s">
        <v>3856</v>
      </c>
      <c r="L441" s="26" t="s">
        <v>3854</v>
      </c>
      <c r="M441" s="26" t="s">
        <v>3854</v>
      </c>
      <c r="N441" s="26" t="s">
        <v>3854</v>
      </c>
      <c r="O441" s="26" t="s">
        <v>3854</v>
      </c>
      <c r="P441" s="26" t="s">
        <v>3856</v>
      </c>
      <c r="Q441" s="26" t="s">
        <v>3856</v>
      </c>
      <c r="R441" s="26"/>
      <c r="S441" s="31"/>
      <c r="T441" s="31" t="s">
        <v>3855</v>
      </c>
    </row>
    <row r="442">
      <c r="A442" s="34" t="s">
        <v>1239</v>
      </c>
      <c r="B442" s="34" t="s">
        <v>1240</v>
      </c>
      <c r="C442" s="41">
        <v>45919.0</v>
      </c>
      <c r="D442" s="26"/>
      <c r="E442" s="41" t="s">
        <v>3851</v>
      </c>
      <c r="F442" s="34"/>
      <c r="G442" s="57" t="s">
        <v>3852</v>
      </c>
      <c r="H442" s="48" t="s">
        <v>3853</v>
      </c>
      <c r="I442" s="26" t="s">
        <v>3856</v>
      </c>
      <c r="J442" s="26" t="s">
        <v>3854</v>
      </c>
      <c r="K442" s="26" t="s">
        <v>3856</v>
      </c>
      <c r="L442" s="26" t="s">
        <v>3854</v>
      </c>
      <c r="M442" s="26" t="s">
        <v>3854</v>
      </c>
      <c r="N442" s="26" t="s">
        <v>3856</v>
      </c>
      <c r="O442" s="26" t="s">
        <v>3854</v>
      </c>
      <c r="P442" s="26" t="s">
        <v>3856</v>
      </c>
      <c r="Q442" s="26" t="s">
        <v>3854</v>
      </c>
      <c r="R442" s="26"/>
      <c r="S442" s="31"/>
      <c r="T442" s="31" t="s">
        <v>3855</v>
      </c>
    </row>
    <row r="443">
      <c r="A443" s="34" t="s">
        <v>1847</v>
      </c>
      <c r="B443" s="34" t="s">
        <v>1848</v>
      </c>
      <c r="C443" s="41">
        <v>45922.0</v>
      </c>
      <c r="D443" s="26"/>
      <c r="E443" s="41" t="s">
        <v>3851</v>
      </c>
      <c r="F443" s="34"/>
      <c r="G443" s="57" t="s">
        <v>3852</v>
      </c>
      <c r="H443" s="48" t="s">
        <v>3853</v>
      </c>
      <c r="I443" s="26" t="s">
        <v>3856</v>
      </c>
      <c r="J443" s="26" t="s">
        <v>3854</v>
      </c>
      <c r="K443" s="26" t="s">
        <v>3856</v>
      </c>
      <c r="L443" s="26" t="s">
        <v>3854</v>
      </c>
      <c r="M443" s="26" t="s">
        <v>3854</v>
      </c>
      <c r="N443" s="26" t="s">
        <v>3856</v>
      </c>
      <c r="O443" s="26" t="s">
        <v>3854</v>
      </c>
      <c r="P443" s="26" t="s">
        <v>3854</v>
      </c>
      <c r="Q443" s="26" t="s">
        <v>3854</v>
      </c>
      <c r="R443" s="26"/>
      <c r="S443" s="31"/>
      <c r="T443" s="31" t="s">
        <v>3855</v>
      </c>
    </row>
    <row r="444">
      <c r="A444" s="34" t="s">
        <v>3178</v>
      </c>
      <c r="B444" s="34" t="s">
        <v>3179</v>
      </c>
      <c r="C444" s="41">
        <v>45924.0</v>
      </c>
      <c r="D444" s="26"/>
      <c r="E444" s="41" t="s">
        <v>3851</v>
      </c>
      <c r="F444" s="34"/>
      <c r="G444" s="57" t="s">
        <v>3852</v>
      </c>
      <c r="H444" s="48" t="s">
        <v>3853</v>
      </c>
      <c r="I444" s="26" t="s">
        <v>3856</v>
      </c>
      <c r="J444" s="26" t="s">
        <v>3856</v>
      </c>
      <c r="K444" s="26" t="s">
        <v>3856</v>
      </c>
      <c r="L444" s="26" t="s">
        <v>3854</v>
      </c>
      <c r="M444" s="26" t="s">
        <v>3854</v>
      </c>
      <c r="N444" s="26" t="s">
        <v>3854</v>
      </c>
      <c r="O444" s="26" t="s">
        <v>3854</v>
      </c>
      <c r="P444" s="26" t="s">
        <v>3854</v>
      </c>
      <c r="Q444" s="26" t="s">
        <v>3854</v>
      </c>
      <c r="R444" s="26"/>
      <c r="S444" s="31"/>
      <c r="T444" s="31" t="s">
        <v>3855</v>
      </c>
    </row>
    <row r="445">
      <c r="A445" s="34" t="s">
        <v>3088</v>
      </c>
      <c r="B445" s="34" t="s">
        <v>3089</v>
      </c>
      <c r="C445" s="41">
        <v>45925.0</v>
      </c>
      <c r="D445" s="26"/>
      <c r="E445" s="41" t="s">
        <v>3851</v>
      </c>
      <c r="F445" s="34"/>
      <c r="G445" s="57" t="s">
        <v>3852</v>
      </c>
      <c r="H445" s="48" t="s">
        <v>3853</v>
      </c>
      <c r="I445" s="26" t="s">
        <v>3856</v>
      </c>
      <c r="J445" s="26" t="s">
        <v>3854</v>
      </c>
      <c r="K445" s="26" t="s">
        <v>3854</v>
      </c>
      <c r="L445" s="26" t="s">
        <v>3854</v>
      </c>
      <c r="M445" s="26" t="s">
        <v>3854</v>
      </c>
      <c r="N445" s="26" t="s">
        <v>3854</v>
      </c>
      <c r="O445" s="26" t="s">
        <v>3854</v>
      </c>
      <c r="P445" s="26" t="s">
        <v>3854</v>
      </c>
      <c r="Q445" s="26" t="s">
        <v>3854</v>
      </c>
      <c r="R445" s="26"/>
      <c r="S445" s="31"/>
      <c r="T445" s="31" t="s">
        <v>3855</v>
      </c>
    </row>
    <row r="446">
      <c r="A446" s="34" t="s">
        <v>2914</v>
      </c>
      <c r="B446" s="34" t="s">
        <v>2915</v>
      </c>
      <c r="C446" s="41">
        <v>45926.0</v>
      </c>
      <c r="D446" s="26"/>
      <c r="E446" s="37" t="s">
        <v>3851</v>
      </c>
      <c r="F446" s="34"/>
      <c r="G446" s="57" t="s">
        <v>3852</v>
      </c>
      <c r="H446" s="48" t="s">
        <v>3853</v>
      </c>
      <c r="I446" s="26" t="s">
        <v>3856</v>
      </c>
      <c r="J446" s="26" t="s">
        <v>3854</v>
      </c>
      <c r="K446" s="26" t="s">
        <v>3856</v>
      </c>
      <c r="L446" s="26" t="s">
        <v>3854</v>
      </c>
      <c r="M446" s="26" t="s">
        <v>3854</v>
      </c>
      <c r="N446" s="26" t="s">
        <v>3854</v>
      </c>
      <c r="O446" s="26" t="s">
        <v>3854</v>
      </c>
      <c r="P446" s="26" t="s">
        <v>3854</v>
      </c>
      <c r="Q446" s="26" t="s">
        <v>3856</v>
      </c>
      <c r="R446" s="26"/>
      <c r="S446" s="26" t="s">
        <v>4006</v>
      </c>
      <c r="T446" s="31" t="s">
        <v>3855</v>
      </c>
    </row>
    <row r="447">
      <c r="A447" s="34" t="s">
        <v>1074</v>
      </c>
      <c r="B447" s="34" t="s">
        <v>1075</v>
      </c>
      <c r="C447" s="41">
        <v>45929.0</v>
      </c>
      <c r="D447" s="26"/>
      <c r="E447" s="37" t="s">
        <v>3851</v>
      </c>
      <c r="F447" s="34"/>
      <c r="G447" s="57" t="s">
        <v>3852</v>
      </c>
      <c r="H447" s="48" t="s">
        <v>3853</v>
      </c>
      <c r="I447" s="26" t="s">
        <v>3856</v>
      </c>
      <c r="J447" s="26" t="s">
        <v>3856</v>
      </c>
      <c r="K447" s="26" t="s">
        <v>3856</v>
      </c>
      <c r="L447" s="26" t="s">
        <v>3854</v>
      </c>
      <c r="M447" s="26" t="s">
        <v>3854</v>
      </c>
      <c r="N447" s="26" t="s">
        <v>3854</v>
      </c>
      <c r="O447" s="26" t="s">
        <v>3854</v>
      </c>
      <c r="P447" s="26" t="s">
        <v>3854</v>
      </c>
      <c r="Q447" s="26" t="s">
        <v>3856</v>
      </c>
      <c r="R447" s="26"/>
      <c r="S447" s="31"/>
      <c r="T447" s="31" t="s">
        <v>3855</v>
      </c>
    </row>
    <row r="448">
      <c r="A448" s="34" t="s">
        <v>1369</v>
      </c>
      <c r="B448" s="34" t="s">
        <v>1073</v>
      </c>
      <c r="C448" s="41">
        <v>45929.0</v>
      </c>
      <c r="D448" s="26"/>
      <c r="E448" s="37" t="s">
        <v>3851</v>
      </c>
      <c r="F448" s="34"/>
      <c r="G448" s="57" t="s">
        <v>3852</v>
      </c>
      <c r="H448" s="48" t="s">
        <v>3853</v>
      </c>
      <c r="I448" s="26" t="s">
        <v>3856</v>
      </c>
      <c r="J448" s="26" t="s">
        <v>3854</v>
      </c>
      <c r="K448" s="26" t="s">
        <v>3856</v>
      </c>
      <c r="L448" s="26" t="s">
        <v>3854</v>
      </c>
      <c r="M448" s="26" t="s">
        <v>3854</v>
      </c>
      <c r="N448" s="26" t="s">
        <v>3854</v>
      </c>
      <c r="O448" s="26" t="s">
        <v>3854</v>
      </c>
      <c r="P448" s="26" t="s">
        <v>3854</v>
      </c>
      <c r="Q448" s="26" t="s">
        <v>3856</v>
      </c>
      <c r="R448" s="26"/>
      <c r="S448" s="31"/>
      <c r="T448" s="31" t="s">
        <v>3855</v>
      </c>
    </row>
    <row r="449">
      <c r="A449" s="34" t="s">
        <v>1235</v>
      </c>
      <c r="B449" s="34" t="s">
        <v>1236</v>
      </c>
      <c r="C449" s="41">
        <v>45930.0</v>
      </c>
      <c r="D449" s="26"/>
      <c r="E449" s="58" t="str">
        <f>VLOOKUP(B449,AT_Data!A:D,4,0)</f>
        <v>Hold</v>
      </c>
      <c r="F449" s="34" t="str">
        <f>VLOOKUP(B449,'On-Boarding'!C:D,2,0)</f>
        <v>Legal</v>
      </c>
      <c r="G449" s="59" t="s">
        <v>3875</v>
      </c>
      <c r="H449" s="48" t="s">
        <v>3876</v>
      </c>
      <c r="I449" s="26" t="s">
        <v>3856</v>
      </c>
      <c r="J449" s="26" t="s">
        <v>3856</v>
      </c>
      <c r="K449" s="26" t="s">
        <v>3854</v>
      </c>
      <c r="L449" s="26" t="s">
        <v>3854</v>
      </c>
      <c r="M449" s="26" t="s">
        <v>3854</v>
      </c>
      <c r="N449" s="26" t="s">
        <v>3854</v>
      </c>
      <c r="O449" s="26" t="s">
        <v>3854</v>
      </c>
      <c r="P449" s="26" t="s">
        <v>3854</v>
      </c>
      <c r="Q449" s="26" t="s">
        <v>3854</v>
      </c>
      <c r="R449" s="26"/>
      <c r="S449" s="31"/>
      <c r="T449" s="31" t="s">
        <v>3855</v>
      </c>
    </row>
    <row r="450">
      <c r="A450" s="26" t="s">
        <v>2897</v>
      </c>
      <c r="B450" s="34" t="s">
        <v>2898</v>
      </c>
      <c r="C450" s="41">
        <v>45930.0</v>
      </c>
      <c r="D450" s="26"/>
      <c r="E450" s="37" t="s">
        <v>3851</v>
      </c>
      <c r="F450" s="34"/>
      <c r="G450" s="57" t="s">
        <v>3852</v>
      </c>
      <c r="H450" s="48" t="s">
        <v>3853</v>
      </c>
      <c r="I450" s="26" t="s">
        <v>3856</v>
      </c>
      <c r="J450" s="26" t="s">
        <v>3854</v>
      </c>
      <c r="K450" s="26" t="s">
        <v>3856</v>
      </c>
      <c r="L450" s="26" t="s">
        <v>3854</v>
      </c>
      <c r="M450" s="26" t="s">
        <v>3854</v>
      </c>
      <c r="N450" s="26" t="s">
        <v>3854</v>
      </c>
      <c r="O450" s="26" t="s">
        <v>3854</v>
      </c>
      <c r="P450" s="26" t="s">
        <v>3854</v>
      </c>
      <c r="Q450" s="26" t="s">
        <v>3854</v>
      </c>
      <c r="R450" s="26"/>
      <c r="S450" s="31"/>
      <c r="T450" s="31" t="s">
        <v>3855</v>
      </c>
    </row>
    <row r="451">
      <c r="A451" s="34" t="s">
        <v>1823</v>
      </c>
      <c r="B451" s="34" t="s">
        <v>1824</v>
      </c>
      <c r="C451" s="41">
        <v>45930.0</v>
      </c>
      <c r="D451" s="26"/>
      <c r="E451" s="41" t="s">
        <v>3851</v>
      </c>
      <c r="F451" s="34"/>
      <c r="G451" s="57" t="s">
        <v>3852</v>
      </c>
      <c r="H451" s="48" t="s">
        <v>3853</v>
      </c>
      <c r="I451" s="26" t="s">
        <v>3856</v>
      </c>
      <c r="J451" s="26" t="s">
        <v>3854</v>
      </c>
      <c r="K451" s="26" t="s">
        <v>3854</v>
      </c>
      <c r="L451" s="26" t="s">
        <v>3854</v>
      </c>
      <c r="M451" s="26" t="s">
        <v>3854</v>
      </c>
      <c r="N451" s="26" t="s">
        <v>3854</v>
      </c>
      <c r="O451" s="26" t="s">
        <v>3854</v>
      </c>
      <c r="P451" s="26" t="s">
        <v>3854</v>
      </c>
      <c r="Q451" s="26" t="s">
        <v>3854</v>
      </c>
      <c r="R451" s="26"/>
      <c r="S451" s="31"/>
      <c r="T451" s="31" t="s">
        <v>3855</v>
      </c>
    </row>
    <row r="452">
      <c r="A452" s="34" t="s">
        <v>4007</v>
      </c>
      <c r="B452" s="34" t="s">
        <v>1649</v>
      </c>
      <c r="C452" s="41">
        <v>45930.0</v>
      </c>
      <c r="D452" s="26"/>
      <c r="E452" s="41" t="s">
        <v>3851</v>
      </c>
      <c r="F452" s="34"/>
      <c r="G452" s="57" t="s">
        <v>3852</v>
      </c>
      <c r="H452" s="48" t="s">
        <v>3853</v>
      </c>
      <c r="I452" s="26" t="s">
        <v>3856</v>
      </c>
      <c r="J452" s="26" t="s">
        <v>3854</v>
      </c>
      <c r="K452" s="26" t="s">
        <v>3864</v>
      </c>
      <c r="L452" s="26" t="s">
        <v>3854</v>
      </c>
      <c r="M452" s="26" t="s">
        <v>3854</v>
      </c>
      <c r="N452" s="26" t="s">
        <v>3854</v>
      </c>
      <c r="O452" s="26" t="s">
        <v>3854</v>
      </c>
      <c r="P452" s="26" t="s">
        <v>3854</v>
      </c>
      <c r="Q452" s="26" t="s">
        <v>3856</v>
      </c>
      <c r="R452" s="26"/>
      <c r="S452" s="26" t="s">
        <v>3865</v>
      </c>
      <c r="T452" s="31" t="s">
        <v>3855</v>
      </c>
    </row>
    <row r="453">
      <c r="A453" s="34" t="s">
        <v>2950</v>
      </c>
      <c r="B453" s="34" t="s">
        <v>2951</v>
      </c>
      <c r="C453" s="41">
        <v>45930.0</v>
      </c>
      <c r="D453" s="26"/>
      <c r="E453" s="41" t="s">
        <v>3851</v>
      </c>
      <c r="F453" s="34"/>
      <c r="G453" s="57" t="s">
        <v>3852</v>
      </c>
      <c r="H453" s="48" t="s">
        <v>3853</v>
      </c>
      <c r="I453" s="26" t="s">
        <v>3856</v>
      </c>
      <c r="J453" s="26" t="s">
        <v>3854</v>
      </c>
      <c r="K453" s="26" t="s">
        <v>3856</v>
      </c>
      <c r="L453" s="26" t="s">
        <v>3854</v>
      </c>
      <c r="M453" s="26" t="s">
        <v>3854</v>
      </c>
      <c r="N453" s="26" t="s">
        <v>3854</v>
      </c>
      <c r="O453" s="26" t="s">
        <v>3854</v>
      </c>
      <c r="P453" s="26" t="s">
        <v>3854</v>
      </c>
      <c r="Q453" s="26" t="s">
        <v>3854</v>
      </c>
      <c r="R453" s="26"/>
      <c r="S453" s="31"/>
      <c r="T453" s="31" t="s">
        <v>3855</v>
      </c>
    </row>
    <row r="454">
      <c r="A454" s="34" t="s">
        <v>1558</v>
      </c>
      <c r="B454" s="34" t="s">
        <v>1559</v>
      </c>
      <c r="C454" s="41">
        <v>45931.0</v>
      </c>
      <c r="D454" s="26"/>
      <c r="E454" s="41" t="s">
        <v>3851</v>
      </c>
      <c r="F454" s="34"/>
      <c r="G454" s="57" t="s">
        <v>3852</v>
      </c>
      <c r="H454" s="48" t="s">
        <v>3853</v>
      </c>
      <c r="I454" s="26" t="s">
        <v>3856</v>
      </c>
      <c r="J454" s="26" t="s">
        <v>3854</v>
      </c>
      <c r="K454" s="26" t="s">
        <v>3856</v>
      </c>
      <c r="L454" s="26" t="s">
        <v>3854</v>
      </c>
      <c r="M454" s="26" t="s">
        <v>3854</v>
      </c>
      <c r="N454" s="26" t="s">
        <v>3854</v>
      </c>
      <c r="O454" s="26" t="s">
        <v>3854</v>
      </c>
      <c r="P454" s="26" t="s">
        <v>3854</v>
      </c>
      <c r="Q454" s="26" t="s">
        <v>3854</v>
      </c>
      <c r="R454" s="26"/>
      <c r="S454" s="31"/>
      <c r="T454" s="31" t="s">
        <v>3855</v>
      </c>
    </row>
    <row r="455">
      <c r="A455" s="34" t="s">
        <v>1098</v>
      </c>
      <c r="B455" s="34" t="s">
        <v>1099</v>
      </c>
      <c r="C455" s="41">
        <v>45931.0</v>
      </c>
      <c r="D455" s="26"/>
      <c r="E455" s="58" t="str">
        <f>VLOOKUP(B455,AT_Data!A:D,4,0)</f>
        <v>Hold</v>
      </c>
      <c r="F455" s="34" t="str">
        <f>VLOOKUP(B455,'On-Boarding'!C:D,2,0)</f>
        <v>Human Resources</v>
      </c>
      <c r="G455" s="59" t="s">
        <v>3875</v>
      </c>
      <c r="H455" s="48" t="s">
        <v>3876</v>
      </c>
      <c r="I455" s="26" t="s">
        <v>3854</v>
      </c>
      <c r="J455" s="26" t="s">
        <v>3854</v>
      </c>
      <c r="K455" s="26" t="s">
        <v>3854</v>
      </c>
      <c r="L455" s="26" t="s">
        <v>3854</v>
      </c>
      <c r="M455" s="26" t="s">
        <v>3854</v>
      </c>
      <c r="N455" s="26" t="s">
        <v>3854</v>
      </c>
      <c r="O455" s="26" t="s">
        <v>3854</v>
      </c>
      <c r="P455" s="26" t="s">
        <v>3854</v>
      </c>
      <c r="Q455" s="26" t="s">
        <v>3854</v>
      </c>
      <c r="R455" s="26"/>
      <c r="S455" s="31"/>
      <c r="T455" s="31" t="s">
        <v>3855</v>
      </c>
    </row>
    <row r="456">
      <c r="A456" s="34" t="s">
        <v>3127</v>
      </c>
      <c r="B456" s="34" t="s">
        <v>3128</v>
      </c>
      <c r="C456" s="41">
        <v>45931.0</v>
      </c>
      <c r="D456" s="26"/>
      <c r="E456" s="41" t="s">
        <v>3851</v>
      </c>
      <c r="F456" s="34"/>
      <c r="G456" s="57" t="s">
        <v>3852</v>
      </c>
      <c r="H456" s="48" t="s">
        <v>3853</v>
      </c>
      <c r="I456" s="26" t="s">
        <v>3856</v>
      </c>
      <c r="J456" s="26" t="s">
        <v>3854</v>
      </c>
      <c r="K456" s="26" t="s">
        <v>3856</v>
      </c>
      <c r="L456" s="26" t="s">
        <v>3854</v>
      </c>
      <c r="M456" s="26" t="s">
        <v>3854</v>
      </c>
      <c r="N456" s="26" t="s">
        <v>3854</v>
      </c>
      <c r="O456" s="26" t="s">
        <v>3854</v>
      </c>
      <c r="P456" s="26" t="s">
        <v>3854</v>
      </c>
      <c r="Q456" s="26" t="s">
        <v>3854</v>
      </c>
      <c r="R456" s="26"/>
      <c r="S456" s="31"/>
      <c r="T456" s="31" t="s">
        <v>3855</v>
      </c>
    </row>
    <row r="457">
      <c r="A457" s="34" t="s">
        <v>902</v>
      </c>
      <c r="B457" s="26" t="s">
        <v>903</v>
      </c>
      <c r="C457" s="41">
        <v>45932.0</v>
      </c>
      <c r="D457" s="26"/>
      <c r="E457" s="41" t="s">
        <v>3851</v>
      </c>
      <c r="F457" s="34"/>
      <c r="G457" s="57" t="s">
        <v>3852</v>
      </c>
      <c r="H457" s="48" t="s">
        <v>3853</v>
      </c>
      <c r="I457" s="26" t="s">
        <v>3856</v>
      </c>
      <c r="J457" s="26" t="s">
        <v>3854</v>
      </c>
      <c r="K457" s="26" t="s">
        <v>3856</v>
      </c>
      <c r="L457" s="26" t="s">
        <v>3854</v>
      </c>
      <c r="M457" s="26" t="s">
        <v>3854</v>
      </c>
      <c r="N457" s="26" t="s">
        <v>3854</v>
      </c>
      <c r="O457" s="26" t="s">
        <v>3854</v>
      </c>
      <c r="P457" s="26" t="s">
        <v>3854</v>
      </c>
      <c r="Q457" s="26" t="s">
        <v>3854</v>
      </c>
      <c r="R457" s="26"/>
      <c r="S457" s="34"/>
      <c r="T457" s="31" t="s">
        <v>3855</v>
      </c>
    </row>
    <row r="458">
      <c r="A458" s="34" t="s">
        <v>845</v>
      </c>
      <c r="B458" s="34" t="s">
        <v>4008</v>
      </c>
      <c r="C458" s="41">
        <v>45932.0</v>
      </c>
      <c r="D458" s="26"/>
      <c r="E458" s="41" t="s">
        <v>3851</v>
      </c>
      <c r="F458" s="34"/>
      <c r="G458" s="57" t="s">
        <v>3852</v>
      </c>
      <c r="H458" s="48" t="s">
        <v>3853</v>
      </c>
      <c r="I458" s="26" t="s">
        <v>3856</v>
      </c>
      <c r="J458" s="26" t="s">
        <v>3854</v>
      </c>
      <c r="K458" s="26" t="s">
        <v>3854</v>
      </c>
      <c r="L458" s="26" t="s">
        <v>3854</v>
      </c>
      <c r="M458" s="26" t="s">
        <v>3854</v>
      </c>
      <c r="N458" s="26" t="s">
        <v>3854</v>
      </c>
      <c r="O458" s="26" t="s">
        <v>3854</v>
      </c>
      <c r="P458" s="26" t="s">
        <v>3854</v>
      </c>
      <c r="Q458" s="26" t="s">
        <v>3854</v>
      </c>
      <c r="R458" s="26"/>
      <c r="S458" s="34"/>
      <c r="T458" s="31" t="s">
        <v>3855</v>
      </c>
    </row>
    <row r="459">
      <c r="A459" s="34" t="s">
        <v>1324</v>
      </c>
      <c r="B459" s="34" t="s">
        <v>1325</v>
      </c>
      <c r="C459" s="37">
        <v>45933.0</v>
      </c>
      <c r="D459" s="56">
        <v>45926.0</v>
      </c>
      <c r="E459" s="37" t="s">
        <v>3851</v>
      </c>
      <c r="F459" s="34"/>
      <c r="G459" s="57" t="s">
        <v>3852</v>
      </c>
      <c r="H459" s="48" t="s">
        <v>3853</v>
      </c>
      <c r="I459" s="26" t="s">
        <v>3856</v>
      </c>
      <c r="J459" s="26" t="s">
        <v>3854</v>
      </c>
      <c r="K459" s="26" t="s">
        <v>3856</v>
      </c>
      <c r="L459" s="26" t="s">
        <v>3854</v>
      </c>
      <c r="M459" s="26" t="s">
        <v>3856</v>
      </c>
      <c r="N459" s="26" t="s">
        <v>3854</v>
      </c>
      <c r="O459" s="26" t="s">
        <v>3854</v>
      </c>
      <c r="P459" s="26" t="s">
        <v>3854</v>
      </c>
      <c r="Q459" s="26" t="s">
        <v>3854</v>
      </c>
      <c r="R459" s="26"/>
      <c r="S459" s="31"/>
      <c r="T459" s="31" t="s">
        <v>3855</v>
      </c>
    </row>
    <row r="460">
      <c r="A460" s="34" t="s">
        <v>1839</v>
      </c>
      <c r="B460" s="34" t="s">
        <v>1840</v>
      </c>
      <c r="C460" s="37">
        <v>45933.0</v>
      </c>
      <c r="D460" s="56">
        <v>45931.0</v>
      </c>
      <c r="E460" s="37" t="s">
        <v>3851</v>
      </c>
      <c r="F460" s="34"/>
      <c r="G460" s="57" t="s">
        <v>3852</v>
      </c>
      <c r="H460" s="48" t="s">
        <v>3853</v>
      </c>
      <c r="I460" s="26" t="s">
        <v>3856</v>
      </c>
      <c r="J460" s="26" t="s">
        <v>3856</v>
      </c>
      <c r="K460" s="26" t="s">
        <v>3854</v>
      </c>
      <c r="L460" s="26" t="s">
        <v>3854</v>
      </c>
      <c r="M460" s="26" t="s">
        <v>3854</v>
      </c>
      <c r="N460" s="26" t="s">
        <v>3854</v>
      </c>
      <c r="O460" s="26" t="s">
        <v>3854</v>
      </c>
      <c r="P460" s="26" t="s">
        <v>3854</v>
      </c>
      <c r="Q460" s="26" t="s">
        <v>3854</v>
      </c>
      <c r="R460" s="26"/>
      <c r="S460" s="31"/>
      <c r="T460" s="31" t="s">
        <v>3855</v>
      </c>
    </row>
    <row r="461">
      <c r="A461" s="34" t="s">
        <v>1541</v>
      </c>
      <c r="B461" s="34" t="s">
        <v>1542</v>
      </c>
      <c r="C461" s="41">
        <v>45933.0</v>
      </c>
      <c r="D461" s="56">
        <v>45933.0</v>
      </c>
      <c r="E461" s="37" t="s">
        <v>3851</v>
      </c>
      <c r="F461" s="34"/>
      <c r="G461" s="57" t="s">
        <v>3852</v>
      </c>
      <c r="H461" s="48" t="s">
        <v>3853</v>
      </c>
      <c r="I461" s="26" t="s">
        <v>3856</v>
      </c>
      <c r="J461" s="26" t="s">
        <v>3856</v>
      </c>
      <c r="K461" s="26" t="s">
        <v>3856</v>
      </c>
      <c r="L461" s="26" t="s">
        <v>3854</v>
      </c>
      <c r="M461" s="26" t="s">
        <v>3854</v>
      </c>
      <c r="N461" s="26" t="s">
        <v>3854</v>
      </c>
      <c r="O461" s="26" t="s">
        <v>3854</v>
      </c>
      <c r="P461" s="26" t="s">
        <v>3854</v>
      </c>
      <c r="Q461" s="26" t="s">
        <v>3854</v>
      </c>
      <c r="R461" s="26"/>
      <c r="S461" s="31"/>
      <c r="T461" s="31" t="s">
        <v>3855</v>
      </c>
    </row>
    <row r="462">
      <c r="A462" s="34" t="s">
        <v>1294</v>
      </c>
      <c r="B462" s="26" t="s">
        <v>1295</v>
      </c>
      <c r="C462" s="41">
        <v>45933.0</v>
      </c>
      <c r="D462" s="56">
        <v>45933.0</v>
      </c>
      <c r="E462" s="37" t="s">
        <v>3851</v>
      </c>
      <c r="F462" s="34"/>
      <c r="G462" s="57" t="s">
        <v>3852</v>
      </c>
      <c r="H462" s="48" t="s">
        <v>3853</v>
      </c>
      <c r="I462" s="26" t="s">
        <v>3856</v>
      </c>
      <c r="J462" s="26" t="s">
        <v>3854</v>
      </c>
      <c r="K462" s="26" t="s">
        <v>3856</v>
      </c>
      <c r="L462" s="26" t="s">
        <v>3854</v>
      </c>
      <c r="M462" s="26" t="s">
        <v>3854</v>
      </c>
      <c r="N462" s="26" t="s">
        <v>3854</v>
      </c>
      <c r="O462" s="26" t="s">
        <v>3854</v>
      </c>
      <c r="P462" s="26" t="s">
        <v>3854</v>
      </c>
      <c r="Q462" s="26" t="s">
        <v>3854</v>
      </c>
      <c r="R462" s="26"/>
      <c r="S462" s="31"/>
      <c r="T462" s="31" t="s">
        <v>3855</v>
      </c>
    </row>
    <row r="463">
      <c r="A463" s="26" t="s">
        <v>1069</v>
      </c>
      <c r="B463" s="26" t="s">
        <v>1070</v>
      </c>
      <c r="C463" s="37">
        <v>45937.0</v>
      </c>
      <c r="D463" s="56">
        <v>45937.0</v>
      </c>
      <c r="E463" s="37" t="s">
        <v>3851</v>
      </c>
      <c r="F463" s="34"/>
      <c r="G463" s="57" t="s">
        <v>3852</v>
      </c>
      <c r="H463" s="48" t="s">
        <v>3853</v>
      </c>
      <c r="I463" s="26" t="s">
        <v>3856</v>
      </c>
      <c r="J463" s="26" t="s">
        <v>3856</v>
      </c>
      <c r="K463" s="26" t="s">
        <v>3854</v>
      </c>
      <c r="L463" s="26" t="s">
        <v>3854</v>
      </c>
      <c r="M463" s="26" t="s">
        <v>3854</v>
      </c>
      <c r="N463" s="26" t="s">
        <v>3854</v>
      </c>
      <c r="O463" s="26" t="s">
        <v>3854</v>
      </c>
      <c r="P463" s="26" t="s">
        <v>3854</v>
      </c>
      <c r="Q463" s="26" t="s">
        <v>3856</v>
      </c>
      <c r="R463" s="26"/>
      <c r="S463" s="31"/>
      <c r="T463" s="31" t="s">
        <v>3855</v>
      </c>
    </row>
    <row r="464">
      <c r="A464" s="26" t="str">
        <f t="array" ref="A464">IFERROR(VLOOKUP(B464,{Lists!$H$4:$H829,Lists!$G$4:$G829},2,0),"")</f>
        <v>Hitesh Kwatra</v>
      </c>
      <c r="B464" s="26" t="s">
        <v>1330</v>
      </c>
      <c r="C464" s="37">
        <v>45937.0</v>
      </c>
      <c r="D464" s="56">
        <v>45937.0</v>
      </c>
      <c r="E464" s="37" t="s">
        <v>3851</v>
      </c>
      <c r="F464" s="34"/>
      <c r="G464" s="57" t="s">
        <v>3852</v>
      </c>
      <c r="H464" s="48" t="s">
        <v>3853</v>
      </c>
      <c r="I464" s="26" t="s">
        <v>3856</v>
      </c>
      <c r="J464" s="26" t="s">
        <v>3854</v>
      </c>
      <c r="K464" s="26" t="s">
        <v>3856</v>
      </c>
      <c r="L464" s="26" t="s">
        <v>3854</v>
      </c>
      <c r="M464" s="26" t="s">
        <v>3854</v>
      </c>
      <c r="N464" s="26" t="s">
        <v>3854</v>
      </c>
      <c r="O464" s="26" t="s">
        <v>3856</v>
      </c>
      <c r="P464" s="26" t="s">
        <v>3854</v>
      </c>
      <c r="Q464" s="26" t="s">
        <v>3856</v>
      </c>
      <c r="R464" s="26"/>
      <c r="S464" s="31"/>
      <c r="T464" s="31" t="s">
        <v>3855</v>
      </c>
    </row>
    <row r="465">
      <c r="A465" s="26" t="s">
        <v>1268</v>
      </c>
      <c r="B465" s="26" t="s">
        <v>1269</v>
      </c>
      <c r="C465" s="37">
        <v>45937.0</v>
      </c>
      <c r="D465" s="56">
        <v>45937.0</v>
      </c>
      <c r="E465" s="37" t="s">
        <v>3851</v>
      </c>
      <c r="F465" s="34"/>
      <c r="G465" s="57" t="s">
        <v>3852</v>
      </c>
      <c r="H465" s="48" t="s">
        <v>3853</v>
      </c>
      <c r="I465" s="26" t="s">
        <v>3856</v>
      </c>
      <c r="J465" s="26" t="s">
        <v>3854</v>
      </c>
      <c r="K465" s="26" t="s">
        <v>3856</v>
      </c>
      <c r="L465" s="26" t="s">
        <v>3854</v>
      </c>
      <c r="M465" s="26" t="s">
        <v>3854</v>
      </c>
      <c r="N465" s="26" t="s">
        <v>3854</v>
      </c>
      <c r="O465" s="26" t="s">
        <v>3854</v>
      </c>
      <c r="P465" s="26" t="s">
        <v>3854</v>
      </c>
      <c r="Q465" s="26" t="s">
        <v>3854</v>
      </c>
      <c r="R465" s="26"/>
      <c r="S465" s="31"/>
      <c r="T465" s="31" t="s">
        <v>3855</v>
      </c>
    </row>
    <row r="466">
      <c r="A466" s="26" t="s">
        <v>1291</v>
      </c>
      <c r="B466" s="26" t="s">
        <v>1292</v>
      </c>
      <c r="C466" s="37">
        <v>45937.0</v>
      </c>
      <c r="D466" s="56">
        <v>45937.0</v>
      </c>
      <c r="E466" s="37" t="s">
        <v>3851</v>
      </c>
      <c r="F466" s="34"/>
      <c r="G466" s="57" t="s">
        <v>3852</v>
      </c>
      <c r="H466" s="48" t="s">
        <v>3853</v>
      </c>
      <c r="I466" s="26" t="s">
        <v>3856</v>
      </c>
      <c r="J466" s="26" t="s">
        <v>3854</v>
      </c>
      <c r="K466" s="26" t="s">
        <v>3856</v>
      </c>
      <c r="L466" s="26" t="s">
        <v>3854</v>
      </c>
      <c r="M466" s="26" t="s">
        <v>3854</v>
      </c>
      <c r="N466" s="26" t="s">
        <v>3854</v>
      </c>
      <c r="O466" s="26" t="s">
        <v>3854</v>
      </c>
      <c r="P466" s="26" t="s">
        <v>3854</v>
      </c>
      <c r="Q466" s="26" t="s">
        <v>3854</v>
      </c>
      <c r="R466" s="26"/>
      <c r="S466" s="31"/>
      <c r="T466" s="31" t="s">
        <v>3855</v>
      </c>
    </row>
    <row r="467">
      <c r="A467" s="26" t="str">
        <f t="array" ref="A467">IFERROR(VLOOKUP(B467,{Lists!$H$4:$H829,Lists!$G$4:$G829},2,0),"")</f>
        <v>Piyush Kumar</v>
      </c>
      <c r="B467" s="26" t="s">
        <v>1522</v>
      </c>
      <c r="C467" s="37">
        <v>45937.0</v>
      </c>
      <c r="D467" s="56">
        <v>45937.0</v>
      </c>
      <c r="E467" s="37" t="s">
        <v>3851</v>
      </c>
      <c r="F467" s="34"/>
      <c r="G467" s="57" t="s">
        <v>3852</v>
      </c>
      <c r="H467" s="48" t="s">
        <v>3853</v>
      </c>
      <c r="I467" s="26" t="s">
        <v>3856</v>
      </c>
      <c r="J467" s="26" t="s">
        <v>3854</v>
      </c>
      <c r="K467" s="26" t="s">
        <v>3856</v>
      </c>
      <c r="L467" s="26" t="s">
        <v>3854</v>
      </c>
      <c r="M467" s="26" t="s">
        <v>3854</v>
      </c>
      <c r="N467" s="26" t="s">
        <v>3854</v>
      </c>
      <c r="O467" s="26" t="s">
        <v>3854</v>
      </c>
      <c r="P467" s="26" t="s">
        <v>3854</v>
      </c>
      <c r="Q467" s="26" t="s">
        <v>3854</v>
      </c>
      <c r="R467" s="26"/>
      <c r="S467" s="31"/>
      <c r="T467" s="31" t="s">
        <v>3855</v>
      </c>
    </row>
    <row r="468">
      <c r="A468" s="26" t="str">
        <f t="array" ref="A468">IFERROR(VLOOKUP(B468,{Lists!$H$4:$H829,Lists!$G$4:$G829},2,0),"")</f>
        <v>Pooja Lunia</v>
      </c>
      <c r="B468" s="26" t="s">
        <v>1525</v>
      </c>
      <c r="C468" s="37">
        <v>45939.0</v>
      </c>
      <c r="D468" s="56">
        <v>45939.0</v>
      </c>
      <c r="E468" s="37" t="s">
        <v>3851</v>
      </c>
      <c r="F468" s="34"/>
      <c r="G468" s="57" t="s">
        <v>3852</v>
      </c>
      <c r="H468" s="48" t="s">
        <v>3853</v>
      </c>
      <c r="I468" s="26" t="s">
        <v>3856</v>
      </c>
      <c r="J468" s="26" t="s">
        <v>3854</v>
      </c>
      <c r="K468" s="26" t="s">
        <v>3854</v>
      </c>
      <c r="L468" s="26" t="s">
        <v>3854</v>
      </c>
      <c r="M468" s="26" t="s">
        <v>3854</v>
      </c>
      <c r="N468" s="26" t="s">
        <v>3854</v>
      </c>
      <c r="O468" s="26" t="s">
        <v>3854</v>
      </c>
      <c r="P468" s="26" t="s">
        <v>3854</v>
      </c>
      <c r="Q468" s="26" t="s">
        <v>3854</v>
      </c>
      <c r="R468" s="26"/>
      <c r="S468" s="31"/>
      <c r="T468" s="31" t="s">
        <v>3855</v>
      </c>
    </row>
    <row r="469">
      <c r="A469" s="31" t="s">
        <v>1581</v>
      </c>
      <c r="B469" s="31" t="s">
        <v>1582</v>
      </c>
      <c r="C469" s="37">
        <v>45943.0</v>
      </c>
      <c r="D469" s="56">
        <v>45943.0</v>
      </c>
      <c r="E469" s="37" t="s">
        <v>3851</v>
      </c>
      <c r="F469" s="34"/>
      <c r="G469" s="57" t="s">
        <v>3852</v>
      </c>
      <c r="H469" s="48" t="s">
        <v>3853</v>
      </c>
      <c r="I469" s="26" t="s">
        <v>3856</v>
      </c>
      <c r="J469" s="26" t="s">
        <v>3854</v>
      </c>
      <c r="K469" s="26" t="s">
        <v>3854</v>
      </c>
      <c r="L469" s="26" t="s">
        <v>3854</v>
      </c>
      <c r="M469" s="26" t="s">
        <v>3854</v>
      </c>
      <c r="N469" s="26" t="s">
        <v>3854</v>
      </c>
      <c r="O469" s="26" t="s">
        <v>3856</v>
      </c>
      <c r="P469" s="26" t="s">
        <v>3856</v>
      </c>
      <c r="Q469" s="26" t="s">
        <v>3854</v>
      </c>
      <c r="R469" s="26"/>
      <c r="S469" s="31"/>
      <c r="T469" s="31" t="s">
        <v>3855</v>
      </c>
    </row>
    <row r="470">
      <c r="A470" s="26" t="str">
        <f t="array" ref="A470">IFERROR(VLOOKUP(B470,{Lists!$H$4:$H829,Lists!$G$4:$G829},2,0),"")</f>
        <v>Abhishek Swami</v>
      </c>
      <c r="B470" s="26" t="s">
        <v>1038</v>
      </c>
      <c r="C470" s="37">
        <v>45943.0</v>
      </c>
      <c r="D470" s="56">
        <v>45943.0</v>
      </c>
      <c r="E470" s="37" t="s">
        <v>3851</v>
      </c>
      <c r="F470" s="34"/>
      <c r="G470" s="57" t="s">
        <v>3852</v>
      </c>
      <c r="H470" s="48" t="s">
        <v>3853</v>
      </c>
      <c r="I470" s="26" t="s">
        <v>3856</v>
      </c>
      <c r="J470" s="26" t="s">
        <v>3856</v>
      </c>
      <c r="K470" s="26" t="s">
        <v>3854</v>
      </c>
      <c r="L470" s="26" t="s">
        <v>3854</v>
      </c>
      <c r="M470" s="26" t="s">
        <v>3854</v>
      </c>
      <c r="N470" s="26" t="s">
        <v>3854</v>
      </c>
      <c r="O470" s="26" t="s">
        <v>3854</v>
      </c>
      <c r="P470" s="26" t="s">
        <v>3854</v>
      </c>
      <c r="Q470" s="26" t="s">
        <v>3854</v>
      </c>
      <c r="R470" s="26"/>
      <c r="S470" s="31"/>
      <c r="T470" s="31" t="s">
        <v>3855</v>
      </c>
    </row>
    <row r="471">
      <c r="A471" s="26" t="str">
        <f t="array" ref="A471">IFERROR(VLOOKUP(B471,{Lists!$H$4:$H829,Lists!$G$4:$G829},2,0),"")</f>
        <v>Gargi Singh Bhadu</v>
      </c>
      <c r="B471" s="26" t="s">
        <v>1272</v>
      </c>
      <c r="C471" s="37">
        <v>45943.0</v>
      </c>
      <c r="D471" s="56">
        <v>45943.0</v>
      </c>
      <c r="E471" s="37" t="s">
        <v>3851</v>
      </c>
      <c r="F471" s="34"/>
      <c r="G471" s="57" t="s">
        <v>3852</v>
      </c>
      <c r="H471" s="48" t="s">
        <v>3853</v>
      </c>
      <c r="I471" s="26" t="s">
        <v>3856</v>
      </c>
      <c r="J471" s="26" t="s">
        <v>3854</v>
      </c>
      <c r="K471" s="26" t="s">
        <v>3854</v>
      </c>
      <c r="L471" s="26" t="s">
        <v>3854</v>
      </c>
      <c r="M471" s="26" t="s">
        <v>3854</v>
      </c>
      <c r="N471" s="26" t="s">
        <v>3854</v>
      </c>
      <c r="O471" s="26" t="s">
        <v>3854</v>
      </c>
      <c r="P471" s="26" t="s">
        <v>3854</v>
      </c>
      <c r="Q471" s="26" t="s">
        <v>3854</v>
      </c>
      <c r="R471" s="26"/>
      <c r="S471" s="31"/>
      <c r="T471" s="31" t="s">
        <v>3855</v>
      </c>
    </row>
    <row r="472">
      <c r="A472" s="26" t="str">
        <f t="array" ref="A472">IFERROR(VLOOKUP(B472,{Lists!$H$4:$H829,Lists!$G$4:$G829},2,0),"")</f>
        <v>Dev Peshawari</v>
      </c>
      <c r="B472" s="26" t="s">
        <v>1251</v>
      </c>
      <c r="C472" s="37">
        <v>45943.0</v>
      </c>
      <c r="D472" s="56">
        <v>45943.0</v>
      </c>
      <c r="E472" s="37" t="s">
        <v>3851</v>
      </c>
      <c r="F472" s="34"/>
      <c r="G472" s="57" t="s">
        <v>3852</v>
      </c>
      <c r="H472" s="48" t="s">
        <v>3853</v>
      </c>
      <c r="I472" s="26" t="s">
        <v>3856</v>
      </c>
      <c r="J472" s="26" t="s">
        <v>3854</v>
      </c>
      <c r="K472" s="26" t="s">
        <v>3856</v>
      </c>
      <c r="L472" s="26" t="s">
        <v>3854</v>
      </c>
      <c r="M472" s="26" t="s">
        <v>3854</v>
      </c>
      <c r="N472" s="26" t="s">
        <v>3854</v>
      </c>
      <c r="O472" s="26" t="s">
        <v>3856</v>
      </c>
      <c r="P472" s="26" t="s">
        <v>3854</v>
      </c>
      <c r="Q472" s="26" t="s">
        <v>3854</v>
      </c>
      <c r="R472" s="26"/>
      <c r="S472" s="31"/>
      <c r="T472" s="31" t="s">
        <v>3855</v>
      </c>
    </row>
    <row r="473">
      <c r="A473" s="26" t="str">
        <f t="array" ref="A473">IFERROR(VLOOKUP(B473,{Lists!$H$4:$H829,Lists!$G$4:$G829},2,0),"")</f>
        <v>Shubham Verma</v>
      </c>
      <c r="B473" s="26" t="s">
        <v>1732</v>
      </c>
      <c r="C473" s="37">
        <v>45944.0</v>
      </c>
      <c r="D473" s="56">
        <v>45944.0</v>
      </c>
      <c r="E473" s="37" t="s">
        <v>3851</v>
      </c>
      <c r="F473" s="34"/>
      <c r="G473" s="57" t="s">
        <v>3852</v>
      </c>
      <c r="H473" s="48" t="s">
        <v>3853</v>
      </c>
      <c r="I473" s="26" t="s">
        <v>3856</v>
      </c>
      <c r="J473" s="26" t="s">
        <v>3854</v>
      </c>
      <c r="K473" s="26" t="s">
        <v>3856</v>
      </c>
      <c r="L473" s="26" t="s">
        <v>3854</v>
      </c>
      <c r="M473" s="26" t="s">
        <v>3854</v>
      </c>
      <c r="N473" s="26" t="s">
        <v>3854</v>
      </c>
      <c r="O473" s="26" t="s">
        <v>3854</v>
      </c>
      <c r="P473" s="26" t="s">
        <v>3854</v>
      </c>
      <c r="Q473" s="26" t="s">
        <v>3854</v>
      </c>
      <c r="R473" s="26"/>
      <c r="S473" s="31"/>
      <c r="T473" s="31" t="s">
        <v>3855</v>
      </c>
    </row>
    <row r="474">
      <c r="A474" s="26" t="str">
        <f t="array" ref="A474">IFERROR(VLOOKUP(B474,{Lists!$H$4:$H829,Lists!$G$4:$G829},2,0),"")</f>
        <v>Pulkit Sehgal</v>
      </c>
      <c r="B474" s="26" t="s">
        <v>1129</v>
      </c>
      <c r="C474" s="37">
        <v>45945.0</v>
      </c>
      <c r="D474" s="56">
        <v>45945.0</v>
      </c>
      <c r="E474" s="37" t="s">
        <v>3851</v>
      </c>
      <c r="F474" s="34"/>
      <c r="G474" s="57" t="s">
        <v>3852</v>
      </c>
      <c r="H474" s="48" t="s">
        <v>3853</v>
      </c>
      <c r="I474" s="26" t="s">
        <v>3856</v>
      </c>
      <c r="J474" s="26" t="s">
        <v>3856</v>
      </c>
      <c r="K474" s="26" t="s">
        <v>3856</v>
      </c>
      <c r="L474" s="26" t="s">
        <v>3854</v>
      </c>
      <c r="M474" s="26" t="s">
        <v>3854</v>
      </c>
      <c r="N474" s="26" t="s">
        <v>3854</v>
      </c>
      <c r="O474" s="26" t="s">
        <v>3854</v>
      </c>
      <c r="P474" s="26" t="s">
        <v>3854</v>
      </c>
      <c r="Q474" s="26" t="s">
        <v>3854</v>
      </c>
      <c r="R474" s="26"/>
      <c r="S474" s="26" t="s">
        <v>4009</v>
      </c>
      <c r="T474" s="31" t="s">
        <v>3855</v>
      </c>
    </row>
    <row r="475">
      <c r="A475" s="26" t="str">
        <f t="array" ref="A475">IFERROR(VLOOKUP(B475,{Lists!$H$4:$H829,Lists!$G$4:$G829},2,0),"")</f>
        <v>Shubham Kumar</v>
      </c>
      <c r="B475" s="26" t="s">
        <v>1724</v>
      </c>
      <c r="C475" s="37">
        <v>45945.0</v>
      </c>
      <c r="D475" s="56">
        <v>45945.0</v>
      </c>
      <c r="E475" s="37" t="s">
        <v>3851</v>
      </c>
      <c r="F475" s="34"/>
      <c r="G475" s="57" t="s">
        <v>3852</v>
      </c>
      <c r="H475" s="48" t="s">
        <v>3853</v>
      </c>
      <c r="I475" s="26" t="s">
        <v>3856</v>
      </c>
      <c r="J475" s="26" t="s">
        <v>3854</v>
      </c>
      <c r="K475" s="26" t="s">
        <v>3856</v>
      </c>
      <c r="L475" s="26" t="s">
        <v>3854</v>
      </c>
      <c r="M475" s="26" t="s">
        <v>3854</v>
      </c>
      <c r="N475" s="26" t="s">
        <v>3854</v>
      </c>
      <c r="O475" s="26" t="s">
        <v>3856</v>
      </c>
      <c r="P475" s="26" t="s">
        <v>3854</v>
      </c>
      <c r="Q475" s="26" t="s">
        <v>3854</v>
      </c>
      <c r="R475" s="26"/>
      <c r="S475" s="31"/>
      <c r="T475" s="31" t="s">
        <v>3855</v>
      </c>
    </row>
    <row r="476">
      <c r="A476" s="26" t="str">
        <f t="array" ref="A476">IFERROR(VLOOKUP(B476,{Lists!$H$4:$H829,Lists!$G$4:$G829},2,0),"")</f>
        <v>Nisha Yadav</v>
      </c>
      <c r="B476" s="26" t="s">
        <v>2876</v>
      </c>
      <c r="C476" s="37">
        <v>45945.0</v>
      </c>
      <c r="D476" s="56">
        <v>45945.0</v>
      </c>
      <c r="E476" s="37" t="s">
        <v>3851</v>
      </c>
      <c r="F476" s="34"/>
      <c r="G476" s="57" t="s">
        <v>3852</v>
      </c>
      <c r="H476" s="48" t="s">
        <v>3853</v>
      </c>
      <c r="I476" s="26" t="s">
        <v>3856</v>
      </c>
      <c r="J476" s="26" t="s">
        <v>3854</v>
      </c>
      <c r="K476" s="26" t="s">
        <v>3854</v>
      </c>
      <c r="L476" s="26" t="s">
        <v>3854</v>
      </c>
      <c r="M476" s="26" t="s">
        <v>3854</v>
      </c>
      <c r="N476" s="26" t="s">
        <v>3854</v>
      </c>
      <c r="O476" s="26" t="s">
        <v>3854</v>
      </c>
      <c r="P476" s="26" t="s">
        <v>3854</v>
      </c>
      <c r="Q476" s="26" t="s">
        <v>3856</v>
      </c>
      <c r="R476" s="26"/>
      <c r="S476" s="31"/>
      <c r="T476" s="31" t="s">
        <v>3855</v>
      </c>
    </row>
    <row r="477">
      <c r="A477" s="26" t="str">
        <f t="array" ref="A477">IFERROR(VLOOKUP(B477,{Lists!$H$4:$H829,Lists!$G$4:$G829},2,0),"")</f>
        <v>Amit Mohanta</v>
      </c>
      <c r="B477" s="26" t="s">
        <v>1110</v>
      </c>
      <c r="C477" s="37">
        <v>45946.0</v>
      </c>
      <c r="D477" s="56">
        <v>45946.0</v>
      </c>
      <c r="E477" s="37" t="s">
        <v>3851</v>
      </c>
      <c r="F477" s="34"/>
      <c r="G477" s="57" t="s">
        <v>3852</v>
      </c>
      <c r="H477" s="48" t="s">
        <v>3853</v>
      </c>
      <c r="I477" s="26" t="s">
        <v>3856</v>
      </c>
      <c r="J477" s="26" t="s">
        <v>3854</v>
      </c>
      <c r="K477" s="26" t="s">
        <v>3854</v>
      </c>
      <c r="L477" s="26" t="s">
        <v>3854</v>
      </c>
      <c r="M477" s="26" t="s">
        <v>3856</v>
      </c>
      <c r="N477" s="26" t="s">
        <v>3854</v>
      </c>
      <c r="O477" s="26" t="s">
        <v>3854</v>
      </c>
      <c r="P477" s="26" t="s">
        <v>3854</v>
      </c>
      <c r="Q477" s="26" t="s">
        <v>3854</v>
      </c>
      <c r="R477" s="26"/>
      <c r="S477" s="31"/>
      <c r="T477" s="31" t="s">
        <v>3855</v>
      </c>
    </row>
    <row r="478">
      <c r="A478" s="26" t="str">
        <f t="array" ref="A478">IFERROR(VLOOKUP(B478,{Lists!$H$4:$H829,Lists!$G$4:$G829},2,0),"")</f>
        <v>Abhishek Gupta</v>
      </c>
      <c r="B478" s="26" t="s">
        <v>1035</v>
      </c>
      <c r="C478" s="37">
        <v>45947.0</v>
      </c>
      <c r="D478" s="56">
        <v>45947.0</v>
      </c>
      <c r="E478" s="37" t="s">
        <v>3851</v>
      </c>
      <c r="F478" s="34"/>
      <c r="G478" s="57" t="s">
        <v>3852</v>
      </c>
      <c r="H478" s="48" t="s">
        <v>3853</v>
      </c>
      <c r="I478" s="26" t="s">
        <v>3856</v>
      </c>
      <c r="J478" s="26" t="s">
        <v>3854</v>
      </c>
      <c r="K478" s="26" t="s">
        <v>3856</v>
      </c>
      <c r="L478" s="26" t="s">
        <v>3854</v>
      </c>
      <c r="M478" s="26" t="s">
        <v>3854</v>
      </c>
      <c r="N478" s="26" t="s">
        <v>3854</v>
      </c>
      <c r="O478" s="26" t="s">
        <v>3854</v>
      </c>
      <c r="P478" s="26" t="s">
        <v>3854</v>
      </c>
      <c r="Q478" s="26" t="s">
        <v>3854</v>
      </c>
      <c r="R478" s="26"/>
      <c r="S478" s="31"/>
      <c r="T478" s="31" t="s">
        <v>3855</v>
      </c>
    </row>
    <row r="479">
      <c r="A479" s="26" t="str">
        <f t="array" ref="A479">IFERROR(VLOOKUP(B479,{Lists!$H$4:$H829,Lists!$G$4:$G829},2,0),"")</f>
        <v>Jay Patel</v>
      </c>
      <c r="B479" s="26" t="s">
        <v>2945</v>
      </c>
      <c r="C479" s="37">
        <v>45947.0</v>
      </c>
      <c r="D479" s="56">
        <v>45947.0</v>
      </c>
      <c r="E479" s="37" t="s">
        <v>3851</v>
      </c>
      <c r="F479" s="34"/>
      <c r="G479" s="57" t="s">
        <v>3852</v>
      </c>
      <c r="H479" s="48" t="s">
        <v>3853</v>
      </c>
      <c r="I479" s="26" t="s">
        <v>3856</v>
      </c>
      <c r="J479" s="26" t="s">
        <v>3854</v>
      </c>
      <c r="K479" s="26" t="s">
        <v>3856</v>
      </c>
      <c r="L479" s="26" t="s">
        <v>3854</v>
      </c>
      <c r="M479" s="26" t="s">
        <v>3854</v>
      </c>
      <c r="N479" s="26" t="s">
        <v>3854</v>
      </c>
      <c r="O479" s="26" t="s">
        <v>3854</v>
      </c>
      <c r="P479" s="26" t="s">
        <v>3854</v>
      </c>
      <c r="Q479" s="26" t="s">
        <v>3854</v>
      </c>
      <c r="R479" s="26"/>
      <c r="S479" s="31"/>
      <c r="T479" s="31" t="s">
        <v>3855</v>
      </c>
    </row>
    <row r="480">
      <c r="A480" s="26" t="str">
        <f t="array" ref="A480">IFERROR(VLOOKUP(B480,{Lists!$H$4:$H829,Lists!$G$4:$G829},2,0),"")</f>
        <v>Keshav Khatri</v>
      </c>
      <c r="B480" s="26" t="s">
        <v>1377</v>
      </c>
      <c r="C480" s="37">
        <v>45958.0</v>
      </c>
      <c r="D480" s="56">
        <v>45958.0</v>
      </c>
      <c r="E480" s="37" t="s">
        <v>3851</v>
      </c>
      <c r="F480" s="34"/>
      <c r="G480" s="57" t="s">
        <v>3852</v>
      </c>
      <c r="H480" s="48" t="s">
        <v>3853</v>
      </c>
      <c r="I480" s="26" t="s">
        <v>3856</v>
      </c>
      <c r="J480" s="26" t="s">
        <v>3856</v>
      </c>
      <c r="K480" s="26" t="s">
        <v>3854</v>
      </c>
      <c r="L480" s="26" t="s">
        <v>3854</v>
      </c>
      <c r="M480" s="26" t="s">
        <v>3854</v>
      </c>
      <c r="N480" s="26" t="s">
        <v>3854</v>
      </c>
      <c r="O480" s="26" t="s">
        <v>3854</v>
      </c>
      <c r="P480" s="26" t="s">
        <v>3854</v>
      </c>
      <c r="Q480" s="26" t="s">
        <v>3854</v>
      </c>
      <c r="R480" s="26"/>
      <c r="S480" s="31"/>
      <c r="T480" s="31" t="s">
        <v>3855</v>
      </c>
    </row>
    <row r="481">
      <c r="A481" s="26" t="str">
        <f t="array" ref="A481">IFERROR(VLOOKUP(B481,{Lists!$H$4:$H829,Lists!$G$4:$G829},2,0),"")</f>
        <v>Bhupendra Kumar</v>
      </c>
      <c r="B481" s="26" t="s">
        <v>3058</v>
      </c>
      <c r="C481" s="37">
        <v>45959.0</v>
      </c>
      <c r="D481" s="56">
        <v>45959.0</v>
      </c>
      <c r="E481" s="37" t="s">
        <v>3851</v>
      </c>
      <c r="F481" s="34"/>
      <c r="G481" s="57" t="s">
        <v>3852</v>
      </c>
      <c r="H481" s="48" t="s">
        <v>3853</v>
      </c>
      <c r="I481" s="26" t="s">
        <v>3856</v>
      </c>
      <c r="J481" s="26" t="s">
        <v>3856</v>
      </c>
      <c r="K481" s="26" t="s">
        <v>3856</v>
      </c>
      <c r="L481" s="26" t="s">
        <v>3854</v>
      </c>
      <c r="M481" s="26" t="s">
        <v>3854</v>
      </c>
      <c r="N481" s="26" t="s">
        <v>3854</v>
      </c>
      <c r="O481" s="26" t="s">
        <v>3856</v>
      </c>
      <c r="P481" s="26" t="s">
        <v>3854</v>
      </c>
      <c r="Q481" s="26" t="s">
        <v>3854</v>
      </c>
      <c r="R481" s="26"/>
      <c r="S481" s="31"/>
      <c r="T481" s="31" t="s">
        <v>3855</v>
      </c>
    </row>
    <row r="482">
      <c r="A482" s="26" t="str">
        <f t="array" ref="A482">IFERROR(VLOOKUP(B482,{Lists!$H$4:$H829,Lists!$G$4:$G829},2,0),"")</f>
        <v>Mukul Chaudhary</v>
      </c>
      <c r="B482" s="26" t="s">
        <v>1464</v>
      </c>
      <c r="C482" s="37">
        <v>45959.0</v>
      </c>
      <c r="D482" s="56">
        <v>45959.0</v>
      </c>
      <c r="E482" s="37" t="s">
        <v>3851</v>
      </c>
      <c r="F482" s="34"/>
      <c r="G482" s="57" t="s">
        <v>3852</v>
      </c>
      <c r="H482" s="48" t="s">
        <v>3853</v>
      </c>
      <c r="I482" s="26" t="s">
        <v>3856</v>
      </c>
      <c r="J482" s="26" t="s">
        <v>3854</v>
      </c>
      <c r="K482" s="26" t="s">
        <v>3854</v>
      </c>
      <c r="L482" s="26" t="s">
        <v>3854</v>
      </c>
      <c r="M482" s="26" t="s">
        <v>3856</v>
      </c>
      <c r="N482" s="26" t="s">
        <v>3854</v>
      </c>
      <c r="O482" s="26" t="s">
        <v>3854</v>
      </c>
      <c r="P482" s="26" t="s">
        <v>3854</v>
      </c>
      <c r="Q482" s="26" t="s">
        <v>3854</v>
      </c>
      <c r="R482" s="26"/>
      <c r="S482" s="31"/>
      <c r="T482" s="31" t="s">
        <v>3855</v>
      </c>
    </row>
    <row r="483">
      <c r="A483" s="26" t="str">
        <f t="array" ref="A483">IFERROR(VLOOKUP(B483,{Lists!$H$4:$H829,Lists!$G$4:$G829},2,0),"")</f>
        <v>Ayushi Sharma</v>
      </c>
      <c r="B483" s="26" t="s">
        <v>1202</v>
      </c>
      <c r="C483" s="37">
        <v>45961.0</v>
      </c>
      <c r="D483" s="56">
        <v>45961.0</v>
      </c>
      <c r="E483" s="37" t="s">
        <v>3851</v>
      </c>
      <c r="F483" s="34"/>
      <c r="G483" s="57" t="s">
        <v>3852</v>
      </c>
      <c r="H483" s="48" t="s">
        <v>3853</v>
      </c>
      <c r="I483" s="26" t="s">
        <v>3856</v>
      </c>
      <c r="J483" s="26" t="s">
        <v>3854</v>
      </c>
      <c r="K483" s="26" t="s">
        <v>3856</v>
      </c>
      <c r="L483" s="26" t="s">
        <v>3854</v>
      </c>
      <c r="M483" s="26" t="s">
        <v>3854</v>
      </c>
      <c r="N483" s="26" t="s">
        <v>3854</v>
      </c>
      <c r="O483" s="26" t="s">
        <v>3856</v>
      </c>
      <c r="P483" s="26" t="s">
        <v>3854</v>
      </c>
      <c r="Q483" s="26" t="s">
        <v>3856</v>
      </c>
      <c r="R483" s="26"/>
      <c r="S483" s="31"/>
      <c r="T483" s="31" t="s">
        <v>3855</v>
      </c>
    </row>
    <row r="484">
      <c r="A484" s="26" t="str">
        <f t="array" ref="A484">IFERROR(VLOOKUP(B484,{Lists!$H$4:$H829,Lists!$G$4:$G829},2,0),"")</f>
        <v>Aakashdeep Madaan</v>
      </c>
      <c r="B484" s="26" t="s">
        <v>1023</v>
      </c>
      <c r="C484" s="37">
        <v>45961.0</v>
      </c>
      <c r="D484" s="56">
        <v>45961.0</v>
      </c>
      <c r="E484" s="37" t="s">
        <v>3851</v>
      </c>
      <c r="F484" s="34"/>
      <c r="G484" s="57" t="s">
        <v>3852</v>
      </c>
      <c r="H484" s="48" t="s">
        <v>3853</v>
      </c>
      <c r="I484" s="26" t="s">
        <v>3856</v>
      </c>
      <c r="J484" s="26" t="s">
        <v>3854</v>
      </c>
      <c r="K484" s="26" t="s">
        <v>3856</v>
      </c>
      <c r="L484" s="26" t="s">
        <v>3854</v>
      </c>
      <c r="M484" s="61" t="s">
        <v>3854</v>
      </c>
      <c r="N484" s="26" t="s">
        <v>3854</v>
      </c>
      <c r="O484" s="26" t="s">
        <v>3856</v>
      </c>
      <c r="P484" s="26" t="s">
        <v>3854</v>
      </c>
      <c r="Q484" s="26" t="s">
        <v>3854</v>
      </c>
      <c r="R484" s="26"/>
      <c r="S484" s="31"/>
      <c r="T484" s="31" t="s">
        <v>3855</v>
      </c>
    </row>
    <row r="485">
      <c r="A485" s="26" t="str">
        <f t="array" ref="A485">IFERROR(VLOOKUP(B485,{Lists!$H$4:$H829,Lists!$G$4:$G829},2,0),"")</f>
        <v>Harsha Nanwani</v>
      </c>
      <c r="B485" s="26" t="s">
        <v>1312</v>
      </c>
      <c r="C485" s="37">
        <v>45961.0</v>
      </c>
      <c r="D485" s="56">
        <v>45961.0</v>
      </c>
      <c r="E485" s="58" t="str">
        <f>VLOOKUP(B485,AT_Data!A:D,4,0)</f>
        <v>No-Reply </v>
      </c>
      <c r="F485" s="34" t="str">
        <f>VLOOKUP(B485,'On-Boarding'!C:D,2,0)</f>
        <v>Human Resources</v>
      </c>
      <c r="G485" s="59" t="s">
        <v>3875</v>
      </c>
      <c r="H485" s="48" t="s">
        <v>3876</v>
      </c>
      <c r="I485" s="26" t="s">
        <v>3856</v>
      </c>
      <c r="J485" s="26" t="s">
        <v>3854</v>
      </c>
      <c r="K485" s="26" t="s">
        <v>3856</v>
      </c>
      <c r="L485" s="26" t="s">
        <v>3854</v>
      </c>
      <c r="M485" s="26" t="s">
        <v>3856</v>
      </c>
      <c r="N485" s="26" t="s">
        <v>3854</v>
      </c>
      <c r="O485" s="26" t="s">
        <v>3854</v>
      </c>
      <c r="P485" s="26" t="s">
        <v>3854</v>
      </c>
      <c r="Q485" s="26" t="s">
        <v>3854</v>
      </c>
      <c r="R485" s="26"/>
      <c r="S485" s="31"/>
      <c r="T485" s="31" t="s">
        <v>3855</v>
      </c>
    </row>
    <row r="486">
      <c r="A486" s="26" t="str">
        <f t="array" ref="A486">IFERROR(VLOOKUP(B486,{Lists!$H$4:$H829,Lists!$G$4:$G829},2,0),"")</f>
        <v>Satya Vart</v>
      </c>
      <c r="B486" s="26" t="s">
        <v>1297</v>
      </c>
      <c r="C486" s="37">
        <v>45961.0</v>
      </c>
      <c r="D486" s="56">
        <v>45961.0</v>
      </c>
      <c r="E486" s="37" t="s">
        <v>3851</v>
      </c>
      <c r="F486" s="34"/>
      <c r="G486" s="57" t="s">
        <v>3852</v>
      </c>
      <c r="H486" s="48" t="s">
        <v>3853</v>
      </c>
      <c r="I486" s="26" t="s">
        <v>3856</v>
      </c>
      <c r="J486" s="26" t="s">
        <v>3854</v>
      </c>
      <c r="K486" s="26" t="s">
        <v>3856</v>
      </c>
      <c r="L486" s="26" t="s">
        <v>3854</v>
      </c>
      <c r="M486" s="26" t="s">
        <v>3854</v>
      </c>
      <c r="N486" s="26" t="s">
        <v>3854</v>
      </c>
      <c r="O486" s="26" t="s">
        <v>3856</v>
      </c>
      <c r="P486" s="26" t="s">
        <v>3856</v>
      </c>
      <c r="Q486" s="26" t="s">
        <v>3856</v>
      </c>
      <c r="R486" s="26"/>
      <c r="S486" s="31"/>
      <c r="T486" s="31" t="s">
        <v>3855</v>
      </c>
    </row>
    <row r="487">
      <c r="A487" s="26" t="s">
        <v>4010</v>
      </c>
      <c r="B487" s="26" t="s">
        <v>1802</v>
      </c>
      <c r="C487" s="37">
        <v>45961.0</v>
      </c>
      <c r="D487" s="56">
        <v>45961.0</v>
      </c>
      <c r="E487" s="37" t="s">
        <v>3851</v>
      </c>
      <c r="F487" s="34"/>
      <c r="G487" s="57" t="s">
        <v>3852</v>
      </c>
      <c r="H487" s="48" t="s">
        <v>3853</v>
      </c>
      <c r="I487" s="26" t="s">
        <v>3856</v>
      </c>
      <c r="J487" s="26" t="s">
        <v>3854</v>
      </c>
      <c r="K487" s="26" t="s">
        <v>3856</v>
      </c>
      <c r="L487" s="26" t="s">
        <v>3854</v>
      </c>
      <c r="M487" s="26" t="s">
        <v>3856</v>
      </c>
      <c r="N487" s="26" t="s">
        <v>3854</v>
      </c>
      <c r="O487" s="26" t="s">
        <v>3856</v>
      </c>
      <c r="P487" s="26" t="s">
        <v>3854</v>
      </c>
      <c r="Q487" s="26" t="s">
        <v>3854</v>
      </c>
      <c r="R487" s="26"/>
      <c r="S487" s="26"/>
      <c r="T487" s="31" t="s">
        <v>3855</v>
      </c>
    </row>
    <row r="488">
      <c r="A488" s="26" t="str">
        <f t="array" ref="A488">IFERROR(VLOOKUP(B488,{Lists!$H$4:$H829,Lists!$G$4:$G829},2,0),"")</f>
        <v>Abhishek Gupta</v>
      </c>
      <c r="B488" s="26" t="s">
        <v>1054</v>
      </c>
      <c r="C488" s="37">
        <v>45964.0</v>
      </c>
      <c r="D488" s="56">
        <v>45964.0</v>
      </c>
      <c r="E488" s="37" t="s">
        <v>3851</v>
      </c>
      <c r="F488" s="34" t="str">
        <f>VLOOKUP(B488,'On-Boarding'!C:D,2,0)</f>
        <v>Technology</v>
      </c>
      <c r="G488" s="62" t="s">
        <v>4011</v>
      </c>
      <c r="H488" s="48" t="s">
        <v>4012</v>
      </c>
      <c r="I488" s="26" t="s">
        <v>3856</v>
      </c>
      <c r="J488" s="26" t="s">
        <v>3856</v>
      </c>
      <c r="K488" s="26" t="s">
        <v>3854</v>
      </c>
      <c r="L488" s="26" t="s">
        <v>3854</v>
      </c>
      <c r="M488" s="26" t="s">
        <v>3854</v>
      </c>
      <c r="N488" s="26" t="s">
        <v>3854</v>
      </c>
      <c r="O488" s="26" t="s">
        <v>3854</v>
      </c>
      <c r="P488" s="26" t="s">
        <v>3854</v>
      </c>
      <c r="Q488" s="26" t="s">
        <v>3856</v>
      </c>
      <c r="R488" s="26"/>
      <c r="S488" s="26" t="s">
        <v>4013</v>
      </c>
      <c r="T488" s="31" t="s">
        <v>3855</v>
      </c>
    </row>
    <row r="489">
      <c r="A489" s="26" t="str">
        <f t="array" ref="A489">IFERROR(VLOOKUP(B489,{Lists!$H$4:$H829,Lists!$G$4:$G829},2,0),"")</f>
        <v>Siddharth Saurav</v>
      </c>
      <c r="B489" s="26" t="s">
        <v>1735</v>
      </c>
      <c r="C489" s="37">
        <v>45965.0</v>
      </c>
      <c r="D489" s="56">
        <v>45965.0</v>
      </c>
      <c r="E489" s="37" t="s">
        <v>3851</v>
      </c>
      <c r="F489" s="34"/>
      <c r="G489" s="57" t="s">
        <v>3852</v>
      </c>
      <c r="H489" s="48" t="s">
        <v>3853</v>
      </c>
      <c r="I489" s="26" t="s">
        <v>3856</v>
      </c>
      <c r="J489" s="26" t="s">
        <v>3854</v>
      </c>
      <c r="K489" s="26" t="s">
        <v>3854</v>
      </c>
      <c r="L489" s="26" t="s">
        <v>3854</v>
      </c>
      <c r="M489" s="26" t="s">
        <v>3854</v>
      </c>
      <c r="N489" s="26" t="s">
        <v>3854</v>
      </c>
      <c r="O489" s="26" t="s">
        <v>3856</v>
      </c>
      <c r="P489" s="26" t="s">
        <v>3854</v>
      </c>
      <c r="Q489" s="26" t="s">
        <v>3854</v>
      </c>
      <c r="R489" s="26"/>
      <c r="S489" s="31"/>
      <c r="T489" s="31" t="s">
        <v>3855</v>
      </c>
    </row>
    <row r="490">
      <c r="A490" s="26" t="str">
        <f t="array" ref="A490">IFERROR(VLOOKUP(B490,{Lists!$H$4:$H829,Lists!$G$4:$G829},2,0),"")</f>
        <v>Mudit Jain</v>
      </c>
      <c r="B490" s="26" t="s">
        <v>1462</v>
      </c>
      <c r="C490" s="37">
        <v>45968.0</v>
      </c>
      <c r="D490" s="56">
        <v>45968.0</v>
      </c>
      <c r="E490" s="37" t="s">
        <v>3851</v>
      </c>
      <c r="F490" s="34"/>
      <c r="G490" s="57" t="s">
        <v>3852</v>
      </c>
      <c r="H490" s="48" t="s">
        <v>3853</v>
      </c>
      <c r="I490" s="26" t="s">
        <v>3856</v>
      </c>
      <c r="J490" s="26" t="s">
        <v>3854</v>
      </c>
      <c r="K490" s="26" t="s">
        <v>3854</v>
      </c>
      <c r="L490" s="26" t="s">
        <v>3854</v>
      </c>
      <c r="M490" s="26" t="s">
        <v>3854</v>
      </c>
      <c r="N490" s="26" t="s">
        <v>3854</v>
      </c>
      <c r="O490" s="26" t="s">
        <v>3854</v>
      </c>
      <c r="P490" s="26" t="s">
        <v>3854</v>
      </c>
      <c r="Q490" s="26" t="s">
        <v>3854</v>
      </c>
      <c r="R490" s="26"/>
      <c r="S490" s="31"/>
      <c r="T490" s="31" t="s">
        <v>3855</v>
      </c>
    </row>
    <row r="491">
      <c r="A491" s="26" t="str">
        <f t="array" ref="A491">IFERROR(VLOOKUP(B491,{Lists!$H$4:$H829,Lists!$G$4:$G829},2,0),"")</f>
        <v>Saravana Kumar</v>
      </c>
      <c r="B491" s="26" t="s">
        <v>1675</v>
      </c>
      <c r="C491" s="37">
        <v>45968.0</v>
      </c>
      <c r="D491" s="56">
        <v>45968.0</v>
      </c>
      <c r="E491" s="37" t="s">
        <v>3851</v>
      </c>
      <c r="F491" s="34"/>
      <c r="G491" s="57" t="s">
        <v>3852</v>
      </c>
      <c r="H491" s="48" t="s">
        <v>3853</v>
      </c>
      <c r="I491" s="26" t="s">
        <v>3856</v>
      </c>
      <c r="J491" s="26" t="s">
        <v>3854</v>
      </c>
      <c r="K491" s="26" t="s">
        <v>3854</v>
      </c>
      <c r="L491" s="26" t="s">
        <v>3854</v>
      </c>
      <c r="M491" s="26" t="s">
        <v>3854</v>
      </c>
      <c r="N491" s="26" t="s">
        <v>3854</v>
      </c>
      <c r="O491" s="26" t="s">
        <v>3856</v>
      </c>
      <c r="P491" s="26" t="s">
        <v>3856</v>
      </c>
      <c r="Q491" s="26" t="s">
        <v>3856</v>
      </c>
      <c r="R491" s="26"/>
      <c r="S491" s="31"/>
      <c r="T491" s="31" t="s">
        <v>3855</v>
      </c>
    </row>
    <row r="492">
      <c r="A492" s="26" t="str">
        <f t="array" ref="A492">IFERROR(VLOOKUP(B492,{Lists!$H$4:$H829,Lists!$G$4:$G829},2,0),"")</f>
        <v>Vivek Jain</v>
      </c>
      <c r="B492" s="26" t="s">
        <v>1100</v>
      </c>
      <c r="C492" s="37">
        <v>45968.0</v>
      </c>
      <c r="D492" s="56">
        <v>45968.0</v>
      </c>
      <c r="E492" s="58" t="str">
        <f>VLOOKUP(B492,AT_Data!A:D,4,0)</f>
        <v>Hold</v>
      </c>
      <c r="F492" s="34" t="str">
        <f>VLOOKUP(B492,'On-Boarding'!C:D,2,0)</f>
        <v>Human Resources</v>
      </c>
      <c r="G492" s="62" t="s">
        <v>4011</v>
      </c>
      <c r="H492" s="48" t="s">
        <v>4012</v>
      </c>
      <c r="I492" s="26" t="s">
        <v>3856</v>
      </c>
      <c r="J492" s="26" t="s">
        <v>3856</v>
      </c>
      <c r="K492" s="26" t="s">
        <v>3854</v>
      </c>
      <c r="L492" s="26" t="s">
        <v>3854</v>
      </c>
      <c r="M492" s="26" t="s">
        <v>3856</v>
      </c>
      <c r="N492" s="26" t="s">
        <v>3854</v>
      </c>
      <c r="O492" s="26" t="s">
        <v>3854</v>
      </c>
      <c r="P492" s="26" t="s">
        <v>3854</v>
      </c>
      <c r="Q492" s="26" t="s">
        <v>3854</v>
      </c>
      <c r="R492" s="26"/>
      <c r="S492" s="31"/>
      <c r="T492" s="31" t="s">
        <v>3855</v>
      </c>
    </row>
    <row r="493">
      <c r="A493" s="26" t="str">
        <f t="array" ref="A493">IFERROR(VLOOKUP(B493,{Lists!$H$4:$H829,Lists!$G$4:$G829},2,0),"")</f>
        <v>Harshit Makhija</v>
      </c>
      <c r="B493" s="26" t="s">
        <v>2384</v>
      </c>
      <c r="C493" s="37">
        <v>45974.0</v>
      </c>
      <c r="D493" s="56">
        <v>45974.0</v>
      </c>
      <c r="E493" s="37" t="s">
        <v>3851</v>
      </c>
      <c r="F493" s="34"/>
      <c r="G493" s="57" t="s">
        <v>3852</v>
      </c>
      <c r="H493" s="48" t="s">
        <v>3853</v>
      </c>
      <c r="I493" s="26" t="s">
        <v>3856</v>
      </c>
      <c r="J493" s="26" t="s">
        <v>3854</v>
      </c>
      <c r="K493" s="26" t="s">
        <v>3856</v>
      </c>
      <c r="L493" s="26" t="s">
        <v>3854</v>
      </c>
      <c r="M493" s="26" t="s">
        <v>3854</v>
      </c>
      <c r="N493" s="26" t="s">
        <v>3854</v>
      </c>
      <c r="O493" s="26" t="s">
        <v>3856</v>
      </c>
      <c r="P493" s="26" t="s">
        <v>3854</v>
      </c>
      <c r="Q493" s="26" t="s">
        <v>3854</v>
      </c>
      <c r="R493" s="26"/>
      <c r="S493" s="31"/>
      <c r="T493" s="31" t="s">
        <v>3855</v>
      </c>
    </row>
    <row r="494">
      <c r="A494" s="26" t="str">
        <f t="array" ref="A494">IFERROR(VLOOKUP(B494,{Lists!$H$4:$H829,Lists!$G$4:$G829},2,0),"")</f>
        <v>Shubham Khan</v>
      </c>
      <c r="B494" s="26" t="s">
        <v>3213</v>
      </c>
      <c r="C494" s="37">
        <v>45976.0</v>
      </c>
      <c r="D494" s="56">
        <v>45976.0</v>
      </c>
      <c r="E494" s="37" t="s">
        <v>3851</v>
      </c>
      <c r="F494" s="34"/>
      <c r="G494" s="57" t="s">
        <v>3852</v>
      </c>
      <c r="H494" s="48" t="s">
        <v>3853</v>
      </c>
      <c r="I494" s="26" t="s">
        <v>3856</v>
      </c>
      <c r="J494" s="26" t="s">
        <v>3854</v>
      </c>
      <c r="K494" s="26" t="s">
        <v>3854</v>
      </c>
      <c r="L494" s="26" t="s">
        <v>3854</v>
      </c>
      <c r="M494" s="26" t="s">
        <v>3854</v>
      </c>
      <c r="N494" s="26" t="s">
        <v>3854</v>
      </c>
      <c r="O494" s="26" t="s">
        <v>3854</v>
      </c>
      <c r="P494" s="26" t="s">
        <v>3854</v>
      </c>
      <c r="Q494" s="26" t="s">
        <v>3854</v>
      </c>
      <c r="R494" s="26"/>
      <c r="S494" s="31"/>
      <c r="T494" s="31" t="s">
        <v>3855</v>
      </c>
    </row>
    <row r="495">
      <c r="A495" s="26" t="str">
        <f t="array" ref="A495">IFERROR(VLOOKUP(B495,{Lists!$H$4:$H829,Lists!$G$4:$G829},2,0),"")</f>
        <v>Ankit Kumar</v>
      </c>
      <c r="B495" s="26" t="s">
        <v>2630</v>
      </c>
      <c r="C495" s="37">
        <v>45982.0</v>
      </c>
      <c r="D495" s="56">
        <v>45982.0</v>
      </c>
      <c r="E495" s="37" t="s">
        <v>3851</v>
      </c>
      <c r="F495" s="34"/>
      <c r="G495" s="57" t="s">
        <v>3852</v>
      </c>
      <c r="H495" s="48" t="s">
        <v>3853</v>
      </c>
      <c r="I495" s="26" t="s">
        <v>3856</v>
      </c>
      <c r="J495" s="26" t="s">
        <v>3854</v>
      </c>
      <c r="K495" s="26" t="s">
        <v>3856</v>
      </c>
      <c r="L495" s="26" t="s">
        <v>3854</v>
      </c>
      <c r="M495" s="26" t="s">
        <v>3854</v>
      </c>
      <c r="N495" s="26" t="s">
        <v>3856</v>
      </c>
      <c r="O495" s="26" t="s">
        <v>3854</v>
      </c>
      <c r="P495" s="26" t="s">
        <v>3854</v>
      </c>
      <c r="Q495" s="26" t="s">
        <v>3854</v>
      </c>
      <c r="R495" s="26"/>
      <c r="S495" s="31"/>
      <c r="T495" s="31" t="s">
        <v>3855</v>
      </c>
    </row>
    <row r="496">
      <c r="A496" s="26" t="str">
        <f t="array" ref="A496">IFERROR(VLOOKUP(B496,{Lists!$H$4:$H829,Lists!$G$4:$G829},2,0),"")</f>
        <v>Sanchit Mittal</v>
      </c>
      <c r="B496" s="26" t="s">
        <v>2536</v>
      </c>
      <c r="C496" s="37">
        <v>45982.0</v>
      </c>
      <c r="D496" s="56">
        <v>45982.0</v>
      </c>
      <c r="E496" s="37" t="s">
        <v>3851</v>
      </c>
      <c r="F496" s="34"/>
      <c r="G496" s="57" t="s">
        <v>3852</v>
      </c>
      <c r="H496" s="48" t="s">
        <v>3853</v>
      </c>
      <c r="I496" s="26" t="s">
        <v>3856</v>
      </c>
      <c r="J496" s="26" t="s">
        <v>3864</v>
      </c>
      <c r="K496" s="26" t="s">
        <v>3864</v>
      </c>
      <c r="L496" s="26" t="s">
        <v>3864</v>
      </c>
      <c r="M496" s="26" t="s">
        <v>3864</v>
      </c>
      <c r="N496" s="26" t="s">
        <v>3864</v>
      </c>
      <c r="O496" s="26" t="s">
        <v>3864</v>
      </c>
      <c r="P496" s="26" t="s">
        <v>3864</v>
      </c>
      <c r="Q496" s="26" t="s">
        <v>3854</v>
      </c>
      <c r="R496" s="26"/>
      <c r="S496" s="31"/>
      <c r="T496" s="31" t="s">
        <v>3855</v>
      </c>
    </row>
    <row r="497">
      <c r="A497" s="26" t="str">
        <f t="array" ref="A497">IFERROR(VLOOKUP(B497,{Lists!$H$4:$H829,Lists!$G$4:$G829},2,0),"")</f>
        <v>Rahul Satija</v>
      </c>
      <c r="B497" s="26" t="s">
        <v>1356</v>
      </c>
      <c r="C497" s="37">
        <v>45982.0</v>
      </c>
      <c r="D497" s="56">
        <v>45982.0</v>
      </c>
      <c r="E497" s="37" t="s">
        <v>3851</v>
      </c>
      <c r="F497" s="34"/>
      <c r="G497" s="57" t="s">
        <v>3852</v>
      </c>
      <c r="H497" s="48" t="s">
        <v>3853</v>
      </c>
      <c r="I497" s="26" t="s">
        <v>3856</v>
      </c>
      <c r="J497" s="26" t="s">
        <v>3856</v>
      </c>
      <c r="K497" s="26" t="s">
        <v>3854</v>
      </c>
      <c r="L497" s="26" t="s">
        <v>3854</v>
      </c>
      <c r="M497" s="26" t="s">
        <v>3856</v>
      </c>
      <c r="N497" s="26" t="s">
        <v>3854</v>
      </c>
      <c r="O497" s="26" t="s">
        <v>3854</v>
      </c>
      <c r="P497" s="26" t="s">
        <v>3854</v>
      </c>
      <c r="Q497" s="26" t="s">
        <v>3854</v>
      </c>
      <c r="R497" s="26"/>
      <c r="S497" s="31"/>
      <c r="T497" s="31" t="s">
        <v>3855</v>
      </c>
    </row>
    <row r="498">
      <c r="A498" s="26" t="str">
        <f t="array" ref="A498">IFERROR(VLOOKUP(B498,{Lists!$H$4:$H829,Lists!$G$4:$G829},2,0),"")</f>
        <v>Vaibhav Patawari</v>
      </c>
      <c r="B498" s="26" t="s">
        <v>3385</v>
      </c>
      <c r="C498" s="37">
        <v>45982.0</v>
      </c>
      <c r="D498" s="56">
        <v>45982.0</v>
      </c>
      <c r="E498" s="37" t="s">
        <v>3851</v>
      </c>
      <c r="F498" s="34"/>
      <c r="G498" s="57" t="s">
        <v>3852</v>
      </c>
      <c r="H498" s="48" t="s">
        <v>3853</v>
      </c>
      <c r="I498" s="26" t="s">
        <v>3856</v>
      </c>
      <c r="J498" s="26" t="s">
        <v>3854</v>
      </c>
      <c r="K498" s="26" t="s">
        <v>3854</v>
      </c>
      <c r="L498" s="26" t="s">
        <v>3854</v>
      </c>
      <c r="M498" s="26" t="s">
        <v>3854</v>
      </c>
      <c r="N498" s="26" t="s">
        <v>3854</v>
      </c>
      <c r="O498" s="26" t="s">
        <v>3854</v>
      </c>
      <c r="P498" s="26" t="s">
        <v>3854</v>
      </c>
      <c r="Q498" s="26" t="s">
        <v>3854</v>
      </c>
      <c r="R498" s="26"/>
      <c r="S498" s="31"/>
      <c r="T498" s="31" t="s">
        <v>3855</v>
      </c>
    </row>
    <row r="499">
      <c r="A499" s="26" t="str">
        <f t="array" ref="A499">IFERROR(VLOOKUP(B499,{Lists!$H$4:$H829,Lists!$G$4:$G829},2,0),"")</f>
        <v>Mini Agarwal</v>
      </c>
      <c r="B499" s="26" t="s">
        <v>2731</v>
      </c>
      <c r="C499" s="37">
        <v>45982.0</v>
      </c>
      <c r="D499" s="56">
        <v>45982.0</v>
      </c>
      <c r="E499" s="37" t="s">
        <v>3851</v>
      </c>
      <c r="F499" s="34"/>
      <c r="G499" s="57" t="s">
        <v>3852</v>
      </c>
      <c r="H499" s="48" t="s">
        <v>3853</v>
      </c>
      <c r="I499" s="26" t="s">
        <v>3856</v>
      </c>
      <c r="J499" s="26" t="s">
        <v>3854</v>
      </c>
      <c r="K499" s="26" t="s">
        <v>3854</v>
      </c>
      <c r="L499" s="26" t="s">
        <v>3854</v>
      </c>
      <c r="M499" s="26" t="s">
        <v>3854</v>
      </c>
      <c r="N499" s="26" t="s">
        <v>3854</v>
      </c>
      <c r="O499" s="26" t="s">
        <v>3856</v>
      </c>
      <c r="P499" s="26" t="s">
        <v>3854</v>
      </c>
      <c r="Q499" s="26" t="s">
        <v>3854</v>
      </c>
      <c r="R499" s="26"/>
      <c r="S499" s="31"/>
      <c r="T499" s="31" t="s">
        <v>3855</v>
      </c>
    </row>
    <row r="500">
      <c r="A500" s="26" t="str">
        <f t="array" ref="A500">IFERROR(VLOOKUP(B500,{Lists!$H$4:$H829,Lists!$G$4:$G829},2,0),"")</f>
        <v>Pradeep Agrawal</v>
      </c>
      <c r="B500" s="26" t="s">
        <v>2253</v>
      </c>
      <c r="C500" s="37">
        <v>45986.0</v>
      </c>
      <c r="D500" s="56">
        <v>45986.0</v>
      </c>
      <c r="E500" s="37" t="s">
        <v>3851</v>
      </c>
      <c r="F500" s="34"/>
      <c r="G500" s="57" t="s">
        <v>3852</v>
      </c>
      <c r="H500" s="48" t="s">
        <v>3853</v>
      </c>
      <c r="I500" s="26" t="s">
        <v>3856</v>
      </c>
      <c r="J500" s="26" t="s">
        <v>3854</v>
      </c>
      <c r="K500" s="26" t="s">
        <v>3854</v>
      </c>
      <c r="L500" s="26" t="s">
        <v>3854</v>
      </c>
      <c r="M500" s="26" t="s">
        <v>3854</v>
      </c>
      <c r="N500" s="26" t="s">
        <v>3854</v>
      </c>
      <c r="O500" s="26" t="s">
        <v>3854</v>
      </c>
      <c r="P500" s="26" t="s">
        <v>3854</v>
      </c>
      <c r="Q500" s="26" t="s">
        <v>3856</v>
      </c>
      <c r="R500" s="26"/>
      <c r="S500" s="31"/>
      <c r="T500" s="31" t="s">
        <v>3855</v>
      </c>
    </row>
    <row r="501">
      <c r="A501" s="26" t="str">
        <f t="array" ref="A501">IFERROR(VLOOKUP(B501,{Lists!$H$4:$H829,Lists!$G$4:$G829},2,0),"")</f>
        <v>Nikhil Jain</v>
      </c>
      <c r="B501" s="26" t="s">
        <v>2346</v>
      </c>
      <c r="C501" s="37">
        <v>45988.0</v>
      </c>
      <c r="D501" s="56">
        <v>45988.0</v>
      </c>
      <c r="E501" s="37" t="s">
        <v>3851</v>
      </c>
      <c r="F501" s="34"/>
      <c r="G501" s="57" t="s">
        <v>3852</v>
      </c>
      <c r="H501" s="48" t="s">
        <v>3853</v>
      </c>
      <c r="I501" s="26" t="s">
        <v>3856</v>
      </c>
      <c r="J501" s="26" t="s">
        <v>3856</v>
      </c>
      <c r="K501" s="26" t="s">
        <v>3854</v>
      </c>
      <c r="L501" s="26" t="s">
        <v>3854</v>
      </c>
      <c r="M501" s="26" t="s">
        <v>3854</v>
      </c>
      <c r="N501" s="26" t="s">
        <v>3854</v>
      </c>
      <c r="O501" s="26" t="s">
        <v>3854</v>
      </c>
      <c r="P501" s="26" t="s">
        <v>3854</v>
      </c>
      <c r="Q501" s="26" t="s">
        <v>3854</v>
      </c>
      <c r="R501" s="26"/>
      <c r="S501" s="31"/>
      <c r="T501" s="31" t="s">
        <v>3855</v>
      </c>
    </row>
    <row r="502">
      <c r="A502" s="26" t="str">
        <f t="array" ref="A502">IFERROR(VLOOKUP(B502,{Lists!$H$4:$H829,Lists!$G$4:$G829},2,0),"")</f>
        <v>Abhijeet Yashvant Chavan</v>
      </c>
      <c r="B502" s="26" t="s">
        <v>3456</v>
      </c>
      <c r="C502" s="37">
        <v>45988.0</v>
      </c>
      <c r="D502" s="56">
        <v>45988.0</v>
      </c>
      <c r="E502" s="37" t="s">
        <v>3851</v>
      </c>
      <c r="F502" s="34"/>
      <c r="G502" s="57" t="s">
        <v>3852</v>
      </c>
      <c r="H502" s="48" t="s">
        <v>3853</v>
      </c>
      <c r="I502" s="26" t="s">
        <v>3856</v>
      </c>
      <c r="J502" s="26" t="s">
        <v>3864</v>
      </c>
      <c r="K502" s="26" t="s">
        <v>3864</v>
      </c>
      <c r="L502" s="26" t="s">
        <v>3864</v>
      </c>
      <c r="M502" s="26" t="s">
        <v>3864</v>
      </c>
      <c r="N502" s="26" t="s">
        <v>3854</v>
      </c>
      <c r="O502" s="26" t="s">
        <v>3864</v>
      </c>
      <c r="P502" s="26" t="s">
        <v>3864</v>
      </c>
      <c r="Q502" s="26" t="s">
        <v>3854</v>
      </c>
      <c r="R502" s="26"/>
      <c r="S502" s="31"/>
      <c r="T502" s="31" t="s">
        <v>3855</v>
      </c>
    </row>
    <row r="503">
      <c r="A503" s="26" t="str">
        <f t="array" ref="A503">IFERROR(VLOOKUP(B503,{Lists!$H$4:$H829,Lists!$G$4:$G829},2,0),"")</f>
        <v>Vedank Goyal</v>
      </c>
      <c r="B503" s="26" t="s">
        <v>2049</v>
      </c>
      <c r="C503" s="37">
        <v>45989.0</v>
      </c>
      <c r="D503" s="56">
        <v>45989.0</v>
      </c>
      <c r="E503" s="37" t="s">
        <v>3851</v>
      </c>
      <c r="F503" s="31"/>
      <c r="G503" s="57" t="s">
        <v>3852</v>
      </c>
      <c r="H503" s="48" t="s">
        <v>3853</v>
      </c>
      <c r="I503" s="26" t="s">
        <v>3856</v>
      </c>
      <c r="J503" s="26" t="s">
        <v>3854</v>
      </c>
      <c r="K503" s="26" t="s">
        <v>3854</v>
      </c>
      <c r="L503" s="26" t="s">
        <v>3854</v>
      </c>
      <c r="M503" s="26" t="s">
        <v>3854</v>
      </c>
      <c r="N503" s="26" t="s">
        <v>3854</v>
      </c>
      <c r="O503" s="26" t="s">
        <v>3856</v>
      </c>
      <c r="P503" s="26" t="s">
        <v>3856</v>
      </c>
      <c r="Q503" s="26" t="s">
        <v>3854</v>
      </c>
      <c r="R503" s="26"/>
      <c r="S503" s="31"/>
      <c r="T503" s="31" t="s">
        <v>3855</v>
      </c>
    </row>
    <row r="504">
      <c r="A504" s="26" t="str">
        <f t="array" ref="A504">IFERROR(VLOOKUP(B504,{Lists!$H$4:$H829,Lists!$G$4:$G829},2,0),"")</f>
        <v>Reetik Rajan</v>
      </c>
      <c r="B504" s="26" t="s">
        <v>2764</v>
      </c>
      <c r="C504" s="37">
        <v>45989.0</v>
      </c>
      <c r="D504" s="56">
        <v>45989.0</v>
      </c>
      <c r="E504" s="37" t="s">
        <v>3851</v>
      </c>
      <c r="F504" s="31"/>
      <c r="G504" s="57" t="s">
        <v>3852</v>
      </c>
      <c r="H504" s="48" t="s">
        <v>3853</v>
      </c>
      <c r="I504" s="26" t="s">
        <v>3856</v>
      </c>
      <c r="J504" s="26" t="s">
        <v>3854</v>
      </c>
      <c r="K504" s="26" t="s">
        <v>3854</v>
      </c>
      <c r="L504" s="26" t="s">
        <v>3854</v>
      </c>
      <c r="M504" s="26" t="s">
        <v>3854</v>
      </c>
      <c r="N504" s="26" t="s">
        <v>3854</v>
      </c>
      <c r="O504" s="26" t="s">
        <v>3854</v>
      </c>
      <c r="P504" s="26" t="s">
        <v>3854</v>
      </c>
      <c r="Q504" s="26" t="s">
        <v>3854</v>
      </c>
      <c r="R504" s="26"/>
      <c r="S504" s="31"/>
      <c r="T504" s="31" t="s">
        <v>3855</v>
      </c>
    </row>
    <row r="505">
      <c r="A505" s="26" t="str">
        <f t="array" ref="A505">IFERROR(VLOOKUP(B505,{Lists!$H$4:$H829,Lists!$G$4:$G829},2,0),"")</f>
        <v>Suraj Arora</v>
      </c>
      <c r="B505" s="26" t="s">
        <v>2452</v>
      </c>
      <c r="C505" s="37">
        <v>45989.0</v>
      </c>
      <c r="D505" s="56">
        <v>45989.0</v>
      </c>
      <c r="E505" s="37" t="s">
        <v>3851</v>
      </c>
      <c r="F505" s="31"/>
      <c r="G505" s="57" t="s">
        <v>3852</v>
      </c>
      <c r="H505" s="48" t="s">
        <v>3853</v>
      </c>
      <c r="I505" s="26" t="s">
        <v>3856</v>
      </c>
      <c r="J505" s="26" t="s">
        <v>3854</v>
      </c>
      <c r="K505" s="26" t="s">
        <v>3854</v>
      </c>
      <c r="L505" s="26" t="s">
        <v>3854</v>
      </c>
      <c r="M505" s="26" t="s">
        <v>3856</v>
      </c>
      <c r="N505" s="26" t="s">
        <v>3854</v>
      </c>
      <c r="O505" s="26" t="s">
        <v>3854</v>
      </c>
      <c r="P505" s="26" t="s">
        <v>3854</v>
      </c>
      <c r="Q505" s="26" t="s">
        <v>3856</v>
      </c>
      <c r="R505" s="26"/>
      <c r="S505" s="31"/>
      <c r="T505" s="31" t="s">
        <v>3855</v>
      </c>
    </row>
    <row r="506">
      <c r="A506" s="26" t="str">
        <f t="array" ref="A506">IFERROR(VLOOKUP(B506,{Lists!$H$4:$H829,Lists!$G$4:$G829},2,0),"")</f>
        <v>Sahil Verma</v>
      </c>
      <c r="B506" s="26" t="s">
        <v>2766</v>
      </c>
      <c r="C506" s="37">
        <v>45989.0</v>
      </c>
      <c r="D506" s="56">
        <v>45989.0</v>
      </c>
      <c r="E506" s="37" t="s">
        <v>3851</v>
      </c>
      <c r="F506" s="31"/>
      <c r="G506" s="57" t="s">
        <v>3852</v>
      </c>
      <c r="H506" s="48" t="s">
        <v>3853</v>
      </c>
      <c r="I506" s="26" t="s">
        <v>3856</v>
      </c>
      <c r="J506" s="26" t="s">
        <v>3854</v>
      </c>
      <c r="K506" s="26" t="s">
        <v>3854</v>
      </c>
      <c r="L506" s="26" t="s">
        <v>3854</v>
      </c>
      <c r="M506" s="26" t="s">
        <v>3856</v>
      </c>
      <c r="N506" s="26" t="s">
        <v>3854</v>
      </c>
      <c r="O506" s="26" t="s">
        <v>3854</v>
      </c>
      <c r="P506" s="26" t="s">
        <v>3854</v>
      </c>
      <c r="Q506" s="26" t="s">
        <v>3854</v>
      </c>
      <c r="R506" s="26"/>
      <c r="S506" s="31"/>
      <c r="T506" s="31" t="s">
        <v>3855</v>
      </c>
    </row>
    <row r="507">
      <c r="A507" s="26" t="str">
        <f t="array" ref="A507">IFERROR(VLOOKUP(B507,{Lists!$H$4:$H829,Lists!$G$4:$G829},2,0),"")</f>
        <v>Abhinav Shandilya</v>
      </c>
      <c r="B507" s="26" t="s">
        <v>2058</v>
      </c>
      <c r="C507" s="37">
        <v>45989.0</v>
      </c>
      <c r="D507" s="56">
        <v>45989.0</v>
      </c>
      <c r="E507" s="37" t="s">
        <v>3851</v>
      </c>
      <c r="F507" s="31"/>
      <c r="G507" s="57" t="s">
        <v>3852</v>
      </c>
      <c r="H507" s="48" t="s">
        <v>3853</v>
      </c>
      <c r="I507" s="26" t="s">
        <v>3856</v>
      </c>
      <c r="J507" s="26" t="s">
        <v>3854</v>
      </c>
      <c r="K507" s="26" t="s">
        <v>3854</v>
      </c>
      <c r="L507" s="26" t="s">
        <v>3854</v>
      </c>
      <c r="M507" s="26" t="s">
        <v>3854</v>
      </c>
      <c r="N507" s="26" t="s">
        <v>3854</v>
      </c>
      <c r="O507" s="26" t="s">
        <v>3856</v>
      </c>
      <c r="P507" s="26" t="s">
        <v>3856</v>
      </c>
      <c r="Q507" s="26" t="s">
        <v>3854</v>
      </c>
      <c r="R507" s="26"/>
      <c r="S507" s="31"/>
      <c r="T507" s="31" t="s">
        <v>3855</v>
      </c>
    </row>
    <row r="508">
      <c r="A508" s="26" t="str">
        <f t="array" ref="A508">IFERROR(VLOOKUP(B508,{Lists!$H$4:$H829,Lists!$G$4:$G829},2,0),"")</f>
        <v>Parth Jindal</v>
      </c>
      <c r="B508" s="26" t="s">
        <v>2388</v>
      </c>
      <c r="C508" s="37">
        <v>45994.0</v>
      </c>
      <c r="D508" s="56">
        <v>45994.0</v>
      </c>
      <c r="E508" s="37" t="s">
        <v>3851</v>
      </c>
      <c r="F508" s="31"/>
      <c r="G508" s="57" t="s">
        <v>3852</v>
      </c>
      <c r="H508" s="48" t="s">
        <v>3853</v>
      </c>
      <c r="I508" s="26" t="s">
        <v>3856</v>
      </c>
      <c r="J508" s="26" t="s">
        <v>3854</v>
      </c>
      <c r="K508" s="26" t="s">
        <v>3854</v>
      </c>
      <c r="L508" s="26" t="s">
        <v>3854</v>
      </c>
      <c r="M508" s="26" t="s">
        <v>3854</v>
      </c>
      <c r="N508" s="26" t="s">
        <v>3854</v>
      </c>
      <c r="O508" s="26" t="s">
        <v>3856</v>
      </c>
      <c r="P508" s="26" t="s">
        <v>3854</v>
      </c>
      <c r="Q508" s="26" t="s">
        <v>3854</v>
      </c>
      <c r="R508" s="26"/>
      <c r="S508" s="31"/>
      <c r="T508" s="31" t="s">
        <v>3855</v>
      </c>
    </row>
    <row r="509">
      <c r="A509" s="26" t="str">
        <f t="array" ref="A509">IFERROR(VLOOKUP(B509,{Lists!$H$4:$H829,Lists!$G$4:$G829},2,0),"")</f>
        <v>Shivam Sharma</v>
      </c>
      <c r="B509" s="26" t="s">
        <v>1200</v>
      </c>
      <c r="C509" s="37">
        <v>45994.0</v>
      </c>
      <c r="D509" s="56">
        <v>45994.0</v>
      </c>
      <c r="E509" s="37" t="s">
        <v>3851</v>
      </c>
      <c r="F509" s="31"/>
      <c r="G509" s="57" t="s">
        <v>3852</v>
      </c>
      <c r="H509" s="48" t="s">
        <v>3853</v>
      </c>
      <c r="I509" s="26" t="s">
        <v>3856</v>
      </c>
      <c r="J509" s="26" t="s">
        <v>3854</v>
      </c>
      <c r="K509" s="26" t="s">
        <v>3854</v>
      </c>
      <c r="L509" s="26" t="s">
        <v>3854</v>
      </c>
      <c r="M509" s="26" t="s">
        <v>3854</v>
      </c>
      <c r="N509" s="26" t="s">
        <v>3854</v>
      </c>
      <c r="O509" s="26" t="s">
        <v>3856</v>
      </c>
      <c r="P509" s="26" t="s">
        <v>3854</v>
      </c>
      <c r="Q509" s="26" t="s">
        <v>3854</v>
      </c>
      <c r="R509" s="26"/>
      <c r="S509" s="31"/>
      <c r="T509" s="31" t="s">
        <v>3855</v>
      </c>
    </row>
    <row r="510">
      <c r="A510" s="26" t="str">
        <f t="array" ref="A510">IFERROR(VLOOKUP(B510,{Lists!$H$4:$H829,Lists!$G$4:$G829},2,0),"")</f>
        <v>Ankit Wadhwa</v>
      </c>
      <c r="B510" s="26" t="s">
        <v>1553</v>
      </c>
      <c r="C510" s="37">
        <v>46000.0</v>
      </c>
      <c r="D510" s="56">
        <v>46000.0</v>
      </c>
      <c r="E510" s="37" t="s">
        <v>3851</v>
      </c>
      <c r="F510" s="31"/>
      <c r="G510" s="57" t="s">
        <v>3852</v>
      </c>
      <c r="H510" s="48" t="s">
        <v>3853</v>
      </c>
      <c r="I510" s="26" t="s">
        <v>3856</v>
      </c>
      <c r="J510" s="26" t="s">
        <v>3856</v>
      </c>
      <c r="K510" s="27" t="s">
        <v>3854</v>
      </c>
      <c r="L510" s="27" t="s">
        <v>3854</v>
      </c>
      <c r="M510" s="26" t="s">
        <v>3856</v>
      </c>
      <c r="N510" s="26" t="s">
        <v>3854</v>
      </c>
      <c r="O510" s="27" t="s">
        <v>3854</v>
      </c>
      <c r="P510" s="27" t="s">
        <v>3854</v>
      </c>
      <c r="Q510" s="26" t="s">
        <v>3854</v>
      </c>
      <c r="R510" s="26"/>
      <c r="S510" s="31"/>
      <c r="T510" s="31" t="s">
        <v>3855</v>
      </c>
    </row>
    <row r="511">
      <c r="A511" s="26" t="str">
        <f t="array" ref="A511">IFERROR(VLOOKUP(B511,{Lists!$H$4:$H829,Lists!$G$4:$G829},2,0),"")</f>
        <v>Saksham Kochhar - Intern</v>
      </c>
      <c r="B511" s="26" t="s">
        <v>2228</v>
      </c>
      <c r="C511" s="37">
        <v>46002.0</v>
      </c>
      <c r="D511" s="37">
        <v>46002.0</v>
      </c>
      <c r="E511" s="37" t="s">
        <v>3851</v>
      </c>
      <c r="F511" s="31"/>
      <c r="G511" s="57" t="s">
        <v>3852</v>
      </c>
      <c r="H511" s="48" t="s">
        <v>3853</v>
      </c>
      <c r="I511" s="26" t="s">
        <v>3856</v>
      </c>
      <c r="J511" s="26" t="s">
        <v>3854</v>
      </c>
      <c r="K511" s="26" t="s">
        <v>3854</v>
      </c>
      <c r="L511" s="26" t="s">
        <v>3854</v>
      </c>
      <c r="M511" s="26" t="s">
        <v>3854</v>
      </c>
      <c r="N511" s="26" t="s">
        <v>3854</v>
      </c>
      <c r="O511" s="27" t="s">
        <v>3854</v>
      </c>
      <c r="P511" s="27" t="s">
        <v>3854</v>
      </c>
      <c r="Q511" s="26" t="s">
        <v>3854</v>
      </c>
      <c r="R511" s="26"/>
      <c r="S511" s="31"/>
      <c r="T511" s="31" t="s">
        <v>3855</v>
      </c>
    </row>
    <row r="512">
      <c r="A512" s="26" t="str">
        <f t="array" ref="A512">IFERROR(VLOOKUP(B512,{Lists!$H$4:$H829,Lists!$G$4:$G829},2,0),"")</f>
        <v>Armaan Nayyar</v>
      </c>
      <c r="B512" s="26" t="s">
        <v>2532</v>
      </c>
      <c r="C512" s="37">
        <v>46003.0</v>
      </c>
      <c r="D512" s="37">
        <v>46003.0</v>
      </c>
      <c r="E512" s="37" t="s">
        <v>3851</v>
      </c>
      <c r="F512" s="31"/>
      <c r="G512" s="57" t="s">
        <v>3852</v>
      </c>
      <c r="H512" s="48" t="s">
        <v>3853</v>
      </c>
      <c r="I512" s="26" t="s">
        <v>3856</v>
      </c>
      <c r="J512" s="26" t="s">
        <v>3854</v>
      </c>
      <c r="K512" s="26" t="s">
        <v>3854</v>
      </c>
      <c r="L512" s="26" t="s">
        <v>3854</v>
      </c>
      <c r="M512" s="26" t="s">
        <v>3854</v>
      </c>
      <c r="N512" s="26" t="s">
        <v>3854</v>
      </c>
      <c r="O512" s="27" t="s">
        <v>3854</v>
      </c>
      <c r="P512" s="27" t="s">
        <v>3854</v>
      </c>
      <c r="Q512" s="26" t="s">
        <v>3854</v>
      </c>
      <c r="R512" s="26"/>
      <c r="S512" s="31"/>
      <c r="T512" s="31" t="s">
        <v>3855</v>
      </c>
    </row>
    <row r="513">
      <c r="A513" s="26" t="str">
        <f t="array" ref="A513">IFERROR(VLOOKUP(B513,{Lists!$H$4:$H829,Lists!$G$4:$G829},2,0),"")</f>
        <v>Piyush Maurya</v>
      </c>
      <c r="B513" s="26" t="s">
        <v>2326</v>
      </c>
      <c r="C513" s="37">
        <v>46003.0</v>
      </c>
      <c r="D513" s="37">
        <v>46003.0</v>
      </c>
      <c r="E513" s="37" t="s">
        <v>3851</v>
      </c>
      <c r="F513" s="31"/>
      <c r="G513" s="57" t="s">
        <v>3852</v>
      </c>
      <c r="H513" s="48" t="s">
        <v>3853</v>
      </c>
      <c r="I513" s="26" t="s">
        <v>3856</v>
      </c>
      <c r="J513" s="26" t="s">
        <v>3854</v>
      </c>
      <c r="K513" s="26" t="s">
        <v>3854</v>
      </c>
      <c r="L513" s="26" t="s">
        <v>3854</v>
      </c>
      <c r="M513" s="26" t="s">
        <v>3854</v>
      </c>
      <c r="N513" s="26" t="s">
        <v>3854</v>
      </c>
      <c r="O513" s="26" t="s">
        <v>3856</v>
      </c>
      <c r="P513" s="27" t="s">
        <v>3854</v>
      </c>
      <c r="Q513" s="26" t="s">
        <v>3854</v>
      </c>
      <c r="R513" s="26"/>
      <c r="S513" s="31"/>
      <c r="T513" s="31" t="s">
        <v>3855</v>
      </c>
    </row>
    <row r="514">
      <c r="A514" s="26" t="str">
        <f t="array" ref="A514">IFERROR(VLOOKUP(B514,{Lists!$H$4:$H829,Lists!$G$4:$G829},2,0),"")</f>
        <v>Vishal Raj</v>
      </c>
      <c r="B514" s="26" t="s">
        <v>3106</v>
      </c>
      <c r="C514" s="37">
        <v>46003.0</v>
      </c>
      <c r="D514" s="37">
        <v>46003.0</v>
      </c>
      <c r="E514" s="37" t="s">
        <v>3851</v>
      </c>
      <c r="F514" s="31"/>
      <c r="G514" s="57" t="s">
        <v>3852</v>
      </c>
      <c r="H514" s="48" t="s">
        <v>3853</v>
      </c>
      <c r="I514" s="26" t="s">
        <v>3856</v>
      </c>
      <c r="J514" s="26" t="s">
        <v>3854</v>
      </c>
      <c r="K514" s="26" t="s">
        <v>3854</v>
      </c>
      <c r="L514" s="26" t="s">
        <v>3854</v>
      </c>
      <c r="M514" s="26" t="s">
        <v>3854</v>
      </c>
      <c r="N514" s="31"/>
      <c r="O514" s="26" t="s">
        <v>3854</v>
      </c>
      <c r="P514" s="26" t="s">
        <v>3854</v>
      </c>
      <c r="Q514" s="31"/>
      <c r="R514" s="31"/>
      <c r="S514" s="31"/>
      <c r="T514" s="31" t="s">
        <v>3855</v>
      </c>
    </row>
    <row r="515">
      <c r="A515" s="26" t="str">
        <f t="array" ref="A515">IFERROR(VLOOKUP(B515,{Lists!$H$4:$H829,Lists!$G$4:$G829},2,0),"")</f>
        <v>Anish Joseph Abraham</v>
      </c>
      <c r="B515" s="26" t="s">
        <v>1813</v>
      </c>
      <c r="C515" s="37">
        <v>46007.0</v>
      </c>
      <c r="D515" s="37">
        <v>46007.0</v>
      </c>
      <c r="E515" s="37" t="s">
        <v>3851</v>
      </c>
      <c r="F515" s="31"/>
      <c r="G515" s="57" t="s">
        <v>3852</v>
      </c>
      <c r="H515" s="48" t="s">
        <v>3853</v>
      </c>
      <c r="I515" s="26" t="s">
        <v>3856</v>
      </c>
      <c r="J515" s="26" t="s">
        <v>3854</v>
      </c>
      <c r="K515" s="26" t="s">
        <v>3854</v>
      </c>
      <c r="L515" s="26" t="s">
        <v>3854</v>
      </c>
      <c r="M515" s="26" t="s">
        <v>3854</v>
      </c>
      <c r="N515" s="31"/>
      <c r="O515" s="26" t="s">
        <v>3854</v>
      </c>
      <c r="P515" s="26" t="s">
        <v>3854</v>
      </c>
      <c r="Q515" s="31"/>
      <c r="R515" s="31"/>
      <c r="S515" s="31"/>
      <c r="T515" s="31" t="s">
        <v>3855</v>
      </c>
    </row>
    <row r="516">
      <c r="A516" s="26" t="str">
        <f t="array" ref="A516">IFERROR(VLOOKUP(B516,{Lists!$H$4:$H829,Lists!$G$4:$G829},2,0),"")</f>
        <v>Rijul Sharma</v>
      </c>
      <c r="B516" s="26" t="s">
        <v>2295</v>
      </c>
      <c r="C516" s="37">
        <v>46008.0</v>
      </c>
      <c r="D516" s="37">
        <v>46008.0</v>
      </c>
      <c r="E516" s="37" t="s">
        <v>3851</v>
      </c>
      <c r="F516" s="31"/>
      <c r="G516" s="57" t="s">
        <v>3852</v>
      </c>
      <c r="H516" s="48" t="s">
        <v>3853</v>
      </c>
      <c r="I516" s="26" t="s">
        <v>3856</v>
      </c>
      <c r="J516" s="26" t="s">
        <v>3854</v>
      </c>
      <c r="K516" s="26" t="s">
        <v>3854</v>
      </c>
      <c r="L516" s="26" t="s">
        <v>3854</v>
      </c>
      <c r="M516" s="26" t="s">
        <v>3854</v>
      </c>
      <c r="N516" s="31"/>
      <c r="O516" s="26" t="s">
        <v>3854</v>
      </c>
      <c r="P516" s="26" t="s">
        <v>3854</v>
      </c>
      <c r="Q516" s="31"/>
      <c r="R516" s="31"/>
      <c r="S516" s="31"/>
      <c r="T516" s="31" t="s">
        <v>3855</v>
      </c>
    </row>
    <row r="517">
      <c r="A517" s="26" t="str">
        <f t="array" ref="A517">IFERROR(VLOOKUP(B517,{Lists!$H$4:$H829,Lists!$G$4:$G829},2,0),"")</f>
        <v>Hardik Kumar</v>
      </c>
      <c r="B517" s="26" t="s">
        <v>3066</v>
      </c>
      <c r="C517" s="37">
        <v>46010.0</v>
      </c>
      <c r="D517" s="37">
        <v>46010.0</v>
      </c>
      <c r="E517" s="37" t="s">
        <v>3851</v>
      </c>
      <c r="F517" s="31"/>
      <c r="G517" s="57" t="s">
        <v>3852</v>
      </c>
      <c r="H517" s="48" t="s">
        <v>3853</v>
      </c>
      <c r="I517" s="26" t="s">
        <v>3856</v>
      </c>
      <c r="J517" s="26" t="s">
        <v>3854</v>
      </c>
      <c r="K517" s="26" t="s">
        <v>3854</v>
      </c>
      <c r="L517" s="26" t="s">
        <v>3854</v>
      </c>
      <c r="M517" s="26" t="s">
        <v>3854</v>
      </c>
      <c r="N517" s="31"/>
      <c r="O517" s="26" t="s">
        <v>3854</v>
      </c>
      <c r="P517" s="26" t="s">
        <v>3854</v>
      </c>
      <c r="Q517" s="31"/>
      <c r="R517" s="31"/>
      <c r="S517" s="31"/>
      <c r="T517" s="31" t="s">
        <v>3855</v>
      </c>
    </row>
    <row r="518">
      <c r="A518" s="26" t="str">
        <f t="array" ref="A518">IFERROR(VLOOKUP(B518,{Lists!$H$4:$H829,Lists!$G$4:$G829},2,0),"")</f>
        <v>Sahil Puri</v>
      </c>
      <c r="B518" s="26" t="s">
        <v>1048</v>
      </c>
      <c r="C518" s="37">
        <v>46010.0</v>
      </c>
      <c r="D518" s="37">
        <v>46010.0</v>
      </c>
      <c r="E518" s="37" t="s">
        <v>3851</v>
      </c>
      <c r="F518" s="31"/>
      <c r="G518" s="57" t="s">
        <v>3852</v>
      </c>
      <c r="H518" s="48" t="s">
        <v>3853</v>
      </c>
      <c r="I518" s="26" t="s">
        <v>3856</v>
      </c>
      <c r="J518" s="26" t="s">
        <v>3856</v>
      </c>
      <c r="K518" s="26" t="s">
        <v>3854</v>
      </c>
      <c r="L518" s="26" t="s">
        <v>3854</v>
      </c>
      <c r="M518" s="26" t="s">
        <v>3854</v>
      </c>
      <c r="N518" s="31"/>
      <c r="O518" s="26" t="s">
        <v>3856</v>
      </c>
      <c r="P518" s="26" t="s">
        <v>3854</v>
      </c>
      <c r="Q518" s="31"/>
      <c r="R518" s="31"/>
      <c r="S518" s="31"/>
      <c r="T518" s="31" t="s">
        <v>3855</v>
      </c>
    </row>
    <row r="519">
      <c r="A519" s="26" t="str">
        <f t="array" ref="A519">IFERROR(VLOOKUP(B519,{Lists!$H$4:$H829,Lists!$G$4:$G829},2,0),"")</f>
        <v>Dipankar Dipankar Yadav</v>
      </c>
      <c r="B519" s="26" t="s">
        <v>2651</v>
      </c>
      <c r="C519" s="37">
        <v>46010.0</v>
      </c>
      <c r="D519" s="37">
        <v>46010.0</v>
      </c>
      <c r="E519" s="37" t="s">
        <v>3851</v>
      </c>
      <c r="F519" s="31"/>
      <c r="G519" s="57" t="s">
        <v>3852</v>
      </c>
      <c r="H519" s="48" t="s">
        <v>3853</v>
      </c>
      <c r="I519" s="26" t="s">
        <v>3856</v>
      </c>
      <c r="J519" s="26" t="s">
        <v>3854</v>
      </c>
      <c r="K519" s="26" t="s">
        <v>3854</v>
      </c>
      <c r="L519" s="26" t="s">
        <v>3854</v>
      </c>
      <c r="M519" s="26" t="s">
        <v>3854</v>
      </c>
      <c r="N519" s="31"/>
      <c r="O519" s="26" t="s">
        <v>3854</v>
      </c>
      <c r="P519" s="26" t="s">
        <v>3854</v>
      </c>
      <c r="Q519" s="31"/>
      <c r="R519" s="31"/>
      <c r="S519" s="31"/>
      <c r="T519" s="31" t="s">
        <v>3855</v>
      </c>
    </row>
    <row r="520">
      <c r="A520" s="26" t="str">
        <f t="array" ref="A520">IFERROR(VLOOKUP(B520,{Lists!$H$4:$H829,Lists!$G$4:$G829},2,0),"")</f>
        <v>Rajkumar Singh</v>
      </c>
      <c r="B520" s="26" t="s">
        <v>1491</v>
      </c>
      <c r="C520" s="37">
        <v>46013.0</v>
      </c>
      <c r="D520" s="37">
        <v>46013.0</v>
      </c>
      <c r="E520" s="37" t="s">
        <v>3851</v>
      </c>
      <c r="F520" s="34" t="str">
        <f>VLOOKUP(B520,'On-Boarding'!C:D,2,0)</f>
        <v>IT Infra</v>
      </c>
      <c r="G520" s="62" t="s">
        <v>4011</v>
      </c>
      <c r="H520" s="48" t="s">
        <v>4012</v>
      </c>
      <c r="I520" s="26" t="s">
        <v>3856</v>
      </c>
      <c r="J520" s="26" t="s">
        <v>3854</v>
      </c>
      <c r="K520" s="26" t="s">
        <v>3854</v>
      </c>
      <c r="L520" s="26" t="s">
        <v>3854</v>
      </c>
      <c r="M520" s="26" t="s">
        <v>3854</v>
      </c>
      <c r="N520" s="26" t="s">
        <v>3854</v>
      </c>
      <c r="O520" s="27" t="s">
        <v>3854</v>
      </c>
      <c r="P520" s="27" t="s">
        <v>3854</v>
      </c>
      <c r="Q520" s="26" t="s">
        <v>3854</v>
      </c>
      <c r="R520" s="26"/>
      <c r="S520" s="31"/>
      <c r="T520" s="31" t="s">
        <v>3855</v>
      </c>
    </row>
    <row r="521">
      <c r="A521" s="26" t="str">
        <f t="array" ref="A521">IFERROR(VLOOKUP(B521,{Lists!$H$4:$H829,Lists!$G$4:$G829},2,0),"")</f>
        <v>Ankit Anil Waghela</v>
      </c>
      <c r="B521" s="26" t="s">
        <v>3481</v>
      </c>
      <c r="C521" s="37">
        <v>46013.0</v>
      </c>
      <c r="D521" s="37">
        <v>46013.0</v>
      </c>
      <c r="E521" s="37" t="s">
        <v>3851</v>
      </c>
      <c r="F521" s="31"/>
      <c r="G521" s="57" t="s">
        <v>3852</v>
      </c>
      <c r="H521" s="48" t="s">
        <v>3853</v>
      </c>
      <c r="I521" s="26" t="s">
        <v>3856</v>
      </c>
      <c r="J521" s="26" t="s">
        <v>3854</v>
      </c>
      <c r="K521" s="26" t="s">
        <v>3854</v>
      </c>
      <c r="L521" s="26" t="s">
        <v>3854</v>
      </c>
      <c r="M521" s="26" t="s">
        <v>3854</v>
      </c>
      <c r="N521" s="31"/>
      <c r="O521" s="26" t="s">
        <v>3854</v>
      </c>
      <c r="P521" s="26" t="s">
        <v>3854</v>
      </c>
      <c r="Q521" s="31"/>
      <c r="R521" s="31"/>
      <c r="S521" s="31"/>
      <c r="T521" s="31" t="s">
        <v>3855</v>
      </c>
    </row>
    <row r="522">
      <c r="A522" s="26" t="str">
        <f t="array" ref="A522">IFERROR(VLOOKUP(B522,{Lists!$H$4:$H829,Lists!$G$4:$G829},2,0),"")</f>
        <v>Srijan Bhageria</v>
      </c>
      <c r="B522" s="26" t="s">
        <v>2551</v>
      </c>
      <c r="C522" s="37">
        <v>46017.0</v>
      </c>
      <c r="D522" s="37">
        <v>46017.0</v>
      </c>
      <c r="E522" s="37" t="s">
        <v>3851</v>
      </c>
      <c r="F522" s="31"/>
      <c r="G522" s="57" t="s">
        <v>3852</v>
      </c>
      <c r="H522" s="48" t="s">
        <v>3853</v>
      </c>
      <c r="I522" s="26" t="s">
        <v>3856</v>
      </c>
      <c r="J522" s="26" t="s">
        <v>3854</v>
      </c>
      <c r="K522" s="26" t="s">
        <v>3854</v>
      </c>
      <c r="L522" s="26" t="s">
        <v>3854</v>
      </c>
      <c r="M522" s="26" t="s">
        <v>3854</v>
      </c>
      <c r="N522" s="31"/>
      <c r="O522" s="31"/>
      <c r="P522" s="26" t="s">
        <v>3854</v>
      </c>
      <c r="Q522" s="31"/>
      <c r="R522" s="31"/>
      <c r="S522" s="31"/>
      <c r="T522" s="31" t="s">
        <v>3855</v>
      </c>
    </row>
    <row r="523">
      <c r="A523" s="26" t="str">
        <f t="array" ref="A523">IFERROR(VLOOKUP(B523,{Lists!$H$4:$H829,Lists!$G$4:$G829},2,0),"")</f>
        <v>Kanwar Aditya Singh</v>
      </c>
      <c r="B523" s="26" t="s">
        <v>2339</v>
      </c>
      <c r="C523" s="37">
        <v>46017.0</v>
      </c>
      <c r="D523" s="37">
        <v>46017.0</v>
      </c>
      <c r="E523" s="37" t="s">
        <v>3851</v>
      </c>
      <c r="F523" s="31"/>
      <c r="G523" s="57" t="s">
        <v>3852</v>
      </c>
      <c r="H523" s="48" t="s">
        <v>3853</v>
      </c>
      <c r="I523" s="26" t="s">
        <v>3856</v>
      </c>
      <c r="J523" s="26" t="s">
        <v>3854</v>
      </c>
      <c r="K523" s="26" t="s">
        <v>3854</v>
      </c>
      <c r="L523" s="26" t="s">
        <v>3854</v>
      </c>
      <c r="M523" s="26" t="s">
        <v>3854</v>
      </c>
      <c r="N523" s="31"/>
      <c r="O523" s="26" t="s">
        <v>3854</v>
      </c>
      <c r="P523" s="26" t="s">
        <v>3854</v>
      </c>
      <c r="Q523" s="31"/>
      <c r="R523" s="31"/>
      <c r="S523" s="31"/>
      <c r="T523" s="31" t="s">
        <v>3855</v>
      </c>
    </row>
    <row r="524">
      <c r="A524" s="26" t="str">
        <f t="array" ref="A524">IFERROR(VLOOKUP(B524,{Lists!$H$4:$H829,Lists!$G$4:$G829},2,0),"")</f>
        <v>Saptarshi De</v>
      </c>
      <c r="B524" s="26" t="s">
        <v>3544</v>
      </c>
      <c r="C524" s="37">
        <v>46020.0</v>
      </c>
      <c r="D524" s="37">
        <v>46017.0</v>
      </c>
      <c r="E524" s="37" t="s">
        <v>3851</v>
      </c>
      <c r="F524" s="34" t="str">
        <f>VLOOKUP(B524,'On-Boarding'!C:D,2,0)</f>
        <v>Vertical Tv</v>
      </c>
      <c r="G524" s="59" t="s">
        <v>3875</v>
      </c>
      <c r="H524" s="48" t="s">
        <v>3876</v>
      </c>
      <c r="I524" s="26" t="s">
        <v>3856</v>
      </c>
      <c r="J524" s="26" t="s">
        <v>3854</v>
      </c>
      <c r="K524" s="26" t="s">
        <v>3854</v>
      </c>
      <c r="L524" s="26" t="s">
        <v>3854</v>
      </c>
      <c r="M524" s="26" t="s">
        <v>3854</v>
      </c>
      <c r="N524" s="31"/>
      <c r="O524" s="26" t="s">
        <v>3854</v>
      </c>
      <c r="P524" s="26" t="s">
        <v>3854</v>
      </c>
      <c r="Q524" s="31"/>
      <c r="R524" s="31"/>
      <c r="S524" s="31"/>
      <c r="T524" s="31" t="s">
        <v>3855</v>
      </c>
    </row>
    <row r="525">
      <c r="A525" s="26" t="str">
        <f t="array" ref="A525">IFERROR(VLOOKUP(B525,{Lists!$H$4:$H829,Lists!$G$4:$G829},2,0),"")</f>
        <v>Reema Gupta</v>
      </c>
      <c r="B525" s="26" t="s">
        <v>2542</v>
      </c>
      <c r="C525" s="37">
        <v>46035.0</v>
      </c>
      <c r="D525" s="37">
        <v>46035.0</v>
      </c>
      <c r="E525" s="37" t="s">
        <v>3851</v>
      </c>
      <c r="F525" s="31"/>
      <c r="G525" s="57" t="s">
        <v>3852</v>
      </c>
      <c r="H525" s="48" t="s">
        <v>3853</v>
      </c>
      <c r="I525" s="26" t="s">
        <v>3856</v>
      </c>
      <c r="J525" s="26" t="s">
        <v>3856</v>
      </c>
      <c r="K525" s="31"/>
      <c r="L525" s="31"/>
      <c r="M525" s="31"/>
      <c r="N525" s="31"/>
      <c r="O525" s="26"/>
      <c r="P525" s="26"/>
      <c r="Q525" s="31"/>
      <c r="R525" s="31"/>
      <c r="S525" s="31"/>
      <c r="T525" s="31" t="s">
        <v>3855</v>
      </c>
    </row>
    <row r="526">
      <c r="A526" s="26" t="str">
        <f t="array" ref="A526">IFERROR(VLOOKUP(B526,{Lists!$H$4:$H829,Lists!$G$4:$G829},2,0),"")</f>
        <v>Ajay Yadav</v>
      </c>
      <c r="B526" s="26" t="s">
        <v>2455</v>
      </c>
      <c r="C526" s="37">
        <v>46022.0</v>
      </c>
      <c r="D526" s="37">
        <v>46022.0</v>
      </c>
      <c r="E526" s="37" t="s">
        <v>3851</v>
      </c>
      <c r="F526" s="31"/>
      <c r="G526" s="57" t="s">
        <v>3852</v>
      </c>
      <c r="H526" s="48" t="s">
        <v>3853</v>
      </c>
      <c r="I526" s="26" t="s">
        <v>3856</v>
      </c>
      <c r="J526" s="26" t="s">
        <v>3854</v>
      </c>
      <c r="K526" s="26" t="s">
        <v>3854</v>
      </c>
      <c r="L526" s="26" t="s">
        <v>3854</v>
      </c>
      <c r="M526" s="26" t="s">
        <v>3854</v>
      </c>
      <c r="N526" s="31"/>
      <c r="O526" s="26" t="s">
        <v>3854</v>
      </c>
      <c r="P526" s="26" t="s">
        <v>3854</v>
      </c>
      <c r="Q526" s="31"/>
      <c r="R526" s="31"/>
      <c r="S526" s="31"/>
      <c r="T526" s="31" t="s">
        <v>3855</v>
      </c>
    </row>
    <row r="527">
      <c r="A527" s="26" t="str">
        <f t="array" ref="A527">IFERROR(VLOOKUP(B527,{Lists!$H$4:$H829,Lists!$G$4:$G829},2,0),"")</f>
        <v>Avanish Kumar Dubey</v>
      </c>
      <c r="B527" s="26" t="s">
        <v>2367</v>
      </c>
      <c r="C527" s="37">
        <v>46022.0</v>
      </c>
      <c r="D527" s="37">
        <v>46022.0</v>
      </c>
      <c r="E527" s="37" t="s">
        <v>3851</v>
      </c>
      <c r="F527" s="31"/>
      <c r="G527" s="57" t="s">
        <v>3852</v>
      </c>
      <c r="H527" s="48" t="s">
        <v>3853</v>
      </c>
      <c r="I527" s="26" t="s">
        <v>3856</v>
      </c>
      <c r="J527" s="26" t="s">
        <v>3854</v>
      </c>
      <c r="K527" s="26" t="s">
        <v>3854</v>
      </c>
      <c r="L527" s="26" t="s">
        <v>3854</v>
      </c>
      <c r="M527" s="26" t="s">
        <v>3854</v>
      </c>
      <c r="N527" s="31"/>
      <c r="O527" s="26" t="s">
        <v>3856</v>
      </c>
      <c r="P527" s="26" t="s">
        <v>3854</v>
      </c>
      <c r="Q527" s="31"/>
      <c r="R527" s="26"/>
      <c r="S527" s="31"/>
      <c r="T527" s="31" t="s">
        <v>3855</v>
      </c>
    </row>
    <row r="528">
      <c r="A528" s="26" t="str">
        <f t="array" ref="A528">IFERROR(VLOOKUP(B528,{Lists!$H$4:$H829,Lists!$G$4:$G829},2,0),"")</f>
        <v>Anant Dnayeshwar Admane</v>
      </c>
      <c r="B528" s="26" t="s">
        <v>2595</v>
      </c>
      <c r="C528" s="37">
        <v>46022.0</v>
      </c>
      <c r="D528" s="37">
        <v>46022.0</v>
      </c>
      <c r="E528" s="37" t="s">
        <v>3851</v>
      </c>
      <c r="F528" s="31"/>
      <c r="G528" s="57" t="s">
        <v>3852</v>
      </c>
      <c r="H528" s="48" t="s">
        <v>3853</v>
      </c>
      <c r="I528" s="26" t="s">
        <v>3856</v>
      </c>
      <c r="J528" s="26" t="s">
        <v>3854</v>
      </c>
      <c r="K528" s="26" t="s">
        <v>3854</v>
      </c>
      <c r="L528" s="26" t="s">
        <v>3854</v>
      </c>
      <c r="M528" s="26" t="s">
        <v>3854</v>
      </c>
      <c r="N528" s="31"/>
      <c r="O528" s="26" t="s">
        <v>3856</v>
      </c>
      <c r="P528" s="26" t="s">
        <v>3856</v>
      </c>
      <c r="Q528" s="31"/>
      <c r="R528" s="31"/>
      <c r="S528" s="31"/>
      <c r="T528" s="31" t="s">
        <v>3855</v>
      </c>
    </row>
    <row r="529">
      <c r="A529" s="26" t="str">
        <f t="array" ref="A529">IFERROR(VLOOKUP(B529,{Lists!$H$4:$H829,Lists!$G$4:$G829},2,0),"")</f>
        <v>Ankur Prajapati</v>
      </c>
      <c r="B529" s="26" t="s">
        <v>2519</v>
      </c>
      <c r="C529" s="37">
        <v>46022.0</v>
      </c>
      <c r="D529" s="37">
        <v>46022.0</v>
      </c>
      <c r="E529" s="37" t="s">
        <v>3851</v>
      </c>
      <c r="F529" s="31"/>
      <c r="G529" s="57" t="s">
        <v>3852</v>
      </c>
      <c r="H529" s="48" t="s">
        <v>3853</v>
      </c>
      <c r="I529" s="26" t="s">
        <v>3856</v>
      </c>
      <c r="J529" s="26" t="s">
        <v>3854</v>
      </c>
      <c r="K529" s="26" t="s">
        <v>3854</v>
      </c>
      <c r="L529" s="26" t="s">
        <v>3854</v>
      </c>
      <c r="M529" s="26" t="s">
        <v>3854</v>
      </c>
      <c r="N529" s="31"/>
      <c r="O529" s="26" t="s">
        <v>3854</v>
      </c>
      <c r="P529" s="26" t="s">
        <v>3854</v>
      </c>
      <c r="Q529" s="31"/>
      <c r="R529" s="31"/>
      <c r="S529" s="31"/>
      <c r="T529" s="31" t="s">
        <v>3855</v>
      </c>
    </row>
    <row r="530">
      <c r="A530" s="26" t="str">
        <f t="array" ref="A530">IFERROR(VLOOKUP(B530,{Lists!$H$4:$H829,Lists!$G$4:$G829},2,0),"")</f>
        <v>Aditya Samantaray</v>
      </c>
      <c r="B530" s="26" t="s">
        <v>2409</v>
      </c>
      <c r="C530" s="37">
        <v>46022.0</v>
      </c>
      <c r="D530" s="37">
        <v>46022.0</v>
      </c>
      <c r="E530" s="37" t="s">
        <v>3851</v>
      </c>
      <c r="F530" s="31"/>
      <c r="G530" s="57" t="s">
        <v>3852</v>
      </c>
      <c r="H530" s="48" t="s">
        <v>3853</v>
      </c>
      <c r="I530" s="26" t="s">
        <v>3856</v>
      </c>
      <c r="J530" s="26" t="s">
        <v>3854</v>
      </c>
      <c r="K530" s="26" t="s">
        <v>3854</v>
      </c>
      <c r="L530" s="26" t="s">
        <v>3854</v>
      </c>
      <c r="M530" s="26" t="s">
        <v>3854</v>
      </c>
      <c r="N530" s="31"/>
      <c r="O530" s="26" t="s">
        <v>3854</v>
      </c>
      <c r="P530" s="26" t="s">
        <v>3856</v>
      </c>
      <c r="Q530" s="31"/>
      <c r="R530" s="31"/>
      <c r="S530" s="31"/>
      <c r="T530" s="31" t="s">
        <v>3855</v>
      </c>
    </row>
    <row r="531">
      <c r="A531" s="26" t="str">
        <f t="array" ref="A531">IFERROR(VLOOKUP(B531,{Lists!$H$4:$H829,Lists!$G$4:$G829},2,0),"")</f>
        <v>Aditya Gandhi</v>
      </c>
      <c r="B531" s="26" t="s">
        <v>3103</v>
      </c>
      <c r="C531" s="37">
        <v>46028.0</v>
      </c>
      <c r="D531" s="37">
        <v>46028.0</v>
      </c>
      <c r="E531" s="37" t="s">
        <v>3851</v>
      </c>
      <c r="F531" s="34" t="str">
        <f>VLOOKUP(B531,'On-Boarding'!C:D,2,0)</f>
        <v>Org</v>
      </c>
      <c r="G531" s="59" t="s">
        <v>3875</v>
      </c>
      <c r="H531" s="48" t="s">
        <v>3876</v>
      </c>
      <c r="I531" s="26" t="s">
        <v>3856</v>
      </c>
      <c r="J531" s="26" t="s">
        <v>3854</v>
      </c>
      <c r="K531" s="31"/>
      <c r="L531" s="31"/>
      <c r="M531" s="31"/>
      <c r="N531" s="31"/>
      <c r="O531" s="31"/>
      <c r="P531" s="31"/>
      <c r="Q531" s="31"/>
      <c r="R531" s="31"/>
      <c r="S531" s="31"/>
      <c r="T531" s="31" t="s">
        <v>3855</v>
      </c>
    </row>
    <row r="532">
      <c r="A532" s="26" t="str">
        <f t="array" ref="A532">IFERROR(VLOOKUP(B532,{Lists!$H$4:$H829,Lists!$G$4:$G829},2,0),"")</f>
        <v>Prakrati Gupta</v>
      </c>
      <c r="B532" s="26" t="s">
        <v>2994</v>
      </c>
      <c r="C532" s="37">
        <v>46030.0</v>
      </c>
      <c r="D532" s="37">
        <v>46030.0</v>
      </c>
      <c r="E532" s="37" t="s">
        <v>3851</v>
      </c>
      <c r="F532" s="31"/>
      <c r="G532" s="57" t="s">
        <v>3852</v>
      </c>
      <c r="H532" s="48" t="s">
        <v>3853</v>
      </c>
      <c r="I532" s="26" t="s">
        <v>3856</v>
      </c>
      <c r="J532" s="26" t="s">
        <v>3854</v>
      </c>
      <c r="K532" s="31"/>
      <c r="L532" s="31"/>
      <c r="M532" s="31"/>
      <c r="N532" s="31"/>
      <c r="O532" s="31"/>
      <c r="P532" s="31"/>
      <c r="Q532" s="31"/>
      <c r="R532" s="31"/>
      <c r="S532" s="31"/>
      <c r="T532" s="31" t="s">
        <v>3855</v>
      </c>
    </row>
    <row r="533">
      <c r="A533" s="26" t="str">
        <f t="array" ref="A533">IFERROR(VLOOKUP(B533,{Lists!$H$4:$H829,Lists!$G$4:$G829},2,0),"")</f>
        <v>Subhankar Jha</v>
      </c>
      <c r="B533" s="26" t="s">
        <v>2742</v>
      </c>
      <c r="C533" s="37">
        <v>46029.0</v>
      </c>
      <c r="D533" s="37">
        <v>46029.0</v>
      </c>
      <c r="E533" s="37" t="s">
        <v>3851</v>
      </c>
      <c r="F533" s="31"/>
      <c r="G533" s="57" t="s">
        <v>3852</v>
      </c>
      <c r="H533" s="48" t="s">
        <v>3853</v>
      </c>
      <c r="I533" s="26" t="s">
        <v>3856</v>
      </c>
      <c r="J533" s="26" t="s">
        <v>3854</v>
      </c>
      <c r="K533" s="31"/>
      <c r="L533" s="31"/>
      <c r="M533" s="31"/>
      <c r="N533" s="31"/>
      <c r="O533" s="31"/>
      <c r="P533" s="31"/>
      <c r="Q533" s="31"/>
      <c r="R533" s="31"/>
      <c r="S533" s="31"/>
      <c r="T533" s="31" t="s">
        <v>3855</v>
      </c>
    </row>
    <row r="534">
      <c r="A534" s="26" t="str">
        <f t="array" ref="A534">IFERROR(VLOOKUP(B534,{Lists!$H$4:$H829,Lists!$G$4:$G829},2,0),"")</f>
        <v>Lovenith S Rampure</v>
      </c>
      <c r="B534" s="26" t="s">
        <v>3291</v>
      </c>
      <c r="C534" s="37">
        <v>46031.0</v>
      </c>
      <c r="D534" s="37">
        <v>46031.0</v>
      </c>
      <c r="E534" s="37" t="s">
        <v>3851</v>
      </c>
      <c r="F534" s="34" t="str">
        <f>VLOOKUP(B534,'On-Boarding'!C:D,2,0)</f>
        <v>Brand Marketing</v>
      </c>
      <c r="G534" s="59" t="s">
        <v>3875</v>
      </c>
      <c r="H534" s="48" t="s">
        <v>3876</v>
      </c>
      <c r="I534" s="26" t="s">
        <v>3856</v>
      </c>
      <c r="J534" s="26" t="s">
        <v>3854</v>
      </c>
      <c r="K534" s="31"/>
      <c r="L534" s="31"/>
      <c r="M534" s="31"/>
      <c r="N534" s="31"/>
      <c r="O534" s="31"/>
      <c r="P534" s="31"/>
      <c r="Q534" s="31"/>
      <c r="R534" s="31"/>
      <c r="S534" s="31"/>
      <c r="T534" s="31" t="s">
        <v>3855</v>
      </c>
    </row>
    <row r="535">
      <c r="A535" s="26" t="str">
        <f t="array" ref="A535">IFERROR(VLOOKUP(B535,{Lists!$H$4:$H829,Lists!$G$4:$G829},2,0),"")</f>
        <v>Sourav Ganguly</v>
      </c>
      <c r="B535" s="26" t="s">
        <v>3687</v>
      </c>
      <c r="C535" s="37">
        <v>46031.0</v>
      </c>
      <c r="D535" s="37">
        <v>46034.0</v>
      </c>
      <c r="E535" s="37" t="s">
        <v>3851</v>
      </c>
      <c r="F535" s="34" t="str">
        <f>VLOOKUP(B535,'On-Boarding'!C:D,2,0)</f>
        <v>Vertical Tv</v>
      </c>
      <c r="G535" s="59" t="s">
        <v>3875</v>
      </c>
      <c r="H535" s="48" t="s">
        <v>3876</v>
      </c>
      <c r="I535" s="26" t="s">
        <v>3856</v>
      </c>
      <c r="J535" s="26" t="s">
        <v>3854</v>
      </c>
      <c r="K535" s="31"/>
      <c r="L535" s="31"/>
      <c r="M535" s="31"/>
      <c r="N535" s="31"/>
      <c r="O535" s="31"/>
      <c r="P535" s="31"/>
      <c r="Q535" s="31"/>
      <c r="R535" s="31"/>
      <c r="S535" s="31"/>
      <c r="T535" s="31" t="s">
        <v>3855</v>
      </c>
    </row>
    <row r="536">
      <c r="A536" s="26" t="str">
        <f t="array" ref="A536">IFERROR(VLOOKUP(B536,{Lists!$H$4:$H829,Lists!$G$4:$G829},2,0),"")</f>
        <v>Ranu Gupta</v>
      </c>
      <c r="B536" s="26" t="s">
        <v>2497</v>
      </c>
      <c r="C536" s="37">
        <v>46038.0</v>
      </c>
      <c r="D536" s="37">
        <v>46038.0</v>
      </c>
      <c r="E536" s="37" t="s">
        <v>3851</v>
      </c>
      <c r="F536" s="31"/>
      <c r="G536" s="57" t="s">
        <v>3852</v>
      </c>
      <c r="H536" s="48" t="s">
        <v>3853</v>
      </c>
      <c r="I536" s="26" t="s">
        <v>3856</v>
      </c>
      <c r="J536" s="26" t="s">
        <v>3854</v>
      </c>
      <c r="K536" s="31"/>
      <c r="L536" s="31"/>
      <c r="M536" s="31"/>
      <c r="N536" s="31"/>
      <c r="Q536" s="31"/>
      <c r="R536" s="31"/>
      <c r="S536" s="31"/>
      <c r="T536" s="31" t="s">
        <v>3855</v>
      </c>
    </row>
    <row r="537">
      <c r="A537" s="26" t="str">
        <f t="array" ref="A537">IFERROR(VLOOKUP(B537,{Lists!$H$4:$H829,Lists!$G$4:$G829},2,0),"")</f>
        <v>Monika Yadav</v>
      </c>
      <c r="B537" s="26" t="s">
        <v>2201</v>
      </c>
      <c r="C537" s="37">
        <v>46041.0</v>
      </c>
      <c r="D537" s="37">
        <v>46041.0</v>
      </c>
      <c r="E537" s="37" t="s">
        <v>3851</v>
      </c>
      <c r="F537" s="31"/>
      <c r="G537" s="57" t="s">
        <v>3852</v>
      </c>
      <c r="H537" s="48" t="s">
        <v>3853</v>
      </c>
      <c r="I537" s="26" t="s">
        <v>3856</v>
      </c>
      <c r="J537" s="26" t="s">
        <v>3854</v>
      </c>
      <c r="K537" s="26" t="s">
        <v>3854</v>
      </c>
      <c r="L537" s="26" t="s">
        <v>3854</v>
      </c>
      <c r="M537" s="26" t="s">
        <v>3854</v>
      </c>
      <c r="N537" s="31"/>
      <c r="O537" s="26" t="s">
        <v>3854</v>
      </c>
      <c r="P537" s="26" t="s">
        <v>3854</v>
      </c>
      <c r="Q537" s="31"/>
      <c r="R537" s="31"/>
      <c r="S537" s="31"/>
      <c r="T537" s="31" t="s">
        <v>3855</v>
      </c>
    </row>
    <row r="538">
      <c r="A538" s="26" t="str">
        <f t="array" ref="A538">IFERROR(VLOOKUP(B538,{Lists!$H$4:$H829,Lists!$G$4:$G829},2,0),"")</f>
        <v>Saransh Bankiwal</v>
      </c>
      <c r="B538" s="26" t="s">
        <v>3068</v>
      </c>
      <c r="C538" s="37">
        <v>46045.0</v>
      </c>
      <c r="D538" s="37">
        <v>46045.0</v>
      </c>
      <c r="E538" s="37" t="s">
        <v>3851</v>
      </c>
      <c r="F538" s="31"/>
      <c r="G538" s="57" t="s">
        <v>3852</v>
      </c>
      <c r="H538" s="48" t="s">
        <v>3853</v>
      </c>
      <c r="I538" s="26" t="s">
        <v>3856</v>
      </c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 t="s">
        <v>3855</v>
      </c>
    </row>
    <row r="539">
      <c r="A539" s="26" t="str">
        <f t="array" ref="A539">IFERROR(VLOOKUP(B539,{Lists!$H$4:$H829,Lists!$G$4:$G829},2,0),"")</f>
        <v>Divyanshu Rastogi</v>
      </c>
      <c r="B539" s="26" t="s">
        <v>2978</v>
      </c>
      <c r="C539" s="37">
        <v>46045.0</v>
      </c>
      <c r="D539" s="37">
        <v>46045.0</v>
      </c>
      <c r="E539" s="37" t="s">
        <v>3851</v>
      </c>
      <c r="F539" s="31"/>
      <c r="G539" s="57" t="s">
        <v>3852</v>
      </c>
      <c r="H539" s="48" t="s">
        <v>3853</v>
      </c>
      <c r="I539" s="26" t="s">
        <v>3856</v>
      </c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 t="s">
        <v>3855</v>
      </c>
    </row>
    <row r="540">
      <c r="A540" s="26" t="str">
        <f t="array" ref="A540">IFERROR(VLOOKUP(B540,{Lists!$H$4:$H829,Lists!$G$4:$G829},2,0),"")</f>
        <v>Amarjeet Singh</v>
      </c>
      <c r="B540" s="26" t="s">
        <v>2204</v>
      </c>
      <c r="C540" s="37">
        <v>46045.0</v>
      </c>
      <c r="D540" s="37">
        <v>46045.0</v>
      </c>
      <c r="E540" s="37" t="s">
        <v>3851</v>
      </c>
      <c r="F540" s="31"/>
      <c r="G540" s="57" t="s">
        <v>3852</v>
      </c>
      <c r="H540" s="48" t="s">
        <v>3853</v>
      </c>
      <c r="I540" s="26" t="s">
        <v>3856</v>
      </c>
      <c r="J540" s="26" t="s">
        <v>3854</v>
      </c>
      <c r="K540" s="26" t="s">
        <v>3854</v>
      </c>
      <c r="L540" s="26" t="s">
        <v>3854</v>
      </c>
      <c r="M540" s="26" t="s">
        <v>3854</v>
      </c>
      <c r="N540" s="26" t="s">
        <v>3854</v>
      </c>
      <c r="O540" s="26" t="s">
        <v>3854</v>
      </c>
      <c r="P540" s="26" t="s">
        <v>3854</v>
      </c>
      <c r="Q540" s="26" t="s">
        <v>3854</v>
      </c>
      <c r="R540" s="31"/>
      <c r="S540" s="31"/>
      <c r="T540" s="31" t="s">
        <v>3855</v>
      </c>
    </row>
    <row r="541">
      <c r="A541" s="26" t="str">
        <f t="array" ref="A541">IFERROR(VLOOKUP(B541,{Lists!$H$4:$H829,Lists!$G$4:$G829},2,0),"")</f>
        <v>Srishti Seth</v>
      </c>
      <c r="B541" s="26" t="s">
        <v>2871</v>
      </c>
      <c r="C541" s="37">
        <v>46044.0</v>
      </c>
      <c r="D541" s="37">
        <v>46044.0</v>
      </c>
      <c r="E541" s="37" t="s">
        <v>3851</v>
      </c>
      <c r="F541" s="34" t="str">
        <f>VLOOKUP(B541,'On-Boarding'!C:D,2,0)</f>
        <v>Brand Marketing</v>
      </c>
      <c r="G541" s="59" t="s">
        <v>3875</v>
      </c>
      <c r="H541" s="48" t="s">
        <v>3876</v>
      </c>
      <c r="I541" s="26" t="s">
        <v>3856</v>
      </c>
      <c r="J541" s="26" t="s">
        <v>3854</v>
      </c>
      <c r="K541" s="31"/>
      <c r="L541" s="31"/>
      <c r="M541" s="26" t="s">
        <v>3854</v>
      </c>
      <c r="N541" s="31"/>
      <c r="O541" s="31"/>
      <c r="P541" s="31"/>
      <c r="Q541" s="31"/>
      <c r="R541" s="31"/>
      <c r="S541" s="26" t="s">
        <v>4014</v>
      </c>
      <c r="T541" s="31" t="s">
        <v>3855</v>
      </c>
    </row>
    <row r="542">
      <c r="A542" s="26" t="str">
        <f t="array" ref="A542">IFERROR(VLOOKUP(B542,{Lists!$H$4:$H829,Lists!$G$4:$G829},2,0),"")</f>
        <v>Gauravjit Singh</v>
      </c>
      <c r="B542" s="26" t="s">
        <v>3132</v>
      </c>
      <c r="C542" s="37">
        <v>46045.0</v>
      </c>
      <c r="D542" s="37">
        <v>46045.0</v>
      </c>
      <c r="E542" s="37" t="s">
        <v>3851</v>
      </c>
      <c r="F542" s="34" t="str">
        <f>VLOOKUP(B542,'On-Boarding'!C:D,2,0)</f>
        <v>Brand Marketing</v>
      </c>
      <c r="G542" s="59" t="s">
        <v>3875</v>
      </c>
      <c r="H542" s="48" t="s">
        <v>3876</v>
      </c>
      <c r="I542" s="26" t="s">
        <v>3856</v>
      </c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 t="s">
        <v>3855</v>
      </c>
    </row>
    <row r="543">
      <c r="A543" s="26" t="str">
        <f t="array" ref="A543">IFERROR(VLOOKUP(B543,{Lists!$H$4:$H829,Lists!$G$4:$G829},2,0),"")</f>
        <v>Dhiraj Kumar</v>
      </c>
      <c r="B543" s="26" t="s">
        <v>2860</v>
      </c>
      <c r="C543" s="37">
        <v>46045.0</v>
      </c>
      <c r="D543" s="37">
        <v>46045.0</v>
      </c>
      <c r="E543" s="37" t="s">
        <v>3851</v>
      </c>
      <c r="F543" s="31"/>
      <c r="G543" s="57" t="s">
        <v>3852</v>
      </c>
      <c r="H543" s="48" t="s">
        <v>3853</v>
      </c>
      <c r="I543" s="26" t="s">
        <v>3856</v>
      </c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 t="s">
        <v>3855</v>
      </c>
    </row>
    <row r="544">
      <c r="A544" s="26" t="str">
        <f t="array" ref="A544">IFERROR(VLOOKUP(B544,{Lists!$H$4:$H829,Lists!$G$4:$G829},2,0),"")</f>
        <v>Saksham Aneja</v>
      </c>
      <c r="B544" s="26" t="s">
        <v>2114</v>
      </c>
      <c r="C544" s="37">
        <v>46051.0</v>
      </c>
      <c r="D544" s="37">
        <v>46051.0</v>
      </c>
      <c r="E544" s="37" t="s">
        <v>3851</v>
      </c>
      <c r="F544" s="31"/>
      <c r="G544" s="57" t="s">
        <v>3852</v>
      </c>
      <c r="H544" s="48" t="s">
        <v>3853</v>
      </c>
      <c r="I544" s="26" t="s">
        <v>3856</v>
      </c>
      <c r="J544" s="31"/>
      <c r="K544" s="31"/>
      <c r="L544" s="31"/>
      <c r="M544" s="31"/>
      <c r="N544" s="31"/>
      <c r="O544" s="31"/>
      <c r="P544" s="31"/>
      <c r="Q544" s="31"/>
      <c r="R544" s="26" t="s">
        <v>3856</v>
      </c>
      <c r="S544" s="31"/>
      <c r="T544" s="31" t="s">
        <v>3855</v>
      </c>
    </row>
    <row r="545">
      <c r="A545" s="26" t="str">
        <f t="array" ref="A545">IFERROR(VLOOKUP(B545,{Lists!$H$4:$H829,Lists!$G$4:$G829},2,0),"")</f>
        <v>Mohit Arora</v>
      </c>
      <c r="B545" s="26" t="s">
        <v>2009</v>
      </c>
      <c r="C545" s="37">
        <v>46055.0</v>
      </c>
      <c r="D545" s="37">
        <v>46055.0</v>
      </c>
      <c r="E545" s="37">
        <v>46055.0</v>
      </c>
      <c r="F545" s="34" t="str">
        <f>VLOOKUP(B545,'On-Boarding'!C:D,2,0)</f>
        <v>Finance</v>
      </c>
      <c r="G545" s="62" t="s">
        <v>4011</v>
      </c>
      <c r="H545" s="48" t="s">
        <v>4012</v>
      </c>
      <c r="I545" s="26" t="s">
        <v>3864</v>
      </c>
      <c r="J545" s="31"/>
      <c r="K545" s="31"/>
      <c r="L545" s="31"/>
      <c r="M545" s="31"/>
      <c r="N545" s="31"/>
      <c r="O545" s="31"/>
      <c r="P545" s="31"/>
      <c r="Q545" s="31"/>
      <c r="R545" s="26"/>
      <c r="S545" s="26" t="s">
        <v>4015</v>
      </c>
      <c r="T545" s="31" t="s">
        <v>3855</v>
      </c>
    </row>
    <row r="546">
      <c r="A546" s="26" t="str">
        <f t="array" ref="A546">IFERROR(VLOOKUP(B546,{Lists!$H$4:$H829,Lists!$G$4:$G829},2,0),"")</f>
        <v>Rohit Kumar Gupta</v>
      </c>
      <c r="B546" s="26" t="s">
        <v>2853</v>
      </c>
      <c r="C546" s="37">
        <v>46052.0</v>
      </c>
      <c r="D546" s="37">
        <v>46052.0</v>
      </c>
      <c r="E546" s="26" t="s">
        <v>4016</v>
      </c>
      <c r="F546" s="31"/>
      <c r="G546" s="57" t="s">
        <v>3852</v>
      </c>
      <c r="H546" s="48" t="s">
        <v>3853</v>
      </c>
      <c r="I546" s="26" t="s">
        <v>3856</v>
      </c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 t="s">
        <v>3855</v>
      </c>
    </row>
    <row r="547">
      <c r="A547" s="26" t="str">
        <f t="array" ref="A547">IFERROR(VLOOKUP(B547,{Lists!$H$4:$H829,Lists!$G$4:$G829},2,0),"")</f>
        <v>Pranav Jaradi</v>
      </c>
      <c r="B547" s="26" t="s">
        <v>1147</v>
      </c>
      <c r="C547" s="37">
        <v>46052.0</v>
      </c>
      <c r="D547" s="37"/>
      <c r="E547" s="26" t="s">
        <v>3851</v>
      </c>
      <c r="F547" s="31"/>
      <c r="G547" s="57" t="s">
        <v>3852</v>
      </c>
      <c r="H547" s="48" t="s">
        <v>3853</v>
      </c>
      <c r="I547" s="26" t="s">
        <v>3856</v>
      </c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 t="s">
        <v>3855</v>
      </c>
    </row>
    <row r="548">
      <c r="A548" s="26" t="str">
        <f t="array" ref="A548">IFERROR(VLOOKUP(B548,{Lists!$H$4:$H829,Lists!$G$4:$G829},2,0),"")</f>
        <v>Gurmeet Singh</v>
      </c>
      <c r="B548" s="26" t="s">
        <v>1896</v>
      </c>
      <c r="C548" s="37">
        <v>46052.0</v>
      </c>
      <c r="D548" s="37"/>
      <c r="E548" s="26" t="s">
        <v>3851</v>
      </c>
      <c r="F548" s="31"/>
      <c r="G548" s="57" t="s">
        <v>3852</v>
      </c>
      <c r="H548" s="48" t="s">
        <v>3853</v>
      </c>
      <c r="I548" s="26" t="s">
        <v>3856</v>
      </c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 t="s">
        <v>3855</v>
      </c>
    </row>
    <row r="549">
      <c r="A549" s="26" t="str">
        <f t="array" ref="A549">IFERROR(VLOOKUP(B549,{Lists!$H$4:$H829,Lists!$G$4:$G829},2,0),"")</f>
        <v>Shruti Sachdeva</v>
      </c>
      <c r="B549" s="26" t="s">
        <v>1909</v>
      </c>
      <c r="C549" s="37">
        <v>46052.0</v>
      </c>
      <c r="D549" s="37"/>
      <c r="E549" s="26" t="s">
        <v>3851</v>
      </c>
      <c r="F549" s="31"/>
      <c r="G549" s="57" t="s">
        <v>3852</v>
      </c>
      <c r="H549" s="48" t="s">
        <v>3853</v>
      </c>
      <c r="I549" s="26" t="s">
        <v>3856</v>
      </c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 t="s">
        <v>3855</v>
      </c>
    </row>
    <row r="550">
      <c r="A550" s="26" t="str">
        <f t="array" ref="A550">IFERROR(VLOOKUP(B550,{Lists!$H$4:$H829,Lists!$G$4:$G829},2,0),"")</f>
        <v>Vishal Agarwal</v>
      </c>
      <c r="B550" s="26" t="s">
        <v>1044</v>
      </c>
      <c r="C550" s="37">
        <v>46052.0</v>
      </c>
      <c r="D550" s="37"/>
      <c r="E550" s="26" t="s">
        <v>3851</v>
      </c>
      <c r="F550" s="34" t="str">
        <f>VLOOKUP(B550,'On-Boarding'!C:D,2,0)</f>
        <v>Technology</v>
      </c>
      <c r="G550" s="59" t="s">
        <v>3875</v>
      </c>
      <c r="H550" s="48" t="s">
        <v>3876</v>
      </c>
      <c r="I550" s="26" t="s">
        <v>3856</v>
      </c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 t="s">
        <v>3855</v>
      </c>
    </row>
    <row r="551">
      <c r="A551" s="26" t="str">
        <f t="array" ref="A551">IFERROR(VLOOKUP(B551,{Lists!$H$4:$H829,Lists!$G$4:$G829},2,0),"")</f>
        <v>Rajneesh Yadav</v>
      </c>
      <c r="B551" s="26" t="s">
        <v>1411</v>
      </c>
      <c r="C551" s="37">
        <v>46052.0</v>
      </c>
      <c r="D551" s="37">
        <v>46062.0</v>
      </c>
      <c r="E551" s="63">
        <v>46267.0</v>
      </c>
      <c r="F551" s="34" t="str">
        <f>VLOOKUP(B551,'On-Boarding'!C:D,2,0)</f>
        <v>Human Resources</v>
      </c>
      <c r="G551" s="59" t="s">
        <v>3875</v>
      </c>
      <c r="H551" s="48" t="s">
        <v>3876</v>
      </c>
      <c r="I551" s="26" t="s">
        <v>3856</v>
      </c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 t="s">
        <v>3855</v>
      </c>
    </row>
    <row r="552">
      <c r="A552" s="26" t="str">
        <f t="array" ref="A552">IFERROR(VLOOKUP(B552,{Lists!$H$4:$H829,Lists!$G$4:$G829},2,0),"")</f>
        <v>Disha Garg</v>
      </c>
      <c r="B552" s="26" t="s">
        <v>1931</v>
      </c>
      <c r="C552" s="37">
        <v>46052.0</v>
      </c>
      <c r="D552" s="37"/>
      <c r="E552" s="26" t="s">
        <v>3851</v>
      </c>
      <c r="F552" s="31"/>
      <c r="G552" s="57" t="s">
        <v>3852</v>
      </c>
      <c r="H552" s="48" t="s">
        <v>3853</v>
      </c>
      <c r="I552" s="26" t="s">
        <v>3856</v>
      </c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 t="s">
        <v>3855</v>
      </c>
    </row>
    <row r="553">
      <c r="A553" s="26" t="str">
        <f t="array" ref="A553">IFERROR(VLOOKUP(B553,{Lists!$H$4:$H829,Lists!$G$4:$G829},2,0),"")</f>
        <v>Rahul Ranjan</v>
      </c>
      <c r="B553" s="26" t="s">
        <v>1941</v>
      </c>
      <c r="C553" s="37">
        <v>46052.0</v>
      </c>
      <c r="D553" s="37"/>
      <c r="E553" s="26" t="s">
        <v>3851</v>
      </c>
      <c r="F553" s="31"/>
      <c r="G553" s="57" t="s">
        <v>3852</v>
      </c>
      <c r="H553" s="48" t="s">
        <v>3853</v>
      </c>
      <c r="I553" s="26" t="s">
        <v>3856</v>
      </c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 t="s">
        <v>3855</v>
      </c>
    </row>
    <row r="554">
      <c r="A554" s="26" t="str">
        <f t="array" ref="A554">IFERROR(VLOOKUP(B554,{Lists!$H$4:$H829,Lists!$G$4:$G829},2,0),"")</f>
        <v>Vishnu Khowal</v>
      </c>
      <c r="B554" s="26" t="s">
        <v>1944</v>
      </c>
      <c r="C554" s="37">
        <v>46052.0</v>
      </c>
      <c r="D554" s="37"/>
      <c r="E554" s="26" t="s">
        <v>3851</v>
      </c>
      <c r="F554" s="31"/>
      <c r="G554" s="57" t="s">
        <v>3852</v>
      </c>
      <c r="H554" s="48" t="s">
        <v>3853</v>
      </c>
      <c r="I554" s="26" t="s">
        <v>3856</v>
      </c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 t="s">
        <v>3855</v>
      </c>
    </row>
    <row r="555">
      <c r="A555" s="26" t="str">
        <f t="array" ref="A555">IFERROR(VLOOKUP(B555,{Lists!$H$4:$H829,Lists!$G$4:$G829},2,0),"")</f>
        <v>Aman Kumar</v>
      </c>
      <c r="B555" s="26" t="s">
        <v>1658</v>
      </c>
      <c r="C555" s="37">
        <v>46052.0</v>
      </c>
      <c r="D555" s="37"/>
      <c r="E555" s="26" t="s">
        <v>3851</v>
      </c>
      <c r="F555" s="31"/>
      <c r="G555" s="57" t="s">
        <v>3852</v>
      </c>
      <c r="H555" s="48" t="s">
        <v>3853</v>
      </c>
      <c r="I555" s="26" t="s">
        <v>3856</v>
      </c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 t="s">
        <v>3855</v>
      </c>
    </row>
    <row r="556">
      <c r="A556" s="26" t="str">
        <f t="array" ref="A556">IFERROR(VLOOKUP(B556,{Lists!$H$4:$H829,Lists!$G$4:$G829},2,0),"")</f>
        <v>Babita Sharma</v>
      </c>
      <c r="B556" s="26" t="s">
        <v>1956</v>
      </c>
      <c r="C556" s="37">
        <v>46052.0</v>
      </c>
      <c r="D556" s="37"/>
      <c r="E556" s="26" t="s">
        <v>3851</v>
      </c>
      <c r="F556" s="34" t="str">
        <f>VLOOKUP(B556,'On-Boarding'!C:D,2,0)</f>
        <v>Brand Marketing</v>
      </c>
      <c r="G556" s="59" t="s">
        <v>3875</v>
      </c>
      <c r="H556" s="48" t="s">
        <v>3876</v>
      </c>
      <c r="I556" s="26" t="s">
        <v>3856</v>
      </c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 t="s">
        <v>3855</v>
      </c>
    </row>
    <row r="557">
      <c r="A557" s="26" t="str">
        <f t="array" ref="A557">IFERROR(VLOOKUP(B557,{Lists!$H$4:$H829,Lists!$G$4:$G829},2,0),"")</f>
        <v>Shahid Gauri</v>
      </c>
      <c r="B557" s="26" t="s">
        <v>1969</v>
      </c>
      <c r="C557" s="37">
        <v>46052.0</v>
      </c>
      <c r="D557" s="37"/>
      <c r="E557" s="26" t="s">
        <v>3851</v>
      </c>
      <c r="F557" s="31"/>
      <c r="G557" s="57" t="s">
        <v>3852</v>
      </c>
      <c r="H557" s="48" t="s">
        <v>3853</v>
      </c>
      <c r="I557" s="26" t="s">
        <v>3856</v>
      </c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 t="s">
        <v>3855</v>
      </c>
    </row>
    <row r="558">
      <c r="A558" s="26" t="str">
        <f t="array" ref="A558">IFERROR(VLOOKUP(B558,{Lists!$H$4:$H829,Lists!$G$4:$G829},2,0),"")</f>
        <v>Arif Jamal</v>
      </c>
      <c r="B558" s="26" t="s">
        <v>1973</v>
      </c>
      <c r="C558" s="37">
        <v>46052.0</v>
      </c>
      <c r="D558" s="37"/>
      <c r="E558" s="26" t="s">
        <v>3851</v>
      </c>
      <c r="F558" s="34" t="str">
        <f>VLOOKUP(B558,'On-Boarding'!C:D,2,0)</f>
        <v>Brand Marketing</v>
      </c>
      <c r="G558" s="59" t="s">
        <v>3875</v>
      </c>
      <c r="H558" s="48" t="s">
        <v>3876</v>
      </c>
      <c r="I558" s="26" t="s">
        <v>3856</v>
      </c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 t="s">
        <v>3855</v>
      </c>
    </row>
    <row r="559">
      <c r="A559" s="26" t="str">
        <f t="array" ref="A559">IFERROR(VLOOKUP(B559,{Lists!$H$4:$H829,Lists!$G$4:$G829},2,0),"")</f>
        <v>Aaditya Singh</v>
      </c>
      <c r="B559" s="26" t="s">
        <v>1015</v>
      </c>
      <c r="C559" s="37">
        <v>46052.0</v>
      </c>
      <c r="D559" s="37"/>
      <c r="E559" s="26" t="s">
        <v>3851</v>
      </c>
      <c r="F559" s="34" t="str">
        <f>VLOOKUP(B559,'On-Boarding'!C:D,2,0)</f>
        <v>Brand Marketing</v>
      </c>
      <c r="G559" s="59" t="s">
        <v>3875</v>
      </c>
      <c r="H559" s="48" t="s">
        <v>3876</v>
      </c>
      <c r="I559" s="26" t="s">
        <v>3856</v>
      </c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 t="s">
        <v>3855</v>
      </c>
    </row>
    <row r="560">
      <c r="A560" s="26" t="str">
        <f t="array" ref="A560">IFERROR(VLOOKUP(B560,{Lists!$H$4:$H829,Lists!$G$4:$G829},2,0),"")</f>
        <v>Ishant Wadhwa</v>
      </c>
      <c r="B560" s="26" t="s">
        <v>1984</v>
      </c>
      <c r="C560" s="37">
        <v>46052.0</v>
      </c>
      <c r="D560" s="37"/>
      <c r="E560" s="26" t="s">
        <v>3851</v>
      </c>
      <c r="F560" s="31"/>
      <c r="G560" s="57" t="s">
        <v>3852</v>
      </c>
      <c r="H560" s="48" t="s">
        <v>3853</v>
      </c>
      <c r="I560" s="26" t="s">
        <v>3856</v>
      </c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 t="s">
        <v>3855</v>
      </c>
    </row>
    <row r="561">
      <c r="A561" s="26" t="str">
        <f t="array" ref="A561">IFERROR(VLOOKUP(B561,{Lists!$H$4:$H829,Lists!$G$4:$G829},2,0),"")</f>
        <v>Ankit Kumar Sahu</v>
      </c>
      <c r="B561" s="26" t="s">
        <v>1991</v>
      </c>
      <c r="C561" s="37">
        <v>46052.0</v>
      </c>
      <c r="D561" s="37"/>
      <c r="E561" s="26" t="s">
        <v>3851</v>
      </c>
      <c r="F561" s="31"/>
      <c r="G561" s="57" t="s">
        <v>3852</v>
      </c>
      <c r="H561" s="48" t="s">
        <v>3853</v>
      </c>
      <c r="I561" s="26" t="s">
        <v>3856</v>
      </c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 t="s">
        <v>3855</v>
      </c>
    </row>
    <row r="562">
      <c r="A562" s="26" t="str">
        <f t="array" ref="A562">IFERROR(VLOOKUP(B562,{Lists!$H$4:$H829,Lists!$G$4:$G829},2,0),"")</f>
        <v>Kamal Kishore Sharma</v>
      </c>
      <c r="B562" s="26" t="s">
        <v>1995</v>
      </c>
      <c r="C562" s="37">
        <v>46052.0</v>
      </c>
      <c r="D562" s="37"/>
      <c r="E562" s="26" t="s">
        <v>3851</v>
      </c>
      <c r="F562" s="31"/>
      <c r="G562" s="57" t="s">
        <v>3852</v>
      </c>
      <c r="H562" s="48" t="s">
        <v>3853</v>
      </c>
      <c r="I562" s="26" t="s">
        <v>3856</v>
      </c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 t="s">
        <v>3855</v>
      </c>
    </row>
    <row r="563">
      <c r="A563" s="26" t="str">
        <f t="array" ref="A563">IFERROR(VLOOKUP(B563,{Lists!$H$4:$H829,Lists!$G$4:$G829},2,0),"")</f>
        <v>Naina Sharma</v>
      </c>
      <c r="B563" s="26" t="s">
        <v>2031</v>
      </c>
      <c r="C563" s="37">
        <v>46052.0</v>
      </c>
      <c r="D563" s="37">
        <v>46062.0</v>
      </c>
      <c r="E563" s="63">
        <v>46267.0</v>
      </c>
      <c r="F563" s="34" t="str">
        <f>VLOOKUP(B563,'On-Boarding'!C:D,2,0)</f>
        <v>Human Resources</v>
      </c>
      <c r="G563" s="59" t="s">
        <v>3875</v>
      </c>
      <c r="H563" s="48" t="s">
        <v>3876</v>
      </c>
      <c r="I563" s="26" t="s">
        <v>3856</v>
      </c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 t="s">
        <v>3855</v>
      </c>
    </row>
    <row r="564">
      <c r="A564" s="26" t="str">
        <f t="array" ref="A564">IFERROR(VLOOKUP(B564,{Lists!$H$4:$H829,Lists!$G$4:$G829},2,0),"")</f>
        <v>Vishwa Patel</v>
      </c>
      <c r="B564" s="26" t="s">
        <v>2056</v>
      </c>
      <c r="C564" s="37">
        <v>46052.0</v>
      </c>
      <c r="D564" s="37"/>
      <c r="E564" s="26" t="s">
        <v>3851</v>
      </c>
      <c r="F564" s="31"/>
      <c r="G564" s="57" t="s">
        <v>3852</v>
      </c>
      <c r="H564" s="48" t="s">
        <v>3853</v>
      </c>
      <c r="I564" s="26" t="s">
        <v>3856</v>
      </c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 t="s">
        <v>3855</v>
      </c>
    </row>
    <row r="565">
      <c r="A565" s="26" t="str">
        <f t="array" ref="A565">IFERROR(VLOOKUP(B565,{Lists!$H$4:$H829,Lists!$G$4:$G829},2,0),"")</f>
        <v>Riya Jhalani</v>
      </c>
      <c r="B565" s="26" t="s">
        <v>2070</v>
      </c>
      <c r="C565" s="37">
        <v>46052.0</v>
      </c>
      <c r="D565" s="37"/>
      <c r="E565" s="26" t="s">
        <v>3851</v>
      </c>
      <c r="F565" s="31"/>
      <c r="G565" s="57" t="s">
        <v>3852</v>
      </c>
      <c r="H565" s="48" t="s">
        <v>3853</v>
      </c>
      <c r="I565" s="26" t="s">
        <v>3856</v>
      </c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 t="s">
        <v>3855</v>
      </c>
    </row>
    <row r="566">
      <c r="A566" s="26" t="str">
        <f t="array" ref="A566">IFERROR(VLOOKUP(B566,{Lists!$H$4:$H829,Lists!$G$4:$G829},2,0),"")</f>
        <v>Diksha Sachdeva</v>
      </c>
      <c r="B566" s="26" t="s">
        <v>2076</v>
      </c>
      <c r="C566" s="37">
        <v>46052.0</v>
      </c>
      <c r="D566" s="37"/>
      <c r="E566" s="26" t="s">
        <v>3851</v>
      </c>
      <c r="F566" s="31"/>
      <c r="G566" s="57" t="s">
        <v>3852</v>
      </c>
      <c r="H566" s="48" t="s">
        <v>3853</v>
      </c>
      <c r="I566" s="26" t="s">
        <v>3856</v>
      </c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 t="s">
        <v>3855</v>
      </c>
    </row>
    <row r="567">
      <c r="A567" s="26" t="str">
        <f t="array" ref="A567">IFERROR(VLOOKUP(B567,{Lists!$H$4:$H829,Lists!$G$4:$G829},2,0),"")</f>
        <v>Aman Kumar</v>
      </c>
      <c r="B567" s="26" t="s">
        <v>1021</v>
      </c>
      <c r="C567" s="37">
        <v>46052.0</v>
      </c>
      <c r="D567" s="37"/>
      <c r="E567" s="26" t="s">
        <v>3851</v>
      </c>
      <c r="F567" s="31"/>
      <c r="G567" s="57" t="s">
        <v>3852</v>
      </c>
      <c r="H567" s="48" t="s">
        <v>3853</v>
      </c>
      <c r="I567" s="26" t="s">
        <v>3856</v>
      </c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 t="s">
        <v>3855</v>
      </c>
    </row>
    <row r="568">
      <c r="A568" s="26" t="str">
        <f t="array" ref="A568">IFERROR(VLOOKUP(B568,{Lists!$H$4:$H829,Lists!$G$4:$G829},2,0),"")</f>
        <v>Deepak Khandelwal</v>
      </c>
      <c r="B568" s="26" t="s">
        <v>1479</v>
      </c>
      <c r="C568" s="37">
        <v>46052.0</v>
      </c>
      <c r="D568" s="37"/>
      <c r="E568" s="26" t="s">
        <v>3851</v>
      </c>
      <c r="F568" s="31"/>
      <c r="G568" s="57" t="s">
        <v>3852</v>
      </c>
      <c r="H568" s="48" t="s">
        <v>3853</v>
      </c>
      <c r="I568" s="26" t="s">
        <v>3856</v>
      </c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 t="s">
        <v>3855</v>
      </c>
    </row>
    <row r="569">
      <c r="A569" s="26" t="str">
        <f t="array" ref="A569">IFERROR(VLOOKUP(B569,{Lists!$H$4:$H829,Lists!$G$4:$G829},2,0),"")</f>
        <v>Vishal Kapoor</v>
      </c>
      <c r="B569" s="26" t="s">
        <v>2087</v>
      </c>
      <c r="C569" s="37">
        <v>46052.0</v>
      </c>
      <c r="D569" s="37"/>
      <c r="E569" s="26" t="s">
        <v>3851</v>
      </c>
      <c r="F569" s="31"/>
      <c r="G569" s="57" t="s">
        <v>3852</v>
      </c>
      <c r="H569" s="48" t="s">
        <v>3853</v>
      </c>
      <c r="I569" s="26" t="s">
        <v>3856</v>
      </c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 t="s">
        <v>3855</v>
      </c>
    </row>
    <row r="570">
      <c r="A570" s="26" t="str">
        <f t="array" ref="A570">IFERROR(VLOOKUP(B570,{Lists!$H$4:$H829,Lists!$G$4:$G829},2,0),"")</f>
        <v>Amit Shukracharya Sutar</v>
      </c>
      <c r="B570" s="26" t="s">
        <v>2084</v>
      </c>
      <c r="C570" s="37">
        <v>46052.0</v>
      </c>
      <c r="D570" s="37"/>
      <c r="E570" s="26" t="s">
        <v>3851</v>
      </c>
      <c r="F570" s="31"/>
      <c r="G570" s="57" t="s">
        <v>3852</v>
      </c>
      <c r="H570" s="48" t="s">
        <v>3853</v>
      </c>
      <c r="I570" s="26" t="s">
        <v>3856</v>
      </c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 t="s">
        <v>3855</v>
      </c>
    </row>
    <row r="571">
      <c r="A571" s="26" t="str">
        <f t="array" ref="A571">IFERROR(VLOOKUP(B571,{Lists!$H$4:$H829,Lists!$G$4:$G829},2,0),"")</f>
        <v>Lekhika Dhariyal</v>
      </c>
      <c r="B571" s="26" t="s">
        <v>2091</v>
      </c>
      <c r="C571" s="37">
        <v>46052.0</v>
      </c>
      <c r="D571" s="37"/>
      <c r="E571" s="26" t="s">
        <v>3851</v>
      </c>
      <c r="F571" s="31"/>
      <c r="G571" s="57" t="s">
        <v>3852</v>
      </c>
      <c r="H571" s="48" t="s">
        <v>3853</v>
      </c>
      <c r="I571" s="26" t="s">
        <v>3856</v>
      </c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 t="s">
        <v>3855</v>
      </c>
    </row>
    <row r="572">
      <c r="A572" s="26" t="str">
        <f t="array" ref="A572">IFERROR(VLOOKUP(B572,{Lists!$H$4:$H829,Lists!$G$4:$G829},2,0),"")</f>
        <v>Annu Nirmal</v>
      </c>
      <c r="B572" s="26" t="s">
        <v>2100</v>
      </c>
      <c r="C572" s="37">
        <v>46052.0</v>
      </c>
      <c r="D572" s="37"/>
      <c r="E572" s="26" t="s">
        <v>3851</v>
      </c>
      <c r="F572" s="34" t="str">
        <f>VLOOKUP(B572,'On-Boarding'!C:D,2,0)</f>
        <v>Technology</v>
      </c>
      <c r="G572" s="59" t="s">
        <v>3875</v>
      </c>
      <c r="H572" s="48" t="s">
        <v>3876</v>
      </c>
      <c r="I572" s="26" t="s">
        <v>3856</v>
      </c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 t="s">
        <v>3855</v>
      </c>
    </row>
    <row r="573">
      <c r="A573" s="26" t="str">
        <f t="array" ref="A573">IFERROR(VLOOKUP(B573,{Lists!$H$4:$H829,Lists!$G$4:$G829},2,0),"")</f>
        <v>Kritika Kapoor</v>
      </c>
      <c r="B573" s="26" t="s">
        <v>2102</v>
      </c>
      <c r="C573" s="37">
        <v>46052.0</v>
      </c>
      <c r="D573" s="37"/>
      <c r="E573" s="26" t="s">
        <v>3851</v>
      </c>
      <c r="F573" s="31"/>
      <c r="G573" s="57" t="s">
        <v>3852</v>
      </c>
      <c r="H573" s="48" t="s">
        <v>3853</v>
      </c>
      <c r="I573" s="26" t="s">
        <v>3856</v>
      </c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 t="s">
        <v>3855</v>
      </c>
    </row>
    <row r="574">
      <c r="A574" s="26" t="str">
        <f t="array" ref="A574">IFERROR(VLOOKUP(B574,{Lists!$H$4:$H829,Lists!$G$4:$G829},2,0),"")</f>
        <v>Prashant Kumar</v>
      </c>
      <c r="B574" s="26" t="s">
        <v>2108</v>
      </c>
      <c r="C574" s="37">
        <v>46052.0</v>
      </c>
      <c r="D574" s="37">
        <v>46094.0</v>
      </c>
      <c r="E574" s="26" t="s">
        <v>3851</v>
      </c>
      <c r="F574" s="31"/>
      <c r="G574" s="57" t="s">
        <v>3852</v>
      </c>
      <c r="H574" s="48" t="s">
        <v>3853</v>
      </c>
      <c r="I574" s="26" t="s">
        <v>3856</v>
      </c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 t="s">
        <v>3855</v>
      </c>
    </row>
    <row r="575">
      <c r="A575" s="26" t="str">
        <f t="array" ref="A575">IFERROR(VLOOKUP(B575,{Lists!$H$4:$H829,Lists!$G$4:$G829},2,0),"")</f>
        <v>Harsha Ratnam</v>
      </c>
      <c r="B575" s="26" t="s">
        <v>2111</v>
      </c>
      <c r="C575" s="37">
        <v>46052.0</v>
      </c>
      <c r="D575" s="37"/>
      <c r="E575" s="26" t="s">
        <v>3851</v>
      </c>
      <c r="F575" s="34" t="str">
        <f>VLOOKUP(B575,'On-Boarding'!C:D,2,0)</f>
        <v>Brand Marketing</v>
      </c>
      <c r="G575" s="59" t="s">
        <v>3875</v>
      </c>
      <c r="H575" s="48" t="s">
        <v>3876</v>
      </c>
      <c r="I575" s="26" t="s">
        <v>3856</v>
      </c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 t="s">
        <v>3855</v>
      </c>
    </row>
    <row r="576">
      <c r="A576" s="26" t="str">
        <f t="array" ref="A576">IFERROR(VLOOKUP(B576,{Lists!$H$4:$H829,Lists!$G$4:$G829},2,0),"")</f>
        <v>Shreya Dwivedi</v>
      </c>
      <c r="B576" s="26" t="s">
        <v>2122</v>
      </c>
      <c r="C576" s="37">
        <v>46052.0</v>
      </c>
      <c r="D576" s="37"/>
      <c r="E576" s="26" t="s">
        <v>3851</v>
      </c>
      <c r="F576" s="31"/>
      <c r="G576" s="57" t="s">
        <v>3852</v>
      </c>
      <c r="H576" s="48" t="s">
        <v>3853</v>
      </c>
      <c r="I576" s="26" t="s">
        <v>3856</v>
      </c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 t="s">
        <v>3855</v>
      </c>
    </row>
    <row r="577">
      <c r="A577" s="26" t="str">
        <f t="array" ref="A577">IFERROR(VLOOKUP(B577,{Lists!$H$4:$H829,Lists!$G$4:$G829},2,0),"")</f>
        <v>A Rushyant Reddy</v>
      </c>
      <c r="B577" s="26" t="s">
        <v>2134</v>
      </c>
      <c r="C577" s="37">
        <v>46052.0</v>
      </c>
      <c r="D577" s="37"/>
      <c r="E577" s="26" t="s">
        <v>3851</v>
      </c>
      <c r="F577" s="31"/>
      <c r="G577" s="57" t="s">
        <v>3852</v>
      </c>
      <c r="H577" s="48" t="s">
        <v>3853</v>
      </c>
      <c r="I577" s="26" t="s">
        <v>3856</v>
      </c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 t="s">
        <v>3855</v>
      </c>
    </row>
    <row r="578">
      <c r="A578" s="26" t="str">
        <f t="array" ref="A578">IFERROR(VLOOKUP(B578,{Lists!$H$4:$H829,Lists!$G$4:$G829},2,0),"")</f>
        <v>Rahul Punia</v>
      </c>
      <c r="B578" s="26" t="s">
        <v>2044</v>
      </c>
      <c r="C578" s="37">
        <v>46052.0</v>
      </c>
      <c r="D578" s="37"/>
      <c r="E578" s="26" t="s">
        <v>3851</v>
      </c>
      <c r="F578" s="31"/>
      <c r="G578" s="57" t="s">
        <v>3852</v>
      </c>
      <c r="H578" s="48" t="s">
        <v>3853</v>
      </c>
      <c r="I578" s="26" t="s">
        <v>3856</v>
      </c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 t="s">
        <v>3855</v>
      </c>
    </row>
    <row r="579">
      <c r="A579" s="26" t="str">
        <f t="array" ref="A579">IFERROR(VLOOKUP(B579,{Lists!$H$4:$H829,Lists!$G$4:$G829},2,0),"")</f>
        <v>Payal Katoch</v>
      </c>
      <c r="B579" s="26" t="s">
        <v>2129</v>
      </c>
      <c r="C579" s="37">
        <v>46052.0</v>
      </c>
      <c r="D579" s="37"/>
      <c r="E579" s="26" t="s">
        <v>3851</v>
      </c>
      <c r="F579" s="31"/>
      <c r="G579" s="57" t="s">
        <v>3852</v>
      </c>
      <c r="H579" s="48" t="s">
        <v>3853</v>
      </c>
      <c r="I579" s="26" t="s">
        <v>3856</v>
      </c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 t="s">
        <v>3855</v>
      </c>
    </row>
    <row r="580">
      <c r="A580" s="26" t="str">
        <f t="array" ref="A580">IFERROR(VLOOKUP(B580,{Lists!$H$4:$H829,Lists!$G$4:$G829},2,0),"")</f>
        <v>Ananya Apurva</v>
      </c>
      <c r="B580" s="26" t="s">
        <v>2156</v>
      </c>
      <c r="C580" s="37">
        <v>46052.0</v>
      </c>
      <c r="D580" s="37">
        <v>46091.0</v>
      </c>
      <c r="E580" s="26" t="s">
        <v>3851</v>
      </c>
      <c r="F580" s="31"/>
      <c r="G580" s="57" t="s">
        <v>3852</v>
      </c>
      <c r="H580" s="48" t="s">
        <v>3853</v>
      </c>
      <c r="I580" s="26" t="s">
        <v>3856</v>
      </c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 t="s">
        <v>3855</v>
      </c>
    </row>
    <row r="581">
      <c r="A581" s="26" t="str">
        <f t="array" ref="A581">IFERROR(VLOOKUP(B581,{Lists!$H$4:$H829,Lists!$G$4:$G829},2,0),"")</f>
        <v>Manoj Rane</v>
      </c>
      <c r="B581" s="26" t="s">
        <v>2162</v>
      </c>
      <c r="C581" s="37">
        <v>46052.0</v>
      </c>
      <c r="D581" s="37"/>
      <c r="E581" s="26" t="s">
        <v>3851</v>
      </c>
      <c r="F581" s="34" t="str">
        <f>VLOOKUP(B581,'On-Boarding'!C:D,2,0)</f>
        <v>Brand Marketing</v>
      </c>
      <c r="G581" s="59" t="s">
        <v>3875</v>
      </c>
      <c r="H581" s="48" t="s">
        <v>3876</v>
      </c>
      <c r="I581" s="26" t="s">
        <v>3856</v>
      </c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 t="s">
        <v>3855</v>
      </c>
    </row>
    <row r="582">
      <c r="A582" s="26" t="str">
        <f t="array" ref="A582">IFERROR(VLOOKUP(B582,{Lists!$H$4:$H829,Lists!$G$4:$G829},2,0),"")</f>
        <v>Prashant Yadav</v>
      </c>
      <c r="B582" s="26" t="s">
        <v>2166</v>
      </c>
      <c r="C582" s="37">
        <v>46052.0</v>
      </c>
      <c r="D582" s="37"/>
      <c r="E582" s="26" t="s">
        <v>3851</v>
      </c>
      <c r="F582" s="31"/>
      <c r="G582" s="57" t="s">
        <v>3852</v>
      </c>
      <c r="H582" s="48" t="s">
        <v>3853</v>
      </c>
      <c r="I582" s="26" t="s">
        <v>3856</v>
      </c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 t="s">
        <v>3855</v>
      </c>
    </row>
    <row r="583">
      <c r="A583" s="26" t="str">
        <f t="array" ref="A583">IFERROR(VLOOKUP(B583,{Lists!$H$4:$H829,Lists!$G$4:$G829},2,0),"")</f>
        <v>Khushali Bagga</v>
      </c>
      <c r="B583" s="26" t="s">
        <v>1231</v>
      </c>
      <c r="C583" s="37">
        <v>46052.0</v>
      </c>
      <c r="D583" s="37"/>
      <c r="E583" s="26" t="s">
        <v>3851</v>
      </c>
      <c r="F583" s="34" t="str">
        <f>VLOOKUP(B583,'On-Boarding'!C:D,2,0)</f>
        <v>Brand Marketing</v>
      </c>
      <c r="G583" s="59" t="s">
        <v>3875</v>
      </c>
      <c r="H583" s="48" t="s">
        <v>3876</v>
      </c>
      <c r="I583" s="26" t="s">
        <v>3856</v>
      </c>
      <c r="J583" s="31"/>
      <c r="K583" s="31"/>
      <c r="L583" s="31"/>
      <c r="M583" s="31"/>
      <c r="N583" s="31"/>
      <c r="O583" s="31"/>
      <c r="P583" s="31"/>
      <c r="Q583" s="31"/>
      <c r="R583" s="31"/>
      <c r="S583" s="26" t="s">
        <v>4017</v>
      </c>
      <c r="T583" s="31" t="s">
        <v>3855</v>
      </c>
    </row>
    <row r="584">
      <c r="A584" s="26" t="str">
        <f t="array" ref="A584">IFERROR(VLOOKUP(B584,{Lists!$H$4:$H829,Lists!$G$4:$G829},2,0),"")</f>
        <v>Anshul Mittal</v>
      </c>
      <c r="B584" s="26" t="s">
        <v>1206</v>
      </c>
      <c r="C584" s="37">
        <v>46052.0</v>
      </c>
      <c r="D584" s="37">
        <v>46090.0</v>
      </c>
      <c r="E584" s="26" t="s">
        <v>3851</v>
      </c>
      <c r="F584" s="34" t="str">
        <f>VLOOKUP(B584,'On-Boarding'!C:D,2,0)</f>
        <v>Technology</v>
      </c>
      <c r="G584" s="62" t="s">
        <v>4011</v>
      </c>
      <c r="H584" s="48" t="s">
        <v>4012</v>
      </c>
      <c r="I584" s="26" t="s">
        <v>3856</v>
      </c>
      <c r="J584" s="31"/>
      <c r="K584" s="31"/>
      <c r="L584" s="31"/>
      <c r="M584" s="31"/>
      <c r="N584" s="31"/>
      <c r="O584" s="31"/>
      <c r="P584" s="31"/>
      <c r="Q584" s="31"/>
      <c r="R584" s="26" t="s">
        <v>3856</v>
      </c>
      <c r="S584" s="26" t="s">
        <v>4018</v>
      </c>
      <c r="T584" s="31" t="s">
        <v>3855</v>
      </c>
    </row>
    <row r="585">
      <c r="A585" s="26" t="str">
        <f t="array" ref="A585">IFERROR(VLOOKUP(B585,{Lists!$H$4:$H829,Lists!$G$4:$G829},2,0),"")</f>
        <v>Nikhil Kumar Jha</v>
      </c>
      <c r="B585" s="26" t="s">
        <v>2191</v>
      </c>
      <c r="C585" s="37">
        <v>46052.0</v>
      </c>
      <c r="D585" s="37"/>
      <c r="E585" s="26" t="s">
        <v>3851</v>
      </c>
      <c r="F585" s="31"/>
      <c r="G585" s="57" t="s">
        <v>3852</v>
      </c>
      <c r="H585" s="48" t="s">
        <v>3853</v>
      </c>
      <c r="I585" s="26" t="s">
        <v>3856</v>
      </c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 t="s">
        <v>3855</v>
      </c>
    </row>
    <row r="586">
      <c r="A586" s="26" t="str">
        <f t="array" ref="A586">IFERROR(VLOOKUP(B586,{Lists!$H$4:$H829,Lists!$G$4:$G829},2,0),"")</f>
        <v>Astha Mishra</v>
      </c>
      <c r="B586" s="26" t="s">
        <v>2209</v>
      </c>
      <c r="C586" s="37">
        <v>46052.0</v>
      </c>
      <c r="D586" s="37"/>
      <c r="E586" s="26" t="s">
        <v>3851</v>
      </c>
      <c r="F586" s="31"/>
      <c r="G586" s="57" t="s">
        <v>3852</v>
      </c>
      <c r="H586" s="48" t="s">
        <v>3853</v>
      </c>
      <c r="I586" s="26" t="s">
        <v>3856</v>
      </c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 t="s">
        <v>3855</v>
      </c>
    </row>
    <row r="587">
      <c r="A587" s="26" t="str">
        <f t="array" ref="A587">IFERROR(VLOOKUP(B587,{Lists!$H$4:$H829,Lists!$G$4:$G829},2,0),"")</f>
        <v>Yogesh Yadav</v>
      </c>
      <c r="B587" s="26" t="s">
        <v>1033</v>
      </c>
      <c r="C587" s="37">
        <v>46052.0</v>
      </c>
      <c r="D587" s="37"/>
      <c r="E587" s="26" t="s">
        <v>3851</v>
      </c>
      <c r="F587" s="31"/>
      <c r="G587" s="57" t="s">
        <v>3852</v>
      </c>
      <c r="H587" s="48" t="s">
        <v>3853</v>
      </c>
      <c r="I587" s="26" t="s">
        <v>3856</v>
      </c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 t="s">
        <v>3855</v>
      </c>
    </row>
    <row r="588">
      <c r="A588" s="26" t="str">
        <f t="array" ref="A588">IFERROR(VLOOKUP(B588,{Lists!$H$4:$H829,Lists!$G$4:$G829},2,0),"")</f>
        <v>Shubham Singh</v>
      </c>
      <c r="B588" s="26" t="s">
        <v>2214</v>
      </c>
      <c r="C588" s="37">
        <v>46052.0</v>
      </c>
      <c r="D588" s="37"/>
      <c r="E588" s="26" t="s">
        <v>3851</v>
      </c>
      <c r="F588" s="31"/>
      <c r="G588" s="57" t="s">
        <v>3852</v>
      </c>
      <c r="H588" s="48" t="s">
        <v>3853</v>
      </c>
      <c r="I588" s="26" t="s">
        <v>3856</v>
      </c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 t="s">
        <v>3855</v>
      </c>
    </row>
    <row r="589">
      <c r="A589" s="26" t="str">
        <f t="array" ref="A589">IFERROR(VLOOKUP(B589,{Lists!$H$4:$H829,Lists!$G$4:$G829},2,0),"")</f>
        <v>Nimish Goyal</v>
      </c>
      <c r="B589" s="26" t="s">
        <v>2223</v>
      </c>
      <c r="C589" s="37">
        <v>46052.0</v>
      </c>
      <c r="D589" s="37"/>
      <c r="E589" s="26" t="s">
        <v>3851</v>
      </c>
      <c r="F589" s="31"/>
      <c r="G589" s="57" t="s">
        <v>3852</v>
      </c>
      <c r="H589" s="48" t="s">
        <v>3853</v>
      </c>
      <c r="I589" s="26" t="s">
        <v>3856</v>
      </c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 t="s">
        <v>3855</v>
      </c>
    </row>
    <row r="590">
      <c r="A590" s="26" t="str">
        <f t="array" ref="A590">IFERROR(VLOOKUP(B590,{Lists!$H$4:$H829,Lists!$G$4:$G829},2,0),"")</f>
        <v>Gaurav Sharma</v>
      </c>
      <c r="B590" s="26" t="s">
        <v>1976</v>
      </c>
      <c r="C590" s="37">
        <v>46052.0</v>
      </c>
      <c r="D590" s="37"/>
      <c r="E590" s="26" t="s">
        <v>3851</v>
      </c>
      <c r="F590" s="31"/>
      <c r="G590" s="57" t="s">
        <v>3852</v>
      </c>
      <c r="H590" s="48" t="s">
        <v>3853</v>
      </c>
      <c r="I590" s="26" t="s">
        <v>3856</v>
      </c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 t="s">
        <v>3855</v>
      </c>
    </row>
    <row r="591">
      <c r="A591" s="26" t="str">
        <f t="array" ref="A591">IFERROR(VLOOKUP(B591,{Lists!$H$4:$H829,Lists!$G$4:$G829},2,0),"")</f>
        <v>Pareena Singh</v>
      </c>
      <c r="B591" s="26" t="s">
        <v>2236</v>
      </c>
      <c r="C591" s="37">
        <v>46052.0</v>
      </c>
      <c r="D591" s="37"/>
      <c r="E591" s="26" t="s">
        <v>3851</v>
      </c>
      <c r="F591" s="31"/>
      <c r="G591" s="57" t="s">
        <v>3852</v>
      </c>
      <c r="H591" s="48" t="s">
        <v>3853</v>
      </c>
      <c r="I591" s="26" t="s">
        <v>3856</v>
      </c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 t="s">
        <v>3855</v>
      </c>
    </row>
    <row r="592">
      <c r="A592" s="26" t="str">
        <f t="array" ref="A592">IFERROR(VLOOKUP(B592,{Lists!$H$4:$H829,Lists!$G$4:$G829},2,0),"")</f>
        <v>Nikunj Aggarwal</v>
      </c>
      <c r="B592" s="26" t="s">
        <v>2238</v>
      </c>
      <c r="C592" s="37">
        <v>46052.0</v>
      </c>
      <c r="D592" s="37"/>
      <c r="E592" s="26" t="s">
        <v>3851</v>
      </c>
      <c r="F592" s="31"/>
      <c r="G592" s="57" t="s">
        <v>3852</v>
      </c>
      <c r="H592" s="48" t="s">
        <v>3853</v>
      </c>
      <c r="I592" s="26" t="s">
        <v>3856</v>
      </c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 t="s">
        <v>3855</v>
      </c>
    </row>
    <row r="593">
      <c r="A593" s="26" t="str">
        <f t="array" ref="A593">IFERROR(VLOOKUP(B593,{Lists!$H$4:$H829,Lists!$G$4:$G829},2,0),"")</f>
        <v>Amit Singh</v>
      </c>
      <c r="B593" s="26" t="s">
        <v>2244</v>
      </c>
      <c r="C593" s="37">
        <v>46052.0</v>
      </c>
      <c r="D593" s="37"/>
      <c r="E593" s="26" t="s">
        <v>3851</v>
      </c>
      <c r="F593" s="31"/>
      <c r="G593" s="57" t="s">
        <v>3852</v>
      </c>
      <c r="H593" s="48" t="s">
        <v>3853</v>
      </c>
      <c r="I593" s="26" t="s">
        <v>3856</v>
      </c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 t="s">
        <v>3855</v>
      </c>
    </row>
    <row r="594">
      <c r="A594" s="26" t="str">
        <f t="array" ref="A594">IFERROR(VLOOKUP(B594,{Lists!$H$4:$H829,Lists!$G$4:$G829},2,0),"")</f>
        <v>Gyani Dass</v>
      </c>
      <c r="B594" s="26" t="s">
        <v>2193</v>
      </c>
      <c r="C594" s="37">
        <v>46052.0</v>
      </c>
      <c r="D594" s="37"/>
      <c r="E594" s="26" t="s">
        <v>3851</v>
      </c>
      <c r="F594" s="31"/>
      <c r="G594" s="57" t="s">
        <v>3852</v>
      </c>
      <c r="H594" s="48" t="s">
        <v>3853</v>
      </c>
      <c r="I594" s="26" t="s">
        <v>3856</v>
      </c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 t="s">
        <v>3855</v>
      </c>
    </row>
    <row r="595">
      <c r="A595" s="26" t="str">
        <f t="array" ref="A595">IFERROR(VLOOKUP(B595,{Lists!$H$4:$H829,Lists!$G$4:$G829},2,0),"")</f>
        <v>Shrasti Tomar</v>
      </c>
      <c r="B595" s="26" t="s">
        <v>2255</v>
      </c>
      <c r="C595" s="37">
        <v>46052.0</v>
      </c>
      <c r="D595" s="37"/>
      <c r="E595" s="26" t="s">
        <v>3851</v>
      </c>
      <c r="F595" s="31"/>
      <c r="G595" s="57" t="s">
        <v>3852</v>
      </c>
      <c r="H595" s="48" t="s">
        <v>3853</v>
      </c>
      <c r="I595" s="26" t="s">
        <v>3856</v>
      </c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 t="s">
        <v>3855</v>
      </c>
    </row>
    <row r="596">
      <c r="A596" s="26" t="str">
        <f t="array" ref="A596">IFERROR(VLOOKUP(B596,{Lists!$H$4:$H829,Lists!$G$4:$G829},2,0),"")</f>
        <v>Satyam Jaiswal</v>
      </c>
      <c r="B596" s="26" t="s">
        <v>2258</v>
      </c>
      <c r="C596" s="37">
        <v>46052.0</v>
      </c>
      <c r="D596" s="37">
        <v>46141.0</v>
      </c>
      <c r="E596" s="26" t="s">
        <v>3851</v>
      </c>
      <c r="F596" s="31"/>
      <c r="G596" s="57" t="s">
        <v>3852</v>
      </c>
      <c r="H596" s="48" t="s">
        <v>3853</v>
      </c>
      <c r="I596" s="26" t="s">
        <v>3856</v>
      </c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 t="s">
        <v>3855</v>
      </c>
    </row>
    <row r="597">
      <c r="A597" s="26" t="str">
        <f t="array" ref="A597">IFERROR(VLOOKUP(B597,{Lists!$H$4:$H829,Lists!$G$4:$G829},2,0),"")</f>
        <v>Mukul Bhatt</v>
      </c>
      <c r="B597" s="26" t="s">
        <v>2265</v>
      </c>
      <c r="C597" s="37">
        <v>46052.0</v>
      </c>
      <c r="D597" s="37">
        <v>46141.0</v>
      </c>
      <c r="E597" s="26" t="s">
        <v>3851</v>
      </c>
      <c r="F597" s="31"/>
      <c r="G597" s="57" t="s">
        <v>3852</v>
      </c>
      <c r="H597" s="48" t="s">
        <v>3853</v>
      </c>
      <c r="I597" s="26" t="s">
        <v>3856</v>
      </c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 t="s">
        <v>3855</v>
      </c>
    </row>
    <row r="598">
      <c r="A598" s="26" t="str">
        <f t="array" ref="A598">IFERROR(VLOOKUP(B598,{Lists!$H$4:$H829,Lists!$G$4:$G829},2,0),"")</f>
        <v>Gaurav Khanna</v>
      </c>
      <c r="B598" s="26" t="s">
        <v>1967</v>
      </c>
      <c r="C598" s="37">
        <v>46052.0</v>
      </c>
      <c r="D598" s="37"/>
      <c r="E598" s="26" t="s">
        <v>3851</v>
      </c>
      <c r="F598" s="34" t="str">
        <f>VLOOKUP(B598,'On-Boarding'!C:D,2,0)</f>
        <v>Administration</v>
      </c>
      <c r="G598" s="59" t="s">
        <v>3875</v>
      </c>
      <c r="H598" s="48" t="s">
        <v>3876</v>
      </c>
      <c r="I598" s="26" t="s">
        <v>3856</v>
      </c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 t="s">
        <v>3855</v>
      </c>
    </row>
    <row r="599">
      <c r="A599" s="26" t="str">
        <f t="array" ref="A599">IFERROR(VLOOKUP(B599,{Lists!$H$4:$H829,Lists!$G$4:$G829},2,0),"")</f>
        <v>Abhishek Goyal</v>
      </c>
      <c r="B599" s="26" t="s">
        <v>1082</v>
      </c>
      <c r="C599" s="37">
        <v>46052.0</v>
      </c>
      <c r="D599" s="37">
        <v>46071.0</v>
      </c>
      <c r="E599" s="26" t="s">
        <v>3851</v>
      </c>
      <c r="F599" s="31"/>
      <c r="G599" s="57" t="s">
        <v>3852</v>
      </c>
      <c r="H599" s="48" t="s">
        <v>3853</v>
      </c>
      <c r="I599" s="26" t="s">
        <v>3856</v>
      </c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 t="s">
        <v>3855</v>
      </c>
    </row>
    <row r="600">
      <c r="A600" s="26" t="str">
        <f t="array" ref="A600">IFERROR(VLOOKUP(B600,{Lists!$H$4:$H829,Lists!$G$4:$G829},2,0),"")</f>
        <v>Adhip Kushwaha</v>
      </c>
      <c r="B600" s="26" t="s">
        <v>2276</v>
      </c>
      <c r="C600" s="37">
        <v>46052.0</v>
      </c>
      <c r="D600" s="37"/>
      <c r="E600" s="26" t="s">
        <v>3851</v>
      </c>
      <c r="F600" s="31"/>
      <c r="G600" s="57" t="s">
        <v>3852</v>
      </c>
      <c r="H600" s="48" t="s">
        <v>3853</v>
      </c>
      <c r="I600" s="26" t="s">
        <v>3856</v>
      </c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 t="s">
        <v>3855</v>
      </c>
    </row>
    <row r="601">
      <c r="A601" s="26" t="str">
        <f t="array" ref="A601">IFERROR(VLOOKUP(B601,{Lists!$H$4:$H829,Lists!$G$4:$G829},2,0),"")</f>
        <v>Jatin Kinra</v>
      </c>
      <c r="B601" s="26" t="s">
        <v>1108</v>
      </c>
      <c r="C601" s="37">
        <v>46052.0</v>
      </c>
      <c r="D601" s="37"/>
      <c r="E601" s="26" t="s">
        <v>3851</v>
      </c>
      <c r="F601" s="31"/>
      <c r="G601" s="57" t="s">
        <v>3852</v>
      </c>
      <c r="H601" s="48" t="s">
        <v>3853</v>
      </c>
      <c r="I601" s="26" t="s">
        <v>3856</v>
      </c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 t="s">
        <v>3855</v>
      </c>
    </row>
    <row r="602">
      <c r="A602" s="26" t="str">
        <f t="array" ref="A602">IFERROR(VLOOKUP(B602,{Lists!$H$4:$H829,Lists!$G$4:$G829},2,0),"")</f>
        <v>Tushar Mehta</v>
      </c>
      <c r="B602" s="26" t="s">
        <v>2292</v>
      </c>
      <c r="C602" s="37">
        <v>46052.0</v>
      </c>
      <c r="D602" s="37"/>
      <c r="E602" s="26" t="s">
        <v>3851</v>
      </c>
      <c r="F602" s="31"/>
      <c r="G602" s="57" t="s">
        <v>3852</v>
      </c>
      <c r="H602" s="48" t="s">
        <v>3853</v>
      </c>
      <c r="I602" s="26" t="s">
        <v>3856</v>
      </c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 t="s">
        <v>3855</v>
      </c>
    </row>
    <row r="603">
      <c r="A603" s="26" t="str">
        <f t="array" ref="A603">IFERROR(VLOOKUP(B603,{Lists!$H$4:$H829,Lists!$G$4:$G829},2,0),"")</f>
        <v>Aman Hans</v>
      </c>
      <c r="B603" s="26" t="s">
        <v>2311</v>
      </c>
      <c r="C603" s="37">
        <v>46052.0</v>
      </c>
      <c r="D603" s="37"/>
      <c r="E603" s="26" t="s">
        <v>3851</v>
      </c>
      <c r="F603" s="31"/>
      <c r="G603" s="62" t="s">
        <v>4011</v>
      </c>
      <c r="H603" s="48" t="s">
        <v>4012</v>
      </c>
      <c r="I603" s="26" t="s">
        <v>3856</v>
      </c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 t="s">
        <v>3855</v>
      </c>
    </row>
    <row r="604">
      <c r="A604" s="26" t="str">
        <f t="array" ref="A604">IFERROR(VLOOKUP(B604,{Lists!$H$4:$H829,Lists!$G$4:$G829},2,0),"")</f>
        <v>Basilnath Samson Masabiel</v>
      </c>
      <c r="B604" s="26" t="s">
        <v>2316</v>
      </c>
      <c r="C604" s="37">
        <v>46052.0</v>
      </c>
      <c r="D604" s="37">
        <v>46096.0</v>
      </c>
      <c r="E604" s="26" t="s">
        <v>3851</v>
      </c>
      <c r="F604" s="31"/>
      <c r="G604" s="57" t="s">
        <v>3852</v>
      </c>
      <c r="H604" s="48" t="s">
        <v>3853</v>
      </c>
      <c r="I604" s="26" t="s">
        <v>3856</v>
      </c>
      <c r="J604" s="31"/>
      <c r="K604" s="31"/>
      <c r="L604" s="31"/>
      <c r="M604" s="31"/>
      <c r="N604" s="31"/>
      <c r="O604" s="31"/>
      <c r="P604" s="31"/>
      <c r="Q604" s="31"/>
      <c r="R604" s="26" t="s">
        <v>3856</v>
      </c>
      <c r="S604" s="31"/>
      <c r="T604" s="31" t="s">
        <v>3855</v>
      </c>
    </row>
    <row r="605">
      <c r="A605" s="26" t="str">
        <f t="array" ref="A605">IFERROR(VLOOKUP(B605,{Lists!$H$4:$H829,Lists!$G$4:$G829},2,0),"")</f>
        <v>Gokul Verma</v>
      </c>
      <c r="B605" s="26" t="s">
        <v>2329</v>
      </c>
      <c r="C605" s="37">
        <v>46052.0</v>
      </c>
      <c r="D605" s="37"/>
      <c r="E605" s="26" t="s">
        <v>3851</v>
      </c>
      <c r="F605" s="31"/>
      <c r="G605" s="57" t="s">
        <v>3852</v>
      </c>
      <c r="H605" s="48" t="s">
        <v>3853</v>
      </c>
      <c r="I605" s="26" t="s">
        <v>3856</v>
      </c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 t="s">
        <v>3855</v>
      </c>
    </row>
    <row r="606">
      <c r="A606" s="26" t="str">
        <f t="array" ref="A606">IFERROR(VLOOKUP(B606,{Lists!$H$4:$H829,Lists!$G$4:$G829},2,0),"")</f>
        <v>Satyam Singh</v>
      </c>
      <c r="B606" s="26" t="s">
        <v>2335</v>
      </c>
      <c r="C606" s="37">
        <v>46052.0</v>
      </c>
      <c r="D606" s="37">
        <v>46096.0</v>
      </c>
      <c r="E606" s="26" t="s">
        <v>3851</v>
      </c>
      <c r="F606" s="31"/>
      <c r="G606" s="57" t="s">
        <v>3852</v>
      </c>
      <c r="H606" s="48" t="s">
        <v>3853</v>
      </c>
      <c r="I606" s="26" t="s">
        <v>3856</v>
      </c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 t="s">
        <v>3855</v>
      </c>
    </row>
    <row r="607">
      <c r="A607" s="26" t="str">
        <f t="array" ref="A607">IFERROR(VLOOKUP(B607,{Lists!$H$4:$H829,Lists!$G$4:$G829},2,0),"")</f>
        <v>Shivani Bisht</v>
      </c>
      <c r="B607" s="26" t="s">
        <v>2358</v>
      </c>
      <c r="C607" s="37">
        <v>46052.0</v>
      </c>
      <c r="D607" s="37"/>
      <c r="E607" s="26" t="s">
        <v>3851</v>
      </c>
      <c r="F607" s="34" t="str">
        <f>VLOOKUP(B607,'On-Boarding'!C:D,2,0)</f>
        <v>Human Resources</v>
      </c>
      <c r="G607" s="62" t="s">
        <v>4011</v>
      </c>
      <c r="H607" s="48" t="s">
        <v>4012</v>
      </c>
      <c r="I607" s="26" t="s">
        <v>3856</v>
      </c>
      <c r="J607" s="31"/>
      <c r="K607" s="31"/>
      <c r="L607" s="31"/>
      <c r="M607" s="31"/>
      <c r="N607" s="31"/>
      <c r="O607" s="31"/>
      <c r="P607" s="31"/>
      <c r="Q607" s="31"/>
      <c r="R607" s="31"/>
      <c r="S607" s="26" t="s">
        <v>4019</v>
      </c>
      <c r="T607" s="31" t="s">
        <v>3855</v>
      </c>
    </row>
    <row r="608">
      <c r="A608" s="26" t="str">
        <f t="array" ref="A608">IFERROR(VLOOKUP(B608,{Lists!$H$4:$H829,Lists!$G$4:$G829},2,0),"")</f>
        <v>Anand Keshav</v>
      </c>
      <c r="B608" s="26" t="s">
        <v>2307</v>
      </c>
      <c r="C608" s="37">
        <v>46052.0</v>
      </c>
      <c r="D608" s="37">
        <v>46096.0</v>
      </c>
      <c r="E608" s="26" t="s">
        <v>3851</v>
      </c>
      <c r="F608" s="31"/>
      <c r="G608" s="57" t="s">
        <v>3852</v>
      </c>
      <c r="H608" s="48" t="s">
        <v>3853</v>
      </c>
      <c r="I608" s="26" t="s">
        <v>3856</v>
      </c>
      <c r="J608" s="31"/>
      <c r="K608" s="31"/>
      <c r="L608" s="31"/>
      <c r="M608" s="31"/>
      <c r="N608" s="31"/>
      <c r="O608" s="31"/>
      <c r="P608" s="31"/>
      <c r="Q608" s="31"/>
      <c r="R608" s="26" t="s">
        <v>3856</v>
      </c>
      <c r="S608" s="31"/>
      <c r="T608" s="31" t="s">
        <v>3855</v>
      </c>
    </row>
    <row r="609">
      <c r="A609" s="26" t="str">
        <f t="array" ref="A609">IFERROR(VLOOKUP(B609,{Lists!$H$4:$H829,Lists!$G$4:$G829},2,0),"")</f>
        <v>Aman Chhabra</v>
      </c>
      <c r="B609" s="26" t="s">
        <v>2033</v>
      </c>
      <c r="C609" s="37">
        <v>46052.0</v>
      </c>
      <c r="D609" s="37"/>
      <c r="E609" s="26" t="s">
        <v>3851</v>
      </c>
      <c r="F609" s="31"/>
      <c r="G609" s="57" t="s">
        <v>3852</v>
      </c>
      <c r="H609" s="48" t="s">
        <v>3853</v>
      </c>
      <c r="I609" s="26" t="s">
        <v>3856</v>
      </c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 t="s">
        <v>3855</v>
      </c>
    </row>
    <row r="610">
      <c r="A610" s="26" t="str">
        <f t="array" ref="A610">IFERROR(VLOOKUP(B610,{Lists!$H$4:$H829,Lists!$G$4:$G829},2,0),"")</f>
        <v>Abhishek Prasad</v>
      </c>
      <c r="B610" s="26" t="s">
        <v>2375</v>
      </c>
      <c r="C610" s="37">
        <v>46052.0</v>
      </c>
      <c r="D610" s="37"/>
      <c r="E610" s="26" t="s">
        <v>3851</v>
      </c>
      <c r="F610" s="31"/>
      <c r="G610" s="57" t="s">
        <v>3852</v>
      </c>
      <c r="H610" s="48" t="s">
        <v>3853</v>
      </c>
      <c r="I610" s="26" t="s">
        <v>3856</v>
      </c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 t="s">
        <v>3855</v>
      </c>
    </row>
    <row r="611">
      <c r="A611" s="26" t="str">
        <f t="array" ref="A611">IFERROR(VLOOKUP(B611,{Lists!$H$4:$H829,Lists!$G$4:$G829},2,0),"")</f>
        <v>Piyush Patel</v>
      </c>
      <c r="B611" s="26" t="s">
        <v>2379</v>
      </c>
      <c r="C611" s="37">
        <v>46052.0</v>
      </c>
      <c r="D611" s="37"/>
      <c r="E611" s="26" t="s">
        <v>3851</v>
      </c>
      <c r="F611" s="34" t="str">
        <f>VLOOKUP(B611,'On-Boarding'!C:D,2,0)</f>
        <v>Digital Marketing</v>
      </c>
      <c r="G611" s="59" t="s">
        <v>3875</v>
      </c>
      <c r="H611" s="48" t="s">
        <v>3876</v>
      </c>
      <c r="I611" s="26" t="s">
        <v>3856</v>
      </c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 t="s">
        <v>3855</v>
      </c>
    </row>
    <row r="612">
      <c r="A612" s="26" t="str">
        <f t="array" ref="A612">IFERROR(VLOOKUP(B612,{Lists!$H$4:$H829,Lists!$G$4:$G829},2,0),"")</f>
        <v>Ayush Gupta</v>
      </c>
      <c r="B612" s="26" t="s">
        <v>2382</v>
      </c>
      <c r="C612" s="37">
        <v>46052.0</v>
      </c>
      <c r="D612" s="37"/>
      <c r="E612" s="26" t="s">
        <v>3851</v>
      </c>
      <c r="F612" s="31"/>
      <c r="G612" s="57" t="s">
        <v>3852</v>
      </c>
      <c r="H612" s="48" t="s">
        <v>3853</v>
      </c>
      <c r="I612" s="26" t="s">
        <v>3856</v>
      </c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 t="s">
        <v>3855</v>
      </c>
    </row>
    <row r="613">
      <c r="A613" s="26" t="str">
        <f t="array" ref="A613">IFERROR(VLOOKUP(B613,{Lists!$H$4:$H829,Lists!$G$4:$G829},2,0),"")</f>
        <v>Anjali pal</v>
      </c>
      <c r="B613" s="26" t="s">
        <v>2349</v>
      </c>
      <c r="C613" s="37">
        <v>46052.0</v>
      </c>
      <c r="D613" s="37"/>
      <c r="E613" s="26" t="s">
        <v>3851</v>
      </c>
      <c r="F613" s="31"/>
      <c r="G613" s="57" t="s">
        <v>3852</v>
      </c>
      <c r="H613" s="48" t="s">
        <v>3853</v>
      </c>
      <c r="I613" s="26" t="s">
        <v>3856</v>
      </c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 t="s">
        <v>3855</v>
      </c>
    </row>
    <row r="614">
      <c r="A614" s="26" t="str">
        <f t="array" ref="A614">IFERROR(VLOOKUP(B614,{Lists!$H$4:$H829,Lists!$G$4:$G829},2,0),"")</f>
        <v>Shivam Sharma</v>
      </c>
      <c r="B614" s="26" t="s">
        <v>2402</v>
      </c>
      <c r="C614" s="37">
        <v>46052.0</v>
      </c>
      <c r="D614" s="37">
        <v>46096.0</v>
      </c>
      <c r="E614" s="26" t="s">
        <v>3851</v>
      </c>
      <c r="F614" s="34" t="str">
        <f>VLOOKUP(B614,'On-Boarding'!C:D,2,0)</f>
        <v>Human Resources</v>
      </c>
      <c r="G614" s="59" t="s">
        <v>3875</v>
      </c>
      <c r="H614" s="48" t="s">
        <v>3876</v>
      </c>
      <c r="I614" s="26" t="s">
        <v>3856</v>
      </c>
      <c r="J614" s="31"/>
      <c r="K614" s="31"/>
      <c r="L614" s="31"/>
      <c r="M614" s="31"/>
      <c r="N614" s="31"/>
      <c r="O614" s="31"/>
      <c r="P614" s="31"/>
      <c r="Q614" s="31"/>
      <c r="R614" s="26" t="s">
        <v>3856</v>
      </c>
      <c r="S614" s="31"/>
      <c r="T614" s="31" t="s">
        <v>3855</v>
      </c>
    </row>
    <row r="615">
      <c r="A615" s="26" t="str">
        <f t="array" ref="A615">IFERROR(VLOOKUP(B615,{Lists!$H$4:$H829,Lists!$G$4:$G829},2,0),"")</f>
        <v>Ayush Dabas</v>
      </c>
      <c r="B615" s="26" t="s">
        <v>2416</v>
      </c>
      <c r="C615" s="37">
        <v>46052.0</v>
      </c>
      <c r="D615" s="37">
        <v>46096.0</v>
      </c>
      <c r="E615" s="26" t="s">
        <v>3851</v>
      </c>
      <c r="F615" s="31"/>
      <c r="G615" s="57" t="s">
        <v>3852</v>
      </c>
      <c r="H615" s="48" t="s">
        <v>3853</v>
      </c>
      <c r="I615" s="26" t="s">
        <v>3856</v>
      </c>
      <c r="J615" s="31"/>
      <c r="K615" s="31"/>
      <c r="L615" s="31"/>
      <c r="M615" s="31"/>
      <c r="N615" s="31"/>
      <c r="O615" s="31"/>
      <c r="P615" s="31"/>
      <c r="Q615" s="31"/>
      <c r="R615" s="26" t="s">
        <v>3856</v>
      </c>
      <c r="S615" s="31"/>
      <c r="T615" s="31" t="s">
        <v>3855</v>
      </c>
    </row>
    <row r="616">
      <c r="A616" s="26" t="str">
        <f t="array" ref="A616">IFERROR(VLOOKUP(B616,{Lists!$H$4:$H829,Lists!$G$4:$G829},2,0),"")</f>
        <v>Vivek Choudhary</v>
      </c>
      <c r="B616" s="26" t="s">
        <v>2419</v>
      </c>
      <c r="C616" s="37">
        <v>46052.0</v>
      </c>
      <c r="D616" s="37">
        <v>46096.0</v>
      </c>
      <c r="E616" s="26" t="s">
        <v>3851</v>
      </c>
      <c r="F616" s="31"/>
      <c r="G616" s="57" t="s">
        <v>3852</v>
      </c>
      <c r="H616" s="48" t="s">
        <v>3853</v>
      </c>
      <c r="I616" s="26" t="s">
        <v>3856</v>
      </c>
      <c r="J616" s="31"/>
      <c r="K616" s="31"/>
      <c r="L616" s="31"/>
      <c r="M616" s="31"/>
      <c r="N616" s="31"/>
      <c r="O616" s="31"/>
      <c r="P616" s="31"/>
      <c r="Q616" s="31"/>
      <c r="R616" s="26" t="s">
        <v>3856</v>
      </c>
      <c r="S616" s="31"/>
      <c r="T616" s="31" t="s">
        <v>3855</v>
      </c>
    </row>
    <row r="617">
      <c r="A617" s="26" t="str">
        <f t="array" ref="A617">IFERROR(VLOOKUP(B617,{Lists!$H$4:$H829,Lists!$G$4:$G829},2,0),"")</f>
        <v>Rishabh Bhatia</v>
      </c>
      <c r="B617" s="26" t="s">
        <v>2431</v>
      </c>
      <c r="C617" s="37">
        <v>46052.0</v>
      </c>
      <c r="D617" s="37">
        <v>46096.0</v>
      </c>
      <c r="E617" s="26" t="s">
        <v>3851</v>
      </c>
      <c r="F617" s="31"/>
      <c r="G617" s="57" t="s">
        <v>3852</v>
      </c>
      <c r="H617" s="48" t="s">
        <v>3853</v>
      </c>
      <c r="I617" s="26" t="s">
        <v>3856</v>
      </c>
      <c r="J617" s="31"/>
      <c r="K617" s="31"/>
      <c r="L617" s="31"/>
      <c r="M617" s="31"/>
      <c r="N617" s="31"/>
      <c r="O617" s="31"/>
      <c r="P617" s="31"/>
      <c r="Q617" s="31"/>
      <c r="R617" s="26" t="s">
        <v>3856</v>
      </c>
      <c r="S617" s="31"/>
      <c r="T617" s="31" t="s">
        <v>3855</v>
      </c>
    </row>
    <row r="618">
      <c r="A618" s="26" t="str">
        <f t="array" ref="A618">IFERROR(VLOOKUP(B618,{Lists!$H$4:$H829,Lists!$G$4:$G829},2,0),"")</f>
        <v>Rajan Jayaswal</v>
      </c>
      <c r="B618" s="26" t="s">
        <v>2434</v>
      </c>
      <c r="C618" s="37">
        <v>46052.0</v>
      </c>
      <c r="D618" s="37"/>
      <c r="E618" s="26" t="s">
        <v>3851</v>
      </c>
      <c r="F618" s="31"/>
      <c r="G618" s="57" t="s">
        <v>3852</v>
      </c>
      <c r="H618" s="48" t="s">
        <v>3853</v>
      </c>
      <c r="I618" s="26" t="s">
        <v>3856</v>
      </c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 t="s">
        <v>3855</v>
      </c>
    </row>
    <row r="619">
      <c r="A619" s="26" t="str">
        <f t="array" ref="A619">IFERROR(VLOOKUP(B619,{Lists!$H$4:$H829,Lists!$G$4:$G829},2,0),"")</f>
        <v>Himanshu Nagpal</v>
      </c>
      <c r="B619" s="26" t="s">
        <v>2441</v>
      </c>
      <c r="C619" s="37">
        <v>46052.0</v>
      </c>
      <c r="D619" s="37">
        <v>46096.0</v>
      </c>
      <c r="E619" s="26" t="s">
        <v>3851</v>
      </c>
      <c r="F619" s="31"/>
      <c r="G619" s="57" t="s">
        <v>3852</v>
      </c>
      <c r="H619" s="48" t="s">
        <v>3853</v>
      </c>
      <c r="I619" s="26" t="s">
        <v>3856</v>
      </c>
      <c r="J619" s="31"/>
      <c r="K619" s="31"/>
      <c r="L619" s="31"/>
      <c r="M619" s="31"/>
      <c r="N619" s="31"/>
      <c r="O619" s="31"/>
      <c r="P619" s="31"/>
      <c r="Q619" s="31"/>
      <c r="R619" s="26" t="s">
        <v>3856</v>
      </c>
      <c r="S619" s="31"/>
      <c r="T619" s="31" t="s">
        <v>3855</v>
      </c>
    </row>
    <row r="620">
      <c r="A620" s="26" t="str">
        <f t="array" ref="A620">IFERROR(VLOOKUP(B620,{Lists!$H$4:$H829,Lists!$G$4:$G829},2,0),"")</f>
        <v>Suryanshu Shekhar</v>
      </c>
      <c r="B620" s="26" t="s">
        <v>1138</v>
      </c>
      <c r="C620" s="37">
        <v>46052.0</v>
      </c>
      <c r="D620" s="37">
        <v>46094.0</v>
      </c>
      <c r="E620" s="26" t="s">
        <v>3851</v>
      </c>
      <c r="F620" s="31"/>
      <c r="G620" s="57" t="s">
        <v>3852</v>
      </c>
      <c r="H620" s="48" t="s">
        <v>3853</v>
      </c>
      <c r="I620" s="26" t="s">
        <v>3856</v>
      </c>
      <c r="J620" s="31"/>
      <c r="K620" s="31"/>
      <c r="L620" s="31"/>
      <c r="M620" s="31"/>
      <c r="N620" s="31"/>
      <c r="O620" s="31"/>
      <c r="P620" s="31"/>
      <c r="Q620" s="31"/>
      <c r="R620" s="26" t="s">
        <v>3856</v>
      </c>
      <c r="S620" s="31"/>
      <c r="T620" s="31" t="s">
        <v>3855</v>
      </c>
    </row>
    <row r="621">
      <c r="A621" s="26" t="str">
        <f t="array" ref="A621">IFERROR(VLOOKUP(B621,{Lists!$H$4:$H829,Lists!$G$4:$G829},2,0),"")</f>
        <v>Vipul Gupta</v>
      </c>
      <c r="B621" s="26" t="s">
        <v>1094</v>
      </c>
      <c r="C621" s="37">
        <v>46052.0</v>
      </c>
      <c r="D621" s="37">
        <v>46062.0</v>
      </c>
      <c r="E621" s="26" t="s">
        <v>3851</v>
      </c>
      <c r="F621" s="31"/>
      <c r="G621" s="57" t="s">
        <v>3852</v>
      </c>
      <c r="H621" s="48" t="s">
        <v>3853</v>
      </c>
      <c r="I621" s="26" t="s">
        <v>3856</v>
      </c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 t="s">
        <v>3855</v>
      </c>
    </row>
    <row r="622">
      <c r="A622" s="26" t="str">
        <f t="array" ref="A622">IFERROR(VLOOKUP(B622,{Lists!$H$4:$H829,Lists!$G$4:$G829},2,0),"")</f>
        <v>Geeta Joshi</v>
      </c>
      <c r="B622" s="26" t="s">
        <v>2461</v>
      </c>
      <c r="C622" s="37">
        <v>46052.0</v>
      </c>
      <c r="D622" s="37">
        <v>46096.0</v>
      </c>
      <c r="E622" s="26" t="s">
        <v>3851</v>
      </c>
      <c r="F622" s="31"/>
      <c r="G622" s="57" t="s">
        <v>3852</v>
      </c>
      <c r="H622" s="48" t="s">
        <v>3853</v>
      </c>
      <c r="I622" s="26" t="s">
        <v>3856</v>
      </c>
      <c r="J622" s="31"/>
      <c r="K622" s="31"/>
      <c r="L622" s="31"/>
      <c r="M622" s="31"/>
      <c r="N622" s="31"/>
      <c r="O622" s="31"/>
      <c r="P622" s="31"/>
      <c r="Q622" s="31"/>
      <c r="R622" s="26" t="s">
        <v>3856</v>
      </c>
      <c r="S622" s="31"/>
      <c r="T622" s="31" t="s">
        <v>3855</v>
      </c>
    </row>
    <row r="623">
      <c r="A623" s="26" t="str">
        <f t="array" ref="A623">IFERROR(VLOOKUP(B623,{Lists!$H$4:$H829,Lists!$G$4:$G829},2,0),"")</f>
        <v>Khushboo Singh</v>
      </c>
      <c r="B623" s="26" t="s">
        <v>2463</v>
      </c>
      <c r="C623" s="37">
        <v>46052.0</v>
      </c>
      <c r="D623" s="37">
        <v>46096.0</v>
      </c>
      <c r="E623" s="26" t="s">
        <v>3851</v>
      </c>
      <c r="F623" s="31"/>
      <c r="G623" s="57" t="s">
        <v>3852</v>
      </c>
      <c r="H623" s="48" t="s">
        <v>3853</v>
      </c>
      <c r="I623" s="26" t="s">
        <v>3856</v>
      </c>
      <c r="J623" s="31"/>
      <c r="K623" s="31"/>
      <c r="L623" s="31"/>
      <c r="M623" s="31"/>
      <c r="N623" s="31"/>
      <c r="O623" s="31"/>
      <c r="P623" s="31"/>
      <c r="Q623" s="31"/>
      <c r="R623" s="26" t="s">
        <v>3856</v>
      </c>
      <c r="S623" s="31"/>
      <c r="T623" s="31" t="s">
        <v>3855</v>
      </c>
    </row>
    <row r="624">
      <c r="A624" s="26" t="str">
        <f t="array" ref="A624">IFERROR(VLOOKUP(B624,{Lists!$H$4:$H829,Lists!$G$4:$G829},2,0),"")</f>
        <v>Priyansh Barya</v>
      </c>
      <c r="B624" s="26" t="s">
        <v>2475</v>
      </c>
      <c r="C624" s="37">
        <v>46052.0</v>
      </c>
      <c r="D624" s="37">
        <v>46092.0</v>
      </c>
      <c r="E624" s="26" t="s">
        <v>3851</v>
      </c>
      <c r="F624" s="31"/>
      <c r="G624" s="57" t="s">
        <v>3852</v>
      </c>
      <c r="H624" s="48" t="s">
        <v>3853</v>
      </c>
      <c r="I624" s="26" t="s">
        <v>3856</v>
      </c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 t="s">
        <v>3855</v>
      </c>
    </row>
    <row r="625">
      <c r="A625" s="26" t="str">
        <f t="array" ref="A625">IFERROR(VLOOKUP(B625,{Lists!$H$4:$H829,Lists!$G$4:$G829},2,0),"")</f>
        <v>Karan Pal Sunkariya</v>
      </c>
      <c r="B625" s="26" t="s">
        <v>2477</v>
      </c>
      <c r="C625" s="37">
        <v>46052.0</v>
      </c>
      <c r="D625" s="37"/>
      <c r="E625" s="26" t="s">
        <v>3851</v>
      </c>
      <c r="F625" s="31"/>
      <c r="G625" s="57" t="s">
        <v>3852</v>
      </c>
      <c r="H625" s="48" t="s">
        <v>3853</v>
      </c>
      <c r="I625" s="26" t="s">
        <v>3856</v>
      </c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 t="s">
        <v>3855</v>
      </c>
    </row>
    <row r="626">
      <c r="A626" s="26" t="str">
        <f t="array" ref="A626">IFERROR(VLOOKUP(B626,{Lists!$H$4:$H829,Lists!$G$4:$G829},2,0),"")</f>
        <v>Sparsh Pandey</v>
      </c>
      <c r="B626" s="26" t="s">
        <v>2482</v>
      </c>
      <c r="C626" s="37">
        <v>46052.0</v>
      </c>
      <c r="D626" s="37">
        <v>46069.0</v>
      </c>
      <c r="E626" s="26" t="s">
        <v>3851</v>
      </c>
      <c r="F626" s="31"/>
      <c r="G626" s="57" t="s">
        <v>3852</v>
      </c>
      <c r="H626" s="48" t="s">
        <v>3853</v>
      </c>
      <c r="I626" s="26" t="s">
        <v>3856</v>
      </c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 t="s">
        <v>3855</v>
      </c>
    </row>
    <row r="627">
      <c r="A627" s="26" t="str">
        <f t="array" ref="A627">IFERROR(VLOOKUP(B627,{Lists!$H$4:$H829,Lists!$G$4:$G829},2,0),"")</f>
        <v>Attar Kaur</v>
      </c>
      <c r="B627" s="26" t="s">
        <v>2487</v>
      </c>
      <c r="C627" s="37">
        <v>46052.0</v>
      </c>
      <c r="D627" s="37"/>
      <c r="E627" s="26" t="s">
        <v>3851</v>
      </c>
      <c r="F627" s="31"/>
      <c r="G627" s="57" t="s">
        <v>3852</v>
      </c>
      <c r="H627" s="48" t="s">
        <v>3853</v>
      </c>
      <c r="I627" s="26" t="s">
        <v>3856</v>
      </c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 t="s">
        <v>3855</v>
      </c>
    </row>
    <row r="628">
      <c r="A628" s="26" t="str">
        <f t="array" ref="A628">IFERROR(VLOOKUP(B628,{Lists!$H$4:$H829,Lists!$G$4:$G829},2,0),"")</f>
        <v>Sanjeev Bhardwaj</v>
      </c>
      <c r="B628" s="26" t="s">
        <v>2530</v>
      </c>
      <c r="C628" s="37">
        <v>46052.0</v>
      </c>
      <c r="D628" s="37">
        <v>46096.0</v>
      </c>
      <c r="E628" s="26" t="s">
        <v>3851</v>
      </c>
      <c r="F628" s="31"/>
      <c r="G628" s="57" t="s">
        <v>3852</v>
      </c>
      <c r="H628" s="48" t="s">
        <v>3853</v>
      </c>
      <c r="I628" s="26" t="s">
        <v>3856</v>
      </c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 t="s">
        <v>3855</v>
      </c>
    </row>
    <row r="629">
      <c r="A629" s="26" t="str">
        <f t="array" ref="A629">IFERROR(VLOOKUP(B629,{Lists!$H$4:$H829,Lists!$G$4:$G829},2,0),"")</f>
        <v>Sameer Singh</v>
      </c>
      <c r="B629" s="26" t="s">
        <v>2545</v>
      </c>
      <c r="C629" s="37">
        <v>46052.0</v>
      </c>
      <c r="D629" s="37">
        <v>46096.0</v>
      </c>
      <c r="E629" s="26" t="s">
        <v>3851</v>
      </c>
      <c r="F629" s="31"/>
      <c r="G629" s="57" t="s">
        <v>3852</v>
      </c>
      <c r="H629" s="48" t="s">
        <v>3853</v>
      </c>
      <c r="I629" s="26" t="s">
        <v>3856</v>
      </c>
      <c r="J629" s="31"/>
      <c r="K629" s="31"/>
      <c r="L629" s="31"/>
      <c r="M629" s="31"/>
      <c r="N629" s="31"/>
      <c r="O629" s="31"/>
      <c r="P629" s="31"/>
      <c r="Q629" s="31"/>
      <c r="R629" s="26" t="s">
        <v>3856</v>
      </c>
      <c r="S629" s="31"/>
      <c r="T629" s="31" t="s">
        <v>3855</v>
      </c>
    </row>
    <row r="630">
      <c r="A630" s="26" t="str">
        <f t="array" ref="A630">IFERROR(VLOOKUP(B630,{Lists!$H$4:$H829,Lists!$G$4:$G829},2,0),"")</f>
        <v>Ashu Salmani</v>
      </c>
      <c r="B630" s="26" t="s">
        <v>2540</v>
      </c>
      <c r="C630" s="37">
        <v>46052.0</v>
      </c>
      <c r="D630" s="37">
        <v>46096.0</v>
      </c>
      <c r="E630" s="26" t="s">
        <v>3851</v>
      </c>
      <c r="F630" s="31"/>
      <c r="G630" s="57" t="s">
        <v>3852</v>
      </c>
      <c r="H630" s="48" t="s">
        <v>3853</v>
      </c>
      <c r="I630" s="26" t="s">
        <v>3856</v>
      </c>
      <c r="J630" s="31"/>
      <c r="K630" s="31"/>
      <c r="L630" s="31"/>
      <c r="M630" s="31"/>
      <c r="N630" s="31"/>
      <c r="O630" s="31"/>
      <c r="P630" s="31"/>
      <c r="Q630" s="31"/>
      <c r="R630" s="26" t="s">
        <v>3856</v>
      </c>
      <c r="S630" s="31"/>
      <c r="T630" s="31" t="s">
        <v>3855</v>
      </c>
    </row>
    <row r="631">
      <c r="A631" s="26" t="str">
        <f t="array" ref="A631">IFERROR(VLOOKUP(B631,{Lists!$H$4:$H829,Lists!$G$4:$G829},2,0),"")</f>
        <v>Pranav Gautam</v>
      </c>
      <c r="B631" s="26" t="s">
        <v>2548</v>
      </c>
      <c r="C631" s="37">
        <v>46052.0</v>
      </c>
      <c r="D631" s="37"/>
      <c r="E631" s="26" t="s">
        <v>3851</v>
      </c>
      <c r="F631" s="31"/>
      <c r="G631" s="57" t="s">
        <v>3852</v>
      </c>
      <c r="H631" s="48" t="s">
        <v>3853</v>
      </c>
      <c r="I631" s="26" t="s">
        <v>3856</v>
      </c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 t="s">
        <v>3855</v>
      </c>
    </row>
    <row r="632">
      <c r="A632" s="26" t="str">
        <f t="array" ref="A632">IFERROR(VLOOKUP(B632,{Lists!$H$4:$H829,Lists!$G$4:$G829},2,0),"")</f>
        <v>Rajat Saurav</v>
      </c>
      <c r="B632" s="26" t="s">
        <v>2570</v>
      </c>
      <c r="C632" s="37">
        <v>46052.0</v>
      </c>
      <c r="D632" s="37">
        <v>46096.0</v>
      </c>
      <c r="E632" s="26" t="s">
        <v>3851</v>
      </c>
      <c r="F632" s="31"/>
      <c r="G632" s="57" t="s">
        <v>3852</v>
      </c>
      <c r="H632" s="48" t="s">
        <v>3853</v>
      </c>
      <c r="I632" s="26" t="s">
        <v>3856</v>
      </c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 t="s">
        <v>3855</v>
      </c>
    </row>
    <row r="633">
      <c r="A633" s="26" t="str">
        <f t="array" ref="A633">IFERROR(VLOOKUP(B633,{Lists!$H$4:$H829,Lists!$G$4:$G829},2,0),"")</f>
        <v>Aryan Chopra</v>
      </c>
      <c r="B633" s="26" t="s">
        <v>2572</v>
      </c>
      <c r="C633" s="37">
        <v>46052.0</v>
      </c>
      <c r="D633" s="37">
        <v>46096.0</v>
      </c>
      <c r="E633" s="26" t="s">
        <v>3851</v>
      </c>
      <c r="F633" s="31"/>
      <c r="G633" s="57" t="s">
        <v>3852</v>
      </c>
      <c r="H633" s="48" t="s">
        <v>3853</v>
      </c>
      <c r="I633" s="26" t="s">
        <v>3856</v>
      </c>
      <c r="J633" s="31"/>
      <c r="K633" s="31"/>
      <c r="L633" s="31"/>
      <c r="M633" s="31"/>
      <c r="N633" s="31"/>
      <c r="O633" s="31"/>
      <c r="P633" s="31"/>
      <c r="Q633" s="31"/>
      <c r="R633" s="26" t="s">
        <v>3856</v>
      </c>
      <c r="S633" s="31"/>
      <c r="T633" s="31" t="s">
        <v>3855</v>
      </c>
    </row>
    <row r="634">
      <c r="A634" s="26" t="str">
        <f t="array" ref="A634">IFERROR(VLOOKUP(B634,{Lists!$H$4:$H829,Lists!$G$4:$G829},2,0),"")</f>
        <v>Abhishek Srivastava</v>
      </c>
      <c r="B634" s="26" t="s">
        <v>1125</v>
      </c>
      <c r="C634" s="37">
        <v>46052.0</v>
      </c>
      <c r="D634" s="37">
        <v>46096.0</v>
      </c>
      <c r="E634" s="26" t="s">
        <v>3851</v>
      </c>
      <c r="F634" s="31"/>
      <c r="G634" s="57" t="s">
        <v>3852</v>
      </c>
      <c r="H634" s="48" t="s">
        <v>3853</v>
      </c>
      <c r="I634" s="26" t="s">
        <v>3856</v>
      </c>
      <c r="J634" s="31"/>
      <c r="K634" s="31"/>
      <c r="L634" s="31"/>
      <c r="M634" s="31"/>
      <c r="N634" s="31"/>
      <c r="O634" s="31"/>
      <c r="P634" s="31"/>
      <c r="Q634" s="31"/>
      <c r="R634" s="26" t="s">
        <v>3856</v>
      </c>
      <c r="S634" s="31"/>
      <c r="T634" s="31" t="s">
        <v>3855</v>
      </c>
    </row>
    <row r="635">
      <c r="A635" s="26" t="str">
        <f t="array" ref="A635">IFERROR(VLOOKUP(B635,{Lists!$H$4:$H829,Lists!$G$4:$G829},2,0),"")</f>
        <v>Shiwani Pokhriyal</v>
      </c>
      <c r="B635" s="26" t="s">
        <v>1168</v>
      </c>
      <c r="C635" s="37">
        <v>46052.0</v>
      </c>
      <c r="D635" s="37">
        <v>46096.0</v>
      </c>
      <c r="E635" s="26" t="s">
        <v>3851</v>
      </c>
      <c r="F635" s="31"/>
      <c r="G635" s="57" t="s">
        <v>3852</v>
      </c>
      <c r="H635" s="48" t="s">
        <v>3853</v>
      </c>
      <c r="I635" s="26" t="s">
        <v>3856</v>
      </c>
      <c r="J635" s="31"/>
      <c r="K635" s="31"/>
      <c r="L635" s="31"/>
      <c r="M635" s="31"/>
      <c r="N635" s="31"/>
      <c r="O635" s="31"/>
      <c r="P635" s="31"/>
      <c r="Q635" s="31"/>
      <c r="R635" s="26" t="s">
        <v>3856</v>
      </c>
      <c r="S635" s="31"/>
      <c r="T635" s="31" t="s">
        <v>3855</v>
      </c>
    </row>
    <row r="636">
      <c r="A636" s="26" t="str">
        <f t="array" ref="A636">IFERROR(VLOOKUP(B636,{Lists!$H$4:$H829,Lists!$G$4:$G829},2,0),"")</f>
        <v>Priyanshu Agrawal</v>
      </c>
      <c r="B636" s="26" t="s">
        <v>2588</v>
      </c>
      <c r="C636" s="37">
        <v>46052.0</v>
      </c>
      <c r="D636" s="37"/>
      <c r="E636" s="26" t="s">
        <v>3851</v>
      </c>
      <c r="F636" s="31"/>
      <c r="G636" s="57" t="s">
        <v>3852</v>
      </c>
      <c r="H636" s="48" t="s">
        <v>3853</v>
      </c>
      <c r="I636" s="26" t="s">
        <v>3856</v>
      </c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 t="s">
        <v>3855</v>
      </c>
    </row>
    <row r="637">
      <c r="A637" s="26" t="str">
        <f t="array" ref="A637">IFERROR(VLOOKUP(B637,{Lists!$H$4:$H829,Lists!$G$4:$G829},2,0),"")</f>
        <v>Suraj Yadav</v>
      </c>
      <c r="B637" s="26" t="s">
        <v>2601</v>
      </c>
      <c r="C637" s="37">
        <v>46052.0</v>
      </c>
      <c r="D637" s="37">
        <v>46096.0</v>
      </c>
      <c r="E637" s="26" t="s">
        <v>3851</v>
      </c>
      <c r="F637" s="31"/>
      <c r="G637" s="57" t="s">
        <v>3852</v>
      </c>
      <c r="H637" s="48" t="s">
        <v>3853</v>
      </c>
      <c r="I637" s="26" t="s">
        <v>3856</v>
      </c>
      <c r="J637" s="31"/>
      <c r="K637" s="31"/>
      <c r="L637" s="31"/>
      <c r="M637" s="31"/>
      <c r="N637" s="31"/>
      <c r="O637" s="31"/>
      <c r="P637" s="31"/>
      <c r="Q637" s="31"/>
      <c r="R637" s="26" t="s">
        <v>3856</v>
      </c>
      <c r="S637" s="31"/>
      <c r="T637" s="31" t="s">
        <v>3855</v>
      </c>
    </row>
    <row r="638">
      <c r="A638" s="26" t="str">
        <f t="array" ref="A638">IFERROR(VLOOKUP(B638,{Lists!$H$4:$H829,Lists!$G$4:$G829},2,0),"")</f>
        <v>Aryan Duhan</v>
      </c>
      <c r="B638" s="26" t="s">
        <v>2612</v>
      </c>
      <c r="C638" s="37">
        <v>46052.0</v>
      </c>
      <c r="D638" s="37">
        <v>46096.0</v>
      </c>
      <c r="E638" s="26" t="s">
        <v>3851</v>
      </c>
      <c r="F638" s="31"/>
      <c r="G638" s="57" t="s">
        <v>3852</v>
      </c>
      <c r="H638" s="48" t="s">
        <v>3853</v>
      </c>
      <c r="I638" s="26" t="s">
        <v>3856</v>
      </c>
      <c r="J638" s="31"/>
      <c r="K638" s="31"/>
      <c r="L638" s="31"/>
      <c r="M638" s="31"/>
      <c r="N638" s="31"/>
      <c r="O638" s="31"/>
      <c r="P638" s="31"/>
      <c r="Q638" s="31"/>
      <c r="R638" s="26" t="s">
        <v>3856</v>
      </c>
      <c r="S638" s="31"/>
      <c r="T638" s="31" t="s">
        <v>3855</v>
      </c>
    </row>
    <row r="639">
      <c r="A639" s="26" t="str">
        <f t="array" ref="A639">IFERROR(VLOOKUP(B639,{Lists!$H$4:$H829,Lists!$G$4:$G829},2,0),"")</f>
        <v>Amit Arora</v>
      </c>
      <c r="B639" s="26" t="s">
        <v>2610</v>
      </c>
      <c r="C639" s="37">
        <v>46052.0</v>
      </c>
      <c r="D639" s="37">
        <v>46096.0</v>
      </c>
      <c r="E639" s="26" t="s">
        <v>3851</v>
      </c>
      <c r="F639" s="31"/>
      <c r="G639" s="57" t="s">
        <v>3852</v>
      </c>
      <c r="H639" s="48" t="s">
        <v>3853</v>
      </c>
      <c r="I639" s="26" t="s">
        <v>3856</v>
      </c>
      <c r="J639" s="31"/>
      <c r="K639" s="31"/>
      <c r="L639" s="31"/>
      <c r="M639" s="31"/>
      <c r="N639" s="31"/>
      <c r="O639" s="31"/>
      <c r="P639" s="31"/>
      <c r="Q639" s="31"/>
      <c r="R639" s="26" t="s">
        <v>3856</v>
      </c>
      <c r="S639" s="31"/>
      <c r="T639" s="31" t="s">
        <v>3855</v>
      </c>
    </row>
    <row r="640">
      <c r="A640" s="26" t="str">
        <f t="array" ref="A640">IFERROR(VLOOKUP(B640,{Lists!$H$4:$H829,Lists!$G$4:$G829},2,0),"")</f>
        <v>Upamdeep Buragohain</v>
      </c>
      <c r="B640" s="26" t="s">
        <v>2621</v>
      </c>
      <c r="C640" s="37">
        <v>46052.0</v>
      </c>
      <c r="D640" s="37">
        <v>46081.0</v>
      </c>
      <c r="E640" s="26" t="s">
        <v>3851</v>
      </c>
      <c r="F640" s="31"/>
      <c r="G640" s="57" t="s">
        <v>3852</v>
      </c>
      <c r="H640" s="48" t="s">
        <v>3853</v>
      </c>
      <c r="I640" s="26" t="s">
        <v>3856</v>
      </c>
      <c r="J640" s="31"/>
      <c r="K640" s="31"/>
      <c r="L640" s="31"/>
      <c r="M640" s="31"/>
      <c r="N640" s="31"/>
      <c r="O640" s="31"/>
      <c r="P640" s="31"/>
      <c r="Q640" s="31"/>
      <c r="R640" s="26" t="s">
        <v>3856</v>
      </c>
      <c r="S640" s="31"/>
      <c r="T640" s="31" t="s">
        <v>3855</v>
      </c>
    </row>
    <row r="641">
      <c r="A641" s="26" t="str">
        <f t="array" ref="A641">IFERROR(VLOOKUP(B641,{Lists!$H$4:$H829,Lists!$G$4:$G829},2,0),"")</f>
        <v>Aditya Rao</v>
      </c>
      <c r="B641" s="26" t="s">
        <v>2603</v>
      </c>
      <c r="C641" s="37">
        <v>46052.0</v>
      </c>
      <c r="D641" s="37">
        <v>46096.0</v>
      </c>
      <c r="E641" s="26" t="s">
        <v>3851</v>
      </c>
      <c r="F641" s="31"/>
      <c r="G641" s="57" t="s">
        <v>3852</v>
      </c>
      <c r="H641" s="48" t="s">
        <v>3853</v>
      </c>
      <c r="I641" s="26" t="s">
        <v>3856</v>
      </c>
      <c r="J641" s="31"/>
      <c r="K641" s="31"/>
      <c r="L641" s="31"/>
      <c r="M641" s="31"/>
      <c r="N641" s="31"/>
      <c r="O641" s="31"/>
      <c r="P641" s="31"/>
      <c r="Q641" s="31"/>
      <c r="R641" s="26" t="s">
        <v>3856</v>
      </c>
      <c r="S641" s="31"/>
      <c r="T641" s="31" t="s">
        <v>3855</v>
      </c>
    </row>
    <row r="642">
      <c r="A642" s="26" t="str">
        <f t="array" ref="A642">IFERROR(VLOOKUP(B642,{Lists!$H$4:$H829,Lists!$G$4:$G829},2,0),"")</f>
        <v>Rudraksh Sharma</v>
      </c>
      <c r="B642" s="26" t="s">
        <v>2617</v>
      </c>
      <c r="C642" s="37">
        <v>46052.0</v>
      </c>
      <c r="D642" s="37"/>
      <c r="E642" s="26" t="s">
        <v>3851</v>
      </c>
      <c r="F642" s="31"/>
      <c r="G642" s="57" t="s">
        <v>3852</v>
      </c>
      <c r="H642" s="48" t="s">
        <v>3853</v>
      </c>
      <c r="I642" s="26" t="s">
        <v>3856</v>
      </c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 t="s">
        <v>3855</v>
      </c>
    </row>
    <row r="643">
      <c r="A643" s="26" t="str">
        <f t="array" ref="A643">IFERROR(VLOOKUP(B643,{Lists!$H$4:$H829,Lists!$G$4:$G829},2,0),"")</f>
        <v>Amit Roy</v>
      </c>
      <c r="B643" s="26" t="s">
        <v>2608</v>
      </c>
      <c r="C643" s="37">
        <v>46052.0</v>
      </c>
      <c r="D643" s="37"/>
      <c r="E643" s="26" t="s">
        <v>3851</v>
      </c>
      <c r="F643" s="31"/>
      <c r="G643" s="57" t="s">
        <v>3852</v>
      </c>
      <c r="H643" s="48" t="s">
        <v>3853</v>
      </c>
      <c r="I643" s="26" t="s">
        <v>3856</v>
      </c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 t="s">
        <v>3855</v>
      </c>
    </row>
    <row r="644">
      <c r="A644" s="26" t="str">
        <f t="array" ref="A644">IFERROR(VLOOKUP(B644,{Lists!$H$4:$H829,Lists!$G$4:$G829},2,0),"")</f>
        <v>Vamsi Haridasu</v>
      </c>
      <c r="B644" s="26" t="s">
        <v>2623</v>
      </c>
      <c r="C644" s="37">
        <v>46052.0</v>
      </c>
      <c r="D644" s="37"/>
      <c r="E644" s="26" t="s">
        <v>3851</v>
      </c>
      <c r="F644" s="31"/>
      <c r="G644" s="57" t="s">
        <v>3852</v>
      </c>
      <c r="H644" s="48" t="s">
        <v>3853</v>
      </c>
      <c r="I644" s="26" t="s">
        <v>3856</v>
      </c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 t="s">
        <v>3855</v>
      </c>
    </row>
    <row r="645">
      <c r="A645" s="26" t="str">
        <f t="array" ref="A645">IFERROR(VLOOKUP(B645,{Lists!$H$4:$H829,Lists!$G$4:$G829},2,0),"")</f>
        <v>Mirza Azhar</v>
      </c>
      <c r="B645" s="26" t="s">
        <v>2637</v>
      </c>
      <c r="C645" s="37">
        <v>46052.0</v>
      </c>
      <c r="D645" s="37">
        <v>46096.0</v>
      </c>
      <c r="E645" s="26" t="s">
        <v>3851</v>
      </c>
      <c r="F645" s="31"/>
      <c r="G645" s="57" t="s">
        <v>3852</v>
      </c>
      <c r="H645" s="48" t="s">
        <v>3853</v>
      </c>
      <c r="I645" s="26" t="s">
        <v>3856</v>
      </c>
      <c r="J645" s="31"/>
      <c r="K645" s="31"/>
      <c r="L645" s="31"/>
      <c r="M645" s="31"/>
      <c r="N645" s="31"/>
      <c r="O645" s="31"/>
      <c r="P645" s="31"/>
      <c r="Q645" s="31"/>
      <c r="R645" s="26" t="s">
        <v>3856</v>
      </c>
      <c r="S645" s="31"/>
      <c r="T645" s="31" t="s">
        <v>3855</v>
      </c>
    </row>
    <row r="646">
      <c r="A646" s="26" t="str">
        <f t="array" ref="A646">IFERROR(VLOOKUP(B646,{Lists!$H$4:$H829,Lists!$G$4:$G829},2,0),"")</f>
        <v>Prateek Mittal</v>
      </c>
      <c r="B646" s="26" t="s">
        <v>2649</v>
      </c>
      <c r="C646" s="37">
        <v>46052.0</v>
      </c>
      <c r="D646" s="37"/>
      <c r="E646" s="26" t="s">
        <v>3851</v>
      </c>
      <c r="F646" s="31"/>
      <c r="G646" s="57" t="s">
        <v>3852</v>
      </c>
      <c r="H646" s="48" t="s">
        <v>3853</v>
      </c>
      <c r="I646" s="26" t="s">
        <v>3856</v>
      </c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 t="s">
        <v>3855</v>
      </c>
    </row>
    <row r="647">
      <c r="A647" s="26" t="str">
        <f t="array" ref="A647">IFERROR(VLOOKUP(B647,{Lists!$H$4:$H829,Lists!$G$4:$G829},2,0),"")</f>
        <v>Rochak Kumar Ritam</v>
      </c>
      <c r="B647" s="26" t="s">
        <v>2653</v>
      </c>
      <c r="C647" s="37">
        <v>46052.0</v>
      </c>
      <c r="D647" s="37"/>
      <c r="E647" s="26" t="s">
        <v>3851</v>
      </c>
      <c r="F647" s="31"/>
      <c r="G647" s="57" t="s">
        <v>3852</v>
      </c>
      <c r="H647" s="48" t="s">
        <v>3853</v>
      </c>
      <c r="I647" s="26" t="s">
        <v>3856</v>
      </c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 t="s">
        <v>3855</v>
      </c>
    </row>
    <row r="648">
      <c r="A648" s="26" t="str">
        <f t="array" ref="A648">IFERROR(VLOOKUP(B648,{Lists!$H$4:$H829,Lists!$G$4:$G829},2,0),"")</f>
        <v>Nidhi Kashyap</v>
      </c>
      <c r="B648" s="26" t="s">
        <v>2351</v>
      </c>
      <c r="C648" s="37">
        <v>46052.0</v>
      </c>
      <c r="D648" s="37"/>
      <c r="E648" s="26" t="s">
        <v>3851</v>
      </c>
      <c r="F648" s="31"/>
      <c r="G648" s="57" t="s">
        <v>3852</v>
      </c>
      <c r="H648" s="48" t="s">
        <v>3853</v>
      </c>
      <c r="I648" s="26" t="s">
        <v>3856</v>
      </c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 t="s">
        <v>3855</v>
      </c>
    </row>
    <row r="649">
      <c r="A649" s="26" t="str">
        <f t="array" ref="A649">IFERROR(VLOOKUP(B649,{Lists!$H$4:$H829,Lists!$G$4:$G829},2,0),"")</f>
        <v>Pranav Arora</v>
      </c>
      <c r="B649" s="26" t="s">
        <v>2683</v>
      </c>
      <c r="C649" s="37">
        <v>46052.0</v>
      </c>
      <c r="D649" s="37"/>
      <c r="E649" s="26" t="s">
        <v>3851</v>
      </c>
      <c r="F649" s="31"/>
      <c r="G649" s="57" t="s">
        <v>3852</v>
      </c>
      <c r="H649" s="48" t="s">
        <v>3853</v>
      </c>
      <c r="I649" s="26" t="s">
        <v>3856</v>
      </c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 t="s">
        <v>3855</v>
      </c>
    </row>
    <row r="650">
      <c r="A650" s="26" t="str">
        <f t="array" ref="A650">IFERROR(VLOOKUP(B650,{Lists!$H$4:$H829,Lists!$G$4:$G829},2,0),"")</f>
        <v>Shubham Agrawal</v>
      </c>
      <c r="B650" s="26" t="s">
        <v>2689</v>
      </c>
      <c r="C650" s="37">
        <v>46052.0</v>
      </c>
      <c r="D650" s="37"/>
      <c r="E650" s="26" t="s">
        <v>3851</v>
      </c>
      <c r="F650" s="31"/>
      <c r="G650" s="57" t="s">
        <v>3852</v>
      </c>
      <c r="H650" s="48" t="s">
        <v>3853</v>
      </c>
      <c r="I650" s="26" t="s">
        <v>3856</v>
      </c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 t="s">
        <v>3855</v>
      </c>
    </row>
    <row r="651">
      <c r="A651" s="26" t="str">
        <f t="array" ref="A651">IFERROR(VLOOKUP(B651,{Lists!$H$4:$H829,Lists!$G$4:$G829},2,0),"")</f>
        <v>Priyanshu Gandhi</v>
      </c>
      <c r="B651" s="26" t="s">
        <v>2694</v>
      </c>
      <c r="C651" s="37">
        <v>46052.0</v>
      </c>
      <c r="D651" s="37"/>
      <c r="E651" s="26" t="s">
        <v>3851</v>
      </c>
      <c r="F651" s="31"/>
      <c r="G651" s="57" t="s">
        <v>3852</v>
      </c>
      <c r="H651" s="48" t="s">
        <v>3853</v>
      </c>
      <c r="I651" s="26" t="s">
        <v>3856</v>
      </c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 t="s">
        <v>3855</v>
      </c>
    </row>
    <row r="652">
      <c r="A652" s="26" t="str">
        <f t="array" ref="A652">IFERROR(VLOOKUP(B652,{Lists!$H$4:$H829,Lists!$G$4:$G829},2,0),"")</f>
        <v>Shubham Kashyap</v>
      </c>
      <c r="B652" s="26" t="s">
        <v>2714</v>
      </c>
      <c r="C652" s="37">
        <v>46052.0</v>
      </c>
      <c r="D652" s="37"/>
      <c r="E652" s="26" t="s">
        <v>3851</v>
      </c>
      <c r="F652" s="31"/>
      <c r="G652" s="57" t="s">
        <v>3852</v>
      </c>
      <c r="H652" s="48" t="s">
        <v>3853</v>
      </c>
      <c r="I652" s="26" t="s">
        <v>3856</v>
      </c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 t="s">
        <v>3855</v>
      </c>
    </row>
    <row r="653">
      <c r="A653" s="26" t="str">
        <f t="array" ref="A653">IFERROR(VLOOKUP(B653,{Lists!$H$4:$H829,Lists!$G$4:$G829},2,0),"")</f>
        <v>Yash Satwani</v>
      </c>
      <c r="B653" s="26" t="s">
        <v>2727</v>
      </c>
      <c r="C653" s="37">
        <v>46052.0</v>
      </c>
      <c r="D653" s="37"/>
      <c r="E653" s="26" t="s">
        <v>3851</v>
      </c>
      <c r="F653" s="31"/>
      <c r="G653" s="57" t="s">
        <v>3852</v>
      </c>
      <c r="H653" s="48" t="s">
        <v>3853</v>
      </c>
      <c r="I653" s="26" t="s">
        <v>3856</v>
      </c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 t="s">
        <v>3855</v>
      </c>
    </row>
    <row r="654">
      <c r="A654" s="26" t="str">
        <f t="array" ref="A654">IFERROR(VLOOKUP(B654,{Lists!$H$4:$H829,Lists!$G$4:$G829},2,0),"")</f>
        <v>Prityankur Biswas</v>
      </c>
      <c r="B654" s="26" t="s">
        <v>2369</v>
      </c>
      <c r="C654" s="37">
        <v>46052.0</v>
      </c>
      <c r="D654" s="37">
        <v>46081.0</v>
      </c>
      <c r="E654" s="26" t="s">
        <v>3851</v>
      </c>
      <c r="F654" s="31"/>
      <c r="G654" s="57" t="s">
        <v>3852</v>
      </c>
      <c r="H654" s="48" t="s">
        <v>3853</v>
      </c>
      <c r="I654" s="26" t="s">
        <v>3856</v>
      </c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 t="s">
        <v>3855</v>
      </c>
    </row>
    <row r="655">
      <c r="A655" s="26" t="str">
        <f t="array" ref="A655">IFERROR(VLOOKUP(B655,{Lists!$H$4:$H829,Lists!$G$4:$G829},2,0),"")</f>
        <v>Kajal Kaim</v>
      </c>
      <c r="B655" s="26" t="s">
        <v>2729</v>
      </c>
      <c r="C655" s="37">
        <v>46052.0</v>
      </c>
      <c r="D655" s="37"/>
      <c r="E655" s="26" t="s">
        <v>3851</v>
      </c>
      <c r="F655" s="31"/>
      <c r="G655" s="57" t="s">
        <v>3852</v>
      </c>
      <c r="H655" s="48" t="s">
        <v>3853</v>
      </c>
      <c r="I655" s="26" t="s">
        <v>3856</v>
      </c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 t="s">
        <v>3855</v>
      </c>
    </row>
    <row r="656">
      <c r="A656" s="26" t="str">
        <f t="array" ref="A656">IFERROR(VLOOKUP(B656,{Lists!$H$4:$H829,Lists!$G$4:$G829},2,0),"")</f>
        <v>Shobhit Nanda</v>
      </c>
      <c r="B656" s="26" t="s">
        <v>2065</v>
      </c>
      <c r="C656" s="37">
        <v>46052.0</v>
      </c>
      <c r="D656" s="37"/>
      <c r="E656" s="26" t="s">
        <v>3851</v>
      </c>
      <c r="F656" s="34" t="str">
        <f>VLOOKUP(B656,'On-Boarding'!C:D,2,0)</f>
        <v>Legal</v>
      </c>
      <c r="G656" s="59" t="s">
        <v>3875</v>
      </c>
      <c r="H656" s="48" t="s">
        <v>3876</v>
      </c>
      <c r="I656" s="26" t="s">
        <v>3856</v>
      </c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 t="s">
        <v>3855</v>
      </c>
    </row>
    <row r="657">
      <c r="A657" s="26" t="str">
        <f t="array" ref="A657">IFERROR(VLOOKUP(B657,{Lists!$H$4:$H829,Lists!$G$4:$G829},2,0),"")</f>
        <v>Rajnish Kumar</v>
      </c>
      <c r="B657" s="26" t="s">
        <v>2747</v>
      </c>
      <c r="C657" s="37">
        <v>46052.0</v>
      </c>
      <c r="D657" s="37"/>
      <c r="E657" s="26" t="s">
        <v>3851</v>
      </c>
      <c r="F657" s="31"/>
      <c r="G657" s="57" t="s">
        <v>3852</v>
      </c>
      <c r="H657" s="48" t="s">
        <v>3853</v>
      </c>
      <c r="I657" s="26" t="s">
        <v>3856</v>
      </c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 t="s">
        <v>3855</v>
      </c>
    </row>
    <row r="658">
      <c r="A658" s="26" t="str">
        <f t="array" ref="A658">IFERROR(VLOOKUP(B658,{Lists!$H$4:$H829,Lists!$G$4:$G829},2,0),"")</f>
        <v>Kunal Bansal</v>
      </c>
      <c r="B658" s="26" t="s">
        <v>2744</v>
      </c>
      <c r="C658" s="37">
        <v>46052.0</v>
      </c>
      <c r="D658" s="37"/>
      <c r="E658" s="26" t="s">
        <v>3851</v>
      </c>
      <c r="F658" s="31"/>
      <c r="G658" s="57" t="s">
        <v>3852</v>
      </c>
      <c r="H658" s="48" t="s">
        <v>3853</v>
      </c>
      <c r="I658" s="26" t="s">
        <v>3856</v>
      </c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 t="s">
        <v>3855</v>
      </c>
    </row>
    <row r="659">
      <c r="A659" s="26" t="str">
        <f t="array" ref="A659">IFERROR(VLOOKUP(B659,{Lists!$H$4:$H829,Lists!$G$4:$G829},2,0),"")</f>
        <v>Pooja Uppal</v>
      </c>
      <c r="B659" s="26" t="s">
        <v>2749</v>
      </c>
      <c r="C659" s="37">
        <v>46052.0</v>
      </c>
      <c r="D659" s="37"/>
      <c r="E659" s="26" t="s">
        <v>3851</v>
      </c>
      <c r="F659" s="31"/>
      <c r="G659" s="57" t="s">
        <v>3852</v>
      </c>
      <c r="H659" s="48" t="s">
        <v>3853</v>
      </c>
      <c r="I659" s="26" t="s">
        <v>3856</v>
      </c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 t="s">
        <v>3855</v>
      </c>
    </row>
    <row r="660">
      <c r="A660" s="26" t="str">
        <f t="array" ref="A660">IFERROR(VLOOKUP(B660,{Lists!$H$4:$H829,Lists!$G$4:$G829},2,0),"")</f>
        <v>Divy Dwivedi</v>
      </c>
      <c r="B660" s="26" t="s">
        <v>2756</v>
      </c>
      <c r="C660" s="37">
        <v>46052.0</v>
      </c>
      <c r="D660" s="37"/>
      <c r="E660" s="26" t="s">
        <v>3851</v>
      </c>
      <c r="F660" s="31"/>
      <c r="G660" s="57" t="s">
        <v>3852</v>
      </c>
      <c r="H660" s="48" t="s">
        <v>3853</v>
      </c>
      <c r="I660" s="26" t="s">
        <v>3856</v>
      </c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 t="s">
        <v>3855</v>
      </c>
    </row>
    <row r="661">
      <c r="A661" s="26" t="str">
        <f t="array" ref="A661">IFERROR(VLOOKUP(B661,{Lists!$H$4:$H829,Lists!$G$4:$G829},2,0),"")</f>
        <v>Anshul Ahuja</v>
      </c>
      <c r="B661" s="26" t="s">
        <v>2752</v>
      </c>
      <c r="C661" s="37">
        <v>46052.0</v>
      </c>
      <c r="D661" s="37"/>
      <c r="E661" s="26" t="s">
        <v>3851</v>
      </c>
      <c r="F661" s="31"/>
      <c r="G661" s="57" t="s">
        <v>3852</v>
      </c>
      <c r="H661" s="48" t="s">
        <v>3853</v>
      </c>
      <c r="I661" s="26" t="s">
        <v>3856</v>
      </c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 t="s">
        <v>3855</v>
      </c>
    </row>
    <row r="662">
      <c r="A662" s="26" t="str">
        <f t="array" ref="A662">IFERROR(VLOOKUP(B662,{Lists!$H$4:$H829,Lists!$G$4:$G829},2,0),"")</f>
        <v>Umang Chhabra</v>
      </c>
      <c r="B662" s="26" t="s">
        <v>2759</v>
      </c>
      <c r="C662" s="37">
        <v>46052.0</v>
      </c>
      <c r="D662" s="37">
        <v>46081.0</v>
      </c>
      <c r="E662" s="26" t="s">
        <v>3851</v>
      </c>
      <c r="F662" s="31"/>
      <c r="G662" s="57" t="s">
        <v>3852</v>
      </c>
      <c r="H662" s="48" t="s">
        <v>3853</v>
      </c>
      <c r="I662" s="26" t="s">
        <v>3856</v>
      </c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 t="s">
        <v>3855</v>
      </c>
    </row>
    <row r="663">
      <c r="A663" s="26" t="str">
        <f t="array" ref="A663">IFERROR(VLOOKUP(B663,{Lists!$H$4:$H829,Lists!$G$4:$G829},2,0),"")</f>
        <v>Ajinkya Puranik</v>
      </c>
      <c r="B663" s="26" t="s">
        <v>2761</v>
      </c>
      <c r="C663" s="37">
        <v>46052.0</v>
      </c>
      <c r="D663" s="37">
        <v>46066.0</v>
      </c>
      <c r="E663" s="26" t="s">
        <v>3851</v>
      </c>
      <c r="F663" s="31"/>
      <c r="G663" s="57" t="s">
        <v>3852</v>
      </c>
      <c r="H663" s="48" t="s">
        <v>3853</v>
      </c>
      <c r="I663" s="26" t="s">
        <v>3856</v>
      </c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 t="s">
        <v>3855</v>
      </c>
    </row>
    <row r="664">
      <c r="A664" s="26" t="str">
        <f t="array" ref="A664">IFERROR(VLOOKUP(B664,{Lists!$H$4:$H829,Lists!$G$4:$G829},2,0),"")</f>
        <v>Divakar Garg</v>
      </c>
      <c r="B664" s="26" t="s">
        <v>2770</v>
      </c>
      <c r="C664" s="37">
        <v>46052.0</v>
      </c>
      <c r="D664" s="37"/>
      <c r="E664" s="26" t="s">
        <v>3851</v>
      </c>
      <c r="F664" s="31"/>
      <c r="G664" s="57" t="s">
        <v>3852</v>
      </c>
      <c r="H664" s="48" t="s">
        <v>3853</v>
      </c>
      <c r="I664" s="26" t="s">
        <v>3856</v>
      </c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 t="s">
        <v>3855</v>
      </c>
    </row>
    <row r="665">
      <c r="A665" s="26" t="str">
        <f t="array" ref="A665">IFERROR(VLOOKUP(B665,{Lists!$H$4:$H829,Lists!$G$4:$G829},2,0),"")</f>
        <v>Harshita Sethi</v>
      </c>
      <c r="B665" s="26" t="s">
        <v>2773</v>
      </c>
      <c r="C665" s="37">
        <v>46052.0</v>
      </c>
      <c r="D665" s="37"/>
      <c r="E665" s="26" t="s">
        <v>3851</v>
      </c>
      <c r="F665" s="31"/>
      <c r="G665" s="57" t="s">
        <v>3852</v>
      </c>
      <c r="H665" s="48" t="s">
        <v>3853</v>
      </c>
      <c r="I665" s="26" t="s">
        <v>3856</v>
      </c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 t="s">
        <v>3855</v>
      </c>
    </row>
    <row r="666">
      <c r="A666" s="26" t="str">
        <f t="array" ref="A666">IFERROR(VLOOKUP(B666,{Lists!$H$4:$H829,Lists!$G$4:$G829},2,0),"")</f>
        <v>Saurabh Singh</v>
      </c>
      <c r="B666" s="26" t="s">
        <v>2776</v>
      </c>
      <c r="C666" s="37">
        <v>46052.0</v>
      </c>
      <c r="D666" s="37"/>
      <c r="E666" s="26" t="s">
        <v>3851</v>
      </c>
      <c r="F666" s="31"/>
      <c r="G666" s="57" t="s">
        <v>3852</v>
      </c>
      <c r="H666" s="48" t="s">
        <v>3853</v>
      </c>
      <c r="I666" s="26" t="s">
        <v>3856</v>
      </c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 t="s">
        <v>3855</v>
      </c>
    </row>
    <row r="667">
      <c r="A667" s="26" t="str">
        <f t="array" ref="A667">IFERROR(VLOOKUP(B667,{Lists!$H$4:$H829,Lists!$G$4:$G829},2,0),"")</f>
        <v>Shivam Pandita</v>
      </c>
      <c r="B667" s="26" t="s">
        <v>2778</v>
      </c>
      <c r="C667" s="37">
        <v>46052.0</v>
      </c>
      <c r="D667" s="37">
        <v>46081.0</v>
      </c>
      <c r="E667" s="26" t="s">
        <v>3851</v>
      </c>
      <c r="F667" s="31"/>
      <c r="G667" s="57" t="s">
        <v>3852</v>
      </c>
      <c r="H667" s="48" t="s">
        <v>3853</v>
      </c>
      <c r="I667" s="26" t="s">
        <v>3856</v>
      </c>
      <c r="J667" s="31"/>
      <c r="K667" s="31"/>
      <c r="L667" s="31"/>
      <c r="M667" s="31"/>
      <c r="N667" s="31"/>
      <c r="O667" s="31"/>
      <c r="P667" s="31"/>
      <c r="Q667" s="31"/>
      <c r="R667" s="26" t="s">
        <v>3856</v>
      </c>
      <c r="S667" s="31"/>
      <c r="T667" s="64" t="s">
        <v>3855</v>
      </c>
    </row>
    <row r="668">
      <c r="A668" s="26" t="str">
        <f t="array" ref="A668">IFERROR(VLOOKUP(B668,{Lists!$H$4:$H829,Lists!$G$4:$G829},2,0),"")</f>
        <v>Yagya Srivastava</v>
      </c>
      <c r="B668" s="26" t="s">
        <v>2784</v>
      </c>
      <c r="C668" s="37">
        <v>46052.0</v>
      </c>
      <c r="D668" s="37"/>
      <c r="E668" s="26" t="s">
        <v>3851</v>
      </c>
      <c r="F668" s="34" t="str">
        <f>VLOOKUP(B668,'On-Boarding'!C:D,2,0)</f>
        <v>Public Policy</v>
      </c>
      <c r="G668" s="59" t="s">
        <v>3875</v>
      </c>
      <c r="H668" s="48" t="s">
        <v>3876</v>
      </c>
      <c r="I668" s="26" t="s">
        <v>3856</v>
      </c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 t="s">
        <v>3855</v>
      </c>
    </row>
    <row r="669">
      <c r="A669" s="26" t="str">
        <f t="array" ref="A669">IFERROR(VLOOKUP(B669,{Lists!$H$4:$H829,Lists!$G$4:$G829},2,0),"")</f>
        <v>Saurabh Shrivastava</v>
      </c>
      <c r="B669" s="26" t="s">
        <v>2792</v>
      </c>
      <c r="C669" s="37">
        <v>46052.0</v>
      </c>
      <c r="D669" s="37">
        <v>46100.0</v>
      </c>
      <c r="E669" s="26" t="s">
        <v>3851</v>
      </c>
      <c r="F669" s="31"/>
      <c r="G669" s="57" t="s">
        <v>3852</v>
      </c>
      <c r="H669" s="48" t="s">
        <v>3853</v>
      </c>
      <c r="I669" s="26" t="s">
        <v>3856</v>
      </c>
      <c r="J669" s="31"/>
      <c r="K669" s="31"/>
      <c r="L669" s="31"/>
      <c r="M669" s="31"/>
      <c r="N669" s="31"/>
      <c r="O669" s="31"/>
      <c r="P669" s="31"/>
      <c r="Q669" s="31"/>
      <c r="R669" s="26" t="s">
        <v>3856</v>
      </c>
      <c r="S669" s="31"/>
      <c r="T669" s="31" t="s">
        <v>3855</v>
      </c>
    </row>
    <row r="670">
      <c r="A670" s="26" t="str">
        <f t="array" ref="A670">IFERROR(VLOOKUP(B670,{Lists!$H$4:$H829,Lists!$G$4:$G829},2,0),"")</f>
        <v>Nitesh Dagar</v>
      </c>
      <c r="B670" s="26" t="s">
        <v>2799</v>
      </c>
      <c r="C670" s="37">
        <v>46052.0</v>
      </c>
      <c r="D670" s="37"/>
      <c r="E670" s="26" t="s">
        <v>3851</v>
      </c>
      <c r="F670" s="31"/>
      <c r="G670" s="57" t="s">
        <v>3852</v>
      </c>
      <c r="H670" s="48" t="s">
        <v>3853</v>
      </c>
      <c r="I670" s="26" t="s">
        <v>3856</v>
      </c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 t="s">
        <v>3855</v>
      </c>
    </row>
    <row r="671">
      <c r="A671" s="26" t="str">
        <f t="array" ref="A671">IFERROR(VLOOKUP(B671,{Lists!$H$4:$H829,Lists!$G$4:$G829},2,0),"")</f>
        <v>Anshit Singh</v>
      </c>
      <c r="B671" s="26" t="s">
        <v>2802</v>
      </c>
      <c r="C671" s="37">
        <v>46052.0</v>
      </c>
      <c r="D671" s="37"/>
      <c r="E671" s="26" t="s">
        <v>3851</v>
      </c>
      <c r="F671" s="31"/>
      <c r="G671" s="57" t="s">
        <v>3852</v>
      </c>
      <c r="H671" s="48" t="s">
        <v>3853</v>
      </c>
      <c r="I671" s="26" t="s">
        <v>3856</v>
      </c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 t="s">
        <v>3855</v>
      </c>
    </row>
    <row r="672">
      <c r="A672" s="26" t="str">
        <f t="array" ref="A672">IFERROR(VLOOKUP(B672,{Lists!$H$4:$H829,Lists!$G$4:$G829},2,0),"")</f>
        <v>Himanshu Mittal</v>
      </c>
      <c r="B672" s="26" t="s">
        <v>2806</v>
      </c>
      <c r="C672" s="37">
        <v>46052.0</v>
      </c>
      <c r="D672" s="37">
        <v>46073.0</v>
      </c>
      <c r="E672" s="26" t="s">
        <v>3851</v>
      </c>
      <c r="F672" s="31"/>
      <c r="G672" s="57" t="s">
        <v>3852</v>
      </c>
      <c r="H672" s="48" t="s">
        <v>3853</v>
      </c>
      <c r="I672" s="26" t="s">
        <v>3856</v>
      </c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 t="s">
        <v>3855</v>
      </c>
    </row>
    <row r="673">
      <c r="A673" s="26" t="str">
        <f t="array" ref="A673">IFERROR(VLOOKUP(B673,{Lists!$H$4:$H829,Lists!$G$4:$G829},2,0),"")</f>
        <v>Harshit Kumar Singh</v>
      </c>
      <c r="B673" s="26" t="s">
        <v>2808</v>
      </c>
      <c r="C673" s="37">
        <v>46052.0</v>
      </c>
      <c r="D673" s="37"/>
      <c r="E673" s="26" t="s">
        <v>3851</v>
      </c>
      <c r="F673" s="31"/>
      <c r="G673" s="62" t="s">
        <v>4011</v>
      </c>
      <c r="H673" s="48" t="s">
        <v>4012</v>
      </c>
      <c r="I673" s="26" t="s">
        <v>3856</v>
      </c>
      <c r="J673" s="31"/>
      <c r="K673" s="31"/>
      <c r="L673" s="31"/>
      <c r="M673" s="31"/>
      <c r="N673" s="31"/>
      <c r="O673" s="31"/>
      <c r="P673" s="31"/>
      <c r="Q673" s="31"/>
      <c r="R673" s="31"/>
      <c r="S673" s="26" t="s">
        <v>4020</v>
      </c>
      <c r="T673" s="31" t="s">
        <v>3855</v>
      </c>
    </row>
    <row r="674">
      <c r="A674" s="26" t="str">
        <f t="array" ref="A674">IFERROR(VLOOKUP(B674,{Lists!$H$4:$H829,Lists!$G$4:$G829},2,0),"")</f>
        <v>Archit Goswami</v>
      </c>
      <c r="B674" s="26" t="s">
        <v>2810</v>
      </c>
      <c r="C674" s="37">
        <v>46052.0</v>
      </c>
      <c r="D674" s="37"/>
      <c r="E674" s="26" t="s">
        <v>3851</v>
      </c>
      <c r="F674" s="31"/>
      <c r="G674" s="57" t="s">
        <v>3852</v>
      </c>
      <c r="H674" s="48" t="s">
        <v>3853</v>
      </c>
      <c r="I674" s="26" t="s">
        <v>3856</v>
      </c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 t="s">
        <v>3855</v>
      </c>
    </row>
    <row r="675">
      <c r="A675" s="26" t="str">
        <f t="array" ref="A675">IFERROR(VLOOKUP(B675,{Lists!$H$4:$H829,Lists!$G$4:$G829},2,0),"")</f>
        <v>Ujwal Tandon</v>
      </c>
      <c r="B675" s="26" t="s">
        <v>2822</v>
      </c>
      <c r="C675" s="37">
        <v>46052.0</v>
      </c>
      <c r="D675" s="37"/>
      <c r="E675" s="26" t="s">
        <v>3851</v>
      </c>
      <c r="F675" s="31"/>
      <c r="G675" s="57" t="s">
        <v>3852</v>
      </c>
      <c r="H675" s="48" t="s">
        <v>3853</v>
      </c>
      <c r="I675" s="26" t="s">
        <v>3856</v>
      </c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 t="s">
        <v>3855</v>
      </c>
    </row>
    <row r="676">
      <c r="A676" s="26" t="str">
        <f t="array" ref="A676">IFERROR(VLOOKUP(B676,{Lists!$H$4:$H829,Lists!$G$4:$G829},2,0),"")</f>
        <v>Rohan Negi</v>
      </c>
      <c r="B676" s="26" t="s">
        <v>2830</v>
      </c>
      <c r="C676" s="37">
        <v>46052.0</v>
      </c>
      <c r="D676" s="37"/>
      <c r="E676" s="26" t="s">
        <v>3851</v>
      </c>
      <c r="F676" s="31"/>
      <c r="G676" s="57" t="s">
        <v>3852</v>
      </c>
      <c r="H676" s="48" t="s">
        <v>3853</v>
      </c>
      <c r="I676" s="26" t="s">
        <v>3856</v>
      </c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 t="s">
        <v>3855</v>
      </c>
    </row>
    <row r="677">
      <c r="A677" s="26" t="str">
        <f t="array" ref="A677">IFERROR(VLOOKUP(B677,{Lists!$H$4:$H829,Lists!$G$4:$G829},2,0),"")</f>
        <v>Arun A R</v>
      </c>
      <c r="B677" s="26" t="s">
        <v>2836</v>
      </c>
      <c r="C677" s="37">
        <v>46052.0</v>
      </c>
      <c r="D677" s="37">
        <v>46081.0</v>
      </c>
      <c r="E677" s="26" t="s">
        <v>3851</v>
      </c>
      <c r="F677" s="31"/>
      <c r="G677" s="57" t="s">
        <v>3852</v>
      </c>
      <c r="H677" s="48" t="s">
        <v>3853</v>
      </c>
      <c r="I677" s="26" t="s">
        <v>3856</v>
      </c>
      <c r="J677" s="31"/>
      <c r="K677" s="31"/>
      <c r="L677" s="31"/>
      <c r="M677" s="31"/>
      <c r="N677" s="31"/>
      <c r="O677" s="31"/>
      <c r="P677" s="31"/>
      <c r="Q677" s="31"/>
      <c r="R677" s="26" t="s">
        <v>3856</v>
      </c>
      <c r="S677" s="31"/>
      <c r="T677" s="31" t="s">
        <v>3855</v>
      </c>
    </row>
    <row r="678">
      <c r="A678" s="26" t="str">
        <f t="array" ref="A678">IFERROR(VLOOKUP(B678,{Lists!$H$4:$H829,Lists!$G$4:$G829},2,0),"")</f>
        <v>Jaya Tiwari</v>
      </c>
      <c r="B678" s="26" t="s">
        <v>2838</v>
      </c>
      <c r="C678" s="37">
        <v>46052.0</v>
      </c>
      <c r="D678" s="37"/>
      <c r="E678" s="26" t="s">
        <v>3851</v>
      </c>
      <c r="F678" s="34" t="str">
        <f>VLOOKUP(B678,'On-Boarding'!C:D,2,0)</f>
        <v>Human Resources</v>
      </c>
      <c r="G678" s="59" t="s">
        <v>3875</v>
      </c>
      <c r="H678" s="48" t="s">
        <v>3876</v>
      </c>
      <c r="I678" s="26" t="s">
        <v>3856</v>
      </c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 t="s">
        <v>3855</v>
      </c>
    </row>
    <row r="679">
      <c r="A679" s="26" t="str">
        <f t="array" ref="A679">IFERROR(VLOOKUP(B679,{Lists!$H$4:$H829,Lists!$G$4:$G829},2,0),"")</f>
        <v>Dhruv Singh</v>
      </c>
      <c r="B679" s="26" t="s">
        <v>3780</v>
      </c>
      <c r="C679" s="37">
        <v>46052.0</v>
      </c>
      <c r="D679" s="37">
        <v>46058.0</v>
      </c>
      <c r="E679" s="26" t="s">
        <v>3851</v>
      </c>
      <c r="F679" s="31"/>
      <c r="G679" s="57" t="s">
        <v>3852</v>
      </c>
      <c r="H679" s="48" t="s">
        <v>3853</v>
      </c>
      <c r="I679" s="26" t="s">
        <v>3856</v>
      </c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 t="s">
        <v>3855</v>
      </c>
    </row>
    <row r="680">
      <c r="A680" s="26" t="str">
        <f t="array" ref="A680">IFERROR(VLOOKUP(B680,{Lists!$H$4:$H829,Lists!$G$4:$G829},2,0),"")</f>
        <v>Kushagra Agrawal</v>
      </c>
      <c r="B680" s="26" t="s">
        <v>2862</v>
      </c>
      <c r="C680" s="37">
        <v>46052.0</v>
      </c>
      <c r="D680" s="37"/>
      <c r="E680" s="26" t="s">
        <v>3851</v>
      </c>
      <c r="F680" s="31"/>
      <c r="G680" s="57" t="s">
        <v>3852</v>
      </c>
      <c r="H680" s="48" t="s">
        <v>3853</v>
      </c>
      <c r="I680" s="26" t="s">
        <v>3856</v>
      </c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 t="s">
        <v>3855</v>
      </c>
    </row>
    <row r="681">
      <c r="A681" s="26" t="str">
        <f t="array" ref="A681">IFERROR(VLOOKUP(B681,{Lists!$H$4:$H829,Lists!$G$4:$G829},2,0),"")</f>
        <v>Varun Sahu</v>
      </c>
      <c r="B681" s="26" t="s">
        <v>2874</v>
      </c>
      <c r="C681" s="37">
        <v>46052.0</v>
      </c>
      <c r="D681" s="37">
        <v>46081.0</v>
      </c>
      <c r="E681" s="26" t="s">
        <v>3851</v>
      </c>
      <c r="F681" s="31"/>
      <c r="G681" s="57" t="s">
        <v>3852</v>
      </c>
      <c r="H681" s="48" t="s">
        <v>3853</v>
      </c>
      <c r="I681" s="26" t="s">
        <v>3856</v>
      </c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 t="s">
        <v>3855</v>
      </c>
    </row>
    <row r="682">
      <c r="A682" s="26" t="str">
        <f t="array" ref="A682">IFERROR(VLOOKUP(B682,{Lists!$H$4:$H829,Lists!$G$4:$G829},2,0),"")</f>
        <v>Harshil Dhawan</v>
      </c>
      <c r="B682" s="26" t="s">
        <v>2880</v>
      </c>
      <c r="C682" s="37">
        <v>46052.0</v>
      </c>
      <c r="D682" s="37"/>
      <c r="E682" s="26" t="s">
        <v>3851</v>
      </c>
      <c r="F682" s="34" t="str">
        <f>VLOOKUP(B682,'On-Boarding'!C:D,2,0)</f>
        <v>Brand Marketing</v>
      </c>
      <c r="G682" s="59" t="s">
        <v>3875</v>
      </c>
      <c r="H682" s="48" t="s">
        <v>3876</v>
      </c>
      <c r="I682" s="26" t="s">
        <v>3856</v>
      </c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 t="s">
        <v>3855</v>
      </c>
    </row>
    <row r="683">
      <c r="A683" s="26" t="str">
        <f t="array" ref="A683">IFERROR(VLOOKUP(B683,{Lists!$H$4:$H829,Lists!$G$4:$G829},2,0),"")</f>
        <v>Bharat Gupta</v>
      </c>
      <c r="B683" s="26" t="s">
        <v>2892</v>
      </c>
      <c r="C683" s="37">
        <v>46052.0</v>
      </c>
      <c r="D683" s="37"/>
      <c r="E683" s="26" t="s">
        <v>3851</v>
      </c>
      <c r="F683" s="31"/>
      <c r="G683" s="57" t="s">
        <v>3852</v>
      </c>
      <c r="H683" s="48" t="s">
        <v>3853</v>
      </c>
      <c r="I683" s="26" t="s">
        <v>3856</v>
      </c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 t="s">
        <v>3855</v>
      </c>
    </row>
    <row r="684">
      <c r="A684" s="26" t="str">
        <f t="array" ref="A684">IFERROR(VLOOKUP(B684,{Lists!$H$4:$H829,Lists!$G$4:$G829},2,0),"")</f>
        <v>Cheshtha Sharma</v>
      </c>
      <c r="B684" s="26" t="s">
        <v>3387</v>
      </c>
      <c r="C684" s="37">
        <v>46052.0</v>
      </c>
      <c r="D684" s="37"/>
      <c r="E684" s="26" t="s">
        <v>3851</v>
      </c>
      <c r="F684" s="34" t="str">
        <f>VLOOKUP(B684,'On-Boarding'!C:D,2,0)</f>
        <v>Human Resources</v>
      </c>
      <c r="G684" s="59" t="s">
        <v>3875</v>
      </c>
      <c r="H684" s="48" t="s">
        <v>3876</v>
      </c>
      <c r="I684" s="26" t="s">
        <v>3856</v>
      </c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 t="s">
        <v>3855</v>
      </c>
    </row>
    <row r="685">
      <c r="A685" s="26" t="str">
        <f t="array" ref="A685">IFERROR(VLOOKUP(B685,{Lists!$H$4:$H829,Lists!$G$4:$G829},2,0),"")</f>
        <v>Abhishek Rawat</v>
      </c>
      <c r="B685" s="26" t="s">
        <v>2927</v>
      </c>
      <c r="C685" s="37">
        <v>46052.0</v>
      </c>
      <c r="D685" s="37">
        <v>46081.0</v>
      </c>
      <c r="E685" s="26" t="s">
        <v>3851</v>
      </c>
      <c r="F685" s="31"/>
      <c r="G685" s="57" t="s">
        <v>3852</v>
      </c>
      <c r="H685" s="48" t="s">
        <v>3853</v>
      </c>
      <c r="I685" s="26" t="s">
        <v>3856</v>
      </c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 t="s">
        <v>3855</v>
      </c>
    </row>
    <row r="686">
      <c r="A686" s="26" t="str">
        <f t="array" ref="A686">IFERROR(VLOOKUP(B686,{Lists!$H$4:$H829,Lists!$G$4:$G829},2,0),"")</f>
        <v>Priyanshu Tripathi</v>
      </c>
      <c r="B686" s="26" t="s">
        <v>2913</v>
      </c>
      <c r="C686" s="37">
        <v>46052.0</v>
      </c>
      <c r="D686" s="37"/>
      <c r="E686" s="26" t="s">
        <v>3851</v>
      </c>
      <c r="F686" s="31"/>
      <c r="G686" s="57" t="s">
        <v>3852</v>
      </c>
      <c r="H686" s="48" t="s">
        <v>3853</v>
      </c>
      <c r="I686" s="26" t="s">
        <v>3856</v>
      </c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 t="s">
        <v>3855</v>
      </c>
    </row>
    <row r="687">
      <c r="A687" s="26" t="str">
        <f t="array" ref="A687">IFERROR(VLOOKUP(B687,{Lists!$H$4:$H829,Lists!$G$4:$G829},2,0),"")</f>
        <v>Kinjal Sharma</v>
      </c>
      <c r="B687" s="26" t="s">
        <v>2917</v>
      </c>
      <c r="C687" s="37">
        <v>46052.0</v>
      </c>
      <c r="D687" s="37"/>
      <c r="E687" s="26" t="s">
        <v>3851</v>
      </c>
      <c r="F687" s="31"/>
      <c r="G687" s="57" t="s">
        <v>3852</v>
      </c>
      <c r="H687" s="48" t="s">
        <v>3853</v>
      </c>
      <c r="I687" s="26" t="s">
        <v>3856</v>
      </c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 t="s">
        <v>3855</v>
      </c>
    </row>
    <row r="688">
      <c r="A688" s="26" t="str">
        <f t="array" ref="A688">IFERROR(VLOOKUP(B688,{Lists!$H$4:$H829,Lists!$G$4:$G829},2,0),"")</f>
        <v>Ambika G</v>
      </c>
      <c r="B688" s="26" t="s">
        <v>2932</v>
      </c>
      <c r="C688" s="37">
        <v>46052.0</v>
      </c>
      <c r="D688" s="37"/>
      <c r="E688" s="26" t="s">
        <v>3851</v>
      </c>
      <c r="F688" s="31"/>
      <c r="G688" s="57" t="s">
        <v>3852</v>
      </c>
      <c r="H688" s="48" t="s">
        <v>3853</v>
      </c>
      <c r="I688" s="26" t="s">
        <v>3856</v>
      </c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 t="s">
        <v>3855</v>
      </c>
    </row>
    <row r="689">
      <c r="A689" s="26" t="str">
        <f t="array" ref="A689">IFERROR(VLOOKUP(B689,{Lists!$H$4:$H829,Lists!$G$4:$G829},2,0),"")</f>
        <v>Abhishek Bajiya</v>
      </c>
      <c r="B689" s="26" t="s">
        <v>2934</v>
      </c>
      <c r="C689" s="37">
        <v>46052.0</v>
      </c>
      <c r="D689" s="37"/>
      <c r="E689" s="26" t="s">
        <v>3851</v>
      </c>
      <c r="F689" s="31"/>
      <c r="G689" s="57" t="s">
        <v>3852</v>
      </c>
      <c r="H689" s="48" t="s">
        <v>3853</v>
      </c>
      <c r="I689" s="26" t="s">
        <v>3856</v>
      </c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 t="s">
        <v>3855</v>
      </c>
    </row>
    <row r="690">
      <c r="A690" s="26" t="str">
        <f t="array" ref="A690">IFERROR(VLOOKUP(B690,{Lists!$H$4:$H829,Lists!$G$4:$G829},2,0),"")</f>
        <v>Vaibhav Binaykiya</v>
      </c>
      <c r="B690" s="26" t="s">
        <v>2949</v>
      </c>
      <c r="C690" s="37">
        <v>46052.0</v>
      </c>
      <c r="D690" s="37"/>
      <c r="E690" s="26" t="s">
        <v>3851</v>
      </c>
      <c r="F690" s="31"/>
      <c r="G690" s="57" t="s">
        <v>3852</v>
      </c>
      <c r="H690" s="48" t="s">
        <v>3853</v>
      </c>
      <c r="I690" s="26" t="s">
        <v>3856</v>
      </c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 t="s">
        <v>3855</v>
      </c>
    </row>
    <row r="691">
      <c r="A691" s="26" t="str">
        <f t="array" ref="A691">IFERROR(VLOOKUP(B691,{Lists!$H$4:$H829,Lists!$G$4:$G829},2,0),"")</f>
        <v>Rishabh Sharma</v>
      </c>
      <c r="B691" s="26" t="s">
        <v>2947</v>
      </c>
      <c r="C691" s="37">
        <v>46052.0</v>
      </c>
      <c r="D691" s="37">
        <v>46081.0</v>
      </c>
      <c r="E691" s="26" t="s">
        <v>3851</v>
      </c>
      <c r="F691" s="31"/>
      <c r="G691" s="57" t="s">
        <v>3852</v>
      </c>
      <c r="H691" s="48" t="s">
        <v>3853</v>
      </c>
      <c r="I691" s="26" t="s">
        <v>3856</v>
      </c>
      <c r="J691" s="31"/>
      <c r="K691" s="31"/>
      <c r="L691" s="31"/>
      <c r="M691" s="31"/>
      <c r="N691" s="31"/>
      <c r="O691" s="31"/>
      <c r="P691" s="31"/>
      <c r="Q691" s="31"/>
      <c r="R691" s="26" t="s">
        <v>3856</v>
      </c>
      <c r="S691" s="31"/>
      <c r="T691" s="31" t="s">
        <v>3855</v>
      </c>
    </row>
    <row r="692">
      <c r="A692" s="26" t="str">
        <f t="array" ref="A692">IFERROR(VLOOKUP(B692,{Lists!$H$4:$H829,Lists!$G$4:$G829},2,0),"")</f>
        <v>Urvashi Matta</v>
      </c>
      <c r="B692" s="26" t="s">
        <v>2961</v>
      </c>
      <c r="C692" s="37">
        <v>46052.0</v>
      </c>
      <c r="D692" s="37"/>
      <c r="E692" s="26" t="s">
        <v>3851</v>
      </c>
      <c r="F692" s="31"/>
      <c r="G692" s="57" t="s">
        <v>3852</v>
      </c>
      <c r="H692" s="48" t="s">
        <v>3853</v>
      </c>
      <c r="I692" s="26" t="s">
        <v>3856</v>
      </c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 t="s">
        <v>3855</v>
      </c>
    </row>
    <row r="693">
      <c r="A693" s="26" t="str">
        <f t="array" ref="A693">IFERROR(VLOOKUP(B693,{Lists!$H$4:$H829,Lists!$G$4:$G829},2,0),"")</f>
        <v>Sarthak Chhabra</v>
      </c>
      <c r="B693" s="26" t="s">
        <v>2973</v>
      </c>
      <c r="C693" s="37">
        <v>46052.0</v>
      </c>
      <c r="D693" s="37">
        <v>46076.0</v>
      </c>
      <c r="E693" s="26" t="s">
        <v>3851</v>
      </c>
      <c r="F693" s="31"/>
      <c r="G693" s="57" t="s">
        <v>3852</v>
      </c>
      <c r="H693" s="48" t="s">
        <v>3853</v>
      </c>
      <c r="I693" s="26" t="s">
        <v>3856</v>
      </c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 t="s">
        <v>3855</v>
      </c>
    </row>
    <row r="694">
      <c r="A694" s="26" t="str">
        <f t="array" ref="A694">IFERROR(VLOOKUP(B694,{Lists!$H$4:$H829,Lists!$G$4:$G829},2,0),"")</f>
        <v>Nitish Naidu</v>
      </c>
      <c r="B694" s="26" t="s">
        <v>3005</v>
      </c>
      <c r="C694" s="37">
        <v>46052.0</v>
      </c>
      <c r="D694" s="37">
        <v>46081.0</v>
      </c>
      <c r="E694" s="26" t="s">
        <v>3851</v>
      </c>
      <c r="F694" s="31"/>
      <c r="G694" s="57" t="s">
        <v>3852</v>
      </c>
      <c r="H694" s="48" t="s">
        <v>3853</v>
      </c>
      <c r="I694" s="26" t="s">
        <v>3856</v>
      </c>
      <c r="J694" s="31"/>
      <c r="K694" s="31"/>
      <c r="L694" s="31"/>
      <c r="M694" s="31"/>
      <c r="N694" s="31"/>
      <c r="O694" s="31"/>
      <c r="P694" s="31"/>
      <c r="Q694" s="31"/>
      <c r="R694" s="26" t="s">
        <v>3856</v>
      </c>
      <c r="S694" s="31"/>
      <c r="T694" s="31" t="s">
        <v>3855</v>
      </c>
    </row>
    <row r="695">
      <c r="A695" s="26" t="str">
        <f t="array" ref="A695">IFERROR(VLOOKUP(B695,{Lists!$H$4:$H829,Lists!$G$4:$G829},2,0),"")</f>
        <v>Harshit Singh Negi</v>
      </c>
      <c r="B695" s="26" t="s">
        <v>3002</v>
      </c>
      <c r="C695" s="37">
        <v>46052.0</v>
      </c>
      <c r="D695" s="37">
        <v>46081.0</v>
      </c>
      <c r="E695" s="26" t="s">
        <v>3851</v>
      </c>
      <c r="F695" s="31"/>
      <c r="G695" s="57" t="s">
        <v>3852</v>
      </c>
      <c r="H695" s="48" t="s">
        <v>3853</v>
      </c>
      <c r="I695" s="26" t="s">
        <v>3856</v>
      </c>
      <c r="J695" s="31"/>
      <c r="K695" s="31"/>
      <c r="L695" s="31"/>
      <c r="M695" s="31"/>
      <c r="N695" s="31"/>
      <c r="O695" s="31"/>
      <c r="P695" s="31"/>
      <c r="Q695" s="31"/>
      <c r="R695" s="26" t="s">
        <v>3856</v>
      </c>
      <c r="S695" s="31"/>
      <c r="T695" s="31" t="s">
        <v>3855</v>
      </c>
    </row>
    <row r="696">
      <c r="A696" s="26" t="str">
        <f t="array" ref="A696">IFERROR(VLOOKUP(B696,{Lists!$H$4:$H829,Lists!$G$4:$G829},2,0),"")</f>
        <v>Harshit Khanna</v>
      </c>
      <c r="B696" s="26" t="s">
        <v>3039</v>
      </c>
      <c r="C696" s="37">
        <v>46052.0</v>
      </c>
      <c r="D696" s="37">
        <v>46076.0</v>
      </c>
      <c r="E696" s="26" t="s">
        <v>3851</v>
      </c>
      <c r="F696" s="31"/>
      <c r="G696" s="57" t="s">
        <v>3852</v>
      </c>
      <c r="H696" s="48" t="s">
        <v>3853</v>
      </c>
      <c r="I696" s="26" t="s">
        <v>3856</v>
      </c>
      <c r="J696" s="31"/>
      <c r="K696" s="31"/>
      <c r="L696" s="31"/>
      <c r="M696" s="31"/>
      <c r="N696" s="31"/>
      <c r="O696" s="31"/>
      <c r="P696" s="31"/>
      <c r="Q696" s="31"/>
      <c r="R696" s="26" t="s">
        <v>3856</v>
      </c>
      <c r="S696" s="31"/>
      <c r="T696" s="31" t="s">
        <v>3855</v>
      </c>
    </row>
    <row r="697">
      <c r="A697" s="26" t="str">
        <f t="array" ref="A697">IFERROR(VLOOKUP(B697,{Lists!$H$4:$H829,Lists!$G$4:$G829},2,0),"")</f>
        <v>Arham Ali</v>
      </c>
      <c r="B697" s="26" t="s">
        <v>3037</v>
      </c>
      <c r="C697" s="37">
        <v>46052.0</v>
      </c>
      <c r="D697" s="37"/>
      <c r="E697" s="26" t="s">
        <v>3851</v>
      </c>
      <c r="F697" s="31"/>
      <c r="G697" s="57" t="s">
        <v>3852</v>
      </c>
      <c r="H697" s="48" t="s">
        <v>3853</v>
      </c>
      <c r="I697" s="26" t="s">
        <v>3856</v>
      </c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 t="s">
        <v>3855</v>
      </c>
    </row>
    <row r="698">
      <c r="A698" s="26" t="str">
        <f t="array" ref="A698">IFERROR(VLOOKUP(B698,{Lists!$H$4:$H829,Lists!$G$4:$G829},2,0),"")</f>
        <v>Kulvinder Singh</v>
      </c>
      <c r="B698" s="26" t="s">
        <v>3043</v>
      </c>
      <c r="C698" s="37">
        <v>46052.0</v>
      </c>
      <c r="D698" s="37">
        <v>46081.0</v>
      </c>
      <c r="E698" s="26" t="s">
        <v>3851</v>
      </c>
      <c r="F698" s="31"/>
      <c r="G698" s="57" t="s">
        <v>3852</v>
      </c>
      <c r="H698" s="48" t="s">
        <v>3853</v>
      </c>
      <c r="I698" s="26" t="s">
        <v>3856</v>
      </c>
      <c r="J698" s="31"/>
      <c r="K698" s="31"/>
      <c r="L698" s="31"/>
      <c r="M698" s="31"/>
      <c r="N698" s="31"/>
      <c r="O698" s="31"/>
      <c r="P698" s="31"/>
      <c r="Q698" s="31"/>
      <c r="R698" s="26" t="s">
        <v>3856</v>
      </c>
      <c r="S698" s="31"/>
      <c r="T698" s="31" t="s">
        <v>3855</v>
      </c>
    </row>
    <row r="699">
      <c r="A699" s="26" t="str">
        <f t="array" ref="A699">IFERROR(VLOOKUP(B699,{Lists!$H$4:$H829,Lists!$G$4:$G829},2,0),"")</f>
        <v>Rishi Patidar</v>
      </c>
      <c r="B699" s="26" t="s">
        <v>3086</v>
      </c>
      <c r="C699" s="37">
        <v>46052.0</v>
      </c>
      <c r="D699" s="37"/>
      <c r="E699" s="26" t="s">
        <v>3851</v>
      </c>
      <c r="F699" s="34" t="str">
        <f>VLOOKUP(B699,'On-Boarding'!C:D,2,0)</f>
        <v>IT Infra</v>
      </c>
      <c r="G699" s="59" t="s">
        <v>3875</v>
      </c>
      <c r="H699" s="48" t="s">
        <v>3876</v>
      </c>
      <c r="I699" s="26" t="s">
        <v>3856</v>
      </c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 t="s">
        <v>3855</v>
      </c>
    </row>
    <row r="700">
      <c r="A700" s="26" t="str">
        <f t="array" ref="A700">IFERROR(VLOOKUP(B700,{Lists!$H$4:$H829,Lists!$G$4:$G829},2,0),"")</f>
        <v>Rahul Yadav</v>
      </c>
      <c r="B700" s="26" t="s">
        <v>3104</v>
      </c>
      <c r="C700" s="37">
        <v>46052.0</v>
      </c>
      <c r="D700" s="37">
        <v>46096.0</v>
      </c>
      <c r="E700" s="26" t="s">
        <v>3851</v>
      </c>
      <c r="F700" s="31"/>
      <c r="G700" s="57" t="s">
        <v>3852</v>
      </c>
      <c r="H700" s="48" t="s">
        <v>3853</v>
      </c>
      <c r="I700" s="26" t="s">
        <v>3856</v>
      </c>
      <c r="J700" s="31"/>
      <c r="K700" s="31"/>
      <c r="L700" s="31"/>
      <c r="M700" s="31"/>
      <c r="N700" s="31"/>
      <c r="O700" s="31"/>
      <c r="P700" s="31"/>
      <c r="Q700" s="31"/>
      <c r="R700" s="26" t="s">
        <v>3856</v>
      </c>
      <c r="S700" s="31"/>
      <c r="T700" s="31" t="s">
        <v>3855</v>
      </c>
    </row>
    <row r="701">
      <c r="A701" s="26" t="str">
        <f t="array" ref="A701">IFERROR(VLOOKUP(B701,{Lists!$H$4:$H829,Lists!$G$4:$G829},2,0),"")</f>
        <v>Rachit Sharma</v>
      </c>
      <c r="B701" s="26" t="s">
        <v>3077</v>
      </c>
      <c r="C701" s="37">
        <v>46052.0</v>
      </c>
      <c r="D701" s="37">
        <v>46058.0</v>
      </c>
      <c r="E701" s="26" t="s">
        <v>3851</v>
      </c>
      <c r="F701" s="31"/>
      <c r="G701" s="57" t="s">
        <v>3852</v>
      </c>
      <c r="H701" s="48" t="s">
        <v>3853</v>
      </c>
      <c r="I701" s="26" t="s">
        <v>3856</v>
      </c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 t="s">
        <v>3855</v>
      </c>
    </row>
    <row r="702">
      <c r="A702" s="26" t="str">
        <f t="array" ref="A702">IFERROR(VLOOKUP(B702,{Lists!$H$4:$H829,Lists!$G$4:$G829},2,0),"")</f>
        <v>Aditya Tamta</v>
      </c>
      <c r="B702" s="26" t="s">
        <v>3080</v>
      </c>
      <c r="C702" s="37">
        <v>46052.0</v>
      </c>
      <c r="D702" s="37">
        <v>46058.0</v>
      </c>
      <c r="E702" s="26" t="s">
        <v>3851</v>
      </c>
      <c r="F702" s="31"/>
      <c r="G702" s="57" t="s">
        <v>3852</v>
      </c>
      <c r="H702" s="48" t="s">
        <v>3853</v>
      </c>
      <c r="I702" s="26" t="s">
        <v>3856</v>
      </c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 t="s">
        <v>3855</v>
      </c>
    </row>
    <row r="703">
      <c r="A703" s="26" t="str">
        <f t="array" ref="A703">IFERROR(VLOOKUP(B703,{Lists!$H$4:$H829,Lists!$G$4:$G829},2,0),"")</f>
        <v>Harsh Dubey</v>
      </c>
      <c r="B703" s="26" t="s">
        <v>3082</v>
      </c>
      <c r="C703" s="37">
        <v>46052.0</v>
      </c>
      <c r="D703" s="37">
        <v>46058.0</v>
      </c>
      <c r="E703" s="26" t="s">
        <v>3851</v>
      </c>
      <c r="F703" s="31"/>
      <c r="G703" s="57" t="s">
        <v>3852</v>
      </c>
      <c r="H703" s="48" t="s">
        <v>3853</v>
      </c>
      <c r="I703" s="26" t="s">
        <v>3856</v>
      </c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 t="s">
        <v>3855</v>
      </c>
    </row>
    <row r="704">
      <c r="A704" s="26" t="str">
        <f t="array" ref="A704">IFERROR(VLOOKUP(B704,{Lists!$H$4:$H829,Lists!$G$4:$G829},2,0),"")</f>
        <v>Prabhat Kumar</v>
      </c>
      <c r="B704" s="26" t="s">
        <v>3107</v>
      </c>
      <c r="C704" s="37">
        <v>46052.0</v>
      </c>
      <c r="D704" s="37"/>
      <c r="E704" s="26" t="s">
        <v>3851</v>
      </c>
      <c r="F704" s="31"/>
      <c r="G704" s="57" t="s">
        <v>3852</v>
      </c>
      <c r="H704" s="48" t="s">
        <v>3853</v>
      </c>
      <c r="I704" s="26" t="s">
        <v>3856</v>
      </c>
      <c r="J704" s="31"/>
      <c r="K704" s="31"/>
      <c r="L704" s="31"/>
      <c r="M704" s="31"/>
      <c r="N704" s="31"/>
      <c r="O704" s="31"/>
      <c r="P704" s="31"/>
      <c r="Q704" s="31"/>
      <c r="R704" s="26" t="s">
        <v>3856</v>
      </c>
      <c r="S704" s="31"/>
      <c r="T704" s="31" t="s">
        <v>3855</v>
      </c>
    </row>
    <row r="705">
      <c r="A705" s="26" t="str">
        <f t="array" ref="A705">IFERROR(VLOOKUP(B705,{Lists!$H$4:$H829,Lists!$G$4:$G829},2,0),"")</f>
        <v>Shubham Srivastava</v>
      </c>
      <c r="B705" s="26" t="s">
        <v>3130</v>
      </c>
      <c r="C705" s="37">
        <v>46052.0</v>
      </c>
      <c r="D705" s="37">
        <v>46096.0</v>
      </c>
      <c r="E705" s="26" t="s">
        <v>3851</v>
      </c>
      <c r="F705" s="31"/>
      <c r="G705" s="57" t="s">
        <v>3852</v>
      </c>
      <c r="H705" s="48" t="s">
        <v>3853</v>
      </c>
      <c r="I705" s="26" t="s">
        <v>3856</v>
      </c>
      <c r="J705" s="31"/>
      <c r="K705" s="31"/>
      <c r="L705" s="31"/>
      <c r="M705" s="31"/>
      <c r="N705" s="31"/>
      <c r="O705" s="31"/>
      <c r="P705" s="31"/>
      <c r="Q705" s="31"/>
      <c r="R705" s="26" t="s">
        <v>3856</v>
      </c>
      <c r="S705" s="31"/>
      <c r="T705" s="31" t="s">
        <v>3855</v>
      </c>
    </row>
    <row r="706">
      <c r="A706" s="26" t="str">
        <f t="array" ref="A706">IFERROR(VLOOKUP(B706,{Lists!$H$4:$H829,Lists!$G$4:$G829},2,0),"")</f>
        <v>Palak Dua</v>
      </c>
      <c r="B706" s="26" t="s">
        <v>3137</v>
      </c>
      <c r="C706" s="37">
        <v>46052.0</v>
      </c>
      <c r="D706" s="37"/>
      <c r="E706" s="26" t="s">
        <v>3851</v>
      </c>
      <c r="F706" s="31"/>
      <c r="G706" s="57" t="s">
        <v>3970</v>
      </c>
      <c r="H706" s="48" t="s">
        <v>3971</v>
      </c>
      <c r="I706" s="26" t="s">
        <v>3856</v>
      </c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 t="s">
        <v>3855</v>
      </c>
    </row>
    <row r="707">
      <c r="A707" s="26" t="str">
        <f t="array" ref="A707">IFERROR(VLOOKUP(B707,{Lists!$H$4:$H829,Lists!$G$4:$G829},2,0),"")</f>
        <v>Aniket Goel</v>
      </c>
      <c r="B707" s="26" t="s">
        <v>3151</v>
      </c>
      <c r="C707" s="37">
        <v>46052.0</v>
      </c>
      <c r="D707" s="37"/>
      <c r="E707" s="26" t="s">
        <v>3851</v>
      </c>
      <c r="F707" s="31"/>
      <c r="G707" s="57" t="s">
        <v>3852</v>
      </c>
      <c r="H707" s="48" t="s">
        <v>3853</v>
      </c>
      <c r="I707" s="26" t="s">
        <v>3856</v>
      </c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 t="s">
        <v>3855</v>
      </c>
    </row>
    <row r="708">
      <c r="A708" s="26" t="str">
        <f t="array" ref="A708">IFERROR(VLOOKUP(B708,{Lists!$H$4:$H829,Lists!$G$4:$G829},2,0),"")</f>
        <v>Vidit Mathur</v>
      </c>
      <c r="B708" s="26" t="s">
        <v>3157</v>
      </c>
      <c r="C708" s="37">
        <v>46052.0</v>
      </c>
      <c r="D708" s="37"/>
      <c r="E708" s="26" t="s">
        <v>3851</v>
      </c>
      <c r="F708" s="31"/>
      <c r="G708" s="57" t="s">
        <v>3852</v>
      </c>
      <c r="H708" s="48" t="s">
        <v>3853</v>
      </c>
      <c r="I708" s="26" t="s">
        <v>3856</v>
      </c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 t="s">
        <v>3855</v>
      </c>
    </row>
    <row r="709">
      <c r="A709" s="26" t="str">
        <f t="array" ref="A709">IFERROR(VLOOKUP(B709,{Lists!$H$4:$H829,Lists!$G$4:$G829},2,0),"")</f>
        <v>Nitesh Gupta</v>
      </c>
      <c r="B709" s="26" t="s">
        <v>3174</v>
      </c>
      <c r="C709" s="37">
        <v>46052.0</v>
      </c>
      <c r="D709" s="37">
        <v>46096.0</v>
      </c>
      <c r="E709" s="26" t="s">
        <v>3851</v>
      </c>
      <c r="F709" s="31"/>
      <c r="G709" s="57" t="s">
        <v>3852</v>
      </c>
      <c r="H709" s="48" t="s">
        <v>3853</v>
      </c>
      <c r="I709" s="26" t="s">
        <v>3856</v>
      </c>
      <c r="J709" s="31"/>
      <c r="K709" s="31"/>
      <c r="L709" s="31"/>
      <c r="M709" s="31"/>
      <c r="N709" s="31"/>
      <c r="O709" s="31"/>
      <c r="P709" s="31"/>
      <c r="Q709" s="31"/>
      <c r="R709" s="26" t="s">
        <v>3856</v>
      </c>
      <c r="S709" s="31"/>
      <c r="T709" s="31" t="s">
        <v>3855</v>
      </c>
    </row>
    <row r="710">
      <c r="A710" s="26" t="str">
        <f t="array" ref="A710">IFERROR(VLOOKUP(B710,{Lists!$H$4:$H829,Lists!$G$4:$G829},2,0),"")</f>
        <v>A Chakravarthy Thalluri</v>
      </c>
      <c r="B710" s="26" t="s">
        <v>3186</v>
      </c>
      <c r="C710" s="37">
        <v>46052.0</v>
      </c>
      <c r="D710" s="37"/>
      <c r="E710" s="26" t="s">
        <v>3851</v>
      </c>
      <c r="F710" s="31"/>
      <c r="G710" s="57" t="s">
        <v>3852</v>
      </c>
      <c r="H710" s="48" t="s">
        <v>3853</v>
      </c>
      <c r="I710" s="26" t="s">
        <v>3856</v>
      </c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 t="s">
        <v>3855</v>
      </c>
    </row>
    <row r="711">
      <c r="A711" s="26" t="str">
        <f t="array" ref="A711">IFERROR(VLOOKUP(B711,{Lists!$H$4:$H829,Lists!$G$4:$G829},2,0),"")</f>
        <v>Shivam Goel</v>
      </c>
      <c r="B711" s="26" t="s">
        <v>3192</v>
      </c>
      <c r="C711" s="37">
        <v>46052.0</v>
      </c>
      <c r="D711" s="37"/>
      <c r="E711" s="26" t="s">
        <v>3851</v>
      </c>
      <c r="F711" s="31"/>
      <c r="G711" s="57" t="s">
        <v>3852</v>
      </c>
      <c r="H711" s="48" t="s">
        <v>3853</v>
      </c>
      <c r="I711" s="26" t="s">
        <v>3856</v>
      </c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 t="s">
        <v>3855</v>
      </c>
    </row>
    <row r="712">
      <c r="A712" s="26" t="str">
        <f t="array" ref="A712">IFERROR(VLOOKUP(B712,{Lists!$H$4:$H829,Lists!$G$4:$G829},2,0),"")</f>
        <v>Amrit Raj Jha</v>
      </c>
      <c r="B712" s="26" t="s">
        <v>3235</v>
      </c>
      <c r="C712" s="37">
        <v>46052.0</v>
      </c>
      <c r="D712" s="37"/>
      <c r="E712" s="26" t="s">
        <v>3851</v>
      </c>
      <c r="F712" s="34" t="str">
        <f>VLOOKUP(B712,'On-Boarding'!C:D,2,0)</f>
        <v>Brand Marketing</v>
      </c>
      <c r="G712" s="59" t="s">
        <v>3875</v>
      </c>
      <c r="H712" s="48" t="s">
        <v>3876</v>
      </c>
      <c r="I712" s="26" t="s">
        <v>3856</v>
      </c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 t="s">
        <v>3855</v>
      </c>
    </row>
    <row r="713">
      <c r="A713" s="26" t="str">
        <f t="array" ref="A713">IFERROR(VLOOKUP(B713,{Lists!$H$4:$H829,Lists!$G$4:$G829},2,0),"")</f>
        <v>Avinash Kumar</v>
      </c>
      <c r="B713" s="26" t="s">
        <v>3232</v>
      </c>
      <c r="C713" s="37">
        <v>46052.0</v>
      </c>
      <c r="D713" s="37"/>
      <c r="E713" s="26" t="s">
        <v>3851</v>
      </c>
      <c r="F713" s="34" t="str">
        <f>VLOOKUP(B713,'On-Boarding'!C:D,2,0)</f>
        <v>Brand Marketing</v>
      </c>
      <c r="G713" s="59" t="s">
        <v>3875</v>
      </c>
      <c r="H713" s="48" t="s">
        <v>3876</v>
      </c>
      <c r="I713" s="26" t="s">
        <v>3856</v>
      </c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 t="s">
        <v>3855</v>
      </c>
    </row>
    <row r="714">
      <c r="A714" s="26" t="str">
        <f t="array" ref="A714">IFERROR(VLOOKUP(B714,{Lists!$H$4:$H829,Lists!$G$4:$G829},2,0),"")</f>
        <v>Gaurav Mishra</v>
      </c>
      <c r="B714" s="26" t="s">
        <v>3250</v>
      </c>
      <c r="C714" s="37">
        <v>46052.0</v>
      </c>
      <c r="D714" s="37"/>
      <c r="E714" s="26" t="s">
        <v>3851</v>
      </c>
      <c r="F714" s="34" t="str">
        <f>VLOOKUP(B714,'On-Boarding'!C:D,2,0)</f>
        <v>Brand Marketing</v>
      </c>
      <c r="G714" s="59" t="s">
        <v>3875</v>
      </c>
      <c r="H714" s="48" t="s">
        <v>3876</v>
      </c>
      <c r="I714" s="26" t="s">
        <v>3856</v>
      </c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 t="s">
        <v>3855</v>
      </c>
    </row>
    <row r="715">
      <c r="A715" s="26" t="str">
        <f t="array" ref="A715">IFERROR(VLOOKUP(B715,{Lists!$H$4:$H829,Lists!$G$4:$G829},2,0),"")</f>
        <v>Shriya Sarda</v>
      </c>
      <c r="B715" s="26" t="s">
        <v>3261</v>
      </c>
      <c r="C715" s="37">
        <v>46052.0</v>
      </c>
      <c r="D715" s="37">
        <v>46081.0</v>
      </c>
      <c r="E715" s="26" t="s">
        <v>3851</v>
      </c>
      <c r="F715" s="31"/>
      <c r="G715" s="57" t="s">
        <v>3852</v>
      </c>
      <c r="H715" s="48" t="s">
        <v>3853</v>
      </c>
      <c r="I715" s="26" t="s">
        <v>3856</v>
      </c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 t="s">
        <v>3855</v>
      </c>
    </row>
    <row r="716">
      <c r="A716" s="26" t="str">
        <f t="array" ref="A716">IFERROR(VLOOKUP(B716,{Lists!$H$4:$H829,Lists!$G$4:$G829},2,0),"")</f>
        <v>Rishabh Pratap Singh</v>
      </c>
      <c r="B716" s="26" t="s">
        <v>3269</v>
      </c>
      <c r="C716" s="37">
        <v>46052.0</v>
      </c>
      <c r="D716" s="37"/>
      <c r="E716" s="26" t="s">
        <v>3851</v>
      </c>
      <c r="F716" s="31"/>
      <c r="G716" s="57" t="s">
        <v>3852</v>
      </c>
      <c r="H716" s="48" t="s">
        <v>3853</v>
      </c>
      <c r="I716" s="26" t="s">
        <v>3856</v>
      </c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 t="s">
        <v>3855</v>
      </c>
    </row>
    <row r="717">
      <c r="A717" s="26" t="str">
        <f t="array" ref="A717">IFERROR(VLOOKUP(B717,{Lists!$H$4:$H829,Lists!$G$4:$G829},2,0),"")</f>
        <v>Tina Khurana</v>
      </c>
      <c r="B717" s="26" t="s">
        <v>3287</v>
      </c>
      <c r="C717" s="37">
        <v>46052.0</v>
      </c>
      <c r="D717" s="37">
        <v>46076.0</v>
      </c>
      <c r="E717" s="26" t="s">
        <v>4021</v>
      </c>
      <c r="F717" s="34" t="str">
        <f>VLOOKUP(B717,'On-Boarding'!C:D,2,0)</f>
        <v>Brand Marketing</v>
      </c>
      <c r="G717" s="59" t="s">
        <v>3875</v>
      </c>
      <c r="H717" s="48" t="s">
        <v>3876</v>
      </c>
      <c r="I717" s="26" t="s">
        <v>3856</v>
      </c>
      <c r="J717" s="31"/>
      <c r="K717" s="31"/>
      <c r="L717" s="31"/>
      <c r="M717" s="31"/>
      <c r="N717" s="31"/>
      <c r="O717" s="31"/>
      <c r="P717" s="31"/>
      <c r="Q717" s="31"/>
      <c r="R717" s="26" t="s">
        <v>3856</v>
      </c>
      <c r="S717" s="31"/>
      <c r="T717" s="31" t="s">
        <v>3855</v>
      </c>
    </row>
    <row r="718">
      <c r="A718" s="26" t="str">
        <f t="array" ref="A718">IFERROR(VLOOKUP(B718,{Lists!$H$4:$H829,Lists!$G$4:$G829},2,0),"")</f>
        <v>Reshma Shikalgar</v>
      </c>
      <c r="B718" s="26" t="s">
        <v>3300</v>
      </c>
      <c r="C718" s="37">
        <v>46052.0</v>
      </c>
      <c r="D718" s="37"/>
      <c r="E718" s="26" t="s">
        <v>3851</v>
      </c>
      <c r="F718" s="31"/>
      <c r="G718" s="57" t="s">
        <v>3852</v>
      </c>
      <c r="H718" s="48" t="s">
        <v>3853</v>
      </c>
      <c r="I718" s="26" t="s">
        <v>3856</v>
      </c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 t="s">
        <v>3855</v>
      </c>
    </row>
    <row r="719">
      <c r="A719" s="26" t="str">
        <f t="array" ref="A719">IFERROR(VLOOKUP(B719,{Lists!$H$4:$H829,Lists!$G$4:$G829},2,0),"")</f>
        <v>Nilesh Ashok Inkar</v>
      </c>
      <c r="B719" s="26" t="s">
        <v>3381</v>
      </c>
      <c r="C719" s="37">
        <v>46052.0</v>
      </c>
      <c r="D719" s="37">
        <v>46078.0</v>
      </c>
      <c r="E719" s="26" t="s">
        <v>3851</v>
      </c>
      <c r="F719" s="31"/>
      <c r="G719" s="57" t="s">
        <v>3852</v>
      </c>
      <c r="H719" s="48" t="s">
        <v>3853</v>
      </c>
      <c r="I719" s="26" t="s">
        <v>3856</v>
      </c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 t="s">
        <v>3855</v>
      </c>
    </row>
    <row r="720">
      <c r="A720" s="26" t="str">
        <f t="array" ref="A720">IFERROR(VLOOKUP(B720,{Lists!$H$4:$H829,Lists!$G$4:$G829},2,0),"")</f>
        <v>Nishant Pandey</v>
      </c>
      <c r="B720" s="26" t="s">
        <v>3393</v>
      </c>
      <c r="C720" s="37">
        <v>46052.0</v>
      </c>
      <c r="D720" s="37">
        <v>46058.0</v>
      </c>
      <c r="E720" s="26" t="s">
        <v>3851</v>
      </c>
      <c r="F720" s="31"/>
      <c r="G720" s="57" t="s">
        <v>3852</v>
      </c>
      <c r="H720" s="48" t="s">
        <v>3853</v>
      </c>
      <c r="I720" s="26" t="s">
        <v>3856</v>
      </c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 t="s">
        <v>3855</v>
      </c>
    </row>
    <row r="721">
      <c r="A721" s="26" t="str">
        <f t="array" ref="A721">IFERROR(VLOOKUP(B721,{Lists!$H$4:$H829,Lists!$G$4:$G829},2,0),"")</f>
        <v>Aman Maurya</v>
      </c>
      <c r="B721" s="26" t="s">
        <v>3430</v>
      </c>
      <c r="C721" s="37">
        <v>46052.0</v>
      </c>
      <c r="D721" s="37">
        <v>46058.0</v>
      </c>
      <c r="E721" s="26" t="s">
        <v>3851</v>
      </c>
      <c r="F721" s="31"/>
      <c r="G721" s="57" t="s">
        <v>3852</v>
      </c>
      <c r="H721" s="48" t="s">
        <v>3853</v>
      </c>
      <c r="I721" s="26" t="s">
        <v>3856</v>
      </c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 t="s">
        <v>3855</v>
      </c>
    </row>
    <row r="722">
      <c r="A722" s="26" t="str">
        <f t="array" ref="A722">IFERROR(VLOOKUP(B722,{Lists!$H$4:$H829,Lists!$G$4:$G829},2,0),"")</f>
        <v>Aditya Kumar Sinha</v>
      </c>
      <c r="B722" s="26" t="s">
        <v>3461</v>
      </c>
      <c r="C722" s="37">
        <v>46052.0</v>
      </c>
      <c r="D722" s="37"/>
      <c r="E722" s="26" t="s">
        <v>3851</v>
      </c>
      <c r="F722" s="31"/>
      <c r="G722" s="57" t="s">
        <v>3852</v>
      </c>
      <c r="H722" s="48" t="s">
        <v>3853</v>
      </c>
      <c r="I722" s="26" t="s">
        <v>3856</v>
      </c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 t="s">
        <v>3855</v>
      </c>
    </row>
    <row r="723">
      <c r="A723" s="26" t="str">
        <f t="array" ref="A723">IFERROR(VLOOKUP(B723,{Lists!$H$4:$H829,Lists!$G$4:$G829},2,0),"")</f>
        <v>Abhishek Mohapatra</v>
      </c>
      <c r="B723" s="26" t="s">
        <v>3473</v>
      </c>
      <c r="C723" s="37">
        <v>46052.0</v>
      </c>
      <c r="D723" s="37"/>
      <c r="E723" s="26" t="s">
        <v>3851</v>
      </c>
      <c r="F723" s="31"/>
      <c r="G723" s="57" t="s">
        <v>3852</v>
      </c>
      <c r="H723" s="48" t="s">
        <v>3853</v>
      </c>
      <c r="I723" s="26" t="s">
        <v>3856</v>
      </c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 t="s">
        <v>3855</v>
      </c>
    </row>
    <row r="724">
      <c r="A724" s="26" t="str">
        <f t="array" ref="A724">IFERROR(VLOOKUP(B724,{Lists!$H$4:$H829,Lists!$G$4:$G829},2,0),"")</f>
        <v>Rohan Ray</v>
      </c>
      <c r="B724" s="26" t="s">
        <v>70</v>
      </c>
      <c r="C724" s="37">
        <v>46052.0</v>
      </c>
      <c r="D724" s="37">
        <v>46081.0</v>
      </c>
      <c r="E724" s="26" t="s">
        <v>3851</v>
      </c>
      <c r="F724" s="31"/>
      <c r="G724" s="57" t="s">
        <v>3852</v>
      </c>
      <c r="H724" s="48" t="s">
        <v>3853</v>
      </c>
      <c r="I724" s="26" t="s">
        <v>3856</v>
      </c>
      <c r="J724" s="31"/>
      <c r="K724" s="31"/>
      <c r="L724" s="31"/>
      <c r="M724" s="31"/>
      <c r="N724" s="31"/>
      <c r="O724" s="31"/>
      <c r="P724" s="31"/>
      <c r="Q724" s="31"/>
      <c r="R724" s="26" t="s">
        <v>3856</v>
      </c>
      <c r="S724" s="31"/>
      <c r="T724" s="31" t="s">
        <v>3855</v>
      </c>
    </row>
    <row r="725">
      <c r="A725" s="26" t="str">
        <f t="array" ref="A725">IFERROR(VLOOKUP(B725,{Lists!$H$4:$H829,Lists!$G$4:$G829},2,0),"")</f>
        <v>Naman</v>
      </c>
      <c r="B725" s="26" t="s">
        <v>3539</v>
      </c>
      <c r="C725" s="37">
        <v>46052.0</v>
      </c>
      <c r="D725" s="37">
        <v>46081.0</v>
      </c>
      <c r="E725" s="26" t="s">
        <v>3851</v>
      </c>
      <c r="F725" s="34" t="str">
        <f>VLOOKUP(B725,'On-Boarding'!C:D,2,0)</f>
        <v>Vertical Tv</v>
      </c>
      <c r="G725" s="59" t="s">
        <v>3875</v>
      </c>
      <c r="H725" s="48" t="s">
        <v>3876</v>
      </c>
      <c r="I725" s="26" t="s">
        <v>3856</v>
      </c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 t="s">
        <v>3855</v>
      </c>
    </row>
    <row r="726">
      <c r="A726" s="26" t="str">
        <f t="array" ref="A726">IFERROR(VLOOKUP(B726,{Lists!$H$4:$H829,Lists!$G$4:$G829},2,0),"")</f>
        <v>Rahul Emmanuel</v>
      </c>
      <c r="B726" s="26" t="s">
        <v>3507</v>
      </c>
      <c r="C726" s="37">
        <v>46052.0</v>
      </c>
      <c r="D726" s="37"/>
      <c r="E726" s="26" t="s">
        <v>3851</v>
      </c>
      <c r="F726" s="34" t="str">
        <f>VLOOKUP(B726,'On-Boarding'!C:D,2,0)</f>
        <v>Brand Marketing</v>
      </c>
      <c r="G726" s="59" t="s">
        <v>3875</v>
      </c>
      <c r="H726" s="48" t="s">
        <v>3876</v>
      </c>
      <c r="I726" s="26" t="s">
        <v>3856</v>
      </c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 t="s">
        <v>3855</v>
      </c>
    </row>
    <row r="727">
      <c r="A727" s="26" t="str">
        <f t="array" ref="A727">IFERROR(VLOOKUP(B727,{Lists!$H$4:$H829,Lists!$G$4:$G829},2,0),"")</f>
        <v>Sumit Kumar</v>
      </c>
      <c r="B727" s="26" t="s">
        <v>3557</v>
      </c>
      <c r="C727" s="37">
        <v>46052.0</v>
      </c>
      <c r="D727" s="37">
        <v>46096.0</v>
      </c>
      <c r="E727" s="26" t="s">
        <v>3851</v>
      </c>
      <c r="F727" s="31"/>
      <c r="G727" s="57" t="s">
        <v>3852</v>
      </c>
      <c r="H727" s="48" t="s">
        <v>3853</v>
      </c>
      <c r="I727" s="26" t="s">
        <v>3856</v>
      </c>
      <c r="J727" s="31"/>
      <c r="K727" s="31"/>
      <c r="L727" s="31"/>
      <c r="M727" s="31"/>
      <c r="N727" s="31"/>
      <c r="O727" s="31"/>
      <c r="P727" s="31"/>
      <c r="Q727" s="31"/>
      <c r="R727" s="26" t="s">
        <v>3856</v>
      </c>
      <c r="S727" s="31"/>
      <c r="T727" s="31" t="s">
        <v>3855</v>
      </c>
    </row>
    <row r="728">
      <c r="A728" s="26" t="str">
        <f t="array" ref="A728">IFERROR(VLOOKUP(B728,{Lists!$H$4:$H829,Lists!$G$4:$G829},2,0),"")</f>
        <v>Nupur Aggarwal</v>
      </c>
      <c r="B728" s="26" t="s">
        <v>3593</v>
      </c>
      <c r="C728" s="37">
        <v>46052.0</v>
      </c>
      <c r="D728" s="37"/>
      <c r="E728" s="26" t="s">
        <v>3851</v>
      </c>
      <c r="F728" s="31"/>
      <c r="G728" s="57" t="s">
        <v>3852</v>
      </c>
      <c r="H728" s="48" t="s">
        <v>3853</v>
      </c>
      <c r="I728" s="26" t="s">
        <v>3856</v>
      </c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 t="s">
        <v>3855</v>
      </c>
    </row>
    <row r="729">
      <c r="A729" s="26" t="str">
        <f t="array" ref="A729">IFERROR(VLOOKUP(B729,{Lists!$H$4:$H829,Lists!$G$4:$G829},2,0),"")</f>
        <v>Devika Prakash</v>
      </c>
      <c r="B729" s="26" t="s">
        <v>3639</v>
      </c>
      <c r="C729" s="37">
        <v>46052.0</v>
      </c>
      <c r="D729" s="37"/>
      <c r="E729" s="26" t="s">
        <v>3851</v>
      </c>
      <c r="F729" s="34" t="str">
        <f>VLOOKUP(B729,'On-Boarding'!C:D,2,0)</f>
        <v>Brand Marketing</v>
      </c>
      <c r="G729" s="59" t="s">
        <v>3875</v>
      </c>
      <c r="H729" s="48" t="s">
        <v>3876</v>
      </c>
      <c r="I729" s="26" t="s">
        <v>3856</v>
      </c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 t="s">
        <v>3855</v>
      </c>
    </row>
    <row r="730">
      <c r="A730" s="26" t="str">
        <f t="array" ref="A730">IFERROR(VLOOKUP(B730,{Lists!$H$4:$H829,Lists!$G$4:$G829},2,0),"")</f>
        <v>Anuj Dagar</v>
      </c>
      <c r="B730" s="26" t="s">
        <v>3774</v>
      </c>
      <c r="C730" s="37">
        <v>46052.0</v>
      </c>
      <c r="D730" s="37">
        <v>46058.0</v>
      </c>
      <c r="E730" s="26" t="s">
        <v>3851</v>
      </c>
      <c r="F730" s="31"/>
      <c r="G730" s="57" t="s">
        <v>3852</v>
      </c>
      <c r="H730" s="48" t="s">
        <v>3853</v>
      </c>
      <c r="I730" s="26" t="s">
        <v>3856</v>
      </c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 t="s">
        <v>3855</v>
      </c>
    </row>
    <row r="731">
      <c r="A731" s="26" t="str">
        <f t="array" ref="A731">IFERROR(VLOOKUP(B731,{Lists!$H$4:$H829,Lists!$G$4:$G829},2,0),"")</f>
        <v>Abhijeet Purohit</v>
      </c>
      <c r="B731" s="26" t="s">
        <v>3579</v>
      </c>
      <c r="C731" s="37">
        <v>46055.0</v>
      </c>
      <c r="D731" s="37">
        <v>46058.0</v>
      </c>
      <c r="E731" s="26" t="s">
        <v>3851</v>
      </c>
      <c r="F731" s="34" t="str">
        <f>VLOOKUP(B731,'On-Boarding'!C:D,2,0)</f>
        <v>Vertical Tv</v>
      </c>
      <c r="G731" s="59" t="s">
        <v>3875</v>
      </c>
      <c r="H731" s="48" t="s">
        <v>3876</v>
      </c>
      <c r="I731" s="26" t="s">
        <v>3856</v>
      </c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 t="s">
        <v>3855</v>
      </c>
    </row>
    <row r="732">
      <c r="A732" s="26" t="str">
        <f t="array" ref="A732">IFERROR(VLOOKUP(B732,{Lists!$H$4:$H829,Lists!$G$4:$G829},2,0),"")</f>
        <v>Abhiroop Hora</v>
      </c>
      <c r="B732" s="26" t="s">
        <v>2554</v>
      </c>
      <c r="C732" s="37">
        <v>46059.0</v>
      </c>
      <c r="D732" s="37">
        <v>46059.0</v>
      </c>
      <c r="E732" s="26" t="s">
        <v>3851</v>
      </c>
      <c r="F732" s="34" t="str">
        <f>VLOOKUP(B732,'On-Boarding'!C:D,2,0)</f>
        <v>Technology</v>
      </c>
      <c r="G732" s="59" t="s">
        <v>3875</v>
      </c>
      <c r="H732" s="48" t="s">
        <v>3876</v>
      </c>
      <c r="I732" s="26" t="s">
        <v>3856</v>
      </c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 t="s">
        <v>3855</v>
      </c>
    </row>
    <row r="733">
      <c r="A733" s="26" t="str">
        <f t="array" ref="A733">IFERROR(VLOOKUP(B733,{Lists!$H$4:$H829,Lists!$G$4:$G829},2,0),"")</f>
        <v>Shubham Verma</v>
      </c>
      <c r="B733" s="26" t="s">
        <v>2046</v>
      </c>
      <c r="C733" s="37">
        <v>46059.0</v>
      </c>
      <c r="D733" s="37">
        <v>46059.0</v>
      </c>
      <c r="E733" s="26" t="s">
        <v>3851</v>
      </c>
      <c r="F733" s="34" t="str">
        <f>VLOOKUP(B733,'On-Boarding'!C:D,2,0)</f>
        <v>Technology</v>
      </c>
      <c r="G733" s="59" t="s">
        <v>3875</v>
      </c>
      <c r="H733" s="48" t="s">
        <v>3876</v>
      </c>
      <c r="I733" s="26" t="s">
        <v>3856</v>
      </c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 t="s">
        <v>3855</v>
      </c>
    </row>
    <row r="734">
      <c r="A734" s="26" t="str">
        <f t="array" ref="A734">IFERROR(VLOOKUP(B734,{Lists!$H$4:$H829,Lists!$G$4:$G829},2,0),"")</f>
        <v>Prakhar Srivastava</v>
      </c>
      <c r="B734" s="26" t="s">
        <v>2556</v>
      </c>
      <c r="C734" s="37">
        <v>46059.0</v>
      </c>
      <c r="D734" s="37">
        <v>46059.0</v>
      </c>
      <c r="E734" s="26" t="s">
        <v>3851</v>
      </c>
      <c r="F734" s="34" t="str">
        <f>VLOOKUP(B734,'On-Boarding'!C:D,2,0)</f>
        <v>Technology</v>
      </c>
      <c r="G734" s="59" t="s">
        <v>3875</v>
      </c>
      <c r="H734" s="48" t="s">
        <v>3876</v>
      </c>
      <c r="I734" s="26" t="s">
        <v>3856</v>
      </c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 t="s">
        <v>3855</v>
      </c>
    </row>
    <row r="735">
      <c r="A735" s="26" t="str">
        <f t="array" ref="A735">IFERROR(VLOOKUP(B735,{Lists!$H$4:$H829,Lists!$G$4:$G829},2,0),"")</f>
        <v>Vinay Bansal</v>
      </c>
      <c r="B735" s="26" t="s">
        <v>2051</v>
      </c>
      <c r="C735" s="37">
        <v>46063.0</v>
      </c>
      <c r="D735" s="37">
        <v>46063.0</v>
      </c>
      <c r="E735" s="26" t="s">
        <v>3851</v>
      </c>
      <c r="F735" s="34" t="str">
        <f>VLOOKUP(B735,'On-Boarding'!C:D,2,0)</f>
        <v>Technology</v>
      </c>
      <c r="G735" s="59" t="s">
        <v>3875</v>
      </c>
      <c r="H735" s="48" t="s">
        <v>3876</v>
      </c>
      <c r="I735" s="26" t="s">
        <v>3856</v>
      </c>
      <c r="J735" s="26" t="s">
        <v>3856</v>
      </c>
      <c r="K735" s="31"/>
      <c r="L735" s="31"/>
      <c r="M735" s="31"/>
      <c r="N735" s="31"/>
      <c r="O735" s="31"/>
      <c r="P735" s="31"/>
      <c r="Q735" s="31"/>
      <c r="R735" s="31"/>
      <c r="S735" s="31"/>
      <c r="T735" s="31" t="s">
        <v>3855</v>
      </c>
    </row>
    <row r="736">
      <c r="A736" s="26" t="str">
        <f t="array" ref="A736">IFERROR(VLOOKUP(B736,{Lists!$H$4:$H829,Lists!$G$4:$G829},2,0),"")</f>
        <v>Gokul Verma</v>
      </c>
      <c r="B736" s="26" t="s">
        <v>2329</v>
      </c>
      <c r="C736" s="37">
        <v>46063.0</v>
      </c>
      <c r="D736" s="37"/>
      <c r="E736" s="26" t="s">
        <v>3851</v>
      </c>
      <c r="F736" s="31"/>
      <c r="G736" s="57" t="s">
        <v>3852</v>
      </c>
      <c r="H736" s="48" t="s">
        <v>3853</v>
      </c>
      <c r="I736" s="26" t="s">
        <v>3856</v>
      </c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 t="s">
        <v>3855</v>
      </c>
    </row>
    <row r="737">
      <c r="A737" s="26" t="str">
        <f t="array" ref="A737">IFERROR(VLOOKUP(B737,{Lists!$H$4:$H829,Lists!$G$4:$G829},2,0),"")</f>
        <v>Vaibhav Gupta</v>
      </c>
      <c r="B737" s="26" t="s">
        <v>3696</v>
      </c>
      <c r="C737" s="37">
        <v>46062.0</v>
      </c>
      <c r="D737" s="37"/>
      <c r="E737" s="26" t="s">
        <v>3851</v>
      </c>
      <c r="F737" s="34" t="str">
        <f>VLOOKUP(B737,'On-Boarding'!C:D,2,0)</f>
        <v>Vertical Tv</v>
      </c>
      <c r="G737" s="59" t="s">
        <v>3875</v>
      </c>
      <c r="H737" s="48" t="s">
        <v>3876</v>
      </c>
      <c r="I737" s="26" t="s">
        <v>3856</v>
      </c>
      <c r="J737" s="31"/>
      <c r="K737" s="31"/>
      <c r="L737" s="31"/>
      <c r="M737" s="31"/>
      <c r="N737" s="31"/>
      <c r="O737" s="31"/>
      <c r="P737" s="31"/>
      <c r="Q737" s="31"/>
      <c r="R737" s="31"/>
      <c r="S737" s="26" t="s">
        <v>4022</v>
      </c>
      <c r="T737" s="31" t="s">
        <v>3855</v>
      </c>
    </row>
    <row r="738">
      <c r="A738" s="26" t="str">
        <f t="array" ref="A738">IFERROR(VLOOKUP(B738,{Lists!$H$4:$H829,Lists!$G$4:$G829},2,0),"")</f>
        <v>Ritesh Kumar</v>
      </c>
      <c r="B738" s="26" t="s">
        <v>3673</v>
      </c>
      <c r="C738" s="37">
        <v>46062.0</v>
      </c>
      <c r="D738" s="37"/>
      <c r="E738" s="26" t="s">
        <v>3851</v>
      </c>
      <c r="F738" s="34" t="str">
        <f>VLOOKUP(B738,'On-Boarding'!C:D,2,0)</f>
        <v>Vertical Tv</v>
      </c>
      <c r="G738" s="59" t="s">
        <v>3875</v>
      </c>
      <c r="H738" s="48" t="s">
        <v>3876</v>
      </c>
      <c r="I738" s="26" t="s">
        <v>3856</v>
      </c>
      <c r="J738" s="31"/>
      <c r="K738" s="31"/>
      <c r="L738" s="31"/>
      <c r="M738" s="31"/>
      <c r="N738" s="31"/>
      <c r="O738" s="31"/>
      <c r="P738" s="31"/>
      <c r="Q738" s="31"/>
      <c r="R738" s="31"/>
      <c r="S738" s="26" t="s">
        <v>4022</v>
      </c>
      <c r="T738" s="31" t="s">
        <v>3855</v>
      </c>
    </row>
    <row r="739">
      <c r="A739" s="26" t="str">
        <f t="array" ref="A739">IFERROR(VLOOKUP(B739,{Lists!$H$4:$H829,Lists!$G$4:$G829},2,0),"")</f>
        <v>Omkar Sanjay Palkar</v>
      </c>
      <c r="B739" s="26" t="s">
        <v>3500</v>
      </c>
      <c r="C739" s="37">
        <v>46062.0</v>
      </c>
      <c r="D739" s="37"/>
      <c r="E739" s="26" t="s">
        <v>3851</v>
      </c>
      <c r="F739" s="34" t="str">
        <f>VLOOKUP(B739,'On-Boarding'!C:D,2,0)</f>
        <v>Vertical Tv</v>
      </c>
      <c r="G739" s="59" t="s">
        <v>3875</v>
      </c>
      <c r="H739" s="48" t="s">
        <v>3876</v>
      </c>
      <c r="I739" s="26" t="s">
        <v>3856</v>
      </c>
      <c r="J739" s="31"/>
      <c r="K739" s="31"/>
      <c r="L739" s="31"/>
      <c r="M739" s="31"/>
      <c r="N739" s="31"/>
      <c r="O739" s="31"/>
      <c r="P739" s="31"/>
      <c r="Q739" s="31"/>
      <c r="R739" s="31"/>
      <c r="S739" s="26" t="s">
        <v>4022</v>
      </c>
      <c r="T739" s="31" t="s">
        <v>3855</v>
      </c>
    </row>
    <row r="740">
      <c r="A740" s="26" t="str">
        <f t="array" ref="A740">IFERROR(VLOOKUP(B740,{Lists!$H$4:$H829,Lists!$G$4:$G829},2,0),"")</f>
        <v>Deep Singh Mukhtiar</v>
      </c>
      <c r="B740" s="26" t="s">
        <v>3515</v>
      </c>
      <c r="C740" s="37">
        <v>46062.0</v>
      </c>
      <c r="D740" s="37"/>
      <c r="E740" s="26" t="s">
        <v>3851</v>
      </c>
      <c r="F740" s="34" t="str">
        <f>VLOOKUP(B740,'On-Boarding'!C:D,2,0)</f>
        <v>Vertical Tv</v>
      </c>
      <c r="G740" s="59" t="s">
        <v>3875</v>
      </c>
      <c r="H740" s="48" t="s">
        <v>3876</v>
      </c>
      <c r="I740" s="26" t="s">
        <v>3856</v>
      </c>
      <c r="J740" s="31"/>
      <c r="K740" s="31"/>
      <c r="L740" s="31"/>
      <c r="M740" s="31"/>
      <c r="N740" s="31"/>
      <c r="O740" s="31"/>
      <c r="P740" s="31"/>
      <c r="Q740" s="31"/>
      <c r="R740" s="31"/>
      <c r="S740" s="26" t="s">
        <v>4022</v>
      </c>
      <c r="T740" s="31" t="s">
        <v>3855</v>
      </c>
    </row>
    <row r="741">
      <c r="A741" s="26" t="str">
        <f t="array" ref="A741">IFERROR(VLOOKUP(B741,{Lists!$H$4:$H829,Lists!$G$4:$G829},2,0),"")</f>
        <v>Ujjawal Parmar</v>
      </c>
      <c r="B741" s="26" t="s">
        <v>3441</v>
      </c>
      <c r="C741" s="37">
        <v>46062.0</v>
      </c>
      <c r="D741" s="37">
        <v>46064.0</v>
      </c>
      <c r="E741" s="26" t="s">
        <v>3851</v>
      </c>
      <c r="F741" s="34" t="str">
        <f>VLOOKUP(B741,'On-Boarding'!C:D,2,0)</f>
        <v>Vertical Tv</v>
      </c>
      <c r="G741" s="59" t="s">
        <v>3875</v>
      </c>
      <c r="H741" s="48" t="s">
        <v>3876</v>
      </c>
      <c r="I741" s="26" t="s">
        <v>3856</v>
      </c>
      <c r="J741" s="31"/>
      <c r="K741" s="31"/>
      <c r="L741" s="31"/>
      <c r="M741" s="31"/>
      <c r="N741" s="31"/>
      <c r="O741" s="31"/>
      <c r="P741" s="31"/>
      <c r="Q741" s="31"/>
      <c r="R741" s="31"/>
      <c r="S741" s="26" t="s">
        <v>4022</v>
      </c>
      <c r="T741" s="31" t="s">
        <v>3855</v>
      </c>
    </row>
    <row r="742">
      <c r="A742" s="26" t="str">
        <f t="array" ref="A742">IFERROR(VLOOKUP(B742,{Lists!$H$4:$H829,Lists!$G$4:$G829},2,0),"")</f>
        <v>Akash Tamta</v>
      </c>
      <c r="B742" s="26" t="s">
        <v>3140</v>
      </c>
      <c r="C742" s="37">
        <v>46062.0</v>
      </c>
      <c r="D742" s="37"/>
      <c r="E742" s="26" t="s">
        <v>3851</v>
      </c>
      <c r="F742" s="31"/>
      <c r="G742" s="57" t="s">
        <v>3852</v>
      </c>
      <c r="H742" s="48" t="s">
        <v>3853</v>
      </c>
      <c r="I742" s="26" t="s">
        <v>3856</v>
      </c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 t="s">
        <v>3855</v>
      </c>
    </row>
    <row r="743">
      <c r="A743" s="26" t="str">
        <f t="array" ref="A743">IFERROR(VLOOKUP(B743,{Lists!$H$4:$H829,Lists!$G$4:$G829},2,0),"")</f>
        <v>Joyce Dass</v>
      </c>
      <c r="B743" s="26" t="s">
        <v>3201</v>
      </c>
      <c r="C743" s="37">
        <v>46062.0</v>
      </c>
      <c r="D743" s="37"/>
      <c r="E743" s="26" t="s">
        <v>3851</v>
      </c>
      <c r="F743" s="31"/>
      <c r="G743" s="57" t="s">
        <v>3852</v>
      </c>
      <c r="H743" s="48" t="s">
        <v>3853</v>
      </c>
      <c r="I743" s="26" t="s">
        <v>3856</v>
      </c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 t="s">
        <v>3855</v>
      </c>
    </row>
    <row r="744">
      <c r="A744" s="26" t="str">
        <f t="array" ref="A744">IFERROR(VLOOKUP(B744,{Lists!$H$4:$H829,Lists!$G$4:$G829},2,0),"")</f>
        <v>Mohit Singh</v>
      </c>
      <c r="B744" s="26" t="s">
        <v>2284</v>
      </c>
      <c r="C744" s="37">
        <v>46053.0</v>
      </c>
      <c r="D744" s="37">
        <v>46062.0</v>
      </c>
      <c r="E744" s="26" t="s">
        <v>3851</v>
      </c>
      <c r="F744" s="31"/>
      <c r="G744" s="57" t="s">
        <v>3970</v>
      </c>
      <c r="H744" s="48" t="s">
        <v>3992</v>
      </c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26" t="s">
        <v>4023</v>
      </c>
      <c r="T744" s="31" t="s">
        <v>3855</v>
      </c>
    </row>
    <row r="745">
      <c r="A745" s="26" t="str">
        <f t="array" ref="A745">IFERROR(VLOOKUP(B745,{Lists!$H$4:$H829,Lists!$G$4:$G829},2,0),"")</f>
        <v>Samir Halder</v>
      </c>
      <c r="B745" s="26" t="s">
        <v>2900</v>
      </c>
      <c r="C745" s="37">
        <v>46053.0</v>
      </c>
      <c r="D745" s="37">
        <v>46062.0</v>
      </c>
      <c r="E745" s="26" t="s">
        <v>3851</v>
      </c>
      <c r="F745" s="31"/>
      <c r="G745" s="57" t="s">
        <v>3970</v>
      </c>
      <c r="H745" s="48" t="s">
        <v>3992</v>
      </c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26" t="s">
        <v>4023</v>
      </c>
      <c r="T745" s="31" t="s">
        <v>3855</v>
      </c>
    </row>
    <row r="746">
      <c r="A746" s="26" t="str">
        <f t="array" ref="A746">IFERROR(VLOOKUP(B746,{Lists!$H$4:$H829,Lists!$G$4:$G829},2,0),"")</f>
        <v>Chhavi Joshi</v>
      </c>
      <c r="B746" s="26" t="s">
        <v>3642</v>
      </c>
      <c r="C746" s="37">
        <v>46059.0</v>
      </c>
      <c r="D746" s="37">
        <v>46064.0</v>
      </c>
      <c r="E746" s="26" t="s">
        <v>3851</v>
      </c>
      <c r="F746" s="34" t="str">
        <f>VLOOKUP(B746,'On-Boarding'!C:D,2,0)</f>
        <v>Brand Marketing</v>
      </c>
      <c r="G746" s="59" t="s">
        <v>3875</v>
      </c>
      <c r="H746" s="48" t="s">
        <v>3876</v>
      </c>
      <c r="I746" s="26" t="s">
        <v>3856</v>
      </c>
      <c r="J746" s="31"/>
      <c r="K746" s="31"/>
      <c r="L746" s="31"/>
      <c r="M746" s="31"/>
      <c r="N746" s="31"/>
      <c r="O746" s="31"/>
      <c r="P746" s="31"/>
      <c r="Q746" s="31"/>
      <c r="R746" s="31"/>
      <c r="S746" s="26"/>
      <c r="T746" s="31" t="s">
        <v>3855</v>
      </c>
    </row>
    <row r="747">
      <c r="A747" s="26" t="str">
        <f t="array" ref="A747">IFERROR(VLOOKUP(B747,{Lists!$H$4:$H829,Lists!$G$4:$G829},2,0),"")</f>
        <v>Vijay Yadav</v>
      </c>
      <c r="B747" s="26" t="s">
        <v>2735</v>
      </c>
      <c r="C747" s="37">
        <v>46065.0</v>
      </c>
      <c r="D747" s="37">
        <v>46052.0</v>
      </c>
      <c r="E747" s="26" t="s">
        <v>3851</v>
      </c>
      <c r="F747" s="34" t="str">
        <f>VLOOKUP(B747,'On-Boarding'!C:D,2,0)</f>
        <v>Technology</v>
      </c>
      <c r="G747" s="59" t="s">
        <v>3875</v>
      </c>
      <c r="H747" s="48" t="s">
        <v>3876</v>
      </c>
      <c r="I747" s="26" t="s">
        <v>3856</v>
      </c>
      <c r="J747" s="31"/>
      <c r="K747" s="31"/>
      <c r="L747" s="31"/>
      <c r="M747" s="31"/>
      <c r="N747" s="31"/>
      <c r="O747" s="31"/>
      <c r="P747" s="31"/>
      <c r="Q747" s="31"/>
      <c r="R747" s="31"/>
      <c r="S747" s="26"/>
      <c r="T747" s="31" t="s">
        <v>3855</v>
      </c>
    </row>
    <row r="748">
      <c r="A748" s="26" t="str">
        <f t="array" ref="A748">IFERROR(VLOOKUP(B748,{Lists!$H$4:$H829,Lists!$G$4:$G829},2,0),"")</f>
        <v>Dhruv Adlakha</v>
      </c>
      <c r="B748" s="26" t="s">
        <v>2219</v>
      </c>
      <c r="C748" s="37">
        <v>46066.0</v>
      </c>
      <c r="D748" s="37">
        <v>46066.0</v>
      </c>
      <c r="E748" s="26" t="s">
        <v>4024</v>
      </c>
      <c r="F748" s="34" t="str">
        <f>VLOOKUP(B748,'On-Boarding'!C:D,2,0)</f>
        <v>Finance</v>
      </c>
      <c r="G748" s="62" t="s">
        <v>4011</v>
      </c>
      <c r="H748" s="48" t="s">
        <v>4012</v>
      </c>
      <c r="I748" s="26" t="s">
        <v>3856</v>
      </c>
      <c r="J748" s="31"/>
      <c r="K748" s="31"/>
      <c r="L748" s="31"/>
      <c r="M748" s="31"/>
      <c r="N748" s="31"/>
      <c r="O748" s="31"/>
      <c r="P748" s="31"/>
      <c r="Q748" s="31"/>
      <c r="R748" s="31"/>
      <c r="S748" s="26" t="s">
        <v>4025</v>
      </c>
      <c r="T748" s="31" t="s">
        <v>3855</v>
      </c>
    </row>
    <row r="749">
      <c r="A749" s="26" t="str">
        <f t="array" ref="A749">IFERROR(VLOOKUP(B749,{Lists!$H$4:$H829,Lists!$G$4:$G829},2,0),"")</f>
        <v>Shyam Sunder Verma</v>
      </c>
      <c r="B749" s="26" t="s">
        <v>2405</v>
      </c>
      <c r="C749" s="37">
        <v>46062.0</v>
      </c>
      <c r="D749" s="37">
        <v>46062.0</v>
      </c>
      <c r="E749" s="26"/>
      <c r="F749" s="34" t="str">
        <f>VLOOKUP(B749,'On-Boarding'!C:D,2,0)</f>
        <v>Org</v>
      </c>
      <c r="G749" s="59" t="s">
        <v>3875</v>
      </c>
      <c r="H749" s="48" t="s">
        <v>3876</v>
      </c>
      <c r="I749" s="26" t="s">
        <v>3856</v>
      </c>
      <c r="J749" s="31"/>
      <c r="K749" s="31"/>
      <c r="L749" s="31"/>
      <c r="M749" s="31"/>
      <c r="N749" s="31"/>
      <c r="O749" s="31"/>
      <c r="P749" s="31"/>
      <c r="Q749" s="31"/>
      <c r="R749" s="26" t="s">
        <v>3856</v>
      </c>
      <c r="S749" s="31"/>
      <c r="T749" s="31" t="s">
        <v>3855</v>
      </c>
    </row>
    <row r="750">
      <c r="A750" s="26" t="str">
        <f t="array" ref="A750">IFERROR(VLOOKUP(B750,{Lists!$H$4:$H829,Lists!$G$4:$G829},2,0),"")</f>
        <v>Shailja Tiwari</v>
      </c>
      <c r="B750" s="31" t="s">
        <v>2844</v>
      </c>
      <c r="C750" s="37">
        <v>46070.0</v>
      </c>
      <c r="D750" s="37">
        <v>46070.0</v>
      </c>
      <c r="E750" s="26" t="s">
        <v>4026</v>
      </c>
      <c r="F750" s="34" t="str">
        <f>VLOOKUP(B750,'On-Boarding'!C:D,2,0)</f>
        <v>P R &amp; Corporate Comms</v>
      </c>
      <c r="G750" s="59" t="s">
        <v>3875</v>
      </c>
      <c r="H750" s="48" t="s">
        <v>3876</v>
      </c>
      <c r="I750" s="26" t="s">
        <v>3856</v>
      </c>
      <c r="J750" s="31"/>
      <c r="K750" s="31"/>
      <c r="L750" s="31"/>
      <c r="M750" s="31"/>
      <c r="N750" s="31"/>
      <c r="O750" s="31"/>
      <c r="P750" s="31"/>
      <c r="Q750" s="31"/>
      <c r="R750" s="26" t="s">
        <v>3856</v>
      </c>
      <c r="S750" s="31"/>
      <c r="T750" s="31" t="s">
        <v>3855</v>
      </c>
    </row>
    <row r="751">
      <c r="A751" s="26" t="str">
        <f t="array" ref="A751">IFERROR(VLOOKUP(B751,{Lists!$H$4:$H829,Lists!$G$4:$G829},2,0),"")</f>
        <v>Deep Singh Mukhtiar</v>
      </c>
      <c r="B751" s="26" t="s">
        <v>3515</v>
      </c>
      <c r="C751" s="37">
        <v>46073.0</v>
      </c>
      <c r="D751" s="37">
        <v>46073.0</v>
      </c>
      <c r="E751" s="26" t="s">
        <v>4027</v>
      </c>
      <c r="F751" s="34" t="str">
        <f>VLOOKUP(B751,'On-Boarding'!C:D,2,0)</f>
        <v>Vertical Tv</v>
      </c>
      <c r="G751" s="59" t="s">
        <v>3875</v>
      </c>
      <c r="H751" s="48" t="s">
        <v>3876</v>
      </c>
      <c r="I751" s="26" t="s">
        <v>3856</v>
      </c>
      <c r="J751" s="26" t="s">
        <v>3854</v>
      </c>
      <c r="K751" s="31"/>
      <c r="L751" s="31"/>
      <c r="M751" s="26" t="s">
        <v>3854</v>
      </c>
      <c r="N751" s="31"/>
      <c r="O751" s="26" t="s">
        <v>3854</v>
      </c>
      <c r="P751" s="26" t="s">
        <v>3854</v>
      </c>
      <c r="Q751" s="31"/>
      <c r="R751" s="31"/>
      <c r="S751" s="31"/>
      <c r="T751" s="31" t="s">
        <v>4028</v>
      </c>
    </row>
    <row r="752">
      <c r="A752" s="26" t="str">
        <f t="array" ref="A752">IFERROR(VLOOKUP(B752,{Lists!$H$4:$H829,Lists!$G$4:$G829},2,0),"")</f>
        <v>Sparsh Agarwal</v>
      </c>
      <c r="B752" s="26" t="s">
        <v>2670</v>
      </c>
      <c r="C752" s="37">
        <v>46071.0</v>
      </c>
      <c r="D752" s="37">
        <v>46071.0</v>
      </c>
      <c r="E752" s="26" t="s">
        <v>3851</v>
      </c>
      <c r="F752" s="34" t="str">
        <f>VLOOKUP(B752,'On-Boarding'!C:D,2,0)</f>
        <v>Finance</v>
      </c>
      <c r="G752" s="59" t="s">
        <v>3875</v>
      </c>
      <c r="H752" s="48" t="s">
        <v>3876</v>
      </c>
      <c r="I752" s="26" t="s">
        <v>3856</v>
      </c>
      <c r="J752" s="26" t="s">
        <v>3856</v>
      </c>
      <c r="K752" s="31"/>
      <c r="L752" s="31"/>
      <c r="M752" s="26" t="s">
        <v>3854</v>
      </c>
      <c r="N752" s="26" t="s">
        <v>3854</v>
      </c>
      <c r="O752" s="26" t="s">
        <v>3854</v>
      </c>
      <c r="P752" s="26" t="s">
        <v>3854</v>
      </c>
      <c r="Q752" s="31"/>
      <c r="R752" s="31"/>
      <c r="S752" s="31"/>
      <c r="T752" s="31" t="s">
        <v>4028</v>
      </c>
    </row>
    <row r="753">
      <c r="A753" s="26" t="str">
        <f t="array" ref="A753">IFERROR(VLOOKUP(B753,{Lists!$H$4:$H829,Lists!$G$4:$G829},2,0),"")</f>
        <v>Yogendra Tiwari</v>
      </c>
      <c r="B753" s="26" t="s">
        <v>2842</v>
      </c>
      <c r="C753" s="37">
        <v>46080.0</v>
      </c>
      <c r="D753" s="37">
        <v>46080.0</v>
      </c>
      <c r="E753" s="26" t="s">
        <v>4029</v>
      </c>
      <c r="F753" s="34" t="str">
        <f>VLOOKUP(B753,'On-Boarding'!C:D,2,0)</f>
        <v>Technology</v>
      </c>
      <c r="G753" s="59" t="s">
        <v>3875</v>
      </c>
      <c r="H753" s="48" t="s">
        <v>3876</v>
      </c>
      <c r="I753" s="26" t="s">
        <v>3856</v>
      </c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 t="s">
        <v>4028</v>
      </c>
    </row>
    <row r="754">
      <c r="A754" s="26" t="str">
        <f t="array" ref="A754">IFERROR(VLOOKUP(B754,{Lists!$H$4:$H829,Lists!$G$4:$G829},2,0),"")</f>
        <v>Aashita Jain</v>
      </c>
      <c r="B754" s="26" t="s">
        <v>3589</v>
      </c>
      <c r="C754" s="37">
        <v>46077.0</v>
      </c>
      <c r="D754" s="37">
        <v>46077.0</v>
      </c>
      <c r="E754" s="26" t="s">
        <v>3851</v>
      </c>
      <c r="F754" s="34" t="str">
        <f>VLOOKUP(B754,'On-Boarding'!C:D,2,0)</f>
        <v>Digital Marketing</v>
      </c>
      <c r="G754" s="59" t="s">
        <v>3875</v>
      </c>
      <c r="H754" s="48" t="s">
        <v>3876</v>
      </c>
      <c r="I754" s="26" t="s">
        <v>3856</v>
      </c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 t="s">
        <v>4028</v>
      </c>
    </row>
    <row r="755">
      <c r="A755" s="26" t="str">
        <f t="array" ref="A755">IFERROR(VLOOKUP(B755,{Lists!$H$4:$H829,Lists!$G$4:$G829},2,0),"")</f>
        <v>Russell Dreisenstock</v>
      </c>
      <c r="B755" s="26" t="s">
        <v>2467</v>
      </c>
      <c r="C755" s="37">
        <v>46083.0</v>
      </c>
      <c r="D755" s="37">
        <v>46081.0</v>
      </c>
      <c r="E755" s="26"/>
      <c r="F755" s="34" t="str">
        <f>VLOOKUP(B755,'On-Boarding'!C:D,2,0)</f>
        <v>Technology</v>
      </c>
      <c r="G755" s="62" t="s">
        <v>4011</v>
      </c>
      <c r="H755" s="48" t="s">
        <v>4012</v>
      </c>
      <c r="I755" s="26" t="s">
        <v>3856</v>
      </c>
      <c r="J755" s="31"/>
      <c r="K755" s="31"/>
      <c r="L755" s="31"/>
      <c r="M755" s="31"/>
      <c r="N755" s="31"/>
      <c r="O755" s="31"/>
      <c r="P755" s="31"/>
      <c r="Q755" s="31"/>
      <c r="R755" s="31"/>
      <c r="S755" s="26" t="s">
        <v>4030</v>
      </c>
      <c r="T755" s="31" t="s">
        <v>4028</v>
      </c>
    </row>
    <row r="756">
      <c r="A756" s="26" t="str">
        <f t="array" ref="A756">IFERROR(VLOOKUP(B756,{Lists!$H$4:$H829,Lists!$G$4:$G829},2,0),"")</f>
        <v>Raghav Bansal</v>
      </c>
      <c r="B756" s="26" t="s">
        <v>2028</v>
      </c>
      <c r="C756" s="37">
        <v>46087.0</v>
      </c>
      <c r="D756" s="37">
        <v>46087.0</v>
      </c>
      <c r="E756" s="63">
        <v>46176.0</v>
      </c>
      <c r="F756" s="34" t="str">
        <f>VLOOKUP(B756,'On-Boarding'!C:D,2,0)</f>
        <v>Product</v>
      </c>
      <c r="G756" s="59" t="s">
        <v>3875</v>
      </c>
      <c r="H756" s="48" t="s">
        <v>3876</v>
      </c>
      <c r="I756" s="26" t="s">
        <v>3856</v>
      </c>
      <c r="J756" s="26" t="s">
        <v>3856</v>
      </c>
      <c r="K756" s="31"/>
      <c r="L756" s="26" t="s">
        <v>3854</v>
      </c>
      <c r="M756" s="26" t="s">
        <v>3856</v>
      </c>
      <c r="N756" s="26" t="s">
        <v>3854</v>
      </c>
      <c r="O756" s="26" t="s">
        <v>3854</v>
      </c>
      <c r="P756" s="26" t="s">
        <v>3854</v>
      </c>
      <c r="Q756" s="31"/>
      <c r="R756" s="26" t="s">
        <v>3856</v>
      </c>
      <c r="S756" s="31"/>
      <c r="T756" s="31" t="s">
        <v>4028</v>
      </c>
    </row>
    <row r="757">
      <c r="A757" s="26" t="str">
        <f t="array" ref="A757">IFERROR(VLOOKUP(B757,{Lists!$H$4:$H829,Lists!$G$4:$G829},2,0),"")</f>
        <v>Sawai Singh</v>
      </c>
      <c r="B757" s="26" t="s">
        <v>1875</v>
      </c>
      <c r="C757" s="37">
        <v>46087.0</v>
      </c>
      <c r="D757" s="37">
        <v>46087.0</v>
      </c>
      <c r="E757" s="63">
        <v>46176.0</v>
      </c>
      <c r="F757" s="34" t="str">
        <f>VLOOKUP(B757,'On-Boarding'!C:D,2,0)</f>
        <v>Technology</v>
      </c>
      <c r="G757" s="59" t="s">
        <v>3875</v>
      </c>
      <c r="H757" s="48" t="s">
        <v>3876</v>
      </c>
      <c r="I757" s="26" t="s">
        <v>3856</v>
      </c>
      <c r="J757" s="26" t="s">
        <v>3854</v>
      </c>
      <c r="K757" s="31"/>
      <c r="L757" s="26" t="s">
        <v>3854</v>
      </c>
      <c r="M757" s="26" t="s">
        <v>3854</v>
      </c>
      <c r="N757" s="26" t="s">
        <v>3854</v>
      </c>
      <c r="O757" s="26" t="s">
        <v>3856</v>
      </c>
      <c r="P757" s="26" t="s">
        <v>3856</v>
      </c>
      <c r="Q757" s="31"/>
      <c r="R757" s="31"/>
      <c r="S757" s="31"/>
      <c r="T757" s="31" t="s">
        <v>4028</v>
      </c>
    </row>
    <row r="758">
      <c r="A758" s="26" t="str">
        <f t="array" ref="A758">IFERROR(VLOOKUP(B758,{Lists!$H$4:$H829,Lists!$G$4:$G829},2,0),"")</f>
        <v>Abhinav Pant</v>
      </c>
      <c r="B758" s="26" t="s">
        <v>2975</v>
      </c>
      <c r="C758" s="37">
        <v>46085.0</v>
      </c>
      <c r="D758" s="37">
        <v>46085.0</v>
      </c>
      <c r="E758" s="26"/>
      <c r="F758" s="34" t="str">
        <f>VLOOKUP(B758,'On-Boarding'!C:D,2,0)</f>
        <v>Strategy</v>
      </c>
      <c r="G758" s="59" t="s">
        <v>3875</v>
      </c>
      <c r="H758" s="48" t="s">
        <v>3876</v>
      </c>
      <c r="I758" s="26" t="s">
        <v>3856</v>
      </c>
      <c r="J758" s="26" t="s">
        <v>3854</v>
      </c>
      <c r="K758" s="31"/>
      <c r="L758" s="26" t="s">
        <v>3854</v>
      </c>
      <c r="M758" s="26" t="s">
        <v>3854</v>
      </c>
      <c r="N758" s="26" t="s">
        <v>3854</v>
      </c>
      <c r="O758" s="26" t="s">
        <v>3854</v>
      </c>
      <c r="P758" s="26" t="s">
        <v>3854</v>
      </c>
      <c r="Q758" s="31"/>
      <c r="R758" s="26" t="s">
        <v>3856</v>
      </c>
      <c r="S758" s="31"/>
      <c r="T758" s="31" t="s">
        <v>4028</v>
      </c>
    </row>
    <row r="759">
      <c r="A759" s="26" t="str">
        <f t="array" ref="A759">IFERROR(VLOOKUP(B759,{Lists!$H$4:$H829,Lists!$G$4:$G829},2,0),"")</f>
        <v>Vamsidhar Yeddu</v>
      </c>
      <c r="B759" s="26" t="s">
        <v>2141</v>
      </c>
      <c r="C759" s="37">
        <v>46090.0</v>
      </c>
      <c r="D759" s="37">
        <v>46090.0</v>
      </c>
      <c r="E759" s="63">
        <v>46268.0</v>
      </c>
      <c r="F759" s="34" t="str">
        <f>VLOOKUP(B759,'On-Boarding'!C:D,2,0)</f>
        <v>Technology</v>
      </c>
      <c r="G759" s="59" t="s">
        <v>3875</v>
      </c>
      <c r="H759" s="48" t="s">
        <v>3876</v>
      </c>
      <c r="I759" s="26" t="s">
        <v>3856</v>
      </c>
      <c r="J759" s="26" t="s">
        <v>3854</v>
      </c>
      <c r="K759" s="31"/>
      <c r="L759" s="31"/>
      <c r="M759" s="26" t="s">
        <v>3854</v>
      </c>
      <c r="N759" s="31"/>
      <c r="O759" s="26" t="s">
        <v>3856</v>
      </c>
      <c r="P759" s="26" t="s">
        <v>3856</v>
      </c>
      <c r="Q759" s="31"/>
      <c r="R759" s="31"/>
      <c r="S759" s="31"/>
      <c r="T759" s="31" t="s">
        <v>4028</v>
      </c>
    </row>
    <row r="760">
      <c r="A760" s="26" t="str">
        <f t="array" ref="A760">IFERROR(VLOOKUP(B760,{Lists!$H$4:$H829,Lists!$G$4:$G829},2,0),"")</f>
        <v>Aman Gupta</v>
      </c>
      <c r="B760" s="26" t="s">
        <v>1116</v>
      </c>
      <c r="C760" s="37">
        <v>46090.0</v>
      </c>
      <c r="D760" s="37">
        <v>46090.0</v>
      </c>
      <c r="E760" s="63">
        <v>46268.0</v>
      </c>
      <c r="F760" s="34" t="str">
        <f>VLOOKUP(B760,'On-Boarding'!C:D,2,0)</f>
        <v>Technology</v>
      </c>
      <c r="G760" s="59" t="s">
        <v>3875</v>
      </c>
      <c r="H760" s="48" t="s">
        <v>3876</v>
      </c>
      <c r="I760" s="26" t="s">
        <v>3856</v>
      </c>
      <c r="J760" s="26" t="s">
        <v>3854</v>
      </c>
      <c r="K760" s="31"/>
      <c r="L760" s="31"/>
      <c r="M760" s="26" t="s">
        <v>3854</v>
      </c>
      <c r="N760" s="31"/>
      <c r="O760" s="26" t="s">
        <v>3854</v>
      </c>
      <c r="P760" s="26" t="s">
        <v>3854</v>
      </c>
      <c r="Q760" s="31"/>
      <c r="R760" s="26" t="s">
        <v>3856</v>
      </c>
      <c r="S760" s="31"/>
      <c r="T760" s="31" t="s">
        <v>4028</v>
      </c>
    </row>
    <row r="761">
      <c r="A761" s="26" t="str">
        <f t="array" ref="A761">IFERROR(VLOOKUP(B761,{Lists!$H$4:$H829,Lists!$G$4:$G829},2,0),"")</f>
        <v>M Sangeetha</v>
      </c>
      <c r="B761" s="31" t="s">
        <v>1315</v>
      </c>
      <c r="C761" s="37">
        <v>46090.0</v>
      </c>
      <c r="D761" s="37">
        <v>46090.0</v>
      </c>
      <c r="E761" s="26"/>
      <c r="F761" s="31" t="s">
        <v>25</v>
      </c>
      <c r="G761" s="62" t="s">
        <v>4011</v>
      </c>
      <c r="H761" s="48" t="s">
        <v>4012</v>
      </c>
      <c r="I761" s="26" t="s">
        <v>3856</v>
      </c>
      <c r="J761" s="26" t="s">
        <v>3856</v>
      </c>
      <c r="K761" s="31"/>
      <c r="L761" s="31"/>
      <c r="M761" s="26" t="s">
        <v>3856</v>
      </c>
      <c r="N761" s="26" t="s">
        <v>3854</v>
      </c>
      <c r="O761" s="26" t="s">
        <v>3854</v>
      </c>
      <c r="P761" s="26" t="s">
        <v>3854</v>
      </c>
      <c r="Q761" s="31"/>
      <c r="R761" s="31"/>
      <c r="S761" s="31"/>
      <c r="T761" s="31" t="s">
        <v>4028</v>
      </c>
    </row>
    <row r="762">
      <c r="A762" s="26" t="str">
        <f t="array" ref="A762">IFERROR(VLOOKUP(B762,{Lists!$H$4:$H829,Lists!$G$4:$G829},2,0),"")</f>
        <v>Sanchi Gupta</v>
      </c>
      <c r="B762" s="26" t="s">
        <v>2341</v>
      </c>
      <c r="C762" s="37">
        <v>46112.0</v>
      </c>
      <c r="D762" s="37">
        <v>46112.0</v>
      </c>
      <c r="E762" s="26" t="s">
        <v>3851</v>
      </c>
      <c r="F762" s="31"/>
      <c r="G762" s="62" t="s">
        <v>4011</v>
      </c>
      <c r="H762" s="48" t="s">
        <v>4012</v>
      </c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 t="s">
        <v>4028</v>
      </c>
    </row>
    <row r="763">
      <c r="A763" s="26" t="str">
        <f t="array" ref="A763">IFERROR(VLOOKUP(B763,{Lists!$H$4:$H829,Lists!$G$4:$G829},2,0),"")</f>
        <v>Amogh Babbar</v>
      </c>
      <c r="B763" s="26" t="s">
        <v>1953</v>
      </c>
      <c r="C763" s="37">
        <v>46113.0</v>
      </c>
      <c r="D763" s="37">
        <v>46113.0</v>
      </c>
      <c r="E763" s="26" t="s">
        <v>3851</v>
      </c>
      <c r="F763" s="31"/>
      <c r="G763" s="62" t="s">
        <v>4011</v>
      </c>
      <c r="H763" s="48" t="s">
        <v>4012</v>
      </c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 t="s">
        <v>4028</v>
      </c>
    </row>
    <row r="764">
      <c r="A764" s="26" t="str">
        <f t="array" ref="A764">IFERROR(VLOOKUP(B764,{Lists!$H$4:$H829,Lists!$G$4:$G829},2,0),"")</f>
        <v>Himanshu Barsiwal</v>
      </c>
      <c r="B764" s="26" t="s">
        <v>2127</v>
      </c>
      <c r="C764" s="37">
        <v>46101.0</v>
      </c>
      <c r="D764" s="37">
        <v>46101.0</v>
      </c>
      <c r="E764" s="26" t="s">
        <v>3851</v>
      </c>
      <c r="F764" s="31"/>
      <c r="G764" s="62" t="s">
        <v>4011</v>
      </c>
      <c r="H764" s="48" t="s">
        <v>4012</v>
      </c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 t="s">
        <v>4028</v>
      </c>
    </row>
    <row r="765">
      <c r="A765" s="26" t="str">
        <f t="array" ref="A765">IFERROR(VLOOKUP(B765,{Lists!$H$4:$H829,Lists!$G$4:$G829},2,0),"")</f>
        <v/>
      </c>
      <c r="B765" s="26"/>
      <c r="C765" s="37"/>
      <c r="D765" s="37"/>
      <c r="E765" s="26"/>
      <c r="F765" s="31"/>
      <c r="H765" s="65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 t="s">
        <v>78</v>
      </c>
    </row>
    <row r="766">
      <c r="A766" s="26" t="str">
        <f t="array" ref="A766">IFERROR(VLOOKUP(B766,{Lists!$H$4:$H829,Lists!$G$4:$G829},2,0),"")</f>
        <v/>
      </c>
      <c r="B766" s="26"/>
      <c r="C766" s="37"/>
      <c r="D766" s="37"/>
      <c r="E766" s="26"/>
      <c r="F766" s="31"/>
      <c r="H766" s="65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 t="s">
        <v>78</v>
      </c>
    </row>
    <row r="767">
      <c r="A767" s="26" t="str">
        <f t="array" ref="A767">IFERROR(VLOOKUP(B767,{Lists!$H$4:$H829,Lists!$G$4:$G829},2,0),"")</f>
        <v/>
      </c>
      <c r="B767" s="26"/>
      <c r="C767" s="37"/>
      <c r="D767" s="37"/>
      <c r="E767" s="26"/>
      <c r="F767" s="31"/>
      <c r="H767" s="65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 t="s">
        <v>78</v>
      </c>
    </row>
    <row r="768">
      <c r="A768" s="26" t="str">
        <f t="array" ref="A768">IFERROR(VLOOKUP(B768,{Lists!$H$4:$H829,Lists!$G$4:$G829},2,0),"")</f>
        <v/>
      </c>
      <c r="B768" s="26"/>
      <c r="C768" s="37"/>
      <c r="D768" s="37"/>
      <c r="E768" s="26"/>
      <c r="F768" s="31"/>
      <c r="H768" s="65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 t="s">
        <v>78</v>
      </c>
    </row>
    <row r="769">
      <c r="A769" s="26" t="str">
        <f t="array" ref="A769">IFERROR(VLOOKUP(B769,{Lists!$H$4:$H829,Lists!$G$4:$G829},2,0),"")</f>
        <v/>
      </c>
      <c r="B769" s="26"/>
      <c r="C769" s="37"/>
      <c r="D769" s="37"/>
      <c r="E769" s="26"/>
      <c r="F769" s="31"/>
      <c r="H769" s="65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 t="s">
        <v>78</v>
      </c>
    </row>
    <row r="770">
      <c r="A770" s="26" t="str">
        <f t="array" ref="A770">IFERROR(VLOOKUP(B770,{Lists!$H$4:$H829,Lists!$G$4:$G829},2,0),"")</f>
        <v/>
      </c>
      <c r="B770" s="26"/>
      <c r="C770" s="37"/>
      <c r="D770" s="37"/>
      <c r="E770" s="26"/>
      <c r="F770" s="31"/>
      <c r="H770" s="65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 t="s">
        <v>78</v>
      </c>
    </row>
    <row r="771">
      <c r="A771" s="26" t="str">
        <f t="array" ref="A771">IFERROR(VLOOKUP(B771,{Lists!$H$4:$H829,Lists!$G$4:$G829},2,0),"")</f>
        <v/>
      </c>
      <c r="B771" s="26"/>
      <c r="C771" s="37"/>
      <c r="D771" s="37"/>
      <c r="E771" s="26"/>
      <c r="F771" s="31"/>
      <c r="H771" s="65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 t="s">
        <v>78</v>
      </c>
    </row>
    <row r="772">
      <c r="A772" s="26" t="str">
        <f t="array" ref="A772">IFERROR(VLOOKUP(B772,{Lists!$H$4:$H829,Lists!$G$4:$G829},2,0),"")</f>
        <v/>
      </c>
      <c r="B772" s="26"/>
      <c r="C772" s="37"/>
      <c r="D772" s="37"/>
      <c r="E772" s="26"/>
      <c r="F772" s="31"/>
      <c r="H772" s="65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 t="s">
        <v>78</v>
      </c>
    </row>
    <row r="773">
      <c r="A773" s="26" t="str">
        <f t="array" ref="A773">IFERROR(VLOOKUP(B773,{Lists!$H$4:$H829,Lists!$G$4:$G829},2,0),"")</f>
        <v/>
      </c>
      <c r="B773" s="26"/>
      <c r="C773" s="37"/>
      <c r="D773" s="37"/>
      <c r="E773" s="26"/>
      <c r="F773" s="31"/>
      <c r="H773" s="65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 t="s">
        <v>78</v>
      </c>
    </row>
    <row r="774">
      <c r="A774" s="26" t="str">
        <f t="array" ref="A774">IFERROR(VLOOKUP(B774,{Lists!$H$4:$H829,Lists!$G$4:$G829},2,0),"")</f>
        <v/>
      </c>
      <c r="B774" s="26"/>
      <c r="C774" s="37"/>
      <c r="D774" s="37"/>
      <c r="E774" s="26"/>
      <c r="F774" s="31"/>
      <c r="H774" s="65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 t="s">
        <v>78</v>
      </c>
    </row>
    <row r="775">
      <c r="A775" s="26" t="str">
        <f t="array" ref="A775">IFERROR(VLOOKUP(B775,{Lists!$H$4:$H829,Lists!$G$4:$G829},2,0),"")</f>
        <v/>
      </c>
      <c r="B775" s="26"/>
      <c r="C775" s="37"/>
      <c r="D775" s="37"/>
      <c r="E775" s="26"/>
      <c r="F775" s="31"/>
      <c r="H775" s="65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 t="s">
        <v>78</v>
      </c>
    </row>
    <row r="776">
      <c r="A776" s="26" t="str">
        <f t="array" ref="A776">IFERROR(VLOOKUP(B776,{Lists!$H$4:$H829,Lists!$G$4:$G829},2,0),"")</f>
        <v/>
      </c>
      <c r="B776" s="26"/>
      <c r="C776" s="37"/>
      <c r="D776" s="37"/>
      <c r="E776" s="26"/>
      <c r="F776" s="31"/>
      <c r="H776" s="65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 t="s">
        <v>78</v>
      </c>
    </row>
    <row r="777">
      <c r="A777" s="26" t="str">
        <f t="array" ref="A777">IFERROR(VLOOKUP(B777,{Lists!$H$4:$H829,Lists!$G$4:$G829},2,0),"")</f>
        <v/>
      </c>
      <c r="B777" s="26"/>
      <c r="C777" s="37"/>
      <c r="D777" s="37"/>
      <c r="E777" s="26"/>
      <c r="F777" s="31"/>
      <c r="H777" s="65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 t="s">
        <v>78</v>
      </c>
    </row>
    <row r="778">
      <c r="A778" s="26" t="str">
        <f t="array" ref="A778">IFERROR(VLOOKUP(B778,{Lists!$H$4:$H829,Lists!$G$4:$G829},2,0),"")</f>
        <v/>
      </c>
      <c r="B778" s="26"/>
      <c r="C778" s="37"/>
      <c r="D778" s="37"/>
      <c r="E778" s="26"/>
      <c r="F778" s="31"/>
      <c r="H778" s="65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 t="s">
        <v>78</v>
      </c>
    </row>
    <row r="779">
      <c r="A779" s="26" t="str">
        <f t="array" ref="A779">IFERROR(VLOOKUP(B779,{Lists!$H$4:$H829,Lists!$G$4:$G829},2,0),"")</f>
        <v/>
      </c>
      <c r="B779" s="26"/>
      <c r="C779" s="37"/>
      <c r="D779" s="37"/>
      <c r="E779" s="26"/>
      <c r="F779" s="31"/>
      <c r="H779" s="65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 t="s">
        <v>78</v>
      </c>
    </row>
    <row r="780">
      <c r="A780" s="26" t="str">
        <f t="array" ref="A780">IFERROR(VLOOKUP(B780,{Lists!$H$4:$H829,Lists!$G$4:$G829},2,0),"")</f>
        <v/>
      </c>
      <c r="B780" s="26"/>
      <c r="C780" s="37"/>
      <c r="D780" s="37"/>
      <c r="E780" s="26"/>
      <c r="F780" s="31"/>
      <c r="H780" s="65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 t="s">
        <v>78</v>
      </c>
    </row>
    <row r="781">
      <c r="A781" s="26" t="str">
        <f t="array" ref="A781">IFERROR(VLOOKUP(B781,{Lists!$H$4:$H829,Lists!$G$4:$G829},2,0),"")</f>
        <v/>
      </c>
      <c r="B781" s="26"/>
      <c r="C781" s="37"/>
      <c r="D781" s="37"/>
      <c r="E781" s="26"/>
      <c r="F781" s="31"/>
      <c r="H781" s="65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 t="s">
        <v>78</v>
      </c>
    </row>
    <row r="782">
      <c r="A782" s="26" t="str">
        <f t="array" ref="A782">IFERROR(VLOOKUP(B782,{Lists!$H$4:$H829,Lists!$G$4:$G829},2,0),"")</f>
        <v/>
      </c>
      <c r="B782" s="26"/>
      <c r="C782" s="37"/>
      <c r="D782" s="37"/>
      <c r="E782" s="26"/>
      <c r="F782" s="31"/>
      <c r="H782" s="65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 t="s">
        <v>78</v>
      </c>
    </row>
    <row r="783">
      <c r="A783" s="26" t="str">
        <f t="array" ref="A783">IFERROR(VLOOKUP(B783,{Lists!$H$4:$H829,Lists!$G$4:$G829},2,0),"")</f>
        <v/>
      </c>
      <c r="B783" s="26"/>
      <c r="C783" s="37"/>
      <c r="D783" s="37"/>
      <c r="E783" s="26"/>
      <c r="F783" s="31"/>
      <c r="H783" s="65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 t="s">
        <v>78</v>
      </c>
    </row>
    <row r="784">
      <c r="A784" s="26" t="str">
        <f t="array" ref="A784">IFERROR(VLOOKUP(B784,{Lists!$H$4:$H829,Lists!$G$4:$G829},2,0),"")</f>
        <v/>
      </c>
      <c r="B784" s="26"/>
      <c r="C784" s="37"/>
      <c r="D784" s="37"/>
      <c r="E784" s="26"/>
      <c r="F784" s="31"/>
      <c r="H784" s="65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 t="s">
        <v>78</v>
      </c>
    </row>
    <row r="785">
      <c r="A785" s="26" t="str">
        <f t="array" ref="A785">IFERROR(VLOOKUP(B785,{Lists!$H$4:$H829,Lists!$G$4:$G829},2,0),"")</f>
        <v/>
      </c>
      <c r="B785" s="26"/>
      <c r="C785" s="37"/>
      <c r="D785" s="37"/>
      <c r="E785" s="26"/>
      <c r="F785" s="31"/>
      <c r="H785" s="65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 t="s">
        <v>78</v>
      </c>
    </row>
    <row r="786">
      <c r="A786" s="26" t="str">
        <f t="array" ref="A786">IFERROR(VLOOKUP(B786,{Lists!$H$4:$H829,Lists!$G$4:$G829},2,0),"")</f>
        <v/>
      </c>
      <c r="B786" s="26"/>
      <c r="C786" s="37"/>
      <c r="D786" s="37"/>
      <c r="E786" s="26"/>
      <c r="F786" s="31"/>
      <c r="H786" s="65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 t="s">
        <v>78</v>
      </c>
    </row>
    <row r="787">
      <c r="A787" s="26" t="str">
        <f t="array" ref="A787">IFERROR(VLOOKUP(B787,{Lists!$H$4:$H829,Lists!$G$4:$G829},2,0),"")</f>
        <v/>
      </c>
      <c r="B787" s="26"/>
      <c r="C787" s="37"/>
      <c r="D787" s="37"/>
      <c r="E787" s="26"/>
      <c r="F787" s="31"/>
      <c r="H787" s="65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 t="s">
        <v>78</v>
      </c>
    </row>
    <row r="788">
      <c r="A788" s="26" t="str">
        <f t="array" ref="A788">IFERROR(VLOOKUP(B788,{Lists!$H$4:$H829,Lists!$G$4:$G829},2,0),"")</f>
        <v/>
      </c>
      <c r="B788" s="26"/>
      <c r="C788" s="37"/>
      <c r="D788" s="37"/>
      <c r="E788" s="26"/>
      <c r="F788" s="31"/>
      <c r="H788" s="65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 t="s">
        <v>78</v>
      </c>
    </row>
    <row r="789">
      <c r="A789" s="26" t="str">
        <f t="array" ref="A789">IFERROR(VLOOKUP(B789,{Lists!$H$4:$H829,Lists!$G$4:$G829},2,0),"")</f>
        <v/>
      </c>
      <c r="B789" s="26"/>
      <c r="C789" s="37"/>
      <c r="D789" s="37"/>
      <c r="E789" s="26"/>
      <c r="F789" s="31"/>
      <c r="H789" s="65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 t="s">
        <v>78</v>
      </c>
    </row>
    <row r="790">
      <c r="A790" s="26" t="str">
        <f t="array" ref="A790">IFERROR(VLOOKUP(B790,{Lists!$H$4:$H829,Lists!$G$4:$G829},2,0),"")</f>
        <v/>
      </c>
      <c r="B790" s="26"/>
      <c r="C790" s="37"/>
      <c r="D790" s="37"/>
      <c r="E790" s="26"/>
      <c r="F790" s="31"/>
      <c r="H790" s="65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 t="s">
        <v>78</v>
      </c>
    </row>
    <row r="791">
      <c r="A791" s="26" t="str">
        <f t="array" ref="A791">IFERROR(VLOOKUP(B791,{Lists!$H$4:$H829,Lists!$G$4:$G829},2,0),"")</f>
        <v/>
      </c>
      <c r="B791" s="26"/>
      <c r="C791" s="37"/>
      <c r="D791" s="37"/>
      <c r="E791" s="26"/>
      <c r="F791" s="31"/>
      <c r="H791" s="65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 t="s">
        <v>78</v>
      </c>
    </row>
    <row r="792">
      <c r="A792" s="26" t="str">
        <f t="array" ref="A792">IFERROR(VLOOKUP(B792,{Lists!$H$4:$H829,Lists!$G$4:$G829},2,0),"")</f>
        <v/>
      </c>
      <c r="B792" s="26"/>
      <c r="C792" s="37"/>
      <c r="D792" s="37"/>
      <c r="E792" s="26"/>
      <c r="F792" s="31"/>
      <c r="H792" s="65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 t="s">
        <v>78</v>
      </c>
    </row>
    <row r="793">
      <c r="A793" s="26" t="str">
        <f t="array" ref="A793">IFERROR(VLOOKUP(B793,{Lists!$H$4:$H829,Lists!$G$4:$G829},2,0),"")</f>
        <v/>
      </c>
      <c r="B793" s="26"/>
      <c r="C793" s="37"/>
      <c r="D793" s="37"/>
      <c r="E793" s="26"/>
      <c r="F793" s="31"/>
      <c r="H793" s="65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 t="s">
        <v>78</v>
      </c>
    </row>
    <row r="794">
      <c r="A794" s="26" t="str">
        <f t="array" ref="A794">IFERROR(VLOOKUP(B794,{Lists!$H$4:$H829,Lists!$G$4:$G829},2,0),"")</f>
        <v/>
      </c>
      <c r="B794" s="26"/>
      <c r="C794" s="37"/>
      <c r="D794" s="37"/>
      <c r="E794" s="26"/>
      <c r="F794" s="31"/>
      <c r="H794" s="65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 t="s">
        <v>78</v>
      </c>
    </row>
    <row r="795">
      <c r="A795" s="26" t="str">
        <f t="array" ref="A795">IFERROR(VLOOKUP(B795,{Lists!$H$4:$H829,Lists!$G$4:$G829},2,0),"")</f>
        <v/>
      </c>
      <c r="B795" s="26"/>
      <c r="C795" s="37"/>
      <c r="D795" s="37"/>
      <c r="E795" s="26"/>
      <c r="F795" s="31"/>
      <c r="H795" s="65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 t="s">
        <v>78</v>
      </c>
    </row>
    <row r="796">
      <c r="A796" s="26" t="str">
        <f t="array" ref="A796">IFERROR(VLOOKUP(B796,{Lists!$H$4:$H829,Lists!$G$4:$G829},2,0),"")</f>
        <v/>
      </c>
      <c r="B796" s="26"/>
      <c r="C796" s="37"/>
      <c r="D796" s="37"/>
      <c r="E796" s="26"/>
      <c r="F796" s="31"/>
      <c r="H796" s="65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 t="s">
        <v>78</v>
      </c>
    </row>
    <row r="797">
      <c r="A797" s="26" t="str">
        <f t="array" ref="A797">IFERROR(VLOOKUP(B797,{Lists!$H$4:$H829,Lists!$G$4:$G829},2,0),"")</f>
        <v/>
      </c>
      <c r="B797" s="26"/>
      <c r="C797" s="37"/>
      <c r="D797" s="37"/>
      <c r="E797" s="26"/>
      <c r="F797" s="31"/>
      <c r="H797" s="65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 t="s">
        <v>78</v>
      </c>
    </row>
    <row r="798">
      <c r="A798" s="26" t="str">
        <f t="array" ref="A798">IFERROR(VLOOKUP(B798,{Lists!$H$4:$H829,Lists!$G$4:$G829},2,0),"")</f>
        <v/>
      </c>
      <c r="B798" s="26"/>
      <c r="C798" s="37"/>
      <c r="D798" s="37"/>
      <c r="E798" s="26"/>
      <c r="F798" s="31"/>
      <c r="H798" s="65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 t="s">
        <v>78</v>
      </c>
    </row>
    <row r="799">
      <c r="A799" s="26" t="str">
        <f t="array" ref="A799">IFERROR(VLOOKUP(B799,{Lists!$H$4:$H829,Lists!$G$4:$G829},2,0),"")</f>
        <v/>
      </c>
      <c r="B799" s="26"/>
      <c r="C799" s="37"/>
      <c r="D799" s="37"/>
      <c r="E799" s="26"/>
      <c r="F799" s="31"/>
      <c r="H799" s="65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 t="s">
        <v>78</v>
      </c>
    </row>
    <row r="800">
      <c r="A800" s="26" t="str">
        <f t="array" ref="A800">IFERROR(VLOOKUP(B800,{Lists!$H$4:$H829,Lists!$G$4:$G829},2,0),"")</f>
        <v/>
      </c>
      <c r="B800" s="26"/>
      <c r="C800" s="37"/>
      <c r="D800" s="37"/>
      <c r="E800" s="26"/>
      <c r="F800" s="31"/>
      <c r="H800" s="65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 t="s">
        <v>78</v>
      </c>
    </row>
    <row r="801">
      <c r="A801" s="26" t="str">
        <f t="array" ref="A801">IFERROR(VLOOKUP(B801,{Lists!$H$4:$H829,Lists!$G$4:$G829},2,0),"")</f>
        <v/>
      </c>
      <c r="B801" s="26"/>
      <c r="C801" s="37"/>
      <c r="D801" s="37"/>
      <c r="E801" s="26"/>
      <c r="F801" s="31"/>
      <c r="H801" s="65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 t="s">
        <v>78</v>
      </c>
    </row>
    <row r="802">
      <c r="A802" s="26" t="str">
        <f t="array" ref="A802">IFERROR(VLOOKUP(B802,{Lists!$H$4:$H829,Lists!$G$4:$G829},2,0),"")</f>
        <v/>
      </c>
      <c r="B802" s="26"/>
      <c r="C802" s="37"/>
      <c r="D802" s="37"/>
      <c r="E802" s="26"/>
      <c r="F802" s="31"/>
      <c r="H802" s="65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 t="s">
        <v>78</v>
      </c>
    </row>
    <row r="803">
      <c r="A803" s="26" t="str">
        <f t="array" ref="A803">IFERROR(VLOOKUP(B803,{Lists!$H$4:$H829,Lists!$G$4:$G829},2,0),"")</f>
        <v/>
      </c>
      <c r="B803" s="26"/>
      <c r="C803" s="37"/>
      <c r="D803" s="37"/>
      <c r="E803" s="26"/>
      <c r="F803" s="31"/>
      <c r="H803" s="65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 t="s">
        <v>78</v>
      </c>
    </row>
    <row r="804">
      <c r="A804" s="26" t="str">
        <f t="array" ref="A804">IFERROR(VLOOKUP(B804,{Lists!$H$4:$H829,Lists!$G$4:$G829},2,0),"")</f>
        <v/>
      </c>
      <c r="B804" s="26"/>
      <c r="C804" s="37"/>
      <c r="D804" s="37"/>
      <c r="E804" s="26"/>
      <c r="F804" s="31"/>
      <c r="H804" s="65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 t="s">
        <v>78</v>
      </c>
    </row>
    <row r="805">
      <c r="A805" s="26" t="str">
        <f t="array" ref="A805">IFERROR(VLOOKUP(B805,{Lists!$H$4:$H829,Lists!$G$4:$G829},2,0),"")</f>
        <v/>
      </c>
      <c r="B805" s="26"/>
      <c r="C805" s="37"/>
      <c r="D805" s="37"/>
      <c r="E805" s="26"/>
      <c r="F805" s="31"/>
      <c r="H805" s="65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 t="s">
        <v>78</v>
      </c>
    </row>
    <row r="806">
      <c r="A806" s="26" t="str">
        <f t="array" ref="A806">IFERROR(VLOOKUP(B806,{Lists!$H$4:$H829,Lists!$G$4:$G829},2,0),"")</f>
        <v/>
      </c>
      <c r="B806" s="26"/>
      <c r="C806" s="37"/>
      <c r="D806" s="37"/>
      <c r="E806" s="26"/>
      <c r="F806" s="31"/>
      <c r="H806" s="65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 t="s">
        <v>78</v>
      </c>
    </row>
    <row r="807">
      <c r="A807" s="26" t="str">
        <f t="array" ref="A807">IFERROR(VLOOKUP(B807,{Lists!$H$4:$H829,Lists!$G$4:$G829},2,0),"")</f>
        <v/>
      </c>
      <c r="B807" s="26"/>
      <c r="C807" s="37"/>
      <c r="D807" s="37"/>
      <c r="E807" s="26"/>
      <c r="F807" s="31"/>
      <c r="H807" s="65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 t="s">
        <v>78</v>
      </c>
    </row>
    <row r="808">
      <c r="A808" s="26" t="str">
        <f t="array" ref="A808">IFERROR(VLOOKUP(B808,{Lists!$H$4:$H829,Lists!$G$4:$G829},2,0),"")</f>
        <v/>
      </c>
      <c r="B808" s="26"/>
      <c r="C808" s="37"/>
      <c r="D808" s="37"/>
      <c r="E808" s="26"/>
      <c r="F808" s="31"/>
      <c r="H808" s="65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 t="s">
        <v>78</v>
      </c>
    </row>
    <row r="809">
      <c r="A809" s="26" t="str">
        <f t="array" ref="A809">IFERROR(VLOOKUP(B809,{Lists!$H$4:$H829,Lists!$G$4:$G829},2,0),"")</f>
        <v/>
      </c>
      <c r="B809" s="26"/>
      <c r="C809" s="37"/>
      <c r="D809" s="37"/>
      <c r="E809" s="26"/>
      <c r="F809" s="31"/>
      <c r="H809" s="65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 t="s">
        <v>78</v>
      </c>
    </row>
    <row r="810">
      <c r="A810" s="26" t="str">
        <f t="array" ref="A810">IFERROR(VLOOKUP(B810,{Lists!$H$4:$H829,Lists!$G$4:$G829},2,0),"")</f>
        <v/>
      </c>
      <c r="B810" s="26"/>
      <c r="C810" s="37"/>
      <c r="D810" s="37"/>
      <c r="E810" s="26"/>
      <c r="F810" s="31"/>
      <c r="H810" s="65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 t="s">
        <v>78</v>
      </c>
    </row>
    <row r="811">
      <c r="A811" s="26" t="str">
        <f t="array" ref="A811">IFERROR(VLOOKUP(B811,{Lists!$H$4:$H829,Lists!$G$4:$G829},2,0),"")</f>
        <v/>
      </c>
      <c r="B811" s="26"/>
      <c r="C811" s="37"/>
      <c r="D811" s="37"/>
      <c r="E811" s="26"/>
      <c r="F811" s="31"/>
      <c r="H811" s="65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 t="s">
        <v>78</v>
      </c>
    </row>
    <row r="812">
      <c r="A812" s="26" t="str">
        <f t="array" ref="A812">IFERROR(VLOOKUP(B812,{Lists!$H$4:$H829,Lists!$G$4:$G829},2,0),"")</f>
        <v/>
      </c>
      <c r="B812" s="26"/>
      <c r="C812" s="37"/>
      <c r="D812" s="37"/>
      <c r="E812" s="26"/>
      <c r="F812" s="31"/>
      <c r="H812" s="65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 t="s">
        <v>78</v>
      </c>
    </row>
    <row r="813">
      <c r="A813" s="26" t="str">
        <f t="array" ref="A813">IFERROR(VLOOKUP(B813,{Lists!$H$4:$H829,Lists!$G$4:$G829},2,0),"")</f>
        <v/>
      </c>
      <c r="B813" s="26"/>
      <c r="C813" s="37"/>
      <c r="D813" s="37"/>
      <c r="E813" s="26"/>
      <c r="F813" s="31"/>
      <c r="H813" s="65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 t="s">
        <v>78</v>
      </c>
    </row>
    <row r="814">
      <c r="A814" s="26" t="str">
        <f t="array" ref="A814">IFERROR(VLOOKUP(B814,{Lists!$H$4:$H829,Lists!$G$4:$G829},2,0),"")</f>
        <v/>
      </c>
      <c r="B814" s="26"/>
      <c r="C814" s="37"/>
      <c r="D814" s="37"/>
      <c r="E814" s="26"/>
      <c r="F814" s="31"/>
      <c r="H814" s="65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 t="s">
        <v>78</v>
      </c>
    </row>
    <row r="815">
      <c r="A815" s="26" t="str">
        <f t="array" ref="A815">IFERROR(VLOOKUP(B815,{Lists!$H$4:$H829,Lists!$G$4:$G829},2,0),"")</f>
        <v/>
      </c>
      <c r="B815" s="26"/>
      <c r="C815" s="37"/>
      <c r="D815" s="37"/>
      <c r="E815" s="26"/>
      <c r="F815" s="31"/>
      <c r="H815" s="65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 t="s">
        <v>78</v>
      </c>
    </row>
    <row r="816">
      <c r="A816" s="26" t="str">
        <f t="array" ref="A816">IFERROR(VLOOKUP(B816,{Lists!$H$4:$H829,Lists!$G$4:$G829},2,0),"")</f>
        <v/>
      </c>
      <c r="B816" s="26"/>
      <c r="C816" s="37"/>
      <c r="D816" s="37"/>
      <c r="E816" s="26"/>
      <c r="F816" s="31"/>
      <c r="H816" s="65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 t="s">
        <v>78</v>
      </c>
    </row>
    <row r="817">
      <c r="A817" s="26" t="str">
        <f t="array" ref="A817">IFERROR(VLOOKUP(B817,{Lists!$H$4:$H829,Lists!$G$4:$G829},2,0),"")</f>
        <v/>
      </c>
      <c r="B817" s="26"/>
      <c r="C817" s="37"/>
      <c r="D817" s="37"/>
      <c r="E817" s="26"/>
      <c r="F817" s="31"/>
      <c r="H817" s="65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 t="s">
        <v>78</v>
      </c>
    </row>
    <row r="818">
      <c r="A818" s="26" t="str">
        <f t="array" ref="A818">IFERROR(VLOOKUP(B818,{Lists!$H$4:$H829,Lists!$G$4:$G829},2,0),"")</f>
        <v/>
      </c>
      <c r="B818" s="26"/>
      <c r="C818" s="37"/>
      <c r="D818" s="37"/>
      <c r="E818" s="26"/>
      <c r="F818" s="31"/>
      <c r="H818" s="65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 t="s">
        <v>78</v>
      </c>
    </row>
    <row r="819">
      <c r="A819" s="26" t="str">
        <f t="array" ref="A819">IFERROR(VLOOKUP(B819,{Lists!$H$4:$H829,Lists!$G$4:$G829},2,0),"")</f>
        <v/>
      </c>
      <c r="B819" s="26"/>
      <c r="C819" s="37"/>
      <c r="D819" s="37"/>
      <c r="E819" s="26"/>
      <c r="F819" s="31"/>
      <c r="H819" s="65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 t="s">
        <v>78</v>
      </c>
    </row>
    <row r="820">
      <c r="A820" s="26" t="str">
        <f t="array" ref="A820">IFERROR(VLOOKUP(B820,{Lists!$H$4:$H829,Lists!$G$4:$G829},2,0),"")</f>
        <v/>
      </c>
      <c r="B820" s="26"/>
      <c r="C820" s="37"/>
      <c r="D820" s="37"/>
      <c r="E820" s="26"/>
      <c r="F820" s="31"/>
      <c r="H820" s="65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 t="s">
        <v>78</v>
      </c>
    </row>
    <row r="821">
      <c r="A821" s="26" t="str">
        <f t="array" ref="A821">IFERROR(VLOOKUP(B821,{Lists!$H$4:$H829,Lists!$G$4:$G829},2,0),"")</f>
        <v/>
      </c>
      <c r="B821" s="26"/>
      <c r="C821" s="37"/>
      <c r="D821" s="37"/>
      <c r="E821" s="26"/>
      <c r="F821" s="31"/>
      <c r="H821" s="65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 t="s">
        <v>78</v>
      </c>
    </row>
    <row r="822">
      <c r="A822" s="26" t="str">
        <f t="array" ref="A822">IFERROR(VLOOKUP(B822,{Lists!$H$4:$H829,Lists!$G$4:$G829},2,0),"")</f>
        <v/>
      </c>
      <c r="B822" s="26"/>
      <c r="C822" s="37"/>
      <c r="D822" s="37"/>
      <c r="E822" s="26"/>
      <c r="F822" s="31"/>
      <c r="H822" s="65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 t="s">
        <v>78</v>
      </c>
    </row>
    <row r="823">
      <c r="A823" s="26" t="str">
        <f t="array" ref="A823">IFERROR(VLOOKUP(B823,{Lists!$H$4:$H829,Lists!$G$4:$G829},2,0),"")</f>
        <v/>
      </c>
      <c r="B823" s="26"/>
      <c r="C823" s="37"/>
      <c r="D823" s="37"/>
      <c r="E823" s="26"/>
      <c r="F823" s="31"/>
      <c r="H823" s="65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 t="s">
        <v>78</v>
      </c>
    </row>
    <row r="824">
      <c r="A824" s="26" t="str">
        <f t="array" ref="A824">IFERROR(VLOOKUP(B824,{Lists!$H$4:$H829,Lists!$G$4:$G829},2,0),"")</f>
        <v/>
      </c>
      <c r="B824" s="26"/>
      <c r="C824" s="37"/>
      <c r="D824" s="37"/>
      <c r="E824" s="26"/>
      <c r="F824" s="31"/>
      <c r="H824" s="65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 t="s">
        <v>78</v>
      </c>
    </row>
    <row r="825">
      <c r="A825" s="26" t="str">
        <f t="array" ref="A825">IFERROR(VLOOKUP(B825,{Lists!$H$4:$H829,Lists!$G$4:$G829},2,0),"")</f>
        <v/>
      </c>
      <c r="B825" s="26"/>
      <c r="C825" s="37"/>
      <c r="D825" s="37"/>
      <c r="E825" s="26"/>
      <c r="F825" s="31"/>
      <c r="H825" s="65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 t="s">
        <v>78</v>
      </c>
    </row>
    <row r="826">
      <c r="A826" s="26" t="str">
        <f t="array" ref="A826">IFERROR(VLOOKUP(B826,{Lists!$H$4:$H829,Lists!$G$4:$G829},2,0),"")</f>
        <v/>
      </c>
      <c r="B826" s="26"/>
      <c r="C826" s="37"/>
      <c r="D826" s="37"/>
      <c r="E826" s="26"/>
      <c r="F826" s="31"/>
      <c r="H826" s="65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 t="s">
        <v>78</v>
      </c>
    </row>
    <row r="827">
      <c r="A827" s="26" t="str">
        <f t="array" ref="A827">IFERROR(VLOOKUP(B827,{Lists!$H$4:$H829,Lists!$G$4:$G829},2,0),"")</f>
        <v/>
      </c>
      <c r="B827" s="26"/>
      <c r="C827" s="37"/>
      <c r="D827" s="37"/>
      <c r="E827" s="26"/>
      <c r="F827" s="31"/>
      <c r="H827" s="65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 t="s">
        <v>78</v>
      </c>
    </row>
    <row r="828">
      <c r="A828" s="26" t="str">
        <f t="array" ref="A828">IFERROR(VLOOKUP(B828,{Lists!$H$4:$H829,Lists!$G$4:$G829},2,0),"")</f>
        <v/>
      </c>
      <c r="B828" s="26"/>
      <c r="C828" s="37"/>
      <c r="D828" s="37"/>
      <c r="E828" s="26"/>
      <c r="F828" s="31"/>
      <c r="H828" s="65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 t="s">
        <v>78</v>
      </c>
    </row>
    <row r="829">
      <c r="A829" s="26" t="str">
        <f t="array" ref="A829">IFERROR(VLOOKUP(B829,{Lists!$H$4:$H829,Lists!$G$4:$G829},2,0),"")</f>
        <v/>
      </c>
      <c r="B829" s="26"/>
      <c r="C829" s="37"/>
      <c r="D829" s="37"/>
      <c r="E829" s="26"/>
      <c r="F829" s="31"/>
      <c r="H829" s="65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 t="s">
        <v>78</v>
      </c>
    </row>
  </sheetData>
  <customSheetViews>
    <customSheetView guid="{38A0F86F-54EB-4548-95BB-06A331D58524}" filter="1" showAutoFilter="1">
      <autoFilter ref="$A$2:$S$521">
        <filterColumn colId="6">
          <filters>
            <filter val="ACTIVE"/>
            <filter val="SUSPENDED"/>
          </filters>
        </filterColumn>
        <sortState ref="A2:S521">
          <sortCondition ref="E2:E521"/>
        </sortState>
      </autoFilter>
    </customSheetView>
  </customSheetViews>
  <mergeCells count="3">
    <mergeCell ref="A1:B1"/>
    <mergeCell ref="C1:D1"/>
    <mergeCell ref="E1:Q1"/>
  </mergeCells>
  <conditionalFormatting sqref="B3:B829">
    <cfRule type="expression" dxfId="7" priority="1">
      <formula>COUNTIF(B:B, B3) &gt; 1</formula>
    </cfRule>
  </conditionalFormatting>
  <conditionalFormatting sqref="A3:E829">
    <cfRule type="expression" dxfId="5" priority="2">
      <formula>AND($D3&gt;=TODAY(), D3&lt;=TODAY()+30)</formula>
    </cfRule>
  </conditionalFormatting>
  <conditionalFormatting sqref="A3:E829">
    <cfRule type="expression" dxfId="5" priority="3">
      <formula>AND($C3&gt;=TODAY(), C3&lt;=TODAY()+30)</formula>
    </cfRule>
  </conditionalFormatting>
  <conditionalFormatting sqref="T3:T829">
    <cfRule type="containsText" dxfId="9" priority="4" operator="containsText" text="&gt; 30 Days">
      <formula>NOT(ISERROR(SEARCH(("&gt; 30 Days"),(T3))))</formula>
    </cfRule>
  </conditionalFormatting>
  <conditionalFormatting sqref="T3:T829">
    <cfRule type="containsText" dxfId="10" priority="5" operator="containsText" text="≤ 30 Days">
      <formula>NOT(ISERROR(SEARCH(("≤ 30 Days"),(T3))))</formula>
    </cfRule>
  </conditionalFormatting>
  <dataValidations>
    <dataValidation type="list" allowBlank="1" showDropDown="1" sqref="I3:R483 I484:L484 N484:R484 I485:R535 I536:N536 Q536:R536 I537:R829">
      <formula1>Lists!$J$4:$J$6</formula1>
    </dataValidation>
    <dataValidation type="custom" allowBlank="1" showDropDown="1" sqref="C3:D544 C545:E545 C546:D829">
      <formula1>OR(NOT(ISERROR(DATEVALUE(C3))), AND(ISNUMBER(C3), LEFT(CELL("format", C3))="D"))</formula1>
    </dataValidation>
  </dataValidation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2.5"/>
    <col customWidth="1" min="2" max="2" width="23.13"/>
    <col customWidth="1" min="3" max="3" width="25.75"/>
    <col customWidth="1" min="4" max="4" width="13.63"/>
    <col customWidth="1" min="5" max="5" width="29.25"/>
    <col customWidth="1" min="6" max="6" width="22.5"/>
    <col customWidth="1" min="7" max="7" width="27.88"/>
    <col customWidth="1" min="8" max="8" width="20.88"/>
    <col customWidth="1" min="9" max="9" width="16.38"/>
    <col customWidth="1" min="10" max="10" width="12.5"/>
    <col customWidth="1" min="11" max="12" width="17.75"/>
    <col customWidth="1" min="13" max="13" width="21.0"/>
    <col customWidth="1" min="14" max="14" width="18.38"/>
  </cols>
  <sheetData>
    <row r="1">
      <c r="A1" s="66"/>
      <c r="B1" s="67" t="s">
        <v>4031</v>
      </c>
      <c r="J1" s="68"/>
      <c r="K1" s="68"/>
      <c r="L1" s="68"/>
      <c r="M1" s="68"/>
      <c r="N1" s="68"/>
    </row>
    <row r="2">
      <c r="A2" s="69" t="str">
        <f>IFERROR(__xludf.DUMMYFUNCTION("QUERY(IMPORTRANGE(""1xFrklApkRqApw6hS49w9Le1ELcHrQ5f2FJdiVs8ztHg"", ""Joining &amp; Induction Tracker!A:Z""), ""SELECT Col10, Col1, Col3, Col5, Col2, Col4, Col6, Col7, Col9, Col12, Col13, Col14, Col25, Col26"")
")," Probable Date of Joining")</f>
        <v> Probable Date of Joining</v>
      </c>
      <c r="B2" s="70" t="str">
        <f>IFERROR(__xludf.DUMMYFUNCTION("""COMPUTED_VALUE""")," Name")</f>
        <v> Name</v>
      </c>
      <c r="C2" s="70" t="str">
        <f>IFERROR(__xludf.DUMMYFUNCTION("""COMPUTED_VALUE""")," Department")</f>
        <v> Department</v>
      </c>
      <c r="D2" s="70" t="str">
        <f>IFERROR(__xludf.DUMMYFUNCTION("""COMPUTED_VALUE""")," Contact Number")</f>
        <v> Contact Number</v>
      </c>
      <c r="E2" s="70" t="str">
        <f>IFERROR(__xludf.DUMMYFUNCTION("""COMPUTED_VALUE"""),"CANDIDATE DETAILS Designation")</f>
        <v>CANDIDATE DETAILS Designation</v>
      </c>
      <c r="F2" s="70" t="str">
        <f>IFERROR(__xludf.DUMMYFUNCTION("""COMPUTED_VALUE""")," Sub Department ")</f>
        <v> Sub Department </v>
      </c>
      <c r="G2" s="70" t="str">
        <f>IFERROR(__xludf.DUMMYFUNCTION("""COMPUTED_VALUE""")," Personal Email ID")</f>
        <v> Personal Email ID</v>
      </c>
      <c r="H2" s="71" t="str">
        <f>IFERROR(__xludf.DUMMYFUNCTION("""COMPUTED_VALUE""")," Reporting Manager")</f>
        <v> Reporting Manager</v>
      </c>
      <c r="I2" s="70" t="str">
        <f>IFERROR(__xludf.DUMMYFUNCTION("""COMPUTED_VALUE""")," Date of Offer Release")</f>
        <v> Date of Offer Release</v>
      </c>
      <c r="J2" s="72" t="str">
        <f>IFERROR(__xludf.DUMMYFUNCTION("""COMPUTED_VALUE""")," Recruiter Name")</f>
        <v> Recruiter Name</v>
      </c>
      <c r="K2" s="70" t="str">
        <f>IFERROR(__xludf.DUMMYFUNCTION("""COMPUTED_VALUE""")," Offer Status")</f>
        <v> Offer Status</v>
      </c>
      <c r="L2" s="70" t="str">
        <f>IFERROR(__xludf.DUMMYFUNCTION("""COMPUTED_VALUE""")," Induction Type")</f>
        <v> Induction Type</v>
      </c>
      <c r="M2" s="72" t="str">
        <f>IFERROR(__xludf.DUMMYFUNCTION("""COMPUTED_VALUE"""),"To be Filled by IT Team Email ID")</f>
        <v>To be Filled by IT Team Email ID</v>
      </c>
      <c r="N2" s="73" t="str">
        <f>IFERROR(__xludf.DUMMYFUNCTION("""COMPUTED_VALUE""")," Laptop Allocated Serial Number")</f>
        <v> Laptop Allocated Serial Number</v>
      </c>
    </row>
    <row r="3">
      <c r="A3" s="74">
        <f>IFERROR(__xludf.DUMMYFUNCTION("""COMPUTED_VALUE"""),45170.0)</f>
        <v>45170</v>
      </c>
      <c r="B3" s="31" t="str">
        <f>IFERROR(__xludf.DUMMYFUNCTION("""COMPUTED_VALUE"""),"Shikhar Varshney")</f>
        <v>Shikhar Varshney</v>
      </c>
      <c r="C3" s="31" t="str">
        <f>IFERROR(__xludf.DUMMYFUNCTION("""COMPUTED_VALUE"""),"Corporate")</f>
        <v>Corporate</v>
      </c>
      <c r="D3" s="31">
        <f>IFERROR(__xludf.DUMMYFUNCTION("""COMPUTED_VALUE"""),8.449159038E9)</f>
        <v>8449159038</v>
      </c>
      <c r="E3" s="31" t="str">
        <f>IFERROR(__xludf.DUMMYFUNCTION("""COMPUTED_VALUE"""),"Market Research Intern")</f>
        <v>Market Research Intern</v>
      </c>
      <c r="F3" s="31" t="str">
        <f>IFERROR(__xludf.DUMMYFUNCTION("""COMPUTED_VALUE"""),"Strategy")</f>
        <v>Strategy</v>
      </c>
      <c r="G3" s="31" t="str">
        <f>IFERROR(__xludf.DUMMYFUNCTION("""COMPUTED_VALUE""")," shikharvarshney03@gmail.com")</f>
        <v> shikharvarshney03@gmail.com</v>
      </c>
      <c r="H3" s="31" t="str">
        <f>IFERROR(__xludf.DUMMYFUNCTION("""COMPUTED_VALUE"""),"Nishchay Singh ")</f>
        <v>Nishchay Singh </v>
      </c>
      <c r="I3" s="75">
        <f>IFERROR(__xludf.DUMMYFUNCTION("""COMPUTED_VALUE"""),45167.0)</f>
        <v>45167</v>
      </c>
      <c r="J3" s="31" t="str">
        <f>IFERROR(__xludf.DUMMYFUNCTION("""COMPUTED_VALUE"""),"Naina")</f>
        <v>Naina</v>
      </c>
      <c r="K3" s="31" t="str">
        <f>IFERROR(__xludf.DUMMYFUNCTION("""COMPUTED_VALUE"""),"Joined")</f>
        <v>Joined</v>
      </c>
      <c r="L3" s="31" t="str">
        <f>IFERROR(__xludf.DUMMYFUNCTION("""COMPUTED_VALUE"""),"In Office")</f>
        <v>In Office</v>
      </c>
      <c r="M3" s="31" t="str">
        <f>IFERROR(__xludf.DUMMYFUNCTION("""COMPUTED_VALUE"""),"shikhar.varshney@zupee.in")</f>
        <v>shikhar.varshney@zupee.in</v>
      </c>
      <c r="N3" s="31"/>
    </row>
    <row r="4">
      <c r="A4" s="74">
        <f>IFERROR(__xludf.DUMMYFUNCTION("""COMPUTED_VALUE"""),45173.0)</f>
        <v>45173</v>
      </c>
      <c r="B4" s="31" t="str">
        <f>IFERROR(__xludf.DUMMYFUNCTION("""COMPUTED_VALUE"""),"Shaurya Upadhyay")</f>
        <v>Shaurya Upadhyay</v>
      </c>
      <c r="C4" s="31" t="str">
        <f>IFERROR(__xludf.DUMMYFUNCTION("""COMPUTED_VALUE"""),"Technology")</f>
        <v>Technology</v>
      </c>
      <c r="D4" s="31">
        <f>IFERROR(__xludf.DUMMYFUNCTION("""COMPUTED_VALUE"""),9.818418781E9)</f>
        <v>9818418781</v>
      </c>
      <c r="E4" s="31" t="str">
        <f>IFERROR(__xludf.DUMMYFUNCTION("""COMPUTED_VALUE"""),"Security Engineer Trainee")</f>
        <v>Security Engineer Trainee</v>
      </c>
      <c r="F4" s="31" t="str">
        <f>IFERROR(__xludf.DUMMYFUNCTION("""COMPUTED_VALUE"""),"Engineering")</f>
        <v>Engineering</v>
      </c>
      <c r="G4" s="31" t="str">
        <f>IFERROR(__xludf.DUMMYFUNCTION("""COMPUTED_VALUE"""),"shauryaupadhyay59@gmail.com ")</f>
        <v>shauryaupadhyay59@gmail.com </v>
      </c>
      <c r="H4" s="31" t="str">
        <f>IFERROR(__xludf.DUMMYFUNCTION("""COMPUTED_VALUE"""),"Shreyansh Bengani")</f>
        <v>Shreyansh Bengani</v>
      </c>
      <c r="I4" s="75"/>
      <c r="J4" s="31" t="str">
        <f>IFERROR(__xludf.DUMMYFUNCTION("""COMPUTED_VALUE"""),"Mamta Pandey")</f>
        <v>Mamta Pandey</v>
      </c>
      <c r="K4" s="31" t="str">
        <f>IFERROR(__xludf.DUMMYFUNCTION("""COMPUTED_VALUE"""),"Joined")</f>
        <v>Joined</v>
      </c>
      <c r="L4" s="31" t="str">
        <f>IFERROR(__xludf.DUMMYFUNCTION("""COMPUTED_VALUE"""),"In Office")</f>
        <v>In Office</v>
      </c>
      <c r="M4" s="31" t="str">
        <f>IFERROR(__xludf.DUMMYFUNCTION("""COMPUTED_VALUE"""),"shaurya.upadhyay@zupee.in")</f>
        <v>shaurya.upadhyay@zupee.in</v>
      </c>
      <c r="N4" s="31"/>
    </row>
    <row r="5">
      <c r="A5" s="74">
        <f>IFERROR(__xludf.DUMMYFUNCTION("""COMPUTED_VALUE"""),45174.0)</f>
        <v>45174</v>
      </c>
      <c r="B5" s="31" t="str">
        <f>IFERROR(__xludf.DUMMYFUNCTION("""COMPUTED_VALUE"""),"Nikunj Aggarwal")</f>
        <v>Nikunj Aggarwal</v>
      </c>
      <c r="C5" s="31" t="str">
        <f>IFERROR(__xludf.DUMMYFUNCTION("""COMPUTED_VALUE"""),"Technology")</f>
        <v>Technology</v>
      </c>
      <c r="D5" s="31">
        <f>IFERROR(__xludf.DUMMYFUNCTION("""COMPUTED_VALUE"""),9.810210616E9)</f>
        <v>9810210616</v>
      </c>
      <c r="E5" s="31" t="str">
        <f>IFERROR(__xludf.DUMMYFUNCTION("""COMPUTED_VALUE"""),"Software Engineer - Android")</f>
        <v>Software Engineer - Android</v>
      </c>
      <c r="F5" s="31" t="str">
        <f>IFERROR(__xludf.DUMMYFUNCTION("""COMPUTED_VALUE"""),"Engineering")</f>
        <v>Engineering</v>
      </c>
      <c r="G5" s="31" t="str">
        <f>IFERROR(__xludf.DUMMYFUNCTION("""COMPUTED_VALUE"""),"annikunjagg@gmail.com")</f>
        <v>annikunjagg@gmail.com</v>
      </c>
      <c r="H5" s="31" t="str">
        <f>IFERROR(__xludf.DUMMYFUNCTION("""COMPUTED_VALUE"""),"Anshul Mittal")</f>
        <v>Anshul Mittal</v>
      </c>
      <c r="I5" s="75">
        <f>IFERROR(__xludf.DUMMYFUNCTION("""COMPUTED_VALUE"""),45163.0)</f>
        <v>45163</v>
      </c>
      <c r="J5" s="31" t="str">
        <f>IFERROR(__xludf.DUMMYFUNCTION("""COMPUTED_VALUE"""),"Naina")</f>
        <v>Naina</v>
      </c>
      <c r="K5" s="31" t="str">
        <f>IFERROR(__xludf.DUMMYFUNCTION("""COMPUTED_VALUE"""),"Joined")</f>
        <v>Joined</v>
      </c>
      <c r="L5" s="31" t="str">
        <f>IFERROR(__xludf.DUMMYFUNCTION("""COMPUTED_VALUE"""),"In Office")</f>
        <v>In Office</v>
      </c>
      <c r="M5" s="31" t="str">
        <f>IFERROR(__xludf.DUMMYFUNCTION("""COMPUTED_VALUE"""),"nikunj.aggarwal@zupee.in")</f>
        <v>nikunj.aggarwal@zupee.in</v>
      </c>
      <c r="N5" s="31"/>
    </row>
    <row r="6">
      <c r="A6" s="74">
        <f>IFERROR(__xludf.DUMMYFUNCTION("""COMPUTED_VALUE"""),45182.0)</f>
        <v>45182</v>
      </c>
      <c r="B6" s="31" t="str">
        <f>IFERROR(__xludf.DUMMYFUNCTION("""COMPUTED_VALUE"""),"Rakesh Kumar")</f>
        <v>Rakesh Kumar</v>
      </c>
      <c r="C6" s="31" t="str">
        <f>IFERROR(__xludf.DUMMYFUNCTION("""COMPUTED_VALUE"""),"Corporate")</f>
        <v>Corporate</v>
      </c>
      <c r="D6" s="31">
        <f>IFERROR(__xludf.DUMMYFUNCTION("""COMPUTED_VALUE"""),7.999002836E9)</f>
        <v>7999002836</v>
      </c>
      <c r="E6" s="31" t="str">
        <f>IFERROR(__xludf.DUMMYFUNCTION("""COMPUTED_VALUE"""),"IT Executive")</f>
        <v>IT Executive</v>
      </c>
      <c r="F6" s="31" t="str">
        <f>IFERROR(__xludf.DUMMYFUNCTION("""COMPUTED_VALUE"""),"Administration")</f>
        <v>Administration</v>
      </c>
      <c r="G6" s="31" t="str">
        <f>IFERROR(__xludf.DUMMYFUNCTION("""COMPUTED_VALUE"""),"rakeshkumarrk35386@gmail.com")</f>
        <v>rakeshkumarrk35386@gmail.com</v>
      </c>
      <c r="H6" s="31" t="str">
        <f>IFERROR(__xludf.DUMMYFUNCTION("""COMPUTED_VALUE"""),"Naveen Kumar")</f>
        <v>Naveen Kumar</v>
      </c>
      <c r="I6" s="75"/>
      <c r="J6" s="31" t="str">
        <f>IFERROR(__xludf.DUMMYFUNCTION("""COMPUTED_VALUE"""),"Mamta Pandey")</f>
        <v>Mamta Pandey</v>
      </c>
      <c r="K6" s="31" t="str">
        <f>IFERROR(__xludf.DUMMYFUNCTION("""COMPUTED_VALUE"""),"Joined")</f>
        <v>Joined</v>
      </c>
      <c r="L6" s="31" t="str">
        <f>IFERROR(__xludf.DUMMYFUNCTION("""COMPUTED_VALUE"""),"In Office")</f>
        <v>In Office</v>
      </c>
      <c r="M6" s="31" t="str">
        <f>IFERROR(__xludf.DUMMYFUNCTION("""COMPUTED_VALUE"""),"rakesh.kumar@zupee.in")</f>
        <v>rakesh.kumar@zupee.in</v>
      </c>
      <c r="N6" s="31" t="str">
        <f>IFERROR(__xludf.DUMMYFUNCTION("""COMPUTED_VALUE"""),"JZV7VQ3")</f>
        <v>JZV7VQ3</v>
      </c>
    </row>
    <row r="7">
      <c r="A7" s="74">
        <f>IFERROR(__xludf.DUMMYFUNCTION("""COMPUTED_VALUE"""),45189.0)</f>
        <v>45189</v>
      </c>
      <c r="B7" s="31" t="str">
        <f>IFERROR(__xludf.DUMMYFUNCTION("""COMPUTED_VALUE"""),"Tushar Sharma")</f>
        <v>Tushar Sharma</v>
      </c>
      <c r="C7" s="31" t="str">
        <f>IFERROR(__xludf.DUMMYFUNCTION("""COMPUTED_VALUE"""),"Corporate")</f>
        <v>Corporate</v>
      </c>
      <c r="D7" s="31">
        <f>IFERROR(__xludf.DUMMYFUNCTION("""COMPUTED_VALUE"""),8.851799414E9)</f>
        <v>8851799414</v>
      </c>
      <c r="E7" s="31" t="str">
        <f>IFERROR(__xludf.DUMMYFUNCTION("""COMPUTED_VALUE"""),"Senior Finance Executive")</f>
        <v>Senior Finance Executive</v>
      </c>
      <c r="F7" s="31" t="str">
        <f>IFERROR(__xludf.DUMMYFUNCTION("""COMPUTED_VALUE"""),"Finance")</f>
        <v>Finance</v>
      </c>
      <c r="G7" s="31" t="str">
        <f>IFERROR(__xludf.DUMMYFUNCTION("""COMPUTED_VALUE"""),"Tushar2419@yahoo.com")</f>
        <v>Tushar2419@yahoo.com</v>
      </c>
      <c r="H7" s="31" t="str">
        <f>IFERROR(__xludf.DUMMYFUNCTION("""COMPUTED_VALUE"""),"Hitesh Vats")</f>
        <v>Hitesh Vats</v>
      </c>
      <c r="I7" s="75"/>
      <c r="J7" s="31" t="str">
        <f>IFERROR(__xludf.DUMMYFUNCTION("""COMPUTED_VALUE"""),"Nidhi Khedekar")</f>
        <v>Nidhi Khedekar</v>
      </c>
      <c r="K7" s="31" t="str">
        <f>IFERROR(__xludf.DUMMYFUNCTION("""COMPUTED_VALUE"""),"Joined")</f>
        <v>Joined</v>
      </c>
      <c r="L7" s="31" t="str">
        <f>IFERROR(__xludf.DUMMYFUNCTION("""COMPUTED_VALUE"""),"In Office")</f>
        <v>In Office</v>
      </c>
      <c r="M7" s="31" t="str">
        <f>IFERROR(__xludf.DUMMYFUNCTION("""COMPUTED_VALUE"""),"tushar.sharma@zupee.in")</f>
        <v>tushar.sharma@zupee.in</v>
      </c>
      <c r="N7" s="31"/>
    </row>
    <row r="8">
      <c r="A8" s="74">
        <f>IFERROR(__xludf.DUMMYFUNCTION("""COMPUTED_VALUE"""),45202.0)</f>
        <v>45202</v>
      </c>
      <c r="B8" s="31" t="str">
        <f>IFERROR(__xludf.DUMMYFUNCTION("""COMPUTED_VALUE"""),"Ashvani Kumar")</f>
        <v>Ashvani Kumar</v>
      </c>
      <c r="C8" s="31" t="str">
        <f>IFERROR(__xludf.DUMMYFUNCTION("""COMPUTED_VALUE"""),"Customer Experience")</f>
        <v>Customer Experience</v>
      </c>
      <c r="D8" s="31">
        <f>IFERROR(__xludf.DUMMYFUNCTION("""COMPUTED_VALUE"""),9.149230623E9)</f>
        <v>9149230623</v>
      </c>
      <c r="E8" s="31" t="str">
        <f>IFERROR(__xludf.DUMMYFUNCTION("""COMPUTED_VALUE"""),"Fraud Analyst")</f>
        <v>Fraud Analyst</v>
      </c>
      <c r="F8" s="31" t="str">
        <f>IFERROR(__xludf.DUMMYFUNCTION("""COMPUTED_VALUE"""),"Fraud Risk Management ")</f>
        <v>Fraud Risk Management </v>
      </c>
      <c r="G8" s="31" t="str">
        <f>IFERROR(__xludf.DUMMYFUNCTION("""COMPUTED_VALUE"""),"ashvanikumar180210@gmail.com")</f>
        <v>ashvanikumar180210@gmail.com</v>
      </c>
      <c r="H8" s="31" t="str">
        <f>IFERROR(__xludf.DUMMYFUNCTION("""COMPUTED_VALUE"""),"Aman Khare")</f>
        <v>Aman Khare</v>
      </c>
      <c r="I8" s="75"/>
      <c r="J8" s="31" t="str">
        <f>IFERROR(__xludf.DUMMYFUNCTION("""COMPUTED_VALUE"""),"Nidhi Khedekar")</f>
        <v>Nidhi Khedekar</v>
      </c>
      <c r="K8" s="31" t="str">
        <f>IFERROR(__xludf.DUMMYFUNCTION("""COMPUTED_VALUE"""),"Joined")</f>
        <v>Joined</v>
      </c>
      <c r="L8" s="31" t="str">
        <f>IFERROR(__xludf.DUMMYFUNCTION("""COMPUTED_VALUE"""),"In Office")</f>
        <v>In Office</v>
      </c>
      <c r="M8" s="31"/>
      <c r="N8" s="31"/>
    </row>
    <row r="9">
      <c r="A9" s="74">
        <f>IFERROR(__xludf.DUMMYFUNCTION("""COMPUTED_VALUE"""),45203.0)</f>
        <v>45203</v>
      </c>
      <c r="B9" s="31" t="str">
        <f>IFERROR(__xludf.DUMMYFUNCTION("""COMPUTED_VALUE"""),"Rahul Bhatia")</f>
        <v>Rahul Bhatia</v>
      </c>
      <c r="C9" s="31" t="str">
        <f>IFERROR(__xludf.DUMMYFUNCTION("""COMPUTED_VALUE"""),"Corporate")</f>
        <v>Corporate</v>
      </c>
      <c r="D9" s="31">
        <f>IFERROR(__xludf.DUMMYFUNCTION("""COMPUTED_VALUE"""),9.2682085E9)</f>
        <v>9268208500</v>
      </c>
      <c r="E9" s="31" t="str">
        <f>IFERROR(__xludf.DUMMYFUNCTION("""COMPUTED_VALUE"""),"Senior Finance Executive")</f>
        <v>Senior Finance Executive</v>
      </c>
      <c r="F9" s="31" t="str">
        <f>IFERROR(__xludf.DUMMYFUNCTION("""COMPUTED_VALUE"""),"Finance")</f>
        <v>Finance</v>
      </c>
      <c r="G9" s="31" t="str">
        <f>IFERROR(__xludf.DUMMYFUNCTION("""COMPUTED_VALUE"""),"rahul13bhatia@gmail.com")</f>
        <v>rahul13bhatia@gmail.com</v>
      </c>
      <c r="H9" s="31" t="str">
        <f>IFERROR(__xludf.DUMMYFUNCTION("""COMPUTED_VALUE"""),"Sunil Gupta")</f>
        <v>Sunil Gupta</v>
      </c>
      <c r="I9" s="75">
        <f>IFERROR(__xludf.DUMMYFUNCTION("""COMPUTED_VALUE"""),45147.0)</f>
        <v>45147</v>
      </c>
      <c r="J9" s="31" t="str">
        <f>IFERROR(__xludf.DUMMYFUNCTION("""COMPUTED_VALUE"""),"Nidhi Khedekar")</f>
        <v>Nidhi Khedekar</v>
      </c>
      <c r="K9" s="31" t="str">
        <f>IFERROR(__xludf.DUMMYFUNCTION("""COMPUTED_VALUE"""),"Offer Revoked")</f>
        <v>Offer Revoked</v>
      </c>
      <c r="L9" s="31" t="str">
        <f>IFERROR(__xludf.DUMMYFUNCTION("""COMPUTED_VALUE"""),"Drop Out")</f>
        <v>Drop Out</v>
      </c>
      <c r="M9" s="31"/>
      <c r="N9" s="31"/>
    </row>
    <row r="10">
      <c r="A10" s="74">
        <f>IFERROR(__xludf.DUMMYFUNCTION("""COMPUTED_VALUE"""),45215.0)</f>
        <v>45215</v>
      </c>
      <c r="B10" s="31" t="str">
        <f>IFERROR(__xludf.DUMMYFUNCTION("""COMPUTED_VALUE"""),"Amit Singh")</f>
        <v>Amit Singh</v>
      </c>
      <c r="C10" s="31" t="str">
        <f>IFERROR(__xludf.DUMMYFUNCTION("""COMPUTED_VALUE"""),"Technology")</f>
        <v>Technology</v>
      </c>
      <c r="D10" s="31">
        <f>IFERROR(__xludf.DUMMYFUNCTION("""COMPUTED_VALUE"""),9.711112881E9)</f>
        <v>9711112881</v>
      </c>
      <c r="E10" s="31" t="str">
        <f>IFERROR(__xludf.DUMMYFUNCTION("""COMPUTED_VALUE"""),"Senior Staff Engineer")</f>
        <v>Senior Staff Engineer</v>
      </c>
      <c r="F10" s="31" t="str">
        <f>IFERROR(__xludf.DUMMYFUNCTION("""COMPUTED_VALUE"""),"Engineering")</f>
        <v>Engineering</v>
      </c>
      <c r="G10" s="31" t="str">
        <f>IFERROR(__xludf.DUMMYFUNCTION("""COMPUTED_VALUE"""),"amitabesit@gmail.com")</f>
        <v>amitabesit@gmail.com</v>
      </c>
      <c r="H10" s="31" t="str">
        <f>IFERROR(__xludf.DUMMYFUNCTION("""COMPUTED_VALUE"""),"Ranjeet Kumar")</f>
        <v>Ranjeet Kumar</v>
      </c>
      <c r="I10" s="75">
        <f>IFERROR(__xludf.DUMMYFUNCTION("""COMPUTED_VALUE"""),45211.0)</f>
        <v>45211</v>
      </c>
      <c r="J10" s="31" t="str">
        <f>IFERROR(__xludf.DUMMYFUNCTION("""COMPUTED_VALUE"""),"Rajneesh Yadav")</f>
        <v>Rajneesh Yadav</v>
      </c>
      <c r="K10" s="31" t="str">
        <f>IFERROR(__xludf.DUMMYFUNCTION("""COMPUTED_VALUE"""),"Joined")</f>
        <v>Joined</v>
      </c>
      <c r="L10" s="31" t="str">
        <f>IFERROR(__xludf.DUMMYFUNCTION("""COMPUTED_VALUE"""),"In Office")</f>
        <v>In Office</v>
      </c>
      <c r="M10" s="31" t="str">
        <f>IFERROR(__xludf.DUMMYFUNCTION("""COMPUTED_VALUE"""),"amit.singh@zupee.in")</f>
        <v>amit.singh@zupee.in</v>
      </c>
      <c r="N10" s="31" t="str">
        <f>IFERROR(__xludf.DUMMYFUNCTION("""COMPUTED_VALUE"""),"VYCVM29T75")</f>
        <v>VYCVM29T75</v>
      </c>
    </row>
    <row r="11">
      <c r="A11" s="74">
        <f>IFERROR(__xludf.DUMMYFUNCTION("""COMPUTED_VALUE"""),45215.0)</f>
        <v>45215</v>
      </c>
      <c r="B11" s="31" t="str">
        <f>IFERROR(__xludf.DUMMYFUNCTION("""COMPUTED_VALUE"""),"Manmohan Sagar")</f>
        <v>Manmohan Sagar</v>
      </c>
      <c r="C11" s="31" t="str">
        <f>IFERROR(__xludf.DUMMYFUNCTION("""COMPUTED_VALUE"""),"Finance")</f>
        <v>Finance</v>
      </c>
      <c r="D11" s="31">
        <f>IFERROR(__xludf.DUMMYFUNCTION("""COMPUTED_VALUE"""),8.800739621E9)</f>
        <v>8800739621</v>
      </c>
      <c r="E11" s="31" t="str">
        <f>IFERROR(__xludf.DUMMYFUNCTION("""COMPUTED_VALUE"""),"Senior Executive- Finance")</f>
        <v>Senior Executive- Finance</v>
      </c>
      <c r="F11" s="31" t="str">
        <f>IFERROR(__xludf.DUMMYFUNCTION("""COMPUTED_VALUE"""),"Finance")</f>
        <v>Finance</v>
      </c>
      <c r="G11" s="31" t="str">
        <f>IFERROR(__xludf.DUMMYFUNCTION("""COMPUTED_VALUE"""),"Manmohansagar97@gmail.com")</f>
        <v>Manmohansagar97@gmail.com</v>
      </c>
      <c r="H11" s="31" t="str">
        <f>IFERROR(__xludf.DUMMYFUNCTION("""COMPUTED_VALUE"""),"Vikas Gupta")</f>
        <v>Vikas Gupta</v>
      </c>
      <c r="I11" s="75"/>
      <c r="J11" s="31" t="str">
        <f>IFERROR(__xludf.DUMMYFUNCTION("""COMPUTED_VALUE"""),"Nidhi Khedekar")</f>
        <v>Nidhi Khedekar</v>
      </c>
      <c r="K11" s="31" t="str">
        <f>IFERROR(__xludf.DUMMYFUNCTION("""COMPUTED_VALUE"""),"Joined")</f>
        <v>Joined</v>
      </c>
      <c r="L11" s="31" t="str">
        <f>IFERROR(__xludf.DUMMYFUNCTION("""COMPUTED_VALUE"""),"In Office")</f>
        <v>In Office</v>
      </c>
      <c r="M11" s="31" t="str">
        <f>IFERROR(__xludf.DUMMYFUNCTION("""COMPUTED_VALUE"""),"manmohan.sagar@zupee.in")</f>
        <v>manmohan.sagar@zupee.in</v>
      </c>
      <c r="N11" s="31" t="str">
        <f>IFERROR(__xludf.DUMMYFUNCTION("""COMPUTED_VALUE"""),"8J9FCY3")</f>
        <v>8J9FCY3</v>
      </c>
    </row>
    <row r="12">
      <c r="A12" s="74">
        <f>IFERROR(__xludf.DUMMYFUNCTION("""COMPUTED_VALUE"""),45217.0)</f>
        <v>45217</v>
      </c>
      <c r="B12" s="31" t="str">
        <f>IFERROR(__xludf.DUMMYFUNCTION("""COMPUTED_VALUE"""),"Pratik Taltia")</f>
        <v>Pratik Taltia</v>
      </c>
      <c r="C12" s="31" t="str">
        <f>IFERROR(__xludf.DUMMYFUNCTION("""COMPUTED_VALUE"""),"Marketing")</f>
        <v>Marketing</v>
      </c>
      <c r="D12" s="31">
        <f>IFERROR(__xludf.DUMMYFUNCTION("""COMPUTED_VALUE"""),7.358433457E9)</f>
        <v>7358433457</v>
      </c>
      <c r="E12" s="31" t="str">
        <f>IFERROR(__xludf.DUMMYFUNCTION("""COMPUTED_VALUE"""),"Product Marketing Executive")</f>
        <v>Product Marketing Executive</v>
      </c>
      <c r="F12" s="31" t="str">
        <f>IFERROR(__xludf.DUMMYFUNCTION("""COMPUTED_VALUE"""),"Digital Marketing")</f>
        <v>Digital Marketing</v>
      </c>
      <c r="G12" s="31" t="str">
        <f>IFERROR(__xludf.DUMMYFUNCTION("""COMPUTED_VALUE"""),"pratiktaltia.a@gmail.com")</f>
        <v>pratiktaltia.a@gmail.com</v>
      </c>
      <c r="H12" s="31" t="str">
        <f>IFERROR(__xludf.DUMMYFUNCTION("""COMPUTED_VALUE"""),"Aditya Jha")</f>
        <v>Aditya Jha</v>
      </c>
      <c r="I12" s="75"/>
      <c r="J12" s="31" t="str">
        <f>IFERROR(__xludf.DUMMYFUNCTION("""COMPUTED_VALUE"""),"Nidhi Khedekar")</f>
        <v>Nidhi Khedekar</v>
      </c>
      <c r="K12" s="31" t="str">
        <f>IFERROR(__xludf.DUMMYFUNCTION("""COMPUTED_VALUE"""),"Joined")</f>
        <v>Joined</v>
      </c>
      <c r="L12" s="31" t="str">
        <f>IFERROR(__xludf.DUMMYFUNCTION("""COMPUTED_VALUE"""),"In Office")</f>
        <v>In Office</v>
      </c>
      <c r="M12" s="31" t="str">
        <f>IFERROR(__xludf.DUMMYFUNCTION("""COMPUTED_VALUE"""),"pratik.taltia@zupee.in")</f>
        <v>pratik.taltia@zupee.in</v>
      </c>
      <c r="N12" s="31" t="str">
        <f>IFERROR(__xludf.DUMMYFUNCTION("""COMPUTED_VALUE"""),"KG667421QL")</f>
        <v>KG667421QL</v>
      </c>
    </row>
    <row r="13">
      <c r="A13" s="74">
        <f>IFERROR(__xludf.DUMMYFUNCTION("""COMPUTED_VALUE"""),45222.0)</f>
        <v>45222</v>
      </c>
      <c r="B13" s="31" t="str">
        <f>IFERROR(__xludf.DUMMYFUNCTION("""COMPUTED_VALUE"""),"Awadhesh Singh Tanwar")</f>
        <v>Awadhesh Singh Tanwar</v>
      </c>
      <c r="C13" s="31" t="str">
        <f>IFERROR(__xludf.DUMMYFUNCTION("""COMPUTED_VALUE"""),"Technology")</f>
        <v>Technology</v>
      </c>
      <c r="D13" s="31">
        <f>IFERROR(__xludf.DUMMYFUNCTION("""COMPUTED_VALUE"""),9.479456993E9)</f>
        <v>9479456993</v>
      </c>
      <c r="E13" s="31" t="str">
        <f>IFERROR(__xludf.DUMMYFUNCTION("""COMPUTED_VALUE"""),"Senior Data Engineer")</f>
        <v>Senior Data Engineer</v>
      </c>
      <c r="F13" s="31" t="str">
        <f>IFERROR(__xludf.DUMMYFUNCTION("""COMPUTED_VALUE"""),"Data Engineering")</f>
        <v>Data Engineering</v>
      </c>
      <c r="G13" s="31" t="str">
        <f>IFERROR(__xludf.DUMMYFUNCTION("""COMPUTED_VALUE"""),"dapst8@gmail.com")</f>
        <v>dapst8@gmail.com</v>
      </c>
      <c r="H13" s="31" t="str">
        <f>IFERROR(__xludf.DUMMYFUNCTION("""COMPUTED_VALUE"""),"Aman Bahl")</f>
        <v>Aman Bahl</v>
      </c>
      <c r="I13" s="75">
        <f>IFERROR(__xludf.DUMMYFUNCTION("""COMPUTED_VALUE"""),45129.0)</f>
        <v>45129</v>
      </c>
      <c r="J13" s="31" t="str">
        <f>IFERROR(__xludf.DUMMYFUNCTION("""COMPUTED_VALUE"""),"Nidhi Khedekar")</f>
        <v>Nidhi Khedekar</v>
      </c>
      <c r="K13" s="31" t="str">
        <f>IFERROR(__xludf.DUMMYFUNCTION("""COMPUTED_VALUE"""),"Offer Declined")</f>
        <v>Offer Declined</v>
      </c>
      <c r="L13" s="31" t="str">
        <f>IFERROR(__xludf.DUMMYFUNCTION("""COMPUTED_VALUE"""),"In Office")</f>
        <v>In Office</v>
      </c>
      <c r="M13" s="31"/>
      <c r="N13" s="31"/>
    </row>
    <row r="14">
      <c r="A14" s="74">
        <f>IFERROR(__xludf.DUMMYFUNCTION("""COMPUTED_VALUE"""),45237.0)</f>
        <v>45237</v>
      </c>
      <c r="B14" s="31" t="str">
        <f>IFERROR(__xludf.DUMMYFUNCTION("""COMPUTED_VALUE"""),"Pradeep Agrawal")</f>
        <v>Pradeep Agrawal</v>
      </c>
      <c r="C14" s="31" t="str">
        <f>IFERROR(__xludf.DUMMYFUNCTION("""COMPUTED_VALUE"""),"Technology")</f>
        <v>Technology</v>
      </c>
      <c r="D14" s="31">
        <f>IFERROR(__xludf.DUMMYFUNCTION("""COMPUTED_VALUE"""),9.782015101E9)</f>
        <v>9782015101</v>
      </c>
      <c r="E14" s="31" t="str">
        <f>IFERROR(__xludf.DUMMYFUNCTION("""COMPUTED_VALUE"""),"Lead Data Engineer")</f>
        <v>Lead Data Engineer</v>
      </c>
      <c r="F14" s="31" t="str">
        <f>IFERROR(__xludf.DUMMYFUNCTION("""COMPUTED_VALUE"""),"Data Engineering")</f>
        <v>Data Engineering</v>
      </c>
      <c r="G14" s="31" t="str">
        <f>IFERROR(__xludf.DUMMYFUNCTION("""COMPUTED_VALUE"""),"pradeepagrawalan1994@gmail.com")</f>
        <v>pradeepagrawalan1994@gmail.com</v>
      </c>
      <c r="H14" s="31" t="str">
        <f>IFERROR(__xludf.DUMMYFUNCTION("""COMPUTED_VALUE"""),"Aman Bahl")</f>
        <v>Aman Bahl</v>
      </c>
      <c r="I14" s="75"/>
      <c r="J14" s="31" t="str">
        <f>IFERROR(__xludf.DUMMYFUNCTION("""COMPUTED_VALUE"""),"Naina")</f>
        <v>Naina</v>
      </c>
      <c r="K14" s="31" t="str">
        <f>IFERROR(__xludf.DUMMYFUNCTION("""COMPUTED_VALUE"""),"Joined")</f>
        <v>Joined</v>
      </c>
      <c r="L14" s="31" t="str">
        <f>IFERROR(__xludf.DUMMYFUNCTION("""COMPUTED_VALUE"""),"In Office")</f>
        <v>In Office</v>
      </c>
      <c r="M14" s="31" t="str">
        <f>IFERROR(__xludf.DUMMYFUNCTION("""COMPUTED_VALUE"""),"pradeep.agrawal@zupee.in")</f>
        <v>pradeep.agrawal@zupee.in</v>
      </c>
      <c r="N14" s="31"/>
    </row>
    <row r="15">
      <c r="A15" s="74">
        <f>IFERROR(__xludf.DUMMYFUNCTION("""COMPUTED_VALUE"""),45265.0)</f>
        <v>45265</v>
      </c>
      <c r="B15" s="31" t="str">
        <f>IFERROR(__xludf.DUMMYFUNCTION("""COMPUTED_VALUE"""),"Abhishek Goyal")</f>
        <v>Abhishek Goyal</v>
      </c>
      <c r="C15" s="31" t="str">
        <f>IFERROR(__xludf.DUMMYFUNCTION("""COMPUTED_VALUE"""),"Product")</f>
        <v>Product</v>
      </c>
      <c r="D15" s="31">
        <f>IFERROR(__xludf.DUMMYFUNCTION("""COMPUTED_VALUE"""),7.974831301E9)</f>
        <v>7974831301</v>
      </c>
      <c r="E15" s="31" t="str">
        <f>IFERROR(__xludf.DUMMYFUNCTION("""COMPUTED_VALUE"""),"Manager - Strategy")</f>
        <v>Manager - Strategy</v>
      </c>
      <c r="F15" s="31" t="str">
        <f>IFERROR(__xludf.DUMMYFUNCTION("""COMPUTED_VALUE"""),"Strategy")</f>
        <v>Strategy</v>
      </c>
      <c r="G15" s="31" t="str">
        <f>IFERROR(__xludf.DUMMYFUNCTION("""COMPUTED_VALUE"""),"goyal.abhishek28@gmail.com")</f>
        <v>goyal.abhishek28@gmail.com</v>
      </c>
      <c r="H15" s="31" t="str">
        <f>IFERROR(__xludf.DUMMYFUNCTION("""COMPUTED_VALUE"""),"Ishank Mehta")</f>
        <v>Ishank Mehta</v>
      </c>
      <c r="I15" s="75"/>
      <c r="J15" s="31" t="str">
        <f>IFERROR(__xludf.DUMMYFUNCTION("""COMPUTED_VALUE"""),"Naina")</f>
        <v>Naina</v>
      </c>
      <c r="K15" s="31" t="str">
        <f>IFERROR(__xludf.DUMMYFUNCTION("""COMPUTED_VALUE"""),"Joined")</f>
        <v>Joined</v>
      </c>
      <c r="L15" s="31" t="str">
        <f>IFERROR(__xludf.DUMMYFUNCTION("""COMPUTED_VALUE"""),"In Office")</f>
        <v>In Office</v>
      </c>
      <c r="M15" s="31" t="str">
        <f>IFERROR(__xludf.DUMMYFUNCTION("""COMPUTED_VALUE"""),"abhishek.goyal@zupee.in")</f>
        <v>abhishek.goyal@zupee.in</v>
      </c>
      <c r="N15" s="31" t="str">
        <f>IFERROR(__xludf.DUMMYFUNCTION("""COMPUTED_VALUE"""),"GY1HHJ5H96")</f>
        <v>GY1HHJ5H96</v>
      </c>
    </row>
    <row r="16">
      <c r="A16" s="74">
        <f>IFERROR(__xludf.DUMMYFUNCTION("""COMPUTED_VALUE"""),45236.0)</f>
        <v>45236</v>
      </c>
      <c r="B16" s="31" t="str">
        <f>IFERROR(__xludf.DUMMYFUNCTION("""COMPUTED_VALUE"""),"Sujoy Ghosh")</f>
        <v>Sujoy Ghosh</v>
      </c>
      <c r="C16" s="31" t="str">
        <f>IFERROR(__xludf.DUMMYFUNCTION("""COMPUTED_VALUE"""),"Product")</f>
        <v>Product</v>
      </c>
      <c r="D16" s="31">
        <f>IFERROR(__xludf.DUMMYFUNCTION("""COMPUTED_VALUE"""),9.739922559E9)</f>
        <v>9739922559</v>
      </c>
      <c r="E16" s="31" t="str">
        <f>IFERROR(__xludf.DUMMYFUNCTION("""COMPUTED_VALUE"""),"Associate Director- Products")</f>
        <v>Associate Director- Products</v>
      </c>
      <c r="F16" s="31" t="str">
        <f>IFERROR(__xludf.DUMMYFUNCTION("""COMPUTED_VALUE"""),"Product")</f>
        <v>Product</v>
      </c>
      <c r="G16" s="31" t="str">
        <f>IFERROR(__xludf.DUMMYFUNCTION("""COMPUTED_VALUE"""),"suzoyy@gmail.com")</f>
        <v>suzoyy@gmail.com</v>
      </c>
      <c r="H16" s="31" t="str">
        <f>IFERROR(__xludf.DUMMYFUNCTION("""COMPUTED_VALUE"""),"Naveen Kadyan")</f>
        <v>Naveen Kadyan</v>
      </c>
      <c r="I16" s="75">
        <f>IFERROR(__xludf.DUMMYFUNCTION("""COMPUTED_VALUE"""),45218.0)</f>
        <v>45218</v>
      </c>
      <c r="J16" s="31" t="str">
        <f>IFERROR(__xludf.DUMMYFUNCTION("""COMPUTED_VALUE"""),"M Sangeetha")</f>
        <v>M Sangeetha</v>
      </c>
      <c r="K16" s="31" t="str">
        <f>IFERROR(__xludf.DUMMYFUNCTION("""COMPUTED_VALUE"""),"Joined")</f>
        <v>Joined</v>
      </c>
      <c r="L16" s="31" t="str">
        <f>IFERROR(__xludf.DUMMYFUNCTION("""COMPUTED_VALUE"""),"In Office")</f>
        <v>In Office</v>
      </c>
      <c r="M16" s="31" t="str">
        <f>IFERROR(__xludf.DUMMYFUNCTION("""COMPUTED_VALUE"""),"sujoy.ghosh@zupee.in")</f>
        <v>sujoy.ghosh@zupee.in</v>
      </c>
      <c r="N16" s="31"/>
    </row>
    <row r="17">
      <c r="A17" s="74">
        <f>IFERROR(__xludf.DUMMYFUNCTION("""COMPUTED_VALUE"""),45236.0)</f>
        <v>45236</v>
      </c>
      <c r="B17" s="31" t="str">
        <f>IFERROR(__xludf.DUMMYFUNCTION("""COMPUTED_VALUE"""),"Sanket Jain")</f>
        <v>Sanket Jain</v>
      </c>
      <c r="C17" s="31" t="str">
        <f>IFERROR(__xludf.DUMMYFUNCTION("""COMPUTED_VALUE"""),"Product")</f>
        <v>Product</v>
      </c>
      <c r="D17" s="31">
        <f>IFERROR(__xludf.DUMMYFUNCTION("""COMPUTED_VALUE"""),9.818953844E9)</f>
        <v>9818953844</v>
      </c>
      <c r="E17" s="31" t="str">
        <f>IFERROR(__xludf.DUMMYFUNCTION("""COMPUTED_VALUE"""),"Manager - Strategy")</f>
        <v>Manager - Strategy</v>
      </c>
      <c r="F17" s="31" t="str">
        <f>IFERROR(__xludf.DUMMYFUNCTION("""COMPUTED_VALUE"""),"Strategy")</f>
        <v>Strategy</v>
      </c>
      <c r="G17" s="31" t="str">
        <f>IFERROR(__xludf.DUMMYFUNCTION("""COMPUTED_VALUE"""),"jain.sanket93@gmail.com")</f>
        <v>jain.sanket93@gmail.com</v>
      </c>
      <c r="H17" s="31" t="str">
        <f>IFERROR(__xludf.DUMMYFUNCTION("""COMPUTED_VALUE"""),"Ishank Mehta")</f>
        <v>Ishank Mehta</v>
      </c>
      <c r="I17" s="75"/>
      <c r="J17" s="31" t="str">
        <f>IFERROR(__xludf.DUMMYFUNCTION("""COMPUTED_VALUE"""),"Naina")</f>
        <v>Naina</v>
      </c>
      <c r="K17" s="31" t="str">
        <f>IFERROR(__xludf.DUMMYFUNCTION("""COMPUTED_VALUE"""),"Joined")</f>
        <v>Joined</v>
      </c>
      <c r="L17" s="31" t="str">
        <f>IFERROR(__xludf.DUMMYFUNCTION("""COMPUTED_VALUE"""),"In Office")</f>
        <v>In Office</v>
      </c>
      <c r="M17" s="31" t="str">
        <f>IFERROR(__xludf.DUMMYFUNCTION("""COMPUTED_VALUE"""),"sanket.jain@zupee.in")</f>
        <v>sanket.jain@zupee.in</v>
      </c>
      <c r="N17" s="31"/>
    </row>
    <row r="18">
      <c r="A18" s="74">
        <f>IFERROR(__xludf.DUMMYFUNCTION("""COMPUTED_VALUE"""),45268.0)</f>
        <v>45268</v>
      </c>
      <c r="B18" s="31" t="str">
        <f>IFERROR(__xludf.DUMMYFUNCTION("""COMPUTED_VALUE"""),"Mohit Singh Rathore")</f>
        <v>Mohit Singh Rathore</v>
      </c>
      <c r="C18" s="31" t="str">
        <f>IFERROR(__xludf.DUMMYFUNCTION("""COMPUTED_VALUE"""),"Technology")</f>
        <v>Technology</v>
      </c>
      <c r="D18" s="31">
        <f>IFERROR(__xludf.DUMMYFUNCTION("""COMPUTED_VALUE"""),7.410851411E9)</f>
        <v>7410851411</v>
      </c>
      <c r="E18" s="31" t="str">
        <f>IFERROR(__xludf.DUMMYFUNCTION("""COMPUTED_VALUE"""),"Software Engineer")</f>
        <v>Software Engineer</v>
      </c>
      <c r="F18" s="31" t="str">
        <f>IFERROR(__xludf.DUMMYFUNCTION("""COMPUTED_VALUE"""),"Backend")</f>
        <v>Backend</v>
      </c>
      <c r="G18" s="31" t="str">
        <f>IFERROR(__xludf.DUMMYFUNCTION("""COMPUTED_VALUE"""),"singhrathoremohit@gmail.com")</f>
        <v>singhrathoremohit@gmail.com</v>
      </c>
      <c r="H18" s="31" t="str">
        <f>IFERROR(__xludf.DUMMYFUNCTION("""COMPUTED_VALUE"""),"Piyush Shukla")</f>
        <v>Piyush Shukla</v>
      </c>
      <c r="I18" s="75">
        <f>IFERROR(__xludf.DUMMYFUNCTION("""COMPUTED_VALUE"""),45222.0)</f>
        <v>45222</v>
      </c>
      <c r="J18" s="31" t="str">
        <f>IFERROR(__xludf.DUMMYFUNCTION("""COMPUTED_VALUE"""),"Nidhi Khedekar")</f>
        <v>Nidhi Khedekar</v>
      </c>
      <c r="K18" s="31" t="str">
        <f>IFERROR(__xludf.DUMMYFUNCTION("""COMPUTED_VALUE"""),"Joined")</f>
        <v>Joined</v>
      </c>
      <c r="L18" s="31" t="str">
        <f>IFERROR(__xludf.DUMMYFUNCTION("""COMPUTED_VALUE"""),"In Office")</f>
        <v>In Office</v>
      </c>
      <c r="M18" s="31" t="str">
        <f>IFERROR(__xludf.DUMMYFUNCTION("""COMPUTED_VALUE"""),"mohit.rathore@zupee.in")</f>
        <v>mohit.rathore@zupee.in</v>
      </c>
      <c r="N18" s="31" t="str">
        <f>IFERROR(__xludf.DUMMYFUNCTION("""COMPUTED_VALUE"""),"D44FP97T0W")</f>
        <v>D44FP97T0W</v>
      </c>
    </row>
    <row r="19">
      <c r="A19" s="74">
        <f>IFERROR(__xludf.DUMMYFUNCTION("""COMPUTED_VALUE"""),45246.0)</f>
        <v>45246</v>
      </c>
      <c r="B19" s="31" t="str">
        <f>IFERROR(__xludf.DUMMYFUNCTION("""COMPUTED_VALUE"""),"Shrasti Tomar")</f>
        <v>Shrasti Tomar</v>
      </c>
      <c r="C19" s="31" t="str">
        <f>IFERROR(__xludf.DUMMYFUNCTION("""COMPUTED_VALUE"""),"Technology")</f>
        <v>Technology</v>
      </c>
      <c r="D19" s="31">
        <f>IFERROR(__xludf.DUMMYFUNCTION("""COMPUTED_VALUE"""),9.71171279E9)</f>
        <v>9711712790</v>
      </c>
      <c r="E19" s="31" t="str">
        <f>IFERROR(__xludf.DUMMYFUNCTION("""COMPUTED_VALUE"""),"Data Engineer")</f>
        <v>Data Engineer</v>
      </c>
      <c r="F19" s="31" t="str">
        <f>IFERROR(__xludf.DUMMYFUNCTION("""COMPUTED_VALUE"""),"Data Engineering")</f>
        <v>Data Engineering</v>
      </c>
      <c r="G19" s="31" t="str">
        <f>IFERROR(__xludf.DUMMYFUNCTION("""COMPUTED_VALUE"""),"shrastitomar123@gmail.com")</f>
        <v>shrastitomar123@gmail.com</v>
      </c>
      <c r="H19" s="31" t="str">
        <f>IFERROR(__xludf.DUMMYFUNCTION("""COMPUTED_VALUE"""),"Aman Bahl")</f>
        <v>Aman Bahl</v>
      </c>
      <c r="I19" s="75">
        <f>IFERROR(__xludf.DUMMYFUNCTION("""COMPUTED_VALUE"""),45229.0)</f>
        <v>45229</v>
      </c>
      <c r="J19" s="31" t="str">
        <f>IFERROR(__xludf.DUMMYFUNCTION("""COMPUTED_VALUE"""),"Nidhi Khedekar")</f>
        <v>Nidhi Khedekar</v>
      </c>
      <c r="K19" s="31" t="str">
        <f>IFERROR(__xludf.DUMMYFUNCTION("""COMPUTED_VALUE"""),"Joined")</f>
        <v>Joined</v>
      </c>
      <c r="L19" s="31" t="str">
        <f>IFERROR(__xludf.DUMMYFUNCTION("""COMPUTED_VALUE"""),"In Office")</f>
        <v>In Office</v>
      </c>
      <c r="M19" s="31" t="str">
        <f>IFERROR(__xludf.DUMMYFUNCTION("""COMPUTED_VALUE"""),"shrasti.tomar@zupee.in")</f>
        <v>shrasti.tomar@zupee.in</v>
      </c>
      <c r="N19" s="31" t="str">
        <f>IFERROR(__xludf.DUMMYFUNCTION("""COMPUTED_VALUE"""),"M99FNLWVCF")</f>
        <v>M99FNLWVCF</v>
      </c>
    </row>
    <row r="20">
      <c r="A20" s="74">
        <f>IFERROR(__xludf.DUMMYFUNCTION("""COMPUTED_VALUE"""),45316.0)</f>
        <v>45316</v>
      </c>
      <c r="B20" s="31" t="str">
        <f>IFERROR(__xludf.DUMMYFUNCTION("""COMPUTED_VALUE"""),"Sumit Chugh")</f>
        <v>Sumit Chugh</v>
      </c>
      <c r="C20" s="31" t="str">
        <f>IFERROR(__xludf.DUMMYFUNCTION("""COMPUTED_VALUE"""),"Finance")</f>
        <v>Finance</v>
      </c>
      <c r="D20" s="31">
        <f>IFERROR(__xludf.DUMMYFUNCTION("""COMPUTED_VALUE"""),9.811538749E9)</f>
        <v>9811538749</v>
      </c>
      <c r="E20" s="31" t="str">
        <f>IFERROR(__xludf.DUMMYFUNCTION("""COMPUTED_VALUE"""),"Head of Finance")</f>
        <v>Head of Finance</v>
      </c>
      <c r="F20" s="31" t="str">
        <f>IFERROR(__xludf.DUMMYFUNCTION("""COMPUTED_VALUE"""),"Finance")</f>
        <v>Finance</v>
      </c>
      <c r="G20" s="31" t="str">
        <f>IFERROR(__xludf.DUMMYFUNCTION("""COMPUTED_VALUE"""),"sumitchugh81@gmail.com")</f>
        <v>sumitchugh81@gmail.com</v>
      </c>
      <c r="H20" s="31" t="str">
        <f>IFERROR(__xludf.DUMMYFUNCTION("""COMPUTED_VALUE"""),"Dilsher Malhi")</f>
        <v>Dilsher Malhi</v>
      </c>
      <c r="I20" s="75">
        <f>IFERROR(__xludf.DUMMYFUNCTION("""COMPUTED_VALUE"""),45224.0)</f>
        <v>45224</v>
      </c>
      <c r="J20" s="31" t="str">
        <f>IFERROR(__xludf.DUMMYFUNCTION("""COMPUTED_VALUE"""),"M Sangeetha")</f>
        <v>M Sangeetha</v>
      </c>
      <c r="K20" s="31" t="str">
        <f>IFERROR(__xludf.DUMMYFUNCTION("""COMPUTED_VALUE"""),"Joined")</f>
        <v>Joined</v>
      </c>
      <c r="L20" s="31" t="str">
        <f>IFERROR(__xludf.DUMMYFUNCTION("""COMPUTED_VALUE"""),"In Office")</f>
        <v>In Office</v>
      </c>
      <c r="M20" s="31"/>
      <c r="N20" s="31"/>
    </row>
    <row r="21">
      <c r="A21" s="74">
        <f>IFERROR(__xludf.DUMMYFUNCTION("""COMPUTED_VALUE"""),45252.0)</f>
        <v>45252</v>
      </c>
      <c r="B21" s="31" t="str">
        <f>IFERROR(__xludf.DUMMYFUNCTION("""COMPUTED_VALUE"""),"Kumar Shivam")</f>
        <v>Kumar Shivam</v>
      </c>
      <c r="C21" s="31" t="str">
        <f>IFERROR(__xludf.DUMMYFUNCTION("""COMPUTED_VALUE"""),"Analytics")</f>
        <v>Analytics</v>
      </c>
      <c r="D21" s="31">
        <f>IFERROR(__xludf.DUMMYFUNCTION("""COMPUTED_VALUE"""),9.471621193E9)</f>
        <v>9471621193</v>
      </c>
      <c r="E21" s="31" t="str">
        <f>IFERROR(__xludf.DUMMYFUNCTION("""COMPUTED_VALUE"""),"Data Analyst")</f>
        <v>Data Analyst</v>
      </c>
      <c r="F21" s="31" t="str">
        <f>IFERROR(__xludf.DUMMYFUNCTION("""COMPUTED_VALUE"""),"Product Analytics")</f>
        <v>Product Analytics</v>
      </c>
      <c r="G21" s="31" t="str">
        <f>IFERROR(__xludf.DUMMYFUNCTION("""COMPUTED_VALUE"""),"kumarshivamdsdl@gmail.com")</f>
        <v>kumarshivamdsdl@gmail.com</v>
      </c>
      <c r="H21" s="31" t="str">
        <f>IFERROR(__xludf.DUMMYFUNCTION("""COMPUTED_VALUE"""),"Shwetank Anand")</f>
        <v>Shwetank Anand</v>
      </c>
      <c r="I21" s="75">
        <f>IFERROR(__xludf.DUMMYFUNCTION("""COMPUTED_VALUE"""),45222.0)</f>
        <v>45222</v>
      </c>
      <c r="J21" s="31" t="str">
        <f>IFERROR(__xludf.DUMMYFUNCTION("""COMPUTED_VALUE"""),"Mamta Pandey")</f>
        <v>Mamta Pandey</v>
      </c>
      <c r="K21" s="31" t="str">
        <f>IFERROR(__xludf.DUMMYFUNCTION("""COMPUTED_VALUE"""),"Offer Declined")</f>
        <v>Offer Declined</v>
      </c>
      <c r="L21" s="31" t="str">
        <f>IFERROR(__xludf.DUMMYFUNCTION("""COMPUTED_VALUE"""),"In Office")</f>
        <v>In Office</v>
      </c>
      <c r="M21" s="31"/>
      <c r="N21" s="31"/>
    </row>
    <row r="22">
      <c r="A22" s="74">
        <f>IFERROR(__xludf.DUMMYFUNCTION("""COMPUTED_VALUE"""),45272.0)</f>
        <v>45272</v>
      </c>
      <c r="B22" s="31" t="str">
        <f>IFERROR(__xludf.DUMMYFUNCTION("""COMPUTED_VALUE"""),"Rajkumar Singh")</f>
        <v>Rajkumar Singh</v>
      </c>
      <c r="C22" s="31" t="str">
        <f>IFERROR(__xludf.DUMMYFUNCTION("""COMPUTED_VALUE"""),"Corporate")</f>
        <v>Corporate</v>
      </c>
      <c r="D22" s="31">
        <f>IFERROR(__xludf.DUMMYFUNCTION("""COMPUTED_VALUE"""),8.285299131E9)</f>
        <v>8285299131</v>
      </c>
      <c r="E22" s="31" t="str">
        <f>IFERROR(__xludf.DUMMYFUNCTION("""COMPUTED_VALUE"""),"Manager- IT Administration")</f>
        <v>Manager- IT Administration</v>
      </c>
      <c r="F22" s="31" t="str">
        <f>IFERROR(__xludf.DUMMYFUNCTION("""COMPUTED_VALUE"""),"Administration")</f>
        <v>Administration</v>
      </c>
      <c r="G22" s="31" t="str">
        <f>IFERROR(__xludf.DUMMYFUNCTION("""COMPUTED_VALUE"""),"rajdainy@gmail.com")</f>
        <v>rajdainy@gmail.com</v>
      </c>
      <c r="H22" s="31" t="str">
        <f>IFERROR(__xludf.DUMMYFUNCTION("""COMPUTED_VALUE"""),"Gaurav Sharma")</f>
        <v>Gaurav Sharma</v>
      </c>
      <c r="I22" s="75">
        <f>IFERROR(__xludf.DUMMYFUNCTION("""COMPUTED_VALUE"""),45210.0)</f>
        <v>45210</v>
      </c>
      <c r="J22" s="31" t="str">
        <f>IFERROR(__xludf.DUMMYFUNCTION("""COMPUTED_VALUE"""),"Mamta Pandey")</f>
        <v>Mamta Pandey</v>
      </c>
      <c r="K22" s="31" t="str">
        <f>IFERROR(__xludf.DUMMYFUNCTION("""COMPUTED_VALUE"""),"Joined")</f>
        <v>Joined</v>
      </c>
      <c r="L22" s="31" t="str">
        <f>IFERROR(__xludf.DUMMYFUNCTION("""COMPUTED_VALUE"""),"In Office")</f>
        <v>In Office</v>
      </c>
      <c r="M22" s="31" t="str">
        <f>IFERROR(__xludf.DUMMYFUNCTION("""COMPUTED_VALUE"""),"rajkumar.singh@zupee.in")</f>
        <v>rajkumar.singh@zupee.in</v>
      </c>
      <c r="N22" s="31" t="str">
        <f>IFERROR(__xludf.DUMMYFUNCTION("""COMPUTED_VALUE"""),"DPMV3N3")</f>
        <v>DPMV3N3</v>
      </c>
    </row>
    <row r="23">
      <c r="A23" s="74">
        <f>IFERROR(__xludf.DUMMYFUNCTION("""COMPUTED_VALUE"""),45253.0)</f>
        <v>45253</v>
      </c>
      <c r="B23" s="31" t="str">
        <f>IFERROR(__xludf.DUMMYFUNCTION("""COMPUTED_VALUE"""),"Prateek Jain")</f>
        <v>Prateek Jain</v>
      </c>
      <c r="C23" s="31" t="str">
        <f>IFERROR(__xludf.DUMMYFUNCTION("""COMPUTED_VALUE"""),"Technology")</f>
        <v>Technology</v>
      </c>
      <c r="D23" s="31">
        <f>IFERROR(__xludf.DUMMYFUNCTION("""COMPUTED_VALUE"""),9.910763107E9)</f>
        <v>9910763107</v>
      </c>
      <c r="E23" s="31" t="str">
        <f>IFERROR(__xludf.DUMMYFUNCTION("""COMPUTED_VALUE"""),"Staff Engineer")</f>
        <v>Staff Engineer</v>
      </c>
      <c r="F23" s="31" t="str">
        <f>IFERROR(__xludf.DUMMYFUNCTION("""COMPUTED_VALUE"""),"Engineering")</f>
        <v>Engineering</v>
      </c>
      <c r="G23" s="31" t="str">
        <f>IFERROR(__xludf.DUMMYFUNCTION("""COMPUTED_VALUE"""),"prateekj201@gmail.com")</f>
        <v>prateekj201@gmail.com</v>
      </c>
      <c r="H23" s="31" t="str">
        <f>IFERROR(__xludf.DUMMYFUNCTION("""COMPUTED_VALUE"""),"Saurav Yadav")</f>
        <v>Saurav Yadav</v>
      </c>
      <c r="I23" s="75">
        <f>IFERROR(__xludf.DUMMYFUNCTION("""COMPUTED_VALUE"""),45240.0)</f>
        <v>45240</v>
      </c>
      <c r="J23" s="31" t="str">
        <f>IFERROR(__xludf.DUMMYFUNCTION("""COMPUTED_VALUE"""),"Rajneesh Yadav")</f>
        <v>Rajneesh Yadav</v>
      </c>
      <c r="K23" s="31" t="str">
        <f>IFERROR(__xludf.DUMMYFUNCTION("""COMPUTED_VALUE"""),"Joined")</f>
        <v>Joined</v>
      </c>
      <c r="L23" s="31" t="str">
        <f>IFERROR(__xludf.DUMMYFUNCTION("""COMPUTED_VALUE"""),"In Office")</f>
        <v>In Office</v>
      </c>
      <c r="M23" s="31" t="str">
        <f>IFERROR(__xludf.DUMMYFUNCTION("""COMPUTED_VALUE"""),"prateek.jain@zupee.in")</f>
        <v>prateek.jain@zupee.in</v>
      </c>
      <c r="N23" s="31"/>
    </row>
    <row r="24">
      <c r="A24" s="74">
        <f>IFERROR(__xludf.DUMMYFUNCTION("""COMPUTED_VALUE"""),45258.0)</f>
        <v>45258</v>
      </c>
      <c r="B24" s="31" t="str">
        <f>IFERROR(__xludf.DUMMYFUNCTION("""COMPUTED_VALUE"""),"Satyam Jaiswal")</f>
        <v>Satyam Jaiswal</v>
      </c>
      <c r="C24" s="31" t="str">
        <f>IFERROR(__xludf.DUMMYFUNCTION("""COMPUTED_VALUE"""),"Technology")</f>
        <v>Technology</v>
      </c>
      <c r="D24" s="31">
        <f>IFERROR(__xludf.DUMMYFUNCTION("""COMPUTED_VALUE"""),7.318358838E9)</f>
        <v>7318358838</v>
      </c>
      <c r="E24" s="31" t="str">
        <f>IFERROR(__xludf.DUMMYFUNCTION("""COMPUTED_VALUE"""),"Quality Assurance Engineer- 1")</f>
        <v>Quality Assurance Engineer- 1</v>
      </c>
      <c r="F24" s="31" t="str">
        <f>IFERROR(__xludf.DUMMYFUNCTION("""COMPUTED_VALUE"""),"Quality")</f>
        <v>Quality</v>
      </c>
      <c r="G24" s="31" t="str">
        <f>IFERROR(__xludf.DUMMYFUNCTION("""COMPUTED_VALUE"""),"satyamjaiswal8828@gmail.com")</f>
        <v>satyamjaiswal8828@gmail.com</v>
      </c>
      <c r="H24" s="31" t="str">
        <f>IFERROR(__xludf.DUMMYFUNCTION("""COMPUTED_VALUE"""),"Sahil Puri")</f>
        <v>Sahil Puri</v>
      </c>
      <c r="I24" s="75">
        <f>IFERROR(__xludf.DUMMYFUNCTION("""COMPUTED_VALUE"""),45251.0)</f>
        <v>45251</v>
      </c>
      <c r="J24" s="31" t="str">
        <f>IFERROR(__xludf.DUMMYFUNCTION("""COMPUTED_VALUE"""),"Mamta Pandey")</f>
        <v>Mamta Pandey</v>
      </c>
      <c r="K24" s="31" t="str">
        <f>IFERROR(__xludf.DUMMYFUNCTION("""COMPUTED_VALUE"""),"Joined")</f>
        <v>Joined</v>
      </c>
      <c r="L24" s="31" t="str">
        <f>IFERROR(__xludf.DUMMYFUNCTION("""COMPUTED_VALUE"""),"In Office")</f>
        <v>In Office</v>
      </c>
      <c r="M24" s="31" t="str">
        <f>IFERROR(__xludf.DUMMYFUNCTION("""COMPUTED_VALUE"""),"satyam.jaiswal@zupee.in")</f>
        <v>satyam.jaiswal@zupee.in</v>
      </c>
      <c r="N24" s="31" t="str">
        <f>IFERROR(__xludf.DUMMYFUNCTION("""COMPUTED_VALUE"""),"KD4V9Y5L9R")</f>
        <v>KD4V9Y5L9R</v>
      </c>
    </row>
    <row r="25">
      <c r="A25" s="74">
        <f>IFERROR(__xludf.DUMMYFUNCTION("""COMPUTED_VALUE"""),45261.0)</f>
        <v>45261</v>
      </c>
      <c r="B25" s="31" t="str">
        <f>IFERROR(__xludf.DUMMYFUNCTION("""COMPUTED_VALUE"""),"Tushar Rajendra Patil")</f>
        <v>Tushar Rajendra Patil</v>
      </c>
      <c r="C25" s="31" t="str">
        <f>IFERROR(__xludf.DUMMYFUNCTION("""COMPUTED_VALUE"""),"Technology")</f>
        <v>Technology</v>
      </c>
      <c r="D25" s="31"/>
      <c r="E25" s="31" t="str">
        <f>IFERROR(__xludf.DUMMYFUNCTION("""COMPUTED_VALUE"""),"Machine Learning Engineer")</f>
        <v>Machine Learning Engineer</v>
      </c>
      <c r="F25" s="31" t="str">
        <f>IFERROR(__xludf.DUMMYFUNCTION("""COMPUTED_VALUE"""),"Data Science")</f>
        <v>Data Science</v>
      </c>
      <c r="G25" s="31" t="str">
        <f>IFERROR(__xludf.DUMMYFUNCTION("""COMPUTED_VALUE"""),"tusharpatil487@gmail.com")</f>
        <v>tusharpatil487@gmail.com</v>
      </c>
      <c r="H25" s="31" t="str">
        <f>IFERROR(__xludf.DUMMYFUNCTION("""COMPUTED_VALUE"""),"Sairam Mushyam")</f>
        <v>Sairam Mushyam</v>
      </c>
      <c r="I25" s="75">
        <f>IFERROR(__xludf.DUMMYFUNCTION("""COMPUTED_VALUE"""),45204.0)</f>
        <v>45204</v>
      </c>
      <c r="J25" s="31" t="str">
        <f>IFERROR(__xludf.DUMMYFUNCTION("""COMPUTED_VALUE"""),"Mamta Pandey")</f>
        <v>Mamta Pandey</v>
      </c>
      <c r="K25" s="31" t="str">
        <f>IFERROR(__xludf.DUMMYFUNCTION("""COMPUTED_VALUE"""),"Joined")</f>
        <v>Joined</v>
      </c>
      <c r="L25" s="31" t="str">
        <f>IFERROR(__xludf.DUMMYFUNCTION("""COMPUTED_VALUE"""),"In Office")</f>
        <v>In Office</v>
      </c>
      <c r="M25" s="31" t="str">
        <f>IFERROR(__xludf.DUMMYFUNCTION("""COMPUTED_VALUE"""),"tushar.patil@zupee.in")</f>
        <v>tushar.patil@zupee.in</v>
      </c>
      <c r="N25" s="31" t="str">
        <f>IFERROR(__xludf.DUMMYFUNCTION("""COMPUTED_VALUE"""),"JLQMHQ2K3P")</f>
        <v>JLQMHQ2K3P</v>
      </c>
    </row>
    <row r="26">
      <c r="A26" s="74">
        <f>IFERROR(__xludf.DUMMYFUNCTION("""COMPUTED_VALUE"""),45264.0)</f>
        <v>45264</v>
      </c>
      <c r="B26" s="31" t="str">
        <f>IFERROR(__xludf.DUMMYFUNCTION("""COMPUTED_VALUE""")," Mukul Bhatt")</f>
        <v> Mukul Bhatt</v>
      </c>
      <c r="C26" s="31" t="str">
        <f>IFERROR(__xludf.DUMMYFUNCTION("""COMPUTED_VALUE"""),"Technology")</f>
        <v>Technology</v>
      </c>
      <c r="D26" s="31">
        <f>IFERROR(__xludf.DUMMYFUNCTION("""COMPUTED_VALUE"""),9.971757357E9)</f>
        <v>9971757357</v>
      </c>
      <c r="E26" s="31" t="str">
        <f>IFERROR(__xludf.DUMMYFUNCTION("""COMPUTED_VALUE"""),"Quality Assurance Engineer- 1")</f>
        <v>Quality Assurance Engineer- 1</v>
      </c>
      <c r="F26" s="31" t="str">
        <f>IFERROR(__xludf.DUMMYFUNCTION("""COMPUTED_VALUE"""),"Quality")</f>
        <v>Quality</v>
      </c>
      <c r="G26" s="31" t="str">
        <f>IFERROR(__xludf.DUMMYFUNCTION("""COMPUTED_VALUE"""),"mukulbhatt9@gmail.com")</f>
        <v>mukulbhatt9@gmail.com</v>
      </c>
      <c r="H26" s="31" t="str">
        <f>IFERROR(__xludf.DUMMYFUNCTION("""COMPUTED_VALUE"""),"Sahil Puri")</f>
        <v>Sahil Puri</v>
      </c>
      <c r="I26" s="75">
        <f>IFERROR(__xludf.DUMMYFUNCTION("""COMPUTED_VALUE"""),45261.0)</f>
        <v>45261</v>
      </c>
      <c r="J26" s="31" t="str">
        <f>IFERROR(__xludf.DUMMYFUNCTION("""COMPUTED_VALUE"""),"Mamta Pandey")</f>
        <v>Mamta Pandey</v>
      </c>
      <c r="K26" s="31" t="str">
        <f>IFERROR(__xludf.DUMMYFUNCTION("""COMPUTED_VALUE"""),"Joined")</f>
        <v>Joined</v>
      </c>
      <c r="L26" s="31" t="str">
        <f>IFERROR(__xludf.DUMMYFUNCTION("""COMPUTED_VALUE"""),"In Office")</f>
        <v>In Office</v>
      </c>
      <c r="M26" s="31"/>
      <c r="N26" s="31"/>
    </row>
    <row r="27">
      <c r="A27" s="74">
        <f>IFERROR(__xludf.DUMMYFUNCTION("""COMPUTED_VALUE"""),45273.0)</f>
        <v>45273</v>
      </c>
      <c r="B27" s="31" t="str">
        <f>IFERROR(__xludf.DUMMYFUNCTION("""COMPUTED_VALUE"""),"Adhip kushwaha")</f>
        <v>Adhip kushwaha</v>
      </c>
      <c r="C27" s="31" t="str">
        <f>IFERROR(__xludf.DUMMYFUNCTION("""COMPUTED_VALUE"""),"Technology")</f>
        <v>Technology</v>
      </c>
      <c r="D27" s="31">
        <f>IFERROR(__xludf.DUMMYFUNCTION("""COMPUTED_VALUE"""),9.899277132E9)</f>
        <v>9899277132</v>
      </c>
      <c r="E27" s="31" t="str">
        <f>IFERROR(__xludf.DUMMYFUNCTION("""COMPUTED_VALUE"""),"Software Engineer- Android")</f>
        <v>Software Engineer- Android</v>
      </c>
      <c r="F27" s="31" t="str">
        <f>IFERROR(__xludf.DUMMYFUNCTION("""COMPUTED_VALUE"""),"Product Analytics")</f>
        <v>Product Analytics</v>
      </c>
      <c r="G27" s="31" t="str">
        <f>IFERROR(__xludf.DUMMYFUNCTION("""COMPUTED_VALUE"""),"adhipkushwaha@gmail.com")</f>
        <v>adhipkushwaha@gmail.com</v>
      </c>
      <c r="H27" s="31" t="str">
        <f>IFERROR(__xludf.DUMMYFUNCTION("""COMPUTED_VALUE"""),"Anshul Mittal")</f>
        <v>Anshul Mittal</v>
      </c>
      <c r="I27" s="75">
        <f>IFERROR(__xludf.DUMMYFUNCTION("""COMPUTED_VALUE"""),45272.0)</f>
        <v>45272</v>
      </c>
      <c r="J27" s="31" t="str">
        <f>IFERROR(__xludf.DUMMYFUNCTION("""COMPUTED_VALUE"""),"Naina")</f>
        <v>Naina</v>
      </c>
      <c r="K27" s="31" t="str">
        <f>IFERROR(__xludf.DUMMYFUNCTION("""COMPUTED_VALUE"""),"Joined")</f>
        <v>Joined</v>
      </c>
      <c r="L27" s="31" t="str">
        <f>IFERROR(__xludf.DUMMYFUNCTION("""COMPUTED_VALUE"""),"In Office")</f>
        <v>In Office</v>
      </c>
      <c r="M27" s="31" t="str">
        <f>IFERROR(__xludf.DUMMYFUNCTION("""COMPUTED_VALUE"""),"adhip.kushwaha@zupee.in")</f>
        <v>adhip.kushwaha@zupee.in</v>
      </c>
      <c r="N27" s="31" t="str">
        <f>IFERROR(__xludf.DUMMYFUNCTION("""COMPUTED_VALUE"""),"W1JLFTH56T")</f>
        <v>W1JLFTH56T</v>
      </c>
    </row>
    <row r="28">
      <c r="A28" s="74">
        <f>IFERROR(__xludf.DUMMYFUNCTION("""COMPUTED_VALUE"""),45275.0)</f>
        <v>45275</v>
      </c>
      <c r="B28" s="31" t="str">
        <f>IFERROR(__xludf.DUMMYFUNCTION("""COMPUTED_VALUE"""),"Sucheta Sharma")</f>
        <v>Sucheta Sharma</v>
      </c>
      <c r="C28" s="31" t="str">
        <f>IFERROR(__xludf.DUMMYFUNCTION("""COMPUTED_VALUE"""),"Finance")</f>
        <v>Finance</v>
      </c>
      <c r="D28" s="31">
        <f>IFERROR(__xludf.DUMMYFUNCTION("""COMPUTED_VALUE"""),7.89896444E9)</f>
        <v>7898964440</v>
      </c>
      <c r="E28" s="31" t="str">
        <f>IFERROR(__xludf.DUMMYFUNCTION("""COMPUTED_VALUE"""),"Manager- Finance")</f>
        <v>Manager- Finance</v>
      </c>
      <c r="F28" s="31" t="str">
        <f>IFERROR(__xludf.DUMMYFUNCTION("""COMPUTED_VALUE"""),"Finance")</f>
        <v>Finance</v>
      </c>
      <c r="G28" s="31" t="str">
        <f>IFERROR(__xludf.DUMMYFUNCTION("""COMPUTED_VALUE"""),"sssuchetasharma@gmail.com")</f>
        <v>sssuchetasharma@gmail.com</v>
      </c>
      <c r="H28" s="31" t="str">
        <f>IFERROR(__xludf.DUMMYFUNCTION("""COMPUTED_VALUE"""),"Hitesh Vats")</f>
        <v>Hitesh Vats</v>
      </c>
      <c r="I28" s="75">
        <f>IFERROR(__xludf.DUMMYFUNCTION("""COMPUTED_VALUE"""),45247.0)</f>
        <v>45247</v>
      </c>
      <c r="J28" s="31" t="str">
        <f>IFERROR(__xludf.DUMMYFUNCTION("""COMPUTED_VALUE"""),"Nidhi Khedekar")</f>
        <v>Nidhi Khedekar</v>
      </c>
      <c r="K28" s="31" t="str">
        <f>IFERROR(__xludf.DUMMYFUNCTION("""COMPUTED_VALUE"""),"Joined")</f>
        <v>Joined</v>
      </c>
      <c r="L28" s="31" t="str">
        <f>IFERROR(__xludf.DUMMYFUNCTION("""COMPUTED_VALUE"""),"In Office")</f>
        <v>In Office</v>
      </c>
      <c r="M28" s="31" t="str">
        <f>IFERROR(__xludf.DUMMYFUNCTION("""COMPUTED_VALUE"""),"sucheta.sharma@zupee.in")</f>
        <v>sucheta.sharma@zupee.in</v>
      </c>
      <c r="N28" s="31"/>
    </row>
    <row r="29">
      <c r="A29" s="74">
        <f>IFERROR(__xludf.DUMMYFUNCTION("""COMPUTED_VALUE"""),44944.0)</f>
        <v>44944</v>
      </c>
      <c r="B29" s="31" t="str">
        <f>IFERROR(__xludf.DUMMYFUNCTION("""COMPUTED_VALUE"""),"Mohit Choudhary")</f>
        <v>Mohit Choudhary</v>
      </c>
      <c r="C29" s="31" t="str">
        <f>IFERROR(__xludf.DUMMYFUNCTION("""COMPUTED_VALUE"""),"Analytics")</f>
        <v>Analytics</v>
      </c>
      <c r="D29" s="31">
        <f>IFERROR(__xludf.DUMMYFUNCTION("""COMPUTED_VALUE"""),8.561946709E9)</f>
        <v>8561946709</v>
      </c>
      <c r="E29" s="31" t="str">
        <f>IFERROR(__xludf.DUMMYFUNCTION("""COMPUTED_VALUE"""),"Senior Data Analyst")</f>
        <v>Senior Data Analyst</v>
      </c>
      <c r="F29" s="31" t="str">
        <f>IFERROR(__xludf.DUMMYFUNCTION("""COMPUTED_VALUE"""),"Product Analytics")</f>
        <v>Product Analytics</v>
      </c>
      <c r="G29" s="31" t="str">
        <f>IFERROR(__xludf.DUMMYFUNCTION("""COMPUTED_VALUE"""),"choudharymohit1907@gmail.com")</f>
        <v>choudharymohit1907@gmail.com</v>
      </c>
      <c r="H29" s="31" t="str">
        <f>IFERROR(__xludf.DUMMYFUNCTION("""COMPUTED_VALUE"""),"Shwetank Anand")</f>
        <v>Shwetank Anand</v>
      </c>
      <c r="I29" s="75">
        <f>IFERROR(__xludf.DUMMYFUNCTION("""COMPUTED_VALUE"""),45251.0)</f>
        <v>45251</v>
      </c>
      <c r="J29" s="31" t="str">
        <f>IFERROR(__xludf.DUMMYFUNCTION("""COMPUTED_VALUE"""),"Mamta Pandey")</f>
        <v>Mamta Pandey</v>
      </c>
      <c r="K29" s="31" t="str">
        <f>IFERROR(__xludf.DUMMYFUNCTION("""COMPUTED_VALUE"""),"Joined")</f>
        <v>Joined</v>
      </c>
      <c r="L29" s="31" t="str">
        <f>IFERROR(__xludf.DUMMYFUNCTION("""COMPUTED_VALUE"""),"In Office")</f>
        <v>In Office</v>
      </c>
      <c r="M29" s="31" t="str">
        <f>IFERROR(__xludf.DUMMYFUNCTION("""COMPUTED_VALUE"""),"mohit.choudhary@zupee.in")</f>
        <v>mohit.choudhary@zupee.in</v>
      </c>
      <c r="N29" s="31"/>
    </row>
    <row r="30">
      <c r="A30" s="74">
        <f>IFERROR(__xludf.DUMMYFUNCTION("""COMPUTED_VALUE"""),45397.0)</f>
        <v>45397</v>
      </c>
      <c r="B30" s="31" t="str">
        <f>IFERROR(__xludf.DUMMYFUNCTION("""COMPUTED_VALUE"""),"Eeshma Anand")</f>
        <v>Eeshma Anand</v>
      </c>
      <c r="C30" s="31" t="str">
        <f>IFERROR(__xludf.DUMMYFUNCTION("""COMPUTED_VALUE"""),"Product")</f>
        <v>Product</v>
      </c>
      <c r="D30" s="31">
        <f>IFERROR(__xludf.DUMMYFUNCTION("""COMPUTED_VALUE"""),7.982263396E9)</f>
        <v>7982263396</v>
      </c>
      <c r="E30" s="31" t="str">
        <f>IFERROR(__xludf.DUMMYFUNCTION("""COMPUTED_VALUE"""),"Product Manager")</f>
        <v>Product Manager</v>
      </c>
      <c r="F30" s="31" t="str">
        <f>IFERROR(__xludf.DUMMYFUNCTION("""COMPUTED_VALUE"""),"Product")</f>
        <v>Product</v>
      </c>
      <c r="G30" s="31" t="str">
        <f>IFERROR(__xludf.DUMMYFUNCTION("""COMPUTED_VALUE"""),"eeshma.anand@gmail.com")</f>
        <v>eeshma.anand@gmail.com</v>
      </c>
      <c r="H30" s="31" t="str">
        <f>IFERROR(__xludf.DUMMYFUNCTION("""COMPUTED_VALUE"""),"Naveen Kadyan")</f>
        <v>Naveen Kadyan</v>
      </c>
      <c r="I30" s="75">
        <f>IFERROR(__xludf.DUMMYFUNCTION("""COMPUTED_VALUE"""),45260.0)</f>
        <v>45260</v>
      </c>
      <c r="J30" s="31" t="str">
        <f>IFERROR(__xludf.DUMMYFUNCTION("""COMPUTED_VALUE"""),"M Sangeetha")</f>
        <v>M Sangeetha</v>
      </c>
      <c r="K30" s="31" t="str">
        <f>IFERROR(__xludf.DUMMYFUNCTION("""COMPUTED_VALUE"""),"Joined")</f>
        <v>Joined</v>
      </c>
      <c r="L30" s="31" t="str">
        <f>IFERROR(__xludf.DUMMYFUNCTION("""COMPUTED_VALUE"""),"In Office")</f>
        <v>In Office</v>
      </c>
      <c r="M30" s="31" t="str">
        <f>IFERROR(__xludf.DUMMYFUNCTION("""COMPUTED_VALUE"""),"eeshma.anand@zupee.in")</f>
        <v>eeshma.anand@zupee.in</v>
      </c>
      <c r="N30" s="31" t="str">
        <f>IFERROR(__xludf.DUMMYFUNCTION("""COMPUTED_VALUE"""),"JY9YR6J6HV")</f>
        <v>JY9YR6J6HV</v>
      </c>
    </row>
    <row r="31">
      <c r="A31" s="74">
        <f>IFERROR(__xludf.DUMMYFUNCTION("""COMPUTED_VALUE"""),45266.0)</f>
        <v>45266</v>
      </c>
      <c r="B31" s="31" t="str">
        <f>IFERROR(__xludf.DUMMYFUNCTION("""COMPUTED_VALUE"""),"Anjali")</f>
        <v>Anjali</v>
      </c>
      <c r="C31" s="31" t="str">
        <f>IFERROR(__xludf.DUMMYFUNCTION("""COMPUTED_VALUE"""),"Customer Experience")</f>
        <v>Customer Experience</v>
      </c>
      <c r="D31" s="31">
        <f>IFERROR(__xludf.DUMMYFUNCTION("""COMPUTED_VALUE"""),9.540863058E9)</f>
        <v>9540863058</v>
      </c>
      <c r="E31" s="31" t="str">
        <f>IFERROR(__xludf.DUMMYFUNCTION("""COMPUTED_VALUE"""),"Quality Auditor- Executive")</f>
        <v>Quality Auditor- Executive</v>
      </c>
      <c r="F31" s="31" t="str">
        <f>IFERROR(__xludf.DUMMYFUNCTION("""COMPUTED_VALUE"""),"Customer Relation Management")</f>
        <v>Customer Relation Management</v>
      </c>
      <c r="G31" s="31" t="str">
        <f>IFERROR(__xludf.DUMMYFUNCTION("""COMPUTED_VALUE"""),"annirai345@gmail.com")</f>
        <v>annirai345@gmail.com</v>
      </c>
      <c r="H31" s="31" t="str">
        <f>IFERROR(__xludf.DUMMYFUNCTION("""COMPUTED_VALUE"""),"Suvra Das")</f>
        <v>Suvra Das</v>
      </c>
      <c r="I31" s="75">
        <f>IFERROR(__xludf.DUMMYFUNCTION("""COMPUTED_VALUE"""),45264.0)</f>
        <v>45264</v>
      </c>
      <c r="J31" s="31" t="str">
        <f>IFERROR(__xludf.DUMMYFUNCTION("""COMPUTED_VALUE"""),"Nidhi Khedekar")</f>
        <v>Nidhi Khedekar</v>
      </c>
      <c r="K31" s="31" t="str">
        <f>IFERROR(__xludf.DUMMYFUNCTION("""COMPUTED_VALUE"""),"Joined")</f>
        <v>Joined</v>
      </c>
      <c r="L31" s="31" t="str">
        <f>IFERROR(__xludf.DUMMYFUNCTION("""COMPUTED_VALUE"""),"In Office")</f>
        <v>In Office</v>
      </c>
      <c r="M31" s="31" t="str">
        <f>IFERROR(__xludf.DUMMYFUNCTION("""COMPUTED_VALUE"""),"anjali.pal@zupee.in")</f>
        <v>anjali.pal@zupee.in</v>
      </c>
      <c r="N31" s="31" t="str">
        <f>IFERROR(__xludf.DUMMYFUNCTION("""COMPUTED_VALUE"""),"PW03VMFN")</f>
        <v>PW03VMFN</v>
      </c>
    </row>
    <row r="32">
      <c r="A32" s="74">
        <f>IFERROR(__xludf.DUMMYFUNCTION("""COMPUTED_VALUE"""),45271.0)</f>
        <v>45271</v>
      </c>
      <c r="B32" s="31" t="str">
        <f>IFERROR(__xludf.DUMMYFUNCTION("""COMPUTED_VALUE"""),"Gaurav Khanna")</f>
        <v>Gaurav Khanna</v>
      </c>
      <c r="C32" s="31" t="str">
        <f>IFERROR(__xludf.DUMMYFUNCTION("""COMPUTED_VALUE"""),"Admin")</f>
        <v>Admin</v>
      </c>
      <c r="D32" s="31">
        <f>IFERROR(__xludf.DUMMYFUNCTION("""COMPUTED_VALUE"""),8.826268269E9)</f>
        <v>8826268269</v>
      </c>
      <c r="E32" s="31" t="str">
        <f>IFERROR(__xludf.DUMMYFUNCTION("""COMPUTED_VALUE"""),"AM-Administration")</f>
        <v>AM-Administration</v>
      </c>
      <c r="F32" s="31" t="str">
        <f>IFERROR(__xludf.DUMMYFUNCTION("""COMPUTED_VALUE"""),"Administration")</f>
        <v>Administration</v>
      </c>
      <c r="G32" s="31" t="str">
        <f>IFERROR(__xludf.DUMMYFUNCTION("""COMPUTED_VALUE"""),"g29.khanna@yahoo.co.in")</f>
        <v>g29.khanna@yahoo.co.in</v>
      </c>
      <c r="H32" s="31" t="str">
        <f>IFERROR(__xludf.DUMMYFUNCTION("""COMPUTED_VALUE"""),"Vijay Singh")</f>
        <v>Vijay Singh</v>
      </c>
      <c r="I32" s="75">
        <f>IFERROR(__xludf.DUMMYFUNCTION("""COMPUTED_VALUE"""),45264.0)</f>
        <v>45264</v>
      </c>
      <c r="J32" s="31" t="str">
        <f>IFERROR(__xludf.DUMMYFUNCTION("""COMPUTED_VALUE"""),"Nidhi Khedekar")</f>
        <v>Nidhi Khedekar</v>
      </c>
      <c r="K32" s="31" t="str">
        <f>IFERROR(__xludf.DUMMYFUNCTION("""COMPUTED_VALUE"""),"Joined")</f>
        <v>Joined</v>
      </c>
      <c r="L32" s="31" t="str">
        <f>IFERROR(__xludf.DUMMYFUNCTION("""COMPUTED_VALUE"""),"In Office")</f>
        <v>In Office</v>
      </c>
      <c r="M32" s="31" t="str">
        <f>IFERROR(__xludf.DUMMYFUNCTION("""COMPUTED_VALUE"""),"gaurav.khanna@zupee.in")</f>
        <v>gaurav.khanna@zupee.in</v>
      </c>
      <c r="N32" s="31" t="str">
        <f>IFERROR(__xludf.DUMMYFUNCTION("""COMPUTED_VALUE"""),"FW9FFY3")</f>
        <v>FW9FFY3</v>
      </c>
    </row>
    <row r="33">
      <c r="A33" s="74">
        <f>IFERROR(__xludf.DUMMYFUNCTION("""COMPUTED_VALUE"""),45271.0)</f>
        <v>45271</v>
      </c>
      <c r="B33" s="31" t="str">
        <f>IFERROR(__xludf.DUMMYFUNCTION("""COMPUTED_VALUE"""),"Mohit Bakshi")</f>
        <v>Mohit Bakshi</v>
      </c>
      <c r="C33" s="31" t="str">
        <f>IFERROR(__xludf.DUMMYFUNCTION("""COMPUTED_VALUE"""),"Technology")</f>
        <v>Technology</v>
      </c>
      <c r="D33" s="31">
        <f>IFERROR(__xludf.DUMMYFUNCTION("""COMPUTED_VALUE"""),6.003534136E9)</f>
        <v>6003534136</v>
      </c>
      <c r="E33" s="31" t="str">
        <f>IFERROR(__xludf.DUMMYFUNCTION("""COMPUTED_VALUE"""),"Software Engineer Trainee")</f>
        <v>Software Engineer Trainee</v>
      </c>
      <c r="F33" s="31" t="str">
        <f>IFERROR(__xludf.DUMMYFUNCTION("""COMPUTED_VALUE"""),"Backend")</f>
        <v>Backend</v>
      </c>
      <c r="G33" s="31" t="str">
        <f>IFERROR(__xludf.DUMMYFUNCTION("""COMPUTED_VALUE"""),"mohit19bakshi@gmail.com")</f>
        <v>mohit19bakshi@gmail.com</v>
      </c>
      <c r="H33" s="31" t="str">
        <f>IFERROR(__xludf.DUMMYFUNCTION("""COMPUTED_VALUE"""),"Atique Firoz")</f>
        <v>Atique Firoz</v>
      </c>
      <c r="I33" s="75">
        <f>IFERROR(__xludf.DUMMYFUNCTION("""COMPUTED_VALUE"""),45268.0)</f>
        <v>45268</v>
      </c>
      <c r="J33" s="31" t="str">
        <f>IFERROR(__xludf.DUMMYFUNCTION("""COMPUTED_VALUE"""),"Nidhi Khedekar")</f>
        <v>Nidhi Khedekar</v>
      </c>
      <c r="K33" s="31" t="str">
        <f>IFERROR(__xludf.DUMMYFUNCTION("""COMPUTED_VALUE"""),"Joined")</f>
        <v>Joined</v>
      </c>
      <c r="L33" s="31" t="str">
        <f>IFERROR(__xludf.DUMMYFUNCTION("""COMPUTED_VALUE"""),"In Office")</f>
        <v>In Office</v>
      </c>
      <c r="M33" s="31" t="str">
        <f>IFERROR(__xludf.DUMMYFUNCTION("""COMPUTED_VALUE"""),"mohit.bakshi@zupee.in")</f>
        <v>mohit.bakshi@zupee.in</v>
      </c>
      <c r="N33" s="31"/>
    </row>
    <row r="34">
      <c r="A34" s="74">
        <f>IFERROR(__xludf.DUMMYFUNCTION("""COMPUTED_VALUE"""),45287.0)</f>
        <v>45287</v>
      </c>
      <c r="B34" s="31" t="str">
        <f>IFERROR(__xludf.DUMMYFUNCTION("""COMPUTED_VALUE"""),"Mehul Deep")</f>
        <v>Mehul Deep</v>
      </c>
      <c r="C34" s="31" t="str">
        <f>IFERROR(__xludf.DUMMYFUNCTION("""COMPUTED_VALUE"""),"Analytics")</f>
        <v>Analytics</v>
      </c>
      <c r="D34" s="31">
        <f>IFERROR(__xludf.DUMMYFUNCTION("""COMPUTED_VALUE"""),8.527423606E9)</f>
        <v>8527423606</v>
      </c>
      <c r="E34" s="31" t="str">
        <f>IFERROR(__xludf.DUMMYFUNCTION("""COMPUTED_VALUE"""),"Senior Data Analyst")</f>
        <v>Senior Data Analyst</v>
      </c>
      <c r="F34" s="31" t="str">
        <f>IFERROR(__xludf.DUMMYFUNCTION("""COMPUTED_VALUE"""),"Product Analytics")</f>
        <v>Product Analytics</v>
      </c>
      <c r="G34" s="31" t="str">
        <f>IFERROR(__xludf.DUMMYFUNCTION("""COMPUTED_VALUE"""),"mdmaurya25@gmail.com")</f>
        <v>mdmaurya25@gmail.com</v>
      </c>
      <c r="H34" s="31" t="str">
        <f>IFERROR(__xludf.DUMMYFUNCTION("""COMPUTED_VALUE"""),"Shwetank Anand")</f>
        <v>Shwetank Anand</v>
      </c>
      <c r="I34" s="75">
        <f>IFERROR(__xludf.DUMMYFUNCTION("""COMPUTED_VALUE"""),45268.0)</f>
        <v>45268</v>
      </c>
      <c r="J34" s="31" t="str">
        <f>IFERROR(__xludf.DUMMYFUNCTION("""COMPUTED_VALUE"""),"Mamta Pandey")</f>
        <v>Mamta Pandey</v>
      </c>
      <c r="K34" s="31" t="str">
        <f>IFERROR(__xludf.DUMMYFUNCTION("""COMPUTED_VALUE"""),"Offer Declined")</f>
        <v>Offer Declined</v>
      </c>
      <c r="L34" s="31" t="str">
        <f>IFERROR(__xludf.DUMMYFUNCTION("""COMPUTED_VALUE"""),"In Office")</f>
        <v>In Office</v>
      </c>
      <c r="M34" s="31"/>
      <c r="N34" s="31"/>
    </row>
    <row r="35">
      <c r="A35" s="74">
        <f>IFERROR(__xludf.DUMMYFUNCTION("""COMPUTED_VALUE"""),45313.0)</f>
        <v>45313</v>
      </c>
      <c r="B35" s="31" t="str">
        <f>IFERROR(__xludf.DUMMYFUNCTION("""COMPUTED_VALUE"""),"Anurag Pratap Singh")</f>
        <v>Anurag Pratap Singh</v>
      </c>
      <c r="C35" s="31" t="str">
        <f>IFERROR(__xludf.DUMMYFUNCTION("""COMPUTED_VALUE"""),"Marketing")</f>
        <v>Marketing</v>
      </c>
      <c r="D35" s="31">
        <f>IFERROR(__xludf.DUMMYFUNCTION("""COMPUTED_VALUE"""),8.793109048E9)</f>
        <v>8793109048</v>
      </c>
      <c r="E35" s="31" t="str">
        <f>IFERROR(__xludf.DUMMYFUNCTION("""COMPUTED_VALUE"""),"Senior Associate- Digital Marketing")</f>
        <v>Senior Associate- Digital Marketing</v>
      </c>
      <c r="F35" s="31" t="str">
        <f>IFERROR(__xludf.DUMMYFUNCTION("""COMPUTED_VALUE"""),"Digital Marketing")</f>
        <v>Digital Marketing</v>
      </c>
      <c r="G35" s="31" t="str">
        <f>IFERROR(__xludf.DUMMYFUNCTION("""COMPUTED_VALUE"""),"singhpratapanurag@gmail.com")</f>
        <v>singhpratapanurag@gmail.com</v>
      </c>
      <c r="H35" s="31" t="str">
        <f>IFERROR(__xludf.DUMMYFUNCTION("""COMPUTED_VALUE"""),"Nitin Chauhan")</f>
        <v>Nitin Chauhan</v>
      </c>
      <c r="I35" s="75">
        <f>IFERROR(__xludf.DUMMYFUNCTION("""COMPUTED_VALUE"""),45280.0)</f>
        <v>45280</v>
      </c>
      <c r="J35" s="31" t="str">
        <f>IFERROR(__xludf.DUMMYFUNCTION("""COMPUTED_VALUE"""),"Nidhi Khedekar")</f>
        <v>Nidhi Khedekar</v>
      </c>
      <c r="K35" s="31" t="str">
        <f>IFERROR(__xludf.DUMMYFUNCTION("""COMPUTED_VALUE"""),"Joined")</f>
        <v>Joined</v>
      </c>
      <c r="L35" s="31" t="str">
        <f>IFERROR(__xludf.DUMMYFUNCTION("""COMPUTED_VALUE"""),"In Office")</f>
        <v>In Office</v>
      </c>
      <c r="M35" s="31"/>
      <c r="N35" s="31"/>
    </row>
    <row r="36">
      <c r="A36" s="74">
        <f>IFERROR(__xludf.DUMMYFUNCTION("""COMPUTED_VALUE"""),45294.0)</f>
        <v>45294</v>
      </c>
      <c r="B36" s="31" t="str">
        <f>IFERROR(__xludf.DUMMYFUNCTION("""COMPUTED_VALUE"""),"Mohini Bhardwaj")</f>
        <v>Mohini Bhardwaj</v>
      </c>
      <c r="C36" s="31" t="str">
        <f>IFERROR(__xludf.DUMMYFUNCTION("""COMPUTED_VALUE"""),"Customer Experience")</f>
        <v>Customer Experience</v>
      </c>
      <c r="D36" s="31">
        <f>IFERROR(__xludf.DUMMYFUNCTION("""COMPUTED_VALUE"""),9.6500412E9)</f>
        <v>9650041200</v>
      </c>
      <c r="E36" s="31" t="str">
        <f>IFERROR(__xludf.DUMMYFUNCTION("""COMPUTED_VALUE"""),"Senior Manager - Customer Experience")</f>
        <v>Senior Manager - Customer Experience</v>
      </c>
      <c r="F36" s="31" t="str">
        <f>IFERROR(__xludf.DUMMYFUNCTION("""COMPUTED_VALUE"""),"Training")</f>
        <v>Training</v>
      </c>
      <c r="G36" s="31" t="str">
        <f>IFERROR(__xludf.DUMMYFUNCTION("""COMPUTED_VALUE"""),"Bhardwajcm@gmail.com")</f>
        <v>Bhardwajcm@gmail.com</v>
      </c>
      <c r="H36" s="31" t="str">
        <f>IFERROR(__xludf.DUMMYFUNCTION("""COMPUTED_VALUE"""),"Mohammaed Faheem")</f>
        <v>Mohammaed Faheem</v>
      </c>
      <c r="I36" s="75">
        <f>IFERROR(__xludf.DUMMYFUNCTION("""COMPUTED_VALUE"""),45282.0)</f>
        <v>45282</v>
      </c>
      <c r="J36" s="31" t="str">
        <f>IFERROR(__xludf.DUMMYFUNCTION("""COMPUTED_VALUE"""),"Nidhi Khedekar")</f>
        <v>Nidhi Khedekar</v>
      </c>
      <c r="K36" s="31" t="str">
        <f>IFERROR(__xludf.DUMMYFUNCTION("""COMPUTED_VALUE"""),"Joined")</f>
        <v>Joined</v>
      </c>
      <c r="L36" s="31" t="str">
        <f>IFERROR(__xludf.DUMMYFUNCTION("""COMPUTED_VALUE"""),"In Office")</f>
        <v>In Office</v>
      </c>
      <c r="M36" s="31" t="str">
        <f>IFERROR(__xludf.DUMMYFUNCTION("""COMPUTED_VALUE"""),"mohini.bhardwaj@zupee.in")</f>
        <v>mohini.bhardwaj@zupee.in</v>
      </c>
      <c r="N36" s="31"/>
    </row>
    <row r="37">
      <c r="A37" s="74">
        <f>IFERROR(__xludf.DUMMYFUNCTION("""COMPUTED_VALUE"""),45308.0)</f>
        <v>45308</v>
      </c>
      <c r="B37" s="31" t="str">
        <f>IFERROR(__xludf.DUMMYFUNCTION("""COMPUTED_VALUE"""),"Abhishek Mishra")</f>
        <v>Abhishek Mishra</v>
      </c>
      <c r="C37" s="31" t="str">
        <f>IFERROR(__xludf.DUMMYFUNCTION("""COMPUTED_VALUE"""),"Customer Experience")</f>
        <v>Customer Experience</v>
      </c>
      <c r="D37" s="31">
        <f>IFERROR(__xludf.DUMMYFUNCTION("""COMPUTED_VALUE"""),9.140467339E9)</f>
        <v>9140467339</v>
      </c>
      <c r="E37" s="31" t="str">
        <f>IFERROR(__xludf.DUMMYFUNCTION("""COMPUTED_VALUE"""),"Senior Fraud Analyst")</f>
        <v>Senior Fraud Analyst</v>
      </c>
      <c r="F37" s="31" t="str">
        <f>IFERROR(__xludf.DUMMYFUNCTION("""COMPUTED_VALUE"""),"Fraud Risk Management ")</f>
        <v>Fraud Risk Management </v>
      </c>
      <c r="G37" s="31" t="str">
        <f>IFERROR(__xludf.DUMMYFUNCTION("""COMPUTED_VALUE"""),"abhishekmishram1@gmail.com")</f>
        <v>abhishekmishram1@gmail.com</v>
      </c>
      <c r="H37" s="31" t="str">
        <f>IFERROR(__xludf.DUMMYFUNCTION("""COMPUTED_VALUE"""),"Aman Khare")</f>
        <v>Aman Khare</v>
      </c>
      <c r="I37" s="75">
        <f>IFERROR(__xludf.DUMMYFUNCTION("""COMPUTED_VALUE"""),45289.0)</f>
        <v>45289</v>
      </c>
      <c r="J37" s="31" t="str">
        <f>IFERROR(__xludf.DUMMYFUNCTION("""COMPUTED_VALUE"""),"Nidhi Khedekar")</f>
        <v>Nidhi Khedekar</v>
      </c>
      <c r="K37" s="31" t="str">
        <f>IFERROR(__xludf.DUMMYFUNCTION("""COMPUTED_VALUE"""),"Joined")</f>
        <v>Joined</v>
      </c>
      <c r="L37" s="31" t="str">
        <f>IFERROR(__xludf.DUMMYFUNCTION("""COMPUTED_VALUE"""),"In Office")</f>
        <v>In Office</v>
      </c>
      <c r="M37" s="31" t="str">
        <f>IFERROR(__xludf.DUMMYFUNCTION("""COMPUTED_VALUE"""),"abhishek.mishra@zupee.in")</f>
        <v>abhishek.mishra@zupee.in</v>
      </c>
      <c r="N37" s="31"/>
    </row>
    <row r="38">
      <c r="A38" s="74">
        <f>IFERROR(__xludf.DUMMYFUNCTION("""COMPUTED_VALUE"""),45294.0)</f>
        <v>45294</v>
      </c>
      <c r="B38" s="31" t="str">
        <f>IFERROR(__xludf.DUMMYFUNCTION("""COMPUTED_VALUE"""),"Jatin Kinra")</f>
        <v>Jatin Kinra</v>
      </c>
      <c r="C38" s="31" t="str">
        <f>IFERROR(__xludf.DUMMYFUNCTION("""COMPUTED_VALUE"""),"Technology")</f>
        <v>Technology</v>
      </c>
      <c r="D38" s="31">
        <f>IFERROR(__xludf.DUMMYFUNCTION("""COMPUTED_VALUE"""),9.557854494E9)</f>
        <v>9557854494</v>
      </c>
      <c r="E38" s="31" t="str">
        <f>IFERROR(__xludf.DUMMYFUNCTION("""COMPUTED_VALUE"""),"Senior Software Engineer")</f>
        <v>Senior Software Engineer</v>
      </c>
      <c r="F38" s="31" t="str">
        <f>IFERROR(__xludf.DUMMYFUNCTION("""COMPUTED_VALUE"""),"Backend")</f>
        <v>Backend</v>
      </c>
      <c r="G38" s="31" t="str">
        <f>IFERROR(__xludf.DUMMYFUNCTION("""COMPUTED_VALUE"""),"	jatin.kinra95@gmail.com")</f>
        <v>	jatin.kinra95@gmail.com</v>
      </c>
      <c r="H38" s="31" t="str">
        <f>IFERROR(__xludf.DUMMYFUNCTION("""COMPUTED_VALUE"""),"Rahul Sharma")</f>
        <v>Rahul Sharma</v>
      </c>
      <c r="I38" s="75">
        <f>IFERROR(__xludf.DUMMYFUNCTION("""COMPUTED_VALUE"""),45289.0)</f>
        <v>45289</v>
      </c>
      <c r="J38" s="31" t="str">
        <f>IFERROR(__xludf.DUMMYFUNCTION("""COMPUTED_VALUE"""),"Nidhi Khedekar")</f>
        <v>Nidhi Khedekar</v>
      </c>
      <c r="K38" s="31" t="str">
        <f>IFERROR(__xludf.DUMMYFUNCTION("""COMPUTED_VALUE"""),"Joined")</f>
        <v>Joined</v>
      </c>
      <c r="L38" s="31" t="str">
        <f>IFERROR(__xludf.DUMMYFUNCTION("""COMPUTED_VALUE"""),"In Office")</f>
        <v>In Office</v>
      </c>
      <c r="M38" s="31" t="str">
        <f>IFERROR(__xludf.DUMMYFUNCTION("""COMPUTED_VALUE"""),"jatin.kinra@zupee.in")</f>
        <v>jatin.kinra@zupee.in</v>
      </c>
      <c r="N38" s="31" t="str">
        <f>IFERROR(__xludf.DUMMYFUNCTION("""COMPUTED_VALUE"""),"J44J2L2GQM")</f>
        <v>J44J2L2GQM</v>
      </c>
    </row>
    <row r="39">
      <c r="A39" s="74">
        <f>IFERROR(__xludf.DUMMYFUNCTION("""COMPUTED_VALUE"""),45294.0)</f>
        <v>45294</v>
      </c>
      <c r="B39" s="31" t="str">
        <f>IFERROR(__xludf.DUMMYFUNCTION("""COMPUTED_VALUE"""),"Divyansh Goyal")</f>
        <v>Divyansh Goyal</v>
      </c>
      <c r="C39" s="31" t="str">
        <f>IFERROR(__xludf.DUMMYFUNCTION("""COMPUTED_VALUE"""),"Analytics")</f>
        <v>Analytics</v>
      </c>
      <c r="D39" s="31">
        <f>IFERROR(__xludf.DUMMYFUNCTION("""COMPUTED_VALUE"""),7.895357571E9)</f>
        <v>7895357571</v>
      </c>
      <c r="E39" s="31" t="str">
        <f>IFERROR(__xludf.DUMMYFUNCTION("""COMPUTED_VALUE"""),"Senior Data Analyst")</f>
        <v>Senior Data Analyst</v>
      </c>
      <c r="F39" s="31" t="str">
        <f>IFERROR(__xludf.DUMMYFUNCTION("""COMPUTED_VALUE"""),"Product Analytics")</f>
        <v>Product Analytics</v>
      </c>
      <c r="G39" s="31" t="str">
        <f>IFERROR(__xludf.DUMMYFUNCTION("""COMPUTED_VALUE"""),"dgoyal@ch.iitr.ac.in")</f>
        <v>dgoyal@ch.iitr.ac.in</v>
      </c>
      <c r="H39" s="31" t="str">
        <f>IFERROR(__xludf.DUMMYFUNCTION("""COMPUTED_VALUE"""),"Shwetank Anand")</f>
        <v>Shwetank Anand</v>
      </c>
      <c r="I39" s="75">
        <f>IFERROR(__xludf.DUMMYFUNCTION("""COMPUTED_VALUE"""),45293.0)</f>
        <v>45293</v>
      </c>
      <c r="J39" s="31" t="str">
        <f>IFERROR(__xludf.DUMMYFUNCTION("""COMPUTED_VALUE"""),"Mamta Pandey")</f>
        <v>Mamta Pandey</v>
      </c>
      <c r="K39" s="31" t="str">
        <f>IFERROR(__xludf.DUMMYFUNCTION("""COMPUTED_VALUE"""),"Offer Declined")</f>
        <v>Offer Declined</v>
      </c>
      <c r="L39" s="31" t="str">
        <f>IFERROR(__xludf.DUMMYFUNCTION("""COMPUTED_VALUE"""),"In Office")</f>
        <v>In Office</v>
      </c>
      <c r="M39" s="31"/>
      <c r="N39" s="31"/>
    </row>
    <row r="40">
      <c r="A40" s="74">
        <f>IFERROR(__xludf.DUMMYFUNCTION("""COMPUTED_VALUE"""),45299.0)</f>
        <v>45299</v>
      </c>
      <c r="B40" s="31" t="str">
        <f>IFERROR(__xludf.DUMMYFUNCTION("""COMPUTED_VALUE"""),"Kailash")</f>
        <v>Kailash</v>
      </c>
      <c r="C40" s="31" t="str">
        <f>IFERROR(__xludf.DUMMYFUNCTION("""COMPUTED_VALUE"""),"Customer Experience")</f>
        <v>Customer Experience</v>
      </c>
      <c r="D40" s="31">
        <f>IFERROR(__xludf.DUMMYFUNCTION("""COMPUTED_VALUE"""),9.882223818E9)</f>
        <v>9882223818</v>
      </c>
      <c r="E40" s="31" t="str">
        <f>IFERROR(__xludf.DUMMYFUNCTION("""COMPUTED_VALUE"""),"Customer Support Executive")</f>
        <v>Customer Support Executive</v>
      </c>
      <c r="F40" s="31" t="str">
        <f>IFERROR(__xludf.DUMMYFUNCTION("""COMPUTED_VALUE"""),"Customer Relation Management")</f>
        <v>Customer Relation Management</v>
      </c>
      <c r="G40" s="31" t="str">
        <f>IFERROR(__xludf.DUMMYFUNCTION("""COMPUTED_VALUE"""),"kailashlalta01@gmail.com")</f>
        <v>kailashlalta01@gmail.com</v>
      </c>
      <c r="H40" s="31" t="str">
        <f>IFERROR(__xludf.DUMMYFUNCTION("""COMPUTED_VALUE"""),"Shivam Bali")</f>
        <v>Shivam Bali</v>
      </c>
      <c r="I40" s="75">
        <f>IFERROR(__xludf.DUMMYFUNCTION("""COMPUTED_VALUE"""),45296.0)</f>
        <v>45296</v>
      </c>
      <c r="J40" s="31" t="str">
        <f>IFERROR(__xludf.DUMMYFUNCTION("""COMPUTED_VALUE"""),"Nidhi Khedekar")</f>
        <v>Nidhi Khedekar</v>
      </c>
      <c r="K40" s="31" t="str">
        <f>IFERROR(__xludf.DUMMYFUNCTION("""COMPUTED_VALUE"""),"Joined")</f>
        <v>Joined</v>
      </c>
      <c r="L40" s="31" t="str">
        <f>IFERROR(__xludf.DUMMYFUNCTION("""COMPUTED_VALUE"""),"Virtual")</f>
        <v>Virtual</v>
      </c>
      <c r="M40" s="31"/>
      <c r="N40" s="31"/>
    </row>
    <row r="41">
      <c r="A41" s="74">
        <f>IFERROR(__xludf.DUMMYFUNCTION("""COMPUTED_VALUE"""),45299.0)</f>
        <v>45299</v>
      </c>
      <c r="B41" s="31" t="str">
        <f>IFERROR(__xludf.DUMMYFUNCTION("""COMPUTED_VALUE"""),"Satish Chandra")</f>
        <v>Satish Chandra</v>
      </c>
      <c r="C41" s="31" t="str">
        <f>IFERROR(__xludf.DUMMYFUNCTION("""COMPUTED_VALUE"""),"Technology")</f>
        <v>Technology</v>
      </c>
      <c r="D41" s="31">
        <f>IFERROR(__xludf.DUMMYFUNCTION("""COMPUTED_VALUE"""),9.560488236E9)</f>
        <v>9560488236</v>
      </c>
      <c r="E41" s="31" t="str">
        <f>IFERROR(__xludf.DUMMYFUNCTION("""COMPUTED_VALUE"""),"Staff Engineer")</f>
        <v>Staff Engineer</v>
      </c>
      <c r="F41" s="31" t="str">
        <f>IFERROR(__xludf.DUMMYFUNCTION("""COMPUTED_VALUE"""),"Engineering")</f>
        <v>Engineering</v>
      </c>
      <c r="G41" s="31" t="str">
        <f>IFERROR(__xludf.DUMMYFUNCTION("""COMPUTED_VALUE"""),"satishck1992@gmail.com")</f>
        <v>satishck1992@gmail.com</v>
      </c>
      <c r="H41" s="31" t="str">
        <f>IFERROR(__xludf.DUMMYFUNCTION("""COMPUTED_VALUE"""),"Gaurav Sharma")</f>
        <v>Gaurav Sharma</v>
      </c>
      <c r="I41" s="75">
        <f>IFERROR(__xludf.DUMMYFUNCTION("""COMPUTED_VALUE"""),45296.0)</f>
        <v>45296</v>
      </c>
      <c r="J41" s="31" t="str">
        <f>IFERROR(__xludf.DUMMYFUNCTION("""COMPUTED_VALUE"""),"Rajneesh Yadav")</f>
        <v>Rajneesh Yadav</v>
      </c>
      <c r="K41" s="31" t="str">
        <f>IFERROR(__xludf.DUMMYFUNCTION("""COMPUTED_VALUE"""),"Joined")</f>
        <v>Joined</v>
      </c>
      <c r="L41" s="31" t="str">
        <f>IFERROR(__xludf.DUMMYFUNCTION("""COMPUTED_VALUE"""),"In Office")</f>
        <v>In Office</v>
      </c>
      <c r="M41" s="31" t="str">
        <f>IFERROR(__xludf.DUMMYFUNCTION("""COMPUTED_VALUE"""),"satish.chandra@zupee.in")</f>
        <v>satish.chandra@zupee.in</v>
      </c>
      <c r="N41" s="31"/>
    </row>
    <row r="42">
      <c r="A42" s="74">
        <f>IFERROR(__xludf.DUMMYFUNCTION("""COMPUTED_VALUE"""),45299.0)</f>
        <v>45299</v>
      </c>
      <c r="B42" s="31" t="str">
        <f>IFERROR(__xludf.DUMMYFUNCTION("""COMPUTED_VALUE"""),"Himanshu Sharma")</f>
        <v>Himanshu Sharma</v>
      </c>
      <c r="C42" s="31" t="str">
        <f>IFERROR(__xludf.DUMMYFUNCTION("""COMPUTED_VALUE"""),"Marketing")</f>
        <v>Marketing</v>
      </c>
      <c r="D42" s="31">
        <f>IFERROR(__xludf.DUMMYFUNCTION("""COMPUTED_VALUE"""),9.65081829E9)</f>
        <v>9650818290</v>
      </c>
      <c r="E42" s="31" t="str">
        <f>IFERROR(__xludf.DUMMYFUNCTION("""COMPUTED_VALUE"""),"Senior Associate - Graphic Design")</f>
        <v>Senior Associate - Graphic Design</v>
      </c>
      <c r="F42" s="31" t="str">
        <f>IFERROR(__xludf.DUMMYFUNCTION("""COMPUTED_VALUE"""),"Design")</f>
        <v>Design</v>
      </c>
      <c r="G42" s="31" t="str">
        <f>IFERROR(__xludf.DUMMYFUNCTION("""COMPUTED_VALUE"""),"12himanshusharma@gmail.com")</f>
        <v>12himanshusharma@gmail.com</v>
      </c>
      <c r="H42" s="31" t="str">
        <f>IFERROR(__xludf.DUMMYFUNCTION("""COMPUTED_VALUE"""),"Alpika Singh")</f>
        <v>Alpika Singh</v>
      </c>
      <c r="I42" s="75">
        <f>IFERROR(__xludf.DUMMYFUNCTION("""COMPUTED_VALUE"""),45296.0)</f>
        <v>45296</v>
      </c>
      <c r="J42" s="31" t="str">
        <f>IFERROR(__xludf.DUMMYFUNCTION("""COMPUTED_VALUE"""),"Naina")</f>
        <v>Naina</v>
      </c>
      <c r="K42" s="31" t="str">
        <f>IFERROR(__xludf.DUMMYFUNCTION("""COMPUTED_VALUE"""),"Joined")</f>
        <v>Joined</v>
      </c>
      <c r="L42" s="31" t="str">
        <f>IFERROR(__xludf.DUMMYFUNCTION("""COMPUTED_VALUE"""),"In Office")</f>
        <v>In Office</v>
      </c>
      <c r="M42" s="31" t="str">
        <f>IFERROR(__xludf.DUMMYFUNCTION("""COMPUTED_VALUE"""),"himanshu.sharma@zupee.in")</f>
        <v>himanshu.sharma@zupee.in</v>
      </c>
      <c r="N42" s="31"/>
    </row>
    <row r="43">
      <c r="A43" s="74">
        <f>IFERROR(__xludf.DUMMYFUNCTION("""COMPUTED_VALUE"""),45341.0)</f>
        <v>45341</v>
      </c>
      <c r="B43" s="31" t="str">
        <f>IFERROR(__xludf.DUMMYFUNCTION("""COMPUTED_VALUE"""),"Rachit Madhukar")</f>
        <v>Rachit Madhukar</v>
      </c>
      <c r="C43" s="31" t="str">
        <f>IFERROR(__xludf.DUMMYFUNCTION("""COMPUTED_VALUE"""),"Analytics")</f>
        <v>Analytics</v>
      </c>
      <c r="D43" s="31">
        <f>IFERROR(__xludf.DUMMYFUNCTION("""COMPUTED_VALUE"""),9.800116277E9)</f>
        <v>9800116277</v>
      </c>
      <c r="E43" s="31" t="str">
        <f>IFERROR(__xludf.DUMMYFUNCTION("""COMPUTED_VALUE"""),"Lead Data Analyst")</f>
        <v>Lead Data Analyst</v>
      </c>
      <c r="F43" s="31" t="str">
        <f>IFERROR(__xludf.DUMMYFUNCTION("""COMPUTED_VALUE"""),"Product Analytics")</f>
        <v>Product Analytics</v>
      </c>
      <c r="G43" s="31" t="str">
        <f>IFERROR(__xludf.DUMMYFUNCTION("""COMPUTED_VALUE"""),"rachitmadhukar@gmail.com")</f>
        <v>rachitmadhukar@gmail.com</v>
      </c>
      <c r="H43" s="31" t="str">
        <f>IFERROR(__xludf.DUMMYFUNCTION("""COMPUTED_VALUE"""),"Shwetank Anand")</f>
        <v>Shwetank Anand</v>
      </c>
      <c r="I43" s="75">
        <f>IFERROR(__xludf.DUMMYFUNCTION("""COMPUTED_VALUE"""),45293.0)</f>
        <v>45293</v>
      </c>
      <c r="J43" s="31" t="str">
        <f>IFERROR(__xludf.DUMMYFUNCTION("""COMPUTED_VALUE"""),"Mamta Pandey")</f>
        <v>Mamta Pandey</v>
      </c>
      <c r="K43" s="31" t="str">
        <f>IFERROR(__xludf.DUMMYFUNCTION("""COMPUTED_VALUE"""),"Offer Declined")</f>
        <v>Offer Declined</v>
      </c>
      <c r="L43" s="31" t="str">
        <f>IFERROR(__xludf.DUMMYFUNCTION("""COMPUTED_VALUE"""),"In Office")</f>
        <v>In Office</v>
      </c>
      <c r="M43" s="31"/>
      <c r="N43" s="31"/>
    </row>
    <row r="44">
      <c r="A44" s="74">
        <f>IFERROR(__xludf.DUMMYFUNCTION("""COMPUTED_VALUE"""),45301.0)</f>
        <v>45301</v>
      </c>
      <c r="B44" s="31" t="str">
        <f>IFERROR(__xludf.DUMMYFUNCTION("""COMPUTED_VALUE"""),"Mohit Singh")</f>
        <v>Mohit Singh</v>
      </c>
      <c r="C44" s="31" t="str">
        <f>IFERROR(__xludf.DUMMYFUNCTION("""COMPUTED_VALUE"""),"Marketing")</f>
        <v>Marketing</v>
      </c>
      <c r="D44" s="31">
        <f>IFERROR(__xludf.DUMMYFUNCTION("""COMPUTED_VALUE"""),9.971796816E9)</f>
        <v>9971796816</v>
      </c>
      <c r="E44" s="31" t="str">
        <f>IFERROR(__xludf.DUMMYFUNCTION("""COMPUTED_VALUE"""),"SEO Content Writer")</f>
        <v>SEO Content Writer</v>
      </c>
      <c r="F44" s="31" t="str">
        <f>IFERROR(__xludf.DUMMYFUNCTION("""COMPUTED_VALUE"""),"Digital Marketing")</f>
        <v>Digital Marketing</v>
      </c>
      <c r="G44" s="31" t="str">
        <f>IFERROR(__xludf.DUMMYFUNCTION("""COMPUTED_VALUE"""),"mohitthearies@gmail.com")</f>
        <v>mohitthearies@gmail.com</v>
      </c>
      <c r="H44" s="31" t="str">
        <f>IFERROR(__xludf.DUMMYFUNCTION("""COMPUTED_VALUE"""),"Lekhika Dhariyal ")</f>
        <v>Lekhika Dhariyal </v>
      </c>
      <c r="I44" s="75">
        <f>IFERROR(__xludf.DUMMYFUNCTION("""COMPUTED_VALUE"""),45300.0)</f>
        <v>45300</v>
      </c>
      <c r="J44" s="31" t="str">
        <f>IFERROR(__xludf.DUMMYFUNCTION("""COMPUTED_VALUE"""),"Naina")</f>
        <v>Naina</v>
      </c>
      <c r="K44" s="31" t="str">
        <f>IFERROR(__xludf.DUMMYFUNCTION("""COMPUTED_VALUE"""),"Joined")</f>
        <v>Joined</v>
      </c>
      <c r="L44" s="31" t="str">
        <f>IFERROR(__xludf.DUMMYFUNCTION("""COMPUTED_VALUE"""),"In Office")</f>
        <v>In Office</v>
      </c>
      <c r="M44" s="31" t="str">
        <f>IFERROR(__xludf.DUMMYFUNCTION("""COMPUTED_VALUE"""),"mohit.singh@zupee.in")</f>
        <v>mohit.singh@zupee.in</v>
      </c>
      <c r="N44" s="31" t="str">
        <f>IFERROR(__xludf.DUMMYFUNCTION("""COMPUTED_VALUE"""),"3CXR4B3")</f>
        <v>3CXR4B3</v>
      </c>
    </row>
    <row r="45">
      <c r="A45" s="74">
        <f>IFERROR(__xludf.DUMMYFUNCTION("""COMPUTED_VALUE"""),45306.0)</f>
        <v>45306</v>
      </c>
      <c r="B45" s="31" t="str">
        <f>IFERROR(__xludf.DUMMYFUNCTION("""COMPUTED_VALUE"""),"Tarun Talan")</f>
        <v>Tarun Talan</v>
      </c>
      <c r="C45" s="31" t="str">
        <f>IFERROR(__xludf.DUMMYFUNCTION("""COMPUTED_VALUE"""),"Customer Experience")</f>
        <v>Customer Experience</v>
      </c>
      <c r="D45" s="31">
        <f>IFERROR(__xludf.DUMMYFUNCTION("""COMPUTED_VALUE"""),8.92990042E9)</f>
        <v>8929900420</v>
      </c>
      <c r="E45" s="31" t="str">
        <f>IFERROR(__xludf.DUMMYFUNCTION("""COMPUTED_VALUE"""),"Customer Support Executive")</f>
        <v>Customer Support Executive</v>
      </c>
      <c r="F45" s="31" t="str">
        <f>IFERROR(__xludf.DUMMYFUNCTION("""COMPUTED_VALUE"""),"Customer Relation Management")</f>
        <v>Customer Relation Management</v>
      </c>
      <c r="G45" s="31" t="str">
        <f>IFERROR(__xludf.DUMMYFUNCTION("""COMPUTED_VALUE"""),"tarun.talan007@gmail.com")</f>
        <v>tarun.talan007@gmail.com</v>
      </c>
      <c r="H45" s="31" t="str">
        <f>IFERROR(__xludf.DUMMYFUNCTION("""COMPUTED_VALUE"""),"Shivam Bali")</f>
        <v>Shivam Bali</v>
      </c>
      <c r="I45" s="75">
        <f>IFERROR(__xludf.DUMMYFUNCTION("""COMPUTED_VALUE"""),45303.0)</f>
        <v>45303</v>
      </c>
      <c r="J45" s="31" t="str">
        <f>IFERROR(__xludf.DUMMYFUNCTION("""COMPUTED_VALUE"""),"Nidhi Khedekar")</f>
        <v>Nidhi Khedekar</v>
      </c>
      <c r="K45" s="31" t="str">
        <f>IFERROR(__xludf.DUMMYFUNCTION("""COMPUTED_VALUE"""),"Joined")</f>
        <v>Joined</v>
      </c>
      <c r="L45" s="31" t="str">
        <f>IFERROR(__xludf.DUMMYFUNCTION("""COMPUTED_VALUE"""),"In Office")</f>
        <v>In Office</v>
      </c>
      <c r="M45" s="31" t="str">
        <f>IFERROR(__xludf.DUMMYFUNCTION("""COMPUTED_VALUE"""),"tarun.talan@zupee.in")</f>
        <v>tarun.talan@zupee.in</v>
      </c>
      <c r="N45" s="31"/>
    </row>
    <row r="46">
      <c r="A46" s="74">
        <f>IFERROR(__xludf.DUMMYFUNCTION("""COMPUTED_VALUE"""),45334.0)</f>
        <v>45334</v>
      </c>
      <c r="B46" s="31" t="str">
        <f>IFERROR(__xludf.DUMMYFUNCTION("""COMPUTED_VALUE"""),"Mukesh Kumar Maurya")</f>
        <v>Mukesh Kumar Maurya</v>
      </c>
      <c r="C46" s="31" t="str">
        <f>IFERROR(__xludf.DUMMYFUNCTION("""COMPUTED_VALUE"""),"Marketing")</f>
        <v>Marketing</v>
      </c>
      <c r="D46" s="31">
        <f>IFERROR(__xludf.DUMMYFUNCTION("""COMPUTED_VALUE"""),9.559001668E9)</f>
        <v>9559001668</v>
      </c>
      <c r="E46" s="31" t="str">
        <f>IFERROR(__xludf.DUMMYFUNCTION("""COMPUTED_VALUE"""),"Senior Motion Graphic Designer")</f>
        <v>Senior Motion Graphic Designer</v>
      </c>
      <c r="F46" s="31" t="str">
        <f>IFERROR(__xludf.DUMMYFUNCTION("""COMPUTED_VALUE"""),"Marketing Design")</f>
        <v>Marketing Design</v>
      </c>
      <c r="G46" s="31" t="str">
        <f>IFERROR(__xludf.DUMMYFUNCTION("""COMPUTED_VALUE"""),"Mukeshkumar6577622@gmail.com ")</f>
        <v>Mukeshkumar6577622@gmail.com </v>
      </c>
      <c r="H46" s="31" t="str">
        <f>IFERROR(__xludf.DUMMYFUNCTION("""COMPUTED_VALUE"""),"Manish Karnatak")</f>
        <v>Manish Karnatak</v>
      </c>
      <c r="I46" s="75">
        <f>IFERROR(__xludf.DUMMYFUNCTION("""COMPUTED_VALUE"""),45303.0)</f>
        <v>45303</v>
      </c>
      <c r="J46" s="31" t="str">
        <f>IFERROR(__xludf.DUMMYFUNCTION("""COMPUTED_VALUE"""),"Nidhi Khedekar")</f>
        <v>Nidhi Khedekar</v>
      </c>
      <c r="K46" s="31" t="str">
        <f>IFERROR(__xludf.DUMMYFUNCTION("""COMPUTED_VALUE"""),"Joined")</f>
        <v>Joined</v>
      </c>
      <c r="L46" s="31" t="str">
        <f>IFERROR(__xludf.DUMMYFUNCTION("""COMPUTED_VALUE"""),"In Office")</f>
        <v>In Office</v>
      </c>
      <c r="M46" s="31" t="str">
        <f>IFERROR(__xludf.DUMMYFUNCTION("""COMPUTED_VALUE"""),"mukesh.maurya@zupee.in")</f>
        <v>mukesh.maurya@zupee.in</v>
      </c>
      <c r="N46" s="31" t="str">
        <f>IFERROR(__xludf.DUMMYFUNCTION("""COMPUTED_VALUE"""),"KX2D79517D")</f>
        <v>KX2D79517D</v>
      </c>
    </row>
    <row r="47">
      <c r="A47" s="74">
        <f>IFERROR(__xludf.DUMMYFUNCTION("""COMPUTED_VALUE"""),45313.0)</f>
        <v>45313</v>
      </c>
      <c r="B47" s="31" t="str">
        <f>IFERROR(__xludf.DUMMYFUNCTION("""COMPUTED_VALUE"""),"Saksham Kochhar")</f>
        <v>Saksham Kochhar</v>
      </c>
      <c r="C47" s="31" t="str">
        <f>IFERROR(__xludf.DUMMYFUNCTION("""COMPUTED_VALUE"""),"Data Science")</f>
        <v>Data Science</v>
      </c>
      <c r="D47" s="31">
        <f>IFERROR(__xludf.DUMMYFUNCTION("""COMPUTED_VALUE"""),9.711333881E9)</f>
        <v>9711333881</v>
      </c>
      <c r="E47" s="31" t="str">
        <f>IFERROR(__xludf.DUMMYFUNCTION("""COMPUTED_VALUE"""),"Data Science Intern")</f>
        <v>Data Science Intern</v>
      </c>
      <c r="F47" s="31" t="str">
        <f>IFERROR(__xludf.DUMMYFUNCTION("""COMPUTED_VALUE"""),"Data Science")</f>
        <v>Data Science</v>
      </c>
      <c r="G47" s="31" t="str">
        <f>IFERROR(__xludf.DUMMYFUNCTION("""COMPUTED_VALUE"""),"21f3002170@ds.study.iitm.ac.in")</f>
        <v>21f3002170@ds.study.iitm.ac.in</v>
      </c>
      <c r="H47" s="31" t="str">
        <f>IFERROR(__xludf.DUMMYFUNCTION("""COMPUTED_VALUE"""),"Priyanshu Jain")</f>
        <v>Priyanshu Jain</v>
      </c>
      <c r="I47" s="75">
        <f>IFERROR(__xludf.DUMMYFUNCTION("""COMPUTED_VALUE"""),45307.0)</f>
        <v>45307</v>
      </c>
      <c r="J47" s="31" t="str">
        <f>IFERROR(__xludf.DUMMYFUNCTION("""COMPUTED_VALUE"""),"Rajneesh Yadav")</f>
        <v>Rajneesh Yadav</v>
      </c>
      <c r="K47" s="31" t="str">
        <f>IFERROR(__xludf.DUMMYFUNCTION("""COMPUTED_VALUE"""),"Joined")</f>
        <v>Joined</v>
      </c>
      <c r="L47" s="31" t="str">
        <f>IFERROR(__xludf.DUMMYFUNCTION("""COMPUTED_VALUE"""),"In Office")</f>
        <v>In Office</v>
      </c>
      <c r="M47" s="31"/>
      <c r="N47" s="31"/>
    </row>
    <row r="48">
      <c r="A48" s="74">
        <f>IFERROR(__xludf.DUMMYFUNCTION("""COMPUTED_VALUE"""),45313.0)</f>
        <v>45313</v>
      </c>
      <c r="B48" s="31" t="str">
        <f>IFERROR(__xludf.DUMMYFUNCTION("""COMPUTED_VALUE"""),"Pawan Kumar Sarswat")</f>
        <v>Pawan Kumar Sarswat</v>
      </c>
      <c r="C48" s="31" t="str">
        <f>IFERROR(__xludf.DUMMYFUNCTION("""COMPUTED_VALUE"""),"Customer Experience")</f>
        <v>Customer Experience</v>
      </c>
      <c r="D48" s="31">
        <f>IFERROR(__xludf.DUMMYFUNCTION("""COMPUTED_VALUE"""),8.107829942E9)</f>
        <v>8107829942</v>
      </c>
      <c r="E48" s="31" t="str">
        <f>IFERROR(__xludf.DUMMYFUNCTION("""COMPUTED_VALUE"""),"Customer Support Executive")</f>
        <v>Customer Support Executive</v>
      </c>
      <c r="F48" s="31" t="str">
        <f>IFERROR(__xludf.DUMMYFUNCTION("""COMPUTED_VALUE"""),"Customer Relation Management")</f>
        <v>Customer Relation Management</v>
      </c>
      <c r="G48" s="31" t="str">
        <f>IFERROR(__xludf.DUMMYFUNCTION("""COMPUTED_VALUE"""),"sarswatpwn@gmail.com")</f>
        <v>sarswatpwn@gmail.com</v>
      </c>
      <c r="H48" s="31" t="str">
        <f>IFERROR(__xludf.DUMMYFUNCTION("""COMPUTED_VALUE"""),"Shivam Bali")</f>
        <v>Shivam Bali</v>
      </c>
      <c r="I48" s="75">
        <f>IFERROR(__xludf.DUMMYFUNCTION("""COMPUTED_VALUE"""),45308.0)</f>
        <v>45308</v>
      </c>
      <c r="J48" s="31" t="str">
        <f>IFERROR(__xludf.DUMMYFUNCTION("""COMPUTED_VALUE"""),"Nidhi Khedekar")</f>
        <v>Nidhi Khedekar</v>
      </c>
      <c r="K48" s="31" t="str">
        <f>IFERROR(__xludf.DUMMYFUNCTION("""COMPUTED_VALUE"""),"Joined")</f>
        <v>Joined</v>
      </c>
      <c r="L48" s="31" t="str">
        <f>IFERROR(__xludf.DUMMYFUNCTION("""COMPUTED_VALUE"""),"In Office")</f>
        <v>In Office</v>
      </c>
      <c r="M48" s="31" t="str">
        <f>IFERROR(__xludf.DUMMYFUNCTION("""COMPUTED_VALUE"""),"pawan.sarswat@zupee.in")</f>
        <v>pawan.sarswat@zupee.in</v>
      </c>
      <c r="N48" s="31"/>
    </row>
    <row r="49">
      <c r="A49" s="74">
        <f>IFERROR(__xludf.DUMMYFUNCTION("""COMPUTED_VALUE"""),45313.0)</f>
        <v>45313</v>
      </c>
      <c r="B49" s="31" t="str">
        <f>IFERROR(__xludf.DUMMYFUNCTION("""COMPUTED_VALUE"""),"Shubham Kumar Thakur")</f>
        <v>Shubham Kumar Thakur</v>
      </c>
      <c r="C49" s="31" t="str">
        <f>IFERROR(__xludf.DUMMYFUNCTION("""COMPUTED_VALUE"""),"Finance")</f>
        <v>Finance</v>
      </c>
      <c r="D49" s="31">
        <f>IFERROR(__xludf.DUMMYFUNCTION("""COMPUTED_VALUE"""),7.717734659E9)</f>
        <v>7717734659</v>
      </c>
      <c r="E49" s="31" t="str">
        <f>IFERROR(__xludf.DUMMYFUNCTION("""COMPUTED_VALUE"""),"Executive - Finance")</f>
        <v>Executive - Finance</v>
      </c>
      <c r="F49" s="31" t="str">
        <f>IFERROR(__xludf.DUMMYFUNCTION("""COMPUTED_VALUE"""),"Finance")</f>
        <v>Finance</v>
      </c>
      <c r="G49" s="31" t="str">
        <f>IFERROR(__xludf.DUMMYFUNCTION("""COMPUTED_VALUE"""),"shubhamkoilakh@gmail.com")</f>
        <v>shubhamkoilakh@gmail.com</v>
      </c>
      <c r="H49" s="31" t="str">
        <f>IFERROR(__xludf.DUMMYFUNCTION("""COMPUTED_VALUE"""),"Sucheta Sharma")</f>
        <v>Sucheta Sharma</v>
      </c>
      <c r="I49" s="75">
        <f>IFERROR(__xludf.DUMMYFUNCTION("""COMPUTED_VALUE"""),45308.0)</f>
        <v>45308</v>
      </c>
      <c r="J49" s="31" t="str">
        <f>IFERROR(__xludf.DUMMYFUNCTION("""COMPUTED_VALUE"""),"Nidhi Khedekar")</f>
        <v>Nidhi Khedekar</v>
      </c>
      <c r="K49" s="31" t="str">
        <f>IFERROR(__xludf.DUMMYFUNCTION("""COMPUTED_VALUE"""),"Joined")</f>
        <v>Joined</v>
      </c>
      <c r="L49" s="31" t="str">
        <f>IFERROR(__xludf.DUMMYFUNCTION("""COMPUTED_VALUE"""),"In Office")</f>
        <v>In Office</v>
      </c>
      <c r="M49" s="31" t="str">
        <f>IFERROR(__xludf.DUMMYFUNCTION("""COMPUTED_VALUE"""),"shubham.thakur@zupee.in")</f>
        <v>shubham.thakur@zupee.in</v>
      </c>
      <c r="N49" s="31"/>
    </row>
    <row r="50">
      <c r="A50" s="74">
        <f>IFERROR(__xludf.DUMMYFUNCTION("""COMPUTED_VALUE"""),45313.0)</f>
        <v>45313</v>
      </c>
      <c r="B50" s="31" t="str">
        <f>IFERROR(__xludf.DUMMYFUNCTION("""COMPUTED_VALUE"""),"Rajat Shah")</f>
        <v>Rajat Shah</v>
      </c>
      <c r="C50" s="31" t="str">
        <f>IFERROR(__xludf.DUMMYFUNCTION("""COMPUTED_VALUE"""),"Analytics")</f>
        <v>Analytics</v>
      </c>
      <c r="D50" s="31">
        <f>IFERROR(__xludf.DUMMYFUNCTION("""COMPUTED_VALUE"""),9.953254493E9)</f>
        <v>9953254493</v>
      </c>
      <c r="E50" s="31" t="str">
        <f>IFERROR(__xludf.DUMMYFUNCTION("""COMPUTED_VALUE"""),"Senior Manager- Data Analytics")</f>
        <v>Senior Manager- Data Analytics</v>
      </c>
      <c r="F50" s="31" t="str">
        <f>IFERROR(__xludf.DUMMYFUNCTION("""COMPUTED_VALUE"""),"Product Analytics")</f>
        <v>Product Analytics</v>
      </c>
      <c r="G50" s="31" t="str">
        <f>IFERROR(__xludf.DUMMYFUNCTION("""COMPUTED_VALUE"""),"rajat.shah@hotmail.com")</f>
        <v>rajat.shah@hotmail.com</v>
      </c>
      <c r="H50" s="31" t="str">
        <f>IFERROR(__xludf.DUMMYFUNCTION("""COMPUTED_VALUE"""),"Shwetank Anand")</f>
        <v>Shwetank Anand</v>
      </c>
      <c r="I50" s="75">
        <f>IFERROR(__xludf.DUMMYFUNCTION("""COMPUTED_VALUE"""),45306.0)</f>
        <v>45306</v>
      </c>
      <c r="J50" s="31" t="str">
        <f>IFERROR(__xludf.DUMMYFUNCTION("""COMPUTED_VALUE"""),"Mamta Pandey")</f>
        <v>Mamta Pandey</v>
      </c>
      <c r="K50" s="31" t="str">
        <f>IFERROR(__xludf.DUMMYFUNCTION("""COMPUTED_VALUE"""),"Offer Declined")</f>
        <v>Offer Declined</v>
      </c>
      <c r="L50" s="31" t="str">
        <f>IFERROR(__xludf.DUMMYFUNCTION("""COMPUTED_VALUE"""),"In Office")</f>
        <v>In Office</v>
      </c>
      <c r="M50" s="31"/>
      <c r="N50" s="31"/>
    </row>
    <row r="51">
      <c r="A51" s="74">
        <f>IFERROR(__xludf.DUMMYFUNCTION("""COMPUTED_VALUE"""),45323.0)</f>
        <v>45323</v>
      </c>
      <c r="B51" s="31" t="str">
        <f>IFERROR(__xludf.DUMMYFUNCTION("""COMPUTED_VALUE"""),"Parth Kumar")</f>
        <v>Parth Kumar</v>
      </c>
      <c r="C51" s="31" t="str">
        <f>IFERROR(__xludf.DUMMYFUNCTION("""COMPUTED_VALUE"""),"Technology")</f>
        <v>Technology</v>
      </c>
      <c r="D51" s="31">
        <f>IFERROR(__xludf.DUMMYFUNCTION("""COMPUTED_VALUE"""),8.899889947E9)</f>
        <v>8899889947</v>
      </c>
      <c r="E51" s="31" t="str">
        <f>IFERROR(__xludf.DUMMYFUNCTION("""COMPUTED_VALUE"""),"Devops Engineer Trainee")</f>
        <v>Devops Engineer Trainee</v>
      </c>
      <c r="F51" s="31" t="str">
        <f>IFERROR(__xludf.DUMMYFUNCTION("""COMPUTED_VALUE"""),"DevOps")</f>
        <v>DevOps</v>
      </c>
      <c r="G51" s="31" t="str">
        <f>IFERROR(__xludf.DUMMYFUNCTION("""COMPUTED_VALUE"""),"Parthkumarofficial@gmail.com ")</f>
        <v>Parthkumarofficial@gmail.com </v>
      </c>
      <c r="H51" s="31" t="str">
        <f>IFERROR(__xludf.DUMMYFUNCTION("""COMPUTED_VALUE"""),"Puneet Dhiman")</f>
        <v>Puneet Dhiman</v>
      </c>
      <c r="I51" s="75">
        <f>IFERROR(__xludf.DUMMYFUNCTION("""COMPUTED_VALUE"""),45310.0)</f>
        <v>45310</v>
      </c>
      <c r="J51" s="31" t="str">
        <f>IFERROR(__xludf.DUMMYFUNCTION("""COMPUTED_VALUE"""),"Nidhi Khedekar")</f>
        <v>Nidhi Khedekar</v>
      </c>
      <c r="K51" s="31" t="str">
        <f>IFERROR(__xludf.DUMMYFUNCTION("""COMPUTED_VALUE"""),"Joined")</f>
        <v>Joined</v>
      </c>
      <c r="L51" s="31" t="str">
        <f>IFERROR(__xludf.DUMMYFUNCTION("""COMPUTED_VALUE"""),"In Office")</f>
        <v>In Office</v>
      </c>
      <c r="M51" s="31" t="str">
        <f>IFERROR(__xludf.DUMMYFUNCTION("""COMPUTED_VALUE"""),"parth.kumar@zupee.in")</f>
        <v>parth.kumar@zupee.in</v>
      </c>
      <c r="N51" s="31"/>
    </row>
    <row r="52">
      <c r="A52" s="74">
        <f>IFERROR(__xludf.DUMMYFUNCTION("""COMPUTED_VALUE"""),45313.0)</f>
        <v>45313</v>
      </c>
      <c r="B52" s="31" t="str">
        <f>IFERROR(__xludf.DUMMYFUNCTION("""COMPUTED_VALUE"""),"Siddharth Rehani")</f>
        <v>Siddharth Rehani</v>
      </c>
      <c r="C52" s="31" t="str">
        <f>IFERROR(__xludf.DUMMYFUNCTION("""COMPUTED_VALUE"""),"Marketing")</f>
        <v>Marketing</v>
      </c>
      <c r="D52" s="31">
        <f>IFERROR(__xludf.DUMMYFUNCTION("""COMPUTED_VALUE"""),8.130435875E9)</f>
        <v>8130435875</v>
      </c>
      <c r="E52" s="31" t="str">
        <f>IFERROR(__xludf.DUMMYFUNCTION("""COMPUTED_VALUE"""),"SEO Executive")</f>
        <v>SEO Executive</v>
      </c>
      <c r="F52" s="31" t="str">
        <f>IFERROR(__xludf.DUMMYFUNCTION("""COMPUTED_VALUE"""),"Digital Marketing")</f>
        <v>Digital Marketing</v>
      </c>
      <c r="G52" s="31" t="str">
        <f>IFERROR(__xludf.DUMMYFUNCTION("""COMPUTED_VALUE"""),"sidd.rehani1272@gmail.com")</f>
        <v>sidd.rehani1272@gmail.com</v>
      </c>
      <c r="H52" s="31" t="str">
        <f>IFERROR(__xludf.DUMMYFUNCTION("""COMPUTED_VALUE"""),"Lekhika Dhariyal ")</f>
        <v>Lekhika Dhariyal </v>
      </c>
      <c r="I52" s="75">
        <f>IFERROR(__xludf.DUMMYFUNCTION("""COMPUTED_VALUE"""),45309.0)</f>
        <v>45309</v>
      </c>
      <c r="J52" s="31" t="str">
        <f>IFERROR(__xludf.DUMMYFUNCTION("""COMPUTED_VALUE"""),"Naina")</f>
        <v>Naina</v>
      </c>
      <c r="K52" s="31" t="str">
        <f>IFERROR(__xludf.DUMMYFUNCTION("""COMPUTED_VALUE"""),"Joined")</f>
        <v>Joined</v>
      </c>
      <c r="L52" s="31" t="str">
        <f>IFERROR(__xludf.DUMMYFUNCTION("""COMPUTED_VALUE"""),"In Office")</f>
        <v>In Office</v>
      </c>
      <c r="M52" s="31" t="str">
        <f>IFERROR(__xludf.DUMMYFUNCTION("""COMPUTED_VALUE"""),"siddharth.rehani@zupee.in")</f>
        <v>siddharth.rehani@zupee.in</v>
      </c>
      <c r="N52" s="31"/>
    </row>
    <row r="53">
      <c r="A53" s="74">
        <f>IFERROR(__xludf.DUMMYFUNCTION("""COMPUTED_VALUE"""),45315.0)</f>
        <v>45315</v>
      </c>
      <c r="B53" s="31" t="str">
        <f>IFERROR(__xludf.DUMMYFUNCTION("""COMPUTED_VALUE"""),"Tushar Mehta")</f>
        <v>Tushar Mehta</v>
      </c>
      <c r="C53" s="31" t="str">
        <f>IFERROR(__xludf.DUMMYFUNCTION("""COMPUTED_VALUE"""),"Technology")</f>
        <v>Technology</v>
      </c>
      <c r="D53" s="31">
        <f>IFERROR(__xludf.DUMMYFUNCTION("""COMPUTED_VALUE"""),7.986314491E9)</f>
        <v>7986314491</v>
      </c>
      <c r="E53" s="31" t="str">
        <f>IFERROR(__xludf.DUMMYFUNCTION("""COMPUTED_VALUE"""),"Senior Software Engineer - Android")</f>
        <v>Senior Software Engineer - Android</v>
      </c>
      <c r="F53" s="31" t="str">
        <f>IFERROR(__xludf.DUMMYFUNCTION("""COMPUTED_VALUE"""),"Engineering")</f>
        <v>Engineering</v>
      </c>
      <c r="G53" s="31" t="str">
        <f>IFERROR(__xludf.DUMMYFUNCTION("""COMPUTED_VALUE"""),"tushar.mehta466@gmail.com")</f>
        <v>tushar.mehta466@gmail.com</v>
      </c>
      <c r="H53" s="31" t="str">
        <f>IFERROR(__xludf.DUMMYFUNCTION("""COMPUTED_VALUE"""),"Anshul Mittal")</f>
        <v>Anshul Mittal</v>
      </c>
      <c r="I53" s="75">
        <f>IFERROR(__xludf.DUMMYFUNCTION("""COMPUTED_VALUE"""),45310.0)</f>
        <v>45310</v>
      </c>
      <c r="J53" s="31" t="str">
        <f>IFERROR(__xludf.DUMMYFUNCTION("""COMPUTED_VALUE"""),"Naina")</f>
        <v>Naina</v>
      </c>
      <c r="K53" s="31" t="str">
        <f>IFERROR(__xludf.DUMMYFUNCTION("""COMPUTED_VALUE"""),"Joined")</f>
        <v>Joined</v>
      </c>
      <c r="L53" s="31" t="str">
        <f>IFERROR(__xludf.DUMMYFUNCTION("""COMPUTED_VALUE"""),"In Office")</f>
        <v>In Office</v>
      </c>
      <c r="M53" s="31" t="str">
        <f>IFERROR(__xludf.DUMMYFUNCTION("""COMPUTED_VALUE"""),"tushar.mehta@zupee.in")</f>
        <v>tushar.mehta@zupee.in</v>
      </c>
      <c r="N53" s="31" t="str">
        <f>IFERROR(__xludf.DUMMYFUNCTION("""COMPUTED_VALUE"""),"FC7XJ40MKQ")</f>
        <v>FC7XJ40MKQ</v>
      </c>
    </row>
    <row r="54">
      <c r="A54" s="74">
        <f>IFERROR(__xludf.DUMMYFUNCTION("""COMPUTED_VALUE"""),45315.0)</f>
        <v>45315</v>
      </c>
      <c r="B54" s="31" t="str">
        <f>IFERROR(__xludf.DUMMYFUNCTION("""COMPUTED_VALUE"""),"Anwesha Raj")</f>
        <v>Anwesha Raj</v>
      </c>
      <c r="C54" s="31" t="str">
        <f>IFERROR(__xludf.DUMMYFUNCTION("""COMPUTED_VALUE"""),"Product")</f>
        <v>Product</v>
      </c>
      <c r="D54" s="31">
        <f>IFERROR(__xludf.DUMMYFUNCTION("""COMPUTED_VALUE"""),9.743808027E9)</f>
        <v>9743808027</v>
      </c>
      <c r="E54" s="31" t="str">
        <f>IFERROR(__xludf.DUMMYFUNCTION("""COMPUTED_VALUE"""),"Product Manager")</f>
        <v>Product Manager</v>
      </c>
      <c r="F54" s="31" t="str">
        <f>IFERROR(__xludf.DUMMYFUNCTION("""COMPUTED_VALUE"""),"Product")</f>
        <v>Product</v>
      </c>
      <c r="G54" s="31" t="str">
        <f>IFERROR(__xludf.DUMMYFUNCTION("""COMPUTED_VALUE"""),"anwesha.raj16@gmail.com")</f>
        <v>anwesha.raj16@gmail.com</v>
      </c>
      <c r="H54" s="31" t="str">
        <f>IFERROR(__xludf.DUMMYFUNCTION("""COMPUTED_VALUE"""),"Mayank Jain")</f>
        <v>Mayank Jain</v>
      </c>
      <c r="I54" s="75">
        <f>IFERROR(__xludf.DUMMYFUNCTION("""COMPUTED_VALUE"""),45307.0)</f>
        <v>45307</v>
      </c>
      <c r="J54" s="31" t="str">
        <f>IFERROR(__xludf.DUMMYFUNCTION("""COMPUTED_VALUE"""),"Naina")</f>
        <v>Naina</v>
      </c>
      <c r="K54" s="31" t="str">
        <f>IFERROR(__xludf.DUMMYFUNCTION("""COMPUTED_VALUE"""),"Joined")</f>
        <v>Joined</v>
      </c>
      <c r="L54" s="31" t="str">
        <f>IFERROR(__xludf.DUMMYFUNCTION("""COMPUTED_VALUE"""),"In Office")</f>
        <v>In Office</v>
      </c>
      <c r="M54" s="31" t="str">
        <f>IFERROR(__xludf.DUMMYFUNCTION("""COMPUTED_VALUE"""),"anwesha.raj@zupee.in")</f>
        <v>anwesha.raj@zupee.in</v>
      </c>
      <c r="N54" s="31" t="str">
        <f>IFERROR(__xludf.DUMMYFUNCTION("""COMPUTED_VALUE"""),"KVYCXDXWF6")</f>
        <v>KVYCXDXWF6</v>
      </c>
    </row>
    <row r="55">
      <c r="A55" s="74">
        <f>IFERROR(__xludf.DUMMYFUNCTION("""COMPUTED_VALUE"""),45370.0)</f>
        <v>45370</v>
      </c>
      <c r="B55" s="31" t="str">
        <f>IFERROR(__xludf.DUMMYFUNCTION("""COMPUTED_VALUE"""),"Shabi")</f>
        <v>Shabi</v>
      </c>
      <c r="C55" s="31" t="str">
        <f>IFERROR(__xludf.DUMMYFUNCTION("""COMPUTED_VALUE"""),"Analytics")</f>
        <v>Analytics</v>
      </c>
      <c r="D55" s="31">
        <f>IFERROR(__xludf.DUMMYFUNCTION("""COMPUTED_VALUE"""),9.596967342E9)</f>
        <v>9596967342</v>
      </c>
      <c r="E55" s="31" t="str">
        <f>IFERROR(__xludf.DUMMYFUNCTION("""COMPUTED_VALUE"""),"Senior Data Analyst")</f>
        <v>Senior Data Analyst</v>
      </c>
      <c r="F55" s="31" t="str">
        <f>IFERROR(__xludf.DUMMYFUNCTION("""COMPUTED_VALUE"""),"Product Analytics")</f>
        <v>Product Analytics</v>
      </c>
      <c r="G55" s="31" t="str">
        <f>IFERROR(__xludf.DUMMYFUNCTION("""COMPUTED_VALUE"""),"chhavimahajan.96@gmail.com")</f>
        <v>chhavimahajan.96@gmail.com</v>
      </c>
      <c r="H55" s="31" t="str">
        <f>IFERROR(__xludf.DUMMYFUNCTION("""COMPUTED_VALUE"""),"Shwetank Anand")</f>
        <v>Shwetank Anand</v>
      </c>
      <c r="I55" s="75">
        <f>IFERROR(__xludf.DUMMYFUNCTION("""COMPUTED_VALUE"""),44944.0)</f>
        <v>44944</v>
      </c>
      <c r="J55" s="31" t="str">
        <f>IFERROR(__xludf.DUMMYFUNCTION("""COMPUTED_VALUE"""),"Mamta Pandey")</f>
        <v>Mamta Pandey</v>
      </c>
      <c r="K55" s="31" t="str">
        <f>IFERROR(__xludf.DUMMYFUNCTION("""COMPUTED_VALUE"""),"Offer Declined")</f>
        <v>Offer Declined</v>
      </c>
      <c r="L55" s="31" t="str">
        <f>IFERROR(__xludf.DUMMYFUNCTION("""COMPUTED_VALUE"""),"In Office")</f>
        <v>In Office</v>
      </c>
      <c r="M55" s="31"/>
      <c r="N55" s="31"/>
    </row>
    <row r="56">
      <c r="A56" s="74">
        <f>IFERROR(__xludf.DUMMYFUNCTION("""COMPUTED_VALUE"""),45341.0)</f>
        <v>45341</v>
      </c>
      <c r="B56" s="31" t="str">
        <f>IFERROR(__xludf.DUMMYFUNCTION("""COMPUTED_VALUE"""),"Kanika Wadhwa")</f>
        <v>Kanika Wadhwa</v>
      </c>
      <c r="C56" s="31" t="str">
        <f>IFERROR(__xludf.DUMMYFUNCTION("""COMPUTED_VALUE"""),"Customer Experience")</f>
        <v>Customer Experience</v>
      </c>
      <c r="D56" s="31">
        <f>IFERROR(__xludf.DUMMYFUNCTION("""COMPUTED_VALUE"""),9.034340484E9)</f>
        <v>9034340484</v>
      </c>
      <c r="E56" s="31" t="str">
        <f>IFERROR(__xludf.DUMMYFUNCTION("""COMPUTED_VALUE"""),"Senior Executive – Customer Experience")</f>
        <v>Senior Executive – Customer Experience</v>
      </c>
      <c r="F56" s="31" t="str">
        <f>IFERROR(__xludf.DUMMYFUNCTION("""COMPUTED_VALUE"""),"Customer Relation Management")</f>
        <v>Customer Relation Management</v>
      </c>
      <c r="G56" s="31" t="str">
        <f>IFERROR(__xludf.DUMMYFUNCTION("""COMPUTED_VALUE"""),"kanikav1993@gmail.com")</f>
        <v>kanikav1993@gmail.com</v>
      </c>
      <c r="H56" s="31" t="str">
        <f>IFERROR(__xludf.DUMMYFUNCTION("""COMPUTED_VALUE"""),"Shivam Bali")</f>
        <v>Shivam Bali</v>
      </c>
      <c r="I56" s="75">
        <f>IFERROR(__xludf.DUMMYFUNCTION("""COMPUTED_VALUE"""),45316.0)</f>
        <v>45316</v>
      </c>
      <c r="J56" s="31" t="str">
        <f>IFERROR(__xludf.DUMMYFUNCTION("""COMPUTED_VALUE"""),"Nidhi Khedekar")</f>
        <v>Nidhi Khedekar</v>
      </c>
      <c r="K56" s="31" t="str">
        <f>IFERROR(__xludf.DUMMYFUNCTION("""COMPUTED_VALUE"""),"Joined")</f>
        <v>Joined</v>
      </c>
      <c r="L56" s="31" t="str">
        <f>IFERROR(__xludf.DUMMYFUNCTION("""COMPUTED_VALUE"""),"In Office")</f>
        <v>In Office</v>
      </c>
      <c r="M56" s="31" t="str">
        <f>IFERROR(__xludf.DUMMYFUNCTION("""COMPUTED_VALUE"""),"kanika.wadhwa@zupee.in")</f>
        <v>kanika.wadhwa@zupee.in</v>
      </c>
      <c r="N56" s="31" t="str">
        <f>IFERROR(__xludf.DUMMYFUNCTION("""COMPUTED_VALUE"""),"PW03VMKG")</f>
        <v>PW03VMKG</v>
      </c>
    </row>
    <row r="57">
      <c r="A57" s="74">
        <f>IFERROR(__xludf.DUMMYFUNCTION("""COMPUTED_VALUE"""),45323.0)</f>
        <v>45323</v>
      </c>
      <c r="B57" s="31" t="str">
        <f>IFERROR(__xludf.DUMMYFUNCTION("""COMPUTED_VALUE"""),"Rijul Sharma")</f>
        <v>Rijul Sharma</v>
      </c>
      <c r="C57" s="31" t="str">
        <f>IFERROR(__xludf.DUMMYFUNCTION("""COMPUTED_VALUE"""),"Technology")</f>
        <v>Technology</v>
      </c>
      <c r="D57" s="31">
        <f>IFERROR(__xludf.DUMMYFUNCTION("""COMPUTED_VALUE"""),8.699972878E9)</f>
        <v>8699972878</v>
      </c>
      <c r="E57" s="31" t="str">
        <f>IFERROR(__xludf.DUMMYFUNCTION("""COMPUTED_VALUE"""),"Software Engineer- DevOps")</f>
        <v>Software Engineer- DevOps</v>
      </c>
      <c r="F57" s="31" t="str">
        <f>IFERROR(__xludf.DUMMYFUNCTION("""COMPUTED_VALUE"""),"DevOps")</f>
        <v>DevOps</v>
      </c>
      <c r="G57" s="31" t="str">
        <f>IFERROR(__xludf.DUMMYFUNCTION("""COMPUTED_VALUE"""),"rijulsharma25@gmail.com")</f>
        <v>rijulsharma25@gmail.com</v>
      </c>
      <c r="H57" s="31" t="str">
        <f>IFERROR(__xludf.DUMMYFUNCTION("""COMPUTED_VALUE"""),"Saurav Yadav")</f>
        <v>Saurav Yadav</v>
      </c>
      <c r="I57" s="75">
        <f>IFERROR(__xludf.DUMMYFUNCTION("""COMPUTED_VALUE"""),45320.0)</f>
        <v>45320</v>
      </c>
      <c r="J57" s="31" t="str">
        <f>IFERROR(__xludf.DUMMYFUNCTION("""COMPUTED_VALUE"""),"Nidhi Khedekar")</f>
        <v>Nidhi Khedekar</v>
      </c>
      <c r="K57" s="31" t="str">
        <f>IFERROR(__xludf.DUMMYFUNCTION("""COMPUTED_VALUE"""),"Joined")</f>
        <v>Joined</v>
      </c>
      <c r="L57" s="31" t="str">
        <f>IFERROR(__xludf.DUMMYFUNCTION("""COMPUTED_VALUE"""),"Virtual")</f>
        <v>Virtual</v>
      </c>
      <c r="M57" s="31" t="str">
        <f>IFERROR(__xludf.DUMMYFUNCTION("""COMPUTED_VALUE"""),"rijul.sharma@zupee.in")</f>
        <v>rijul.sharma@zupee.in</v>
      </c>
      <c r="N57" s="31" t="str">
        <f>IFERROR(__xludf.DUMMYFUNCTION("""COMPUTED_VALUE"""),"FVW399JXH1")</f>
        <v>FVW399JXH1</v>
      </c>
    </row>
    <row r="58">
      <c r="A58" s="74">
        <f>IFERROR(__xludf.DUMMYFUNCTION("""COMPUTED_VALUE"""),45323.0)</f>
        <v>45323</v>
      </c>
      <c r="B58" s="31" t="str">
        <f>IFERROR(__xludf.DUMMYFUNCTION("""COMPUTED_VALUE"""),"Arya Soni")</f>
        <v>Arya Soni</v>
      </c>
      <c r="C58" s="31" t="str">
        <f>IFERROR(__xludf.DUMMYFUNCTION("""COMPUTED_VALUE"""),"Technology")</f>
        <v>Technology</v>
      </c>
      <c r="D58" s="31">
        <f>IFERROR(__xludf.DUMMYFUNCTION("""COMPUTED_VALUE"""),9.667475014E9)</f>
        <v>9667475014</v>
      </c>
      <c r="E58" s="31" t="str">
        <f>IFERROR(__xludf.DUMMYFUNCTION("""COMPUTED_VALUE"""),"Software Engineer- DevOps")</f>
        <v>Software Engineer- DevOps</v>
      </c>
      <c r="F58" s="31" t="str">
        <f>IFERROR(__xludf.DUMMYFUNCTION("""COMPUTED_VALUE"""),"DevOps")</f>
        <v>DevOps</v>
      </c>
      <c r="G58" s="31" t="str">
        <f>IFERROR(__xludf.DUMMYFUNCTION("""COMPUTED_VALUE"""),"aryasoni98@gmail.com")</f>
        <v>aryasoni98@gmail.com</v>
      </c>
      <c r="H58" s="31" t="str">
        <f>IFERROR(__xludf.DUMMYFUNCTION("""COMPUTED_VALUE"""),"Saurav Yadav")</f>
        <v>Saurav Yadav</v>
      </c>
      <c r="I58" s="75">
        <f>IFERROR(__xludf.DUMMYFUNCTION("""COMPUTED_VALUE"""),45320.0)</f>
        <v>45320</v>
      </c>
      <c r="J58" s="31" t="str">
        <f>IFERROR(__xludf.DUMMYFUNCTION("""COMPUTED_VALUE"""),"Nidhi Khedekar")</f>
        <v>Nidhi Khedekar</v>
      </c>
      <c r="K58" s="31" t="str">
        <f>IFERROR(__xludf.DUMMYFUNCTION("""COMPUTED_VALUE"""),"Joined")</f>
        <v>Joined</v>
      </c>
      <c r="L58" s="31" t="str">
        <f>IFERROR(__xludf.DUMMYFUNCTION("""COMPUTED_VALUE"""),"In Office")</f>
        <v>In Office</v>
      </c>
      <c r="M58" s="31" t="str">
        <f>IFERROR(__xludf.DUMMYFUNCTION("""COMPUTED_VALUE"""),"arya.soni@zupee.in")</f>
        <v>arya.soni@zupee.in</v>
      </c>
      <c r="N58" s="31"/>
    </row>
    <row r="59">
      <c r="A59" s="74">
        <f>IFERROR(__xludf.DUMMYFUNCTION("""COMPUTED_VALUE"""),45337.0)</f>
        <v>45337</v>
      </c>
      <c r="B59" s="31" t="str">
        <f>IFERROR(__xludf.DUMMYFUNCTION("""COMPUTED_VALUE"""),"Akhil Sukhnani")</f>
        <v>Akhil Sukhnani</v>
      </c>
      <c r="C59" s="31" t="str">
        <f>IFERROR(__xludf.DUMMYFUNCTION("""COMPUTED_VALUE"""),"Technology")</f>
        <v>Technology</v>
      </c>
      <c r="D59" s="31">
        <f>IFERROR(__xludf.DUMMYFUNCTION("""COMPUTED_VALUE"""),7.877111933E9)</f>
        <v>7877111933</v>
      </c>
      <c r="E59" s="31" t="str">
        <f>IFERROR(__xludf.DUMMYFUNCTION("""COMPUTED_VALUE"""),"Software Engineer- DevOps")</f>
        <v>Software Engineer- DevOps</v>
      </c>
      <c r="F59" s="31" t="str">
        <f>IFERROR(__xludf.DUMMYFUNCTION("""COMPUTED_VALUE"""),"DevOps")</f>
        <v>DevOps</v>
      </c>
      <c r="G59" s="31" t="str">
        <f>IFERROR(__xludf.DUMMYFUNCTION("""COMPUTED_VALUE"""),"akhilsukhnani@gmail.com")</f>
        <v>akhilsukhnani@gmail.com</v>
      </c>
      <c r="H59" s="31" t="str">
        <f>IFERROR(__xludf.DUMMYFUNCTION("""COMPUTED_VALUE"""),"Saurav Yadav")</f>
        <v>Saurav Yadav</v>
      </c>
      <c r="I59" s="75">
        <f>IFERROR(__xludf.DUMMYFUNCTION("""COMPUTED_VALUE"""),45315.0)</f>
        <v>45315</v>
      </c>
      <c r="J59" s="31" t="str">
        <f>IFERROR(__xludf.DUMMYFUNCTION("""COMPUTED_VALUE"""),"Mamta Pandey")</f>
        <v>Mamta Pandey</v>
      </c>
      <c r="K59" s="31" t="str">
        <f>IFERROR(__xludf.DUMMYFUNCTION("""COMPUTED_VALUE"""),"Offer Declined")</f>
        <v>Offer Declined</v>
      </c>
      <c r="L59" s="31" t="str">
        <f>IFERROR(__xludf.DUMMYFUNCTION("""COMPUTED_VALUE"""),"In Office")</f>
        <v>In Office</v>
      </c>
      <c r="M59" s="31"/>
      <c r="N59" s="31"/>
    </row>
    <row r="60">
      <c r="A60" s="74">
        <f>IFERROR(__xludf.DUMMYFUNCTION("""COMPUTED_VALUE"""),45323.0)</f>
        <v>45323</v>
      </c>
      <c r="B60" s="31" t="str">
        <f>IFERROR(__xludf.DUMMYFUNCTION("""COMPUTED_VALUE"""),"Abhinav Kaushik")</f>
        <v>Abhinav Kaushik</v>
      </c>
      <c r="C60" s="31" t="str">
        <f>IFERROR(__xludf.DUMMYFUNCTION("""COMPUTED_VALUE"""),"Technology")</f>
        <v>Technology</v>
      </c>
      <c r="D60" s="31">
        <f>IFERROR(__xludf.DUMMYFUNCTION("""COMPUTED_VALUE"""),8.44855597E9)</f>
        <v>8448555970</v>
      </c>
      <c r="E60" s="31" t="str">
        <f>IFERROR(__xludf.DUMMYFUNCTION("""COMPUTED_VALUE"""),"Software Engineer")</f>
        <v>Software Engineer</v>
      </c>
      <c r="F60" s="31" t="str">
        <f>IFERROR(__xludf.DUMMYFUNCTION("""COMPUTED_VALUE"""),"DevOps")</f>
        <v>DevOps</v>
      </c>
      <c r="G60" s="31" t="str">
        <f>IFERROR(__xludf.DUMMYFUNCTION("""COMPUTED_VALUE""")," ")</f>
        <v> </v>
      </c>
      <c r="H60" s="31" t="str">
        <f>IFERROR(__xludf.DUMMYFUNCTION("""COMPUTED_VALUE"""),"Saurav Yadav")</f>
        <v>Saurav Yadav</v>
      </c>
      <c r="I60" s="75">
        <f>IFERROR(__xludf.DUMMYFUNCTION("""COMPUTED_VALUE"""),45321.0)</f>
        <v>45321</v>
      </c>
      <c r="J60" s="31" t="str">
        <f>IFERROR(__xludf.DUMMYFUNCTION("""COMPUTED_VALUE"""),"Nidhi Khedekar")</f>
        <v>Nidhi Khedekar</v>
      </c>
      <c r="K60" s="31" t="str">
        <f>IFERROR(__xludf.DUMMYFUNCTION("""COMPUTED_VALUE"""),"Offer Declined")</f>
        <v>Offer Declined</v>
      </c>
      <c r="L60" s="31" t="str">
        <f>IFERROR(__xludf.DUMMYFUNCTION("""COMPUTED_VALUE"""),"In Office")</f>
        <v>In Office</v>
      </c>
      <c r="M60" s="31"/>
      <c r="N60" s="31"/>
    </row>
    <row r="61">
      <c r="A61" s="74">
        <f>IFERROR(__xludf.DUMMYFUNCTION("""COMPUTED_VALUE"""),45323.0)</f>
        <v>45323</v>
      </c>
      <c r="B61" s="31" t="str">
        <f>IFERROR(__xludf.DUMMYFUNCTION("""COMPUTED_VALUE"""),"Pankaj Garg")</f>
        <v>Pankaj Garg</v>
      </c>
      <c r="C61" s="31" t="str">
        <f>IFERROR(__xludf.DUMMYFUNCTION("""COMPUTED_VALUE"""),"Analytics")</f>
        <v>Analytics</v>
      </c>
      <c r="D61" s="31">
        <f>IFERROR(__xludf.DUMMYFUNCTION("""COMPUTED_VALUE"""),7.888513264E9)</f>
        <v>7888513264</v>
      </c>
      <c r="E61" s="31" t="str">
        <f>IFERROR(__xludf.DUMMYFUNCTION("""COMPUTED_VALUE"""),"Senior Data Analyst")</f>
        <v>Senior Data Analyst</v>
      </c>
      <c r="F61" s="31" t="str">
        <f>IFERROR(__xludf.DUMMYFUNCTION("""COMPUTED_VALUE"""),"Product Analytics")</f>
        <v>Product Analytics</v>
      </c>
      <c r="G61" s="31" t="str">
        <f>IFERROR(__xludf.DUMMYFUNCTION("""COMPUTED_VALUE"""),"pnkjg264@gmail.com")</f>
        <v>pnkjg264@gmail.com</v>
      </c>
      <c r="H61" s="31" t="str">
        <f>IFERROR(__xludf.DUMMYFUNCTION("""COMPUTED_VALUE"""),"Shwetank Anand")</f>
        <v>Shwetank Anand</v>
      </c>
      <c r="I61" s="75">
        <f>IFERROR(__xludf.DUMMYFUNCTION("""COMPUTED_VALUE"""),45321.0)</f>
        <v>45321</v>
      </c>
      <c r="J61" s="31" t="str">
        <f>IFERROR(__xludf.DUMMYFUNCTION("""COMPUTED_VALUE"""),"Mamta Pandey")</f>
        <v>Mamta Pandey</v>
      </c>
      <c r="K61" s="31" t="str">
        <f>IFERROR(__xludf.DUMMYFUNCTION("""COMPUTED_VALUE"""),"Joined")</f>
        <v>Joined</v>
      </c>
      <c r="L61" s="31" t="str">
        <f>IFERROR(__xludf.DUMMYFUNCTION("""COMPUTED_VALUE"""),"In Office")</f>
        <v>In Office</v>
      </c>
      <c r="M61" s="31" t="str">
        <f>IFERROR(__xludf.DUMMYFUNCTION("""COMPUTED_VALUE"""),"pankaj.garg@zupee.in")</f>
        <v>pankaj.garg@zupee.in</v>
      </c>
      <c r="N61" s="31"/>
    </row>
    <row r="62">
      <c r="A62" s="74">
        <f>IFERROR(__xludf.DUMMYFUNCTION("""COMPUTED_VALUE"""),45327.0)</f>
        <v>45327</v>
      </c>
      <c r="B62" s="31" t="str">
        <f>IFERROR(__xludf.DUMMYFUNCTION("""COMPUTED_VALUE"""),"Kalpana Singh")</f>
        <v>Kalpana Singh</v>
      </c>
      <c r="C62" s="31" t="str">
        <f>IFERROR(__xludf.DUMMYFUNCTION("""COMPUTED_VALUE"""),"Customer Experience")</f>
        <v>Customer Experience</v>
      </c>
      <c r="D62" s="31">
        <f>IFERROR(__xludf.DUMMYFUNCTION("""COMPUTED_VALUE"""),7.983234804E9)</f>
        <v>7983234804</v>
      </c>
      <c r="E62" s="31" t="str">
        <f>IFERROR(__xludf.DUMMYFUNCTION("""COMPUTED_VALUE"""),"Customer Support Executive")</f>
        <v>Customer Support Executive</v>
      </c>
      <c r="F62" s="31" t="str">
        <f>IFERROR(__xludf.DUMMYFUNCTION("""COMPUTED_VALUE"""),"Customer Relation Management")</f>
        <v>Customer Relation Management</v>
      </c>
      <c r="G62" s="31" t="str">
        <f>IFERROR(__xludf.DUMMYFUNCTION("""COMPUTED_VALUE"""),"kskalpanasingh22@gmail.com")</f>
        <v>kskalpanasingh22@gmail.com</v>
      </c>
      <c r="H62" s="31" t="str">
        <f>IFERROR(__xludf.DUMMYFUNCTION("""COMPUTED_VALUE"""),"Shivam Bali")</f>
        <v>Shivam Bali</v>
      </c>
      <c r="I62" s="75">
        <f>IFERROR(__xludf.DUMMYFUNCTION("""COMPUTED_VALUE"""),45323.0)</f>
        <v>45323</v>
      </c>
      <c r="J62" s="31" t="str">
        <f>IFERROR(__xludf.DUMMYFUNCTION("""COMPUTED_VALUE"""),"Nidhi Khedekar")</f>
        <v>Nidhi Khedekar</v>
      </c>
      <c r="K62" s="31" t="str">
        <f>IFERROR(__xludf.DUMMYFUNCTION("""COMPUTED_VALUE"""),"Joined")</f>
        <v>Joined</v>
      </c>
      <c r="L62" s="31" t="str">
        <f>IFERROR(__xludf.DUMMYFUNCTION("""COMPUTED_VALUE"""),"In Office")</f>
        <v>In Office</v>
      </c>
      <c r="M62" s="31" t="str">
        <f>IFERROR(__xludf.DUMMYFUNCTION("""COMPUTED_VALUE"""),"kalpana.singh@zupee.in")</f>
        <v>kalpana.singh@zupee.in</v>
      </c>
      <c r="N62" s="31"/>
    </row>
    <row r="63">
      <c r="A63" s="74">
        <f>IFERROR(__xludf.DUMMYFUNCTION("""COMPUTED_VALUE"""),45327.0)</f>
        <v>45327</v>
      </c>
      <c r="B63" s="31" t="str">
        <f>IFERROR(__xludf.DUMMYFUNCTION("""COMPUTED_VALUE"""),"Saurabh Dandriyal")</f>
        <v>Saurabh Dandriyal</v>
      </c>
      <c r="C63" s="31" t="str">
        <f>IFERROR(__xludf.DUMMYFUNCTION("""COMPUTED_VALUE"""),"Customer Experience")</f>
        <v>Customer Experience</v>
      </c>
      <c r="D63" s="31">
        <f>IFERROR(__xludf.DUMMYFUNCTION("""COMPUTED_VALUE"""),8.130038575E9)</f>
        <v>8130038575</v>
      </c>
      <c r="E63" s="31" t="str">
        <f>IFERROR(__xludf.DUMMYFUNCTION("""COMPUTED_VALUE"""),"Senior Executive- Customer Experience")</f>
        <v>Senior Executive- Customer Experience</v>
      </c>
      <c r="F63" s="31" t="str">
        <f>IFERROR(__xludf.DUMMYFUNCTION("""COMPUTED_VALUE"""),"Customer Relation Management")</f>
        <v>Customer Relation Management</v>
      </c>
      <c r="G63" s="31" t="str">
        <f>IFERROR(__xludf.DUMMYFUNCTION("""COMPUTED_VALUE"""),"dandriyalsaurabh007@gmail.com")</f>
        <v>dandriyalsaurabh007@gmail.com</v>
      </c>
      <c r="H63" s="31" t="str">
        <f>IFERROR(__xludf.DUMMYFUNCTION("""COMPUTED_VALUE"""),"Shivam Bali")</f>
        <v>Shivam Bali</v>
      </c>
      <c r="I63" s="75">
        <f>IFERROR(__xludf.DUMMYFUNCTION("""COMPUTED_VALUE"""),45323.0)</f>
        <v>45323</v>
      </c>
      <c r="J63" s="31" t="str">
        <f>IFERROR(__xludf.DUMMYFUNCTION("""COMPUTED_VALUE"""),"Nidhi Khedekar")</f>
        <v>Nidhi Khedekar</v>
      </c>
      <c r="K63" s="31" t="str">
        <f>IFERROR(__xludf.DUMMYFUNCTION("""COMPUTED_VALUE"""),"Joined")</f>
        <v>Joined</v>
      </c>
      <c r="L63" s="31" t="str">
        <f>IFERROR(__xludf.DUMMYFUNCTION("""COMPUTED_VALUE"""),"In Office")</f>
        <v>In Office</v>
      </c>
      <c r="M63" s="31" t="str">
        <f>IFERROR(__xludf.DUMMYFUNCTION("""COMPUTED_VALUE"""),"saurabh.dandriyal@zupee.in")</f>
        <v>saurabh.dandriyal@zupee.in</v>
      </c>
      <c r="N63" s="31"/>
    </row>
    <row r="64">
      <c r="A64" s="74">
        <f>IFERROR(__xludf.DUMMYFUNCTION("""COMPUTED_VALUE"""),45327.0)</f>
        <v>45327</v>
      </c>
      <c r="B64" s="31" t="str">
        <f>IFERROR(__xludf.DUMMYFUNCTION("""COMPUTED_VALUE"""),"Divyansh Singh")</f>
        <v>Divyansh Singh</v>
      </c>
      <c r="C64" s="31" t="str">
        <f>IFERROR(__xludf.DUMMYFUNCTION("""COMPUTED_VALUE"""),"Technology")</f>
        <v>Technology</v>
      </c>
      <c r="D64" s="31">
        <f>IFERROR(__xludf.DUMMYFUNCTION("""COMPUTED_VALUE"""),7.007397536E9)</f>
        <v>7007397536</v>
      </c>
      <c r="E64" s="31" t="str">
        <f>IFERROR(__xludf.DUMMYFUNCTION("""COMPUTED_VALUE"""),"Software Engineer- DevOps")</f>
        <v>Software Engineer- DevOps</v>
      </c>
      <c r="F64" s="31" t="str">
        <f>IFERROR(__xludf.DUMMYFUNCTION("""COMPUTED_VALUE"""),"DevOps")</f>
        <v>DevOps</v>
      </c>
      <c r="G64" s="31" t="str">
        <f>IFERROR(__xludf.DUMMYFUNCTION("""COMPUTED_VALUE"""),"imdivyansh99@gmail.com")</f>
        <v>imdivyansh99@gmail.com</v>
      </c>
      <c r="H64" s="31" t="str">
        <f>IFERROR(__xludf.DUMMYFUNCTION("""COMPUTED_VALUE"""),"Saurav Yadav")</f>
        <v>Saurav Yadav</v>
      </c>
      <c r="I64" s="75">
        <f>IFERROR(__xludf.DUMMYFUNCTION("""COMPUTED_VALUE"""),45324.0)</f>
        <v>45324</v>
      </c>
      <c r="J64" s="31" t="str">
        <f>IFERROR(__xludf.DUMMYFUNCTION("""COMPUTED_VALUE"""),"Nidhi Khedekar")</f>
        <v>Nidhi Khedekar</v>
      </c>
      <c r="K64" s="31" t="str">
        <f>IFERROR(__xludf.DUMMYFUNCTION("""COMPUTED_VALUE"""),"Joined")</f>
        <v>Joined</v>
      </c>
      <c r="L64" s="31" t="str">
        <f>IFERROR(__xludf.DUMMYFUNCTION("""COMPUTED_VALUE"""),"In Office")</f>
        <v>In Office</v>
      </c>
      <c r="M64" s="31" t="str">
        <f>IFERROR(__xludf.DUMMYFUNCTION("""COMPUTED_VALUE"""),"divyansh.singh@zupee.in")</f>
        <v>divyansh.singh@zupee.in</v>
      </c>
      <c r="N64" s="31"/>
    </row>
    <row r="65">
      <c r="A65" s="74">
        <f>IFERROR(__xludf.DUMMYFUNCTION("""COMPUTED_VALUE"""),45341.0)</f>
        <v>45341</v>
      </c>
      <c r="B65" s="31" t="str">
        <f>IFERROR(__xludf.DUMMYFUNCTION("""COMPUTED_VALUE"""),"Yakshita Behl")</f>
        <v>Yakshita Behl</v>
      </c>
      <c r="C65" s="31" t="str">
        <f>IFERROR(__xludf.DUMMYFUNCTION("""COMPUTED_VALUE"""),"Analytics")</f>
        <v>Analytics</v>
      </c>
      <c r="D65" s="31">
        <f>IFERROR(__xludf.DUMMYFUNCTION("""COMPUTED_VALUE"""),9.311560404E9)</f>
        <v>9311560404</v>
      </c>
      <c r="E65" s="31" t="str">
        <f>IFERROR(__xludf.DUMMYFUNCTION("""COMPUTED_VALUE"""),"Data Analyst")</f>
        <v>Data Analyst</v>
      </c>
      <c r="F65" s="31" t="str">
        <f>IFERROR(__xludf.DUMMYFUNCTION("""COMPUTED_VALUE"""),"Product Analytics")</f>
        <v>Product Analytics</v>
      </c>
      <c r="G65" s="31" t="str">
        <f>IFERROR(__xludf.DUMMYFUNCTION("""COMPUTED_VALUE"""),"yakshitabehl2000@gmail.com")</f>
        <v>yakshitabehl2000@gmail.com</v>
      </c>
      <c r="H65" s="31" t="str">
        <f>IFERROR(__xludf.DUMMYFUNCTION("""COMPUTED_VALUE"""),"Shwetank Anand")</f>
        <v>Shwetank Anand</v>
      </c>
      <c r="I65" s="75">
        <f>IFERROR(__xludf.DUMMYFUNCTION("""COMPUTED_VALUE"""),45324.0)</f>
        <v>45324</v>
      </c>
      <c r="J65" s="31" t="str">
        <f>IFERROR(__xludf.DUMMYFUNCTION("""COMPUTED_VALUE"""),"Nidhi Khedekar")</f>
        <v>Nidhi Khedekar</v>
      </c>
      <c r="K65" s="31" t="str">
        <f>IFERROR(__xludf.DUMMYFUNCTION("""COMPUTED_VALUE"""),"Joined")</f>
        <v>Joined</v>
      </c>
      <c r="L65" s="31" t="str">
        <f>IFERROR(__xludf.DUMMYFUNCTION("""COMPUTED_VALUE"""),"In Office")</f>
        <v>In Office</v>
      </c>
      <c r="M65" s="31" t="str">
        <f>IFERROR(__xludf.DUMMYFUNCTION("""COMPUTED_VALUE"""),"yakshita.behl@zupee.in")</f>
        <v>yakshita.behl@zupee.in</v>
      </c>
      <c r="N65" s="31"/>
    </row>
    <row r="66">
      <c r="A66" s="74">
        <f>IFERROR(__xludf.DUMMYFUNCTION("""COMPUTED_VALUE"""),45329.0)</f>
        <v>45329</v>
      </c>
      <c r="B66" s="31" t="str">
        <f>IFERROR(__xludf.DUMMYFUNCTION("""COMPUTED_VALUE"""),"Vimal Prajapati")</f>
        <v>Vimal Prajapati</v>
      </c>
      <c r="C66" s="31" t="str">
        <f>IFERROR(__xludf.DUMMYFUNCTION("""COMPUTED_VALUE"""),"Analytics")</f>
        <v>Analytics</v>
      </c>
      <c r="D66" s="31">
        <f>IFERROR(__xludf.DUMMYFUNCTION("""COMPUTED_VALUE"""),9.974477347E9)</f>
        <v>9974477347</v>
      </c>
      <c r="E66" s="31" t="str">
        <f>IFERROR(__xludf.DUMMYFUNCTION("""COMPUTED_VALUE"""),"Lead Data Analyst")</f>
        <v>Lead Data Analyst</v>
      </c>
      <c r="F66" s="31" t="str">
        <f>IFERROR(__xludf.DUMMYFUNCTION("""COMPUTED_VALUE"""),"Product Analytics")</f>
        <v>Product Analytics</v>
      </c>
      <c r="G66" s="31" t="str">
        <f>IFERROR(__xludf.DUMMYFUNCTION("""COMPUTED_VALUE"""),"vimalcprajapati1995@gmail.com")</f>
        <v>vimalcprajapati1995@gmail.com</v>
      </c>
      <c r="H66" s="31" t="str">
        <f>IFERROR(__xludf.DUMMYFUNCTION("""COMPUTED_VALUE"""),"Shwetank Anand")</f>
        <v>Shwetank Anand</v>
      </c>
      <c r="I66" s="75">
        <f>IFERROR(__xludf.DUMMYFUNCTION("""COMPUTED_VALUE"""),45328.0)</f>
        <v>45328</v>
      </c>
      <c r="J66" s="31" t="str">
        <f>IFERROR(__xludf.DUMMYFUNCTION("""COMPUTED_VALUE"""),"Mamta Pandey")</f>
        <v>Mamta Pandey</v>
      </c>
      <c r="K66" s="31" t="str">
        <f>IFERROR(__xludf.DUMMYFUNCTION("""COMPUTED_VALUE"""),"Joined")</f>
        <v>Joined</v>
      </c>
      <c r="L66" s="31" t="str">
        <f>IFERROR(__xludf.DUMMYFUNCTION("""COMPUTED_VALUE"""),"Virtual")</f>
        <v>Virtual</v>
      </c>
      <c r="M66" s="31" t="str">
        <f>IFERROR(__xludf.DUMMYFUNCTION("""COMPUTED_VALUE"""),"vimal.prajapati@zupee.in")</f>
        <v>vimal.prajapati@zupee.in</v>
      </c>
      <c r="N66" s="31"/>
    </row>
    <row r="67">
      <c r="A67" s="74">
        <f>IFERROR(__xludf.DUMMYFUNCTION("""COMPUTED_VALUE"""),45331.0)</f>
        <v>45331</v>
      </c>
      <c r="B67" s="31" t="str">
        <f>IFERROR(__xludf.DUMMYFUNCTION("""COMPUTED_VALUE"""),"Himanshu Grover")</f>
        <v>Himanshu Grover</v>
      </c>
      <c r="C67" s="31" t="str">
        <f>IFERROR(__xludf.DUMMYFUNCTION("""COMPUTED_VALUE"""),"Analytics")</f>
        <v>Analytics</v>
      </c>
      <c r="D67" s="31">
        <f>IFERROR(__xludf.DUMMYFUNCTION("""COMPUTED_VALUE"""),9.996867358E9)</f>
        <v>9996867358</v>
      </c>
      <c r="E67" s="31" t="str">
        <f>IFERROR(__xludf.DUMMYFUNCTION("""COMPUTED_VALUE"""),"Senior Manager- Data Analytics")</f>
        <v>Senior Manager- Data Analytics</v>
      </c>
      <c r="F67" s="31" t="str">
        <f>IFERROR(__xludf.DUMMYFUNCTION("""COMPUTED_VALUE"""),"Product Analytics")</f>
        <v>Product Analytics</v>
      </c>
      <c r="G67" s="31" t="str">
        <f>IFERROR(__xludf.DUMMYFUNCTION("""COMPUTED_VALUE"""),"groverh99@gmail.com")</f>
        <v>groverh99@gmail.com</v>
      </c>
      <c r="H67" s="31" t="str">
        <f>IFERROR(__xludf.DUMMYFUNCTION("""COMPUTED_VALUE"""),"Shwetank Anand")</f>
        <v>Shwetank Anand</v>
      </c>
      <c r="I67" s="75">
        <f>IFERROR(__xludf.DUMMYFUNCTION("""COMPUTED_VALUE"""),45330.0)</f>
        <v>45330</v>
      </c>
      <c r="J67" s="31" t="str">
        <f>IFERROR(__xludf.DUMMYFUNCTION("""COMPUTED_VALUE"""),"M Sangeetha")</f>
        <v>M Sangeetha</v>
      </c>
      <c r="K67" s="31" t="str">
        <f>IFERROR(__xludf.DUMMYFUNCTION("""COMPUTED_VALUE"""),"Joined")</f>
        <v>Joined</v>
      </c>
      <c r="L67" s="31" t="str">
        <f>IFERROR(__xludf.DUMMYFUNCTION("""COMPUTED_VALUE"""),"In Office")</f>
        <v>In Office</v>
      </c>
      <c r="M67" s="31" t="str">
        <f>IFERROR(__xludf.DUMMYFUNCTION("""COMPUTED_VALUE"""),"himanshu.grover@zupee.in")</f>
        <v>himanshu.grover@zupee.in</v>
      </c>
      <c r="N67" s="31"/>
    </row>
    <row r="68">
      <c r="A68" s="74">
        <f>IFERROR(__xludf.DUMMYFUNCTION("""COMPUTED_VALUE"""),45362.0)</f>
        <v>45362</v>
      </c>
      <c r="B68" s="31" t="str">
        <f>IFERROR(__xludf.DUMMYFUNCTION("""COMPUTED_VALUE"""),"Anil Meher")</f>
        <v>Anil Meher</v>
      </c>
      <c r="C68" s="31" t="str">
        <f>IFERROR(__xludf.DUMMYFUNCTION("""COMPUTED_VALUE"""),"Finance")</f>
        <v>Finance</v>
      </c>
      <c r="D68" s="31">
        <f>IFERROR(__xludf.DUMMYFUNCTION("""COMPUTED_VALUE"""),9.911013546E9)</f>
        <v>9911013546</v>
      </c>
      <c r="E68" s="31" t="str">
        <f>IFERROR(__xludf.DUMMYFUNCTION("""COMPUTED_VALUE"""),"Assistant Manager- Finance")</f>
        <v>Assistant Manager- Finance</v>
      </c>
      <c r="F68" s="31" t="str">
        <f>IFERROR(__xludf.DUMMYFUNCTION("""COMPUTED_VALUE"""),"Finance")</f>
        <v>Finance</v>
      </c>
      <c r="G68" s="31" t="str">
        <f>IFERROR(__xludf.DUMMYFUNCTION("""COMPUTED_VALUE"""),"anilmeher1995@gmail.com")</f>
        <v>anilmeher1995@gmail.com</v>
      </c>
      <c r="H68" s="31" t="str">
        <f>IFERROR(__xludf.DUMMYFUNCTION("""COMPUTED_VALUE"""),"Hitesh Vats")</f>
        <v>Hitesh Vats</v>
      </c>
      <c r="I68" s="75">
        <f>IFERROR(__xludf.DUMMYFUNCTION("""COMPUTED_VALUE"""),45330.0)</f>
        <v>45330</v>
      </c>
      <c r="J68" s="31" t="str">
        <f>IFERROR(__xludf.DUMMYFUNCTION("""COMPUTED_VALUE"""),"Nidhi Khedekar")</f>
        <v>Nidhi Khedekar</v>
      </c>
      <c r="K68" s="31" t="str">
        <f>IFERROR(__xludf.DUMMYFUNCTION("""COMPUTED_VALUE"""),"Joined")</f>
        <v>Joined</v>
      </c>
      <c r="L68" s="31" t="str">
        <f>IFERROR(__xludf.DUMMYFUNCTION("""COMPUTED_VALUE"""),"In Office")</f>
        <v>In Office</v>
      </c>
      <c r="M68" s="31" t="str">
        <f>IFERROR(__xludf.DUMMYFUNCTION("""COMPUTED_VALUE"""),"anil.meher@zupee.in")</f>
        <v>anil.meher@zupee.in</v>
      </c>
      <c r="N68" s="31"/>
    </row>
    <row r="69">
      <c r="A69" s="74">
        <f>IFERROR(__xludf.DUMMYFUNCTION("""COMPUTED_VALUE"""),45355.0)</f>
        <v>45355</v>
      </c>
      <c r="B69" s="31" t="str">
        <f>IFERROR(__xludf.DUMMYFUNCTION("""COMPUTED_VALUE"""),"Priya Biswas")</f>
        <v>Priya Biswas</v>
      </c>
      <c r="C69" s="31" t="str">
        <f>IFERROR(__xludf.DUMMYFUNCTION("""COMPUTED_VALUE"""),"Customer Experience")</f>
        <v>Customer Experience</v>
      </c>
      <c r="D69" s="31">
        <f>IFERROR(__xludf.DUMMYFUNCTION("""COMPUTED_VALUE"""),8.810294269E9)</f>
        <v>8810294269</v>
      </c>
      <c r="E69" s="31" t="str">
        <f>IFERROR(__xludf.DUMMYFUNCTION("""COMPUTED_VALUE"""),"Quality Auditor- Executive")</f>
        <v>Quality Auditor- Executive</v>
      </c>
      <c r="F69" s="31" t="str">
        <f>IFERROR(__xludf.DUMMYFUNCTION("""COMPUTED_VALUE"""),"Customer Relation Management")</f>
        <v>Customer Relation Management</v>
      </c>
      <c r="G69" s="31" t="str">
        <f>IFERROR(__xludf.DUMMYFUNCTION("""COMPUTED_VALUE"""),"priyabiswas2001rita@gmail.com")</f>
        <v>priyabiswas2001rita@gmail.com</v>
      </c>
      <c r="H69" s="31" t="str">
        <f>IFERROR(__xludf.DUMMYFUNCTION("""COMPUTED_VALUE"""),"Alankrita Sharma")</f>
        <v>Alankrita Sharma</v>
      </c>
      <c r="I69" s="75">
        <f>IFERROR(__xludf.DUMMYFUNCTION("""COMPUTED_VALUE"""),45331.0)</f>
        <v>45331</v>
      </c>
      <c r="J69" s="31" t="str">
        <f>IFERROR(__xludf.DUMMYFUNCTION("""COMPUTED_VALUE"""),"Nidhi Khedekar")</f>
        <v>Nidhi Khedekar</v>
      </c>
      <c r="K69" s="31" t="str">
        <f>IFERROR(__xludf.DUMMYFUNCTION("""COMPUTED_VALUE"""),"Offer Declined")</f>
        <v>Offer Declined</v>
      </c>
      <c r="L69" s="31" t="str">
        <f>IFERROR(__xludf.DUMMYFUNCTION("""COMPUTED_VALUE"""),"In Office")</f>
        <v>In Office</v>
      </c>
      <c r="M69" s="31"/>
      <c r="N69" s="31"/>
    </row>
    <row r="70">
      <c r="A70" s="74">
        <f>IFERROR(__xludf.DUMMYFUNCTION("""COMPUTED_VALUE"""),45334.0)</f>
        <v>45334</v>
      </c>
      <c r="B70" s="31" t="str">
        <f>IFERROR(__xludf.DUMMYFUNCTION("""COMPUTED_VALUE"""),"Shameek Data")</f>
        <v>Shameek Data</v>
      </c>
      <c r="C70" s="31" t="str">
        <f>IFERROR(__xludf.DUMMYFUNCTION("""COMPUTED_VALUE"""),"Strategy")</f>
        <v>Strategy</v>
      </c>
      <c r="D70" s="31">
        <f>IFERROR(__xludf.DUMMYFUNCTION("""COMPUTED_VALUE"""),7.827930396E9)</f>
        <v>7827930396</v>
      </c>
      <c r="E70" s="31" t="str">
        <f>IFERROR(__xludf.DUMMYFUNCTION("""COMPUTED_VALUE"""),"Manager- Strategy")</f>
        <v>Manager- Strategy</v>
      </c>
      <c r="F70" s="31" t="str">
        <f>IFERROR(__xludf.DUMMYFUNCTION("""COMPUTED_VALUE"""),"Strategy")</f>
        <v>Strategy</v>
      </c>
      <c r="G70" s="31" t="str">
        <f>IFERROR(__xludf.DUMMYFUNCTION("""COMPUTED_VALUE"""),"p17shameekd@iima.ac.in")</f>
        <v>p17shameekd@iima.ac.in</v>
      </c>
      <c r="H70" s="31" t="str">
        <f>IFERROR(__xludf.DUMMYFUNCTION("""COMPUTED_VALUE"""),"Akanksha Dhamija")</f>
        <v>Akanksha Dhamija</v>
      </c>
      <c r="I70" s="75">
        <f>IFERROR(__xludf.DUMMYFUNCTION("""COMPUTED_VALUE"""),45327.0)</f>
        <v>45327</v>
      </c>
      <c r="J70" s="31" t="str">
        <f>IFERROR(__xludf.DUMMYFUNCTION("""COMPUTED_VALUE"""),"Rajneesh Yadav")</f>
        <v>Rajneesh Yadav</v>
      </c>
      <c r="K70" s="31" t="str">
        <f>IFERROR(__xludf.DUMMYFUNCTION("""COMPUTED_VALUE"""),"Joined")</f>
        <v>Joined</v>
      </c>
      <c r="L70" s="31" t="str">
        <f>IFERROR(__xludf.DUMMYFUNCTION("""COMPUTED_VALUE"""),"In Office")</f>
        <v>In Office</v>
      </c>
      <c r="M70" s="31"/>
      <c r="N70" s="31"/>
    </row>
    <row r="71">
      <c r="A71" s="74">
        <f>IFERROR(__xludf.DUMMYFUNCTION("""COMPUTED_VALUE"""),45341.0)</f>
        <v>45341</v>
      </c>
      <c r="B71" s="31" t="str">
        <f>IFERROR(__xludf.DUMMYFUNCTION("""COMPUTED_VALUE"""),"Sumit Yadav")</f>
        <v>Sumit Yadav</v>
      </c>
      <c r="C71" s="31" t="str">
        <f>IFERROR(__xludf.DUMMYFUNCTION("""COMPUTED_VALUE"""),"Customer Experience")</f>
        <v>Customer Experience</v>
      </c>
      <c r="D71" s="31">
        <f>IFERROR(__xludf.DUMMYFUNCTION("""COMPUTED_VALUE"""),9.990123068E9)</f>
        <v>9990123068</v>
      </c>
      <c r="E71" s="31" t="str">
        <f>IFERROR(__xludf.DUMMYFUNCTION("""COMPUTED_VALUE"""),"Head- Customer Relationship Management")</f>
        <v>Head- Customer Relationship Management</v>
      </c>
      <c r="F71" s="31" t="str">
        <f>IFERROR(__xludf.DUMMYFUNCTION("""COMPUTED_VALUE"""),"Customer Relation Management")</f>
        <v>Customer Relation Management</v>
      </c>
      <c r="G71" s="31" t="str">
        <f>IFERROR(__xludf.DUMMYFUNCTION("""COMPUTED_VALUE"""),"sumit.magus@gmail.com")</f>
        <v>sumit.magus@gmail.com</v>
      </c>
      <c r="H71" s="31" t="str">
        <f>IFERROR(__xludf.DUMMYFUNCTION("""COMPUTED_VALUE"""),"Shwetank Anand")</f>
        <v>Shwetank Anand</v>
      </c>
      <c r="I71" s="75">
        <f>IFERROR(__xludf.DUMMYFUNCTION("""COMPUTED_VALUE"""),45331.0)</f>
        <v>45331</v>
      </c>
      <c r="J71" s="31" t="str">
        <f>IFERROR(__xludf.DUMMYFUNCTION("""COMPUTED_VALUE"""),"Surabhi Sanchita")</f>
        <v>Surabhi Sanchita</v>
      </c>
      <c r="K71" s="31" t="str">
        <f>IFERROR(__xludf.DUMMYFUNCTION("""COMPUTED_VALUE"""),"Joined")</f>
        <v>Joined</v>
      </c>
      <c r="L71" s="31" t="str">
        <f>IFERROR(__xludf.DUMMYFUNCTION("""COMPUTED_VALUE"""),"In Office")</f>
        <v>In Office</v>
      </c>
      <c r="M71" s="31" t="str">
        <f>IFERROR(__xludf.DUMMYFUNCTION("""COMPUTED_VALUE"""),"sumit.yadav@zupee.in")</f>
        <v>sumit.yadav@zupee.in</v>
      </c>
      <c r="N71" s="31" t="str">
        <f>IFERROR(__xludf.DUMMYFUNCTION("""COMPUTED_VALUE"""),"DTGFCY3")</f>
        <v>DTGFCY3</v>
      </c>
    </row>
    <row r="72">
      <c r="A72" s="74">
        <f>IFERROR(__xludf.DUMMYFUNCTION("""COMPUTED_VALUE"""),45341.0)</f>
        <v>45341</v>
      </c>
      <c r="B72" s="31" t="str">
        <f>IFERROR(__xludf.DUMMYFUNCTION("""COMPUTED_VALUE"""),"Vikram Singh Bhadoriya")</f>
        <v>Vikram Singh Bhadoriya</v>
      </c>
      <c r="C72" s="31" t="str">
        <f>IFERROR(__xludf.DUMMYFUNCTION("""COMPUTED_VALUE"""),"Customer Experience")</f>
        <v>Customer Experience</v>
      </c>
      <c r="D72" s="31">
        <f>IFERROR(__xludf.DUMMYFUNCTION("""COMPUTED_VALUE"""),8.448476405E9)</f>
        <v>8448476405</v>
      </c>
      <c r="E72" s="31" t="str">
        <f>IFERROR(__xludf.DUMMYFUNCTION("""COMPUTED_VALUE"""),"Senior Executive- Customer Experience")</f>
        <v>Senior Executive- Customer Experience</v>
      </c>
      <c r="F72" s="31" t="str">
        <f>IFERROR(__xludf.DUMMYFUNCTION("""COMPUTED_VALUE"""),"Customer Relation Management")</f>
        <v>Customer Relation Management</v>
      </c>
      <c r="G72" s="31" t="str">
        <f>IFERROR(__xludf.DUMMYFUNCTION("""COMPUTED_VALUE"""),"	vikramsinghitmuniv@gmail.com")</f>
        <v>	vikramsinghitmuniv@gmail.com</v>
      </c>
      <c r="H72" s="31" t="str">
        <f>IFERROR(__xludf.DUMMYFUNCTION("""COMPUTED_VALUE"""),"Shivam Bali")</f>
        <v>Shivam Bali</v>
      </c>
      <c r="I72" s="75">
        <f>IFERROR(__xludf.DUMMYFUNCTION("""COMPUTED_VALUE"""),45331.0)</f>
        <v>45331</v>
      </c>
      <c r="J72" s="31" t="str">
        <f>IFERROR(__xludf.DUMMYFUNCTION("""COMPUTED_VALUE"""),"Nidhi Khedekar")</f>
        <v>Nidhi Khedekar</v>
      </c>
      <c r="K72" s="31" t="str">
        <f>IFERROR(__xludf.DUMMYFUNCTION("""COMPUTED_VALUE"""),"Joined")</f>
        <v>Joined</v>
      </c>
      <c r="L72" s="31" t="str">
        <f>IFERROR(__xludf.DUMMYFUNCTION("""COMPUTED_VALUE"""),"In Office")</f>
        <v>In Office</v>
      </c>
      <c r="M72" s="31"/>
      <c r="N72" s="31"/>
    </row>
    <row r="73">
      <c r="A73" s="74">
        <f>IFERROR(__xludf.DUMMYFUNCTION("""COMPUTED_VALUE"""),45343.0)</f>
        <v>45343</v>
      </c>
      <c r="B73" s="31" t="str">
        <f>IFERROR(__xludf.DUMMYFUNCTION("""COMPUTED_VALUE"""),"Vikas Joshi")</f>
        <v>Vikas Joshi</v>
      </c>
      <c r="C73" s="31" t="str">
        <f>IFERROR(__xludf.DUMMYFUNCTION("""COMPUTED_VALUE"""),"Customer Experience")</f>
        <v>Customer Experience</v>
      </c>
      <c r="D73" s="31">
        <f>IFERROR(__xludf.DUMMYFUNCTION("""COMPUTED_VALUE"""),7.048938639E9)</f>
        <v>7048938639</v>
      </c>
      <c r="E73" s="31" t="str">
        <f>IFERROR(__xludf.DUMMYFUNCTION("""COMPUTED_VALUE"""),"Senior Executive- Customer Experience")</f>
        <v>Senior Executive- Customer Experience</v>
      </c>
      <c r="F73" s="31" t="str">
        <f>IFERROR(__xludf.DUMMYFUNCTION("""COMPUTED_VALUE"""),"Customer Relation Management")</f>
        <v>Customer Relation Management</v>
      </c>
      <c r="G73" s="31" t="str">
        <f>IFERROR(__xludf.DUMMYFUNCTION("""COMPUTED_VALUE"""),"vikasjoshi970@gmail.com")</f>
        <v>vikasjoshi970@gmail.com</v>
      </c>
      <c r="H73" s="31" t="str">
        <f>IFERROR(__xludf.DUMMYFUNCTION("""COMPUTED_VALUE"""),"Shivam Bali")</f>
        <v>Shivam Bali</v>
      </c>
      <c r="I73" s="75">
        <f>IFERROR(__xludf.DUMMYFUNCTION("""COMPUTED_VALUE"""),45342.0)</f>
        <v>45342</v>
      </c>
      <c r="J73" s="31" t="str">
        <f>IFERROR(__xludf.DUMMYFUNCTION("""COMPUTED_VALUE"""),"Nidhi Khedekar")</f>
        <v>Nidhi Khedekar</v>
      </c>
      <c r="K73" s="31" t="str">
        <f>IFERROR(__xludf.DUMMYFUNCTION("""COMPUTED_VALUE"""),"Joined")</f>
        <v>Joined</v>
      </c>
      <c r="L73" s="31" t="str">
        <f>IFERROR(__xludf.DUMMYFUNCTION("""COMPUTED_VALUE"""),"In Office")</f>
        <v>In Office</v>
      </c>
      <c r="M73" s="31" t="str">
        <f>IFERROR(__xludf.DUMMYFUNCTION("""COMPUTED_VALUE"""),"vikas.joshi@zupee.in")</f>
        <v>vikas.joshi@zupee.in</v>
      </c>
      <c r="N73" s="31"/>
    </row>
    <row r="74">
      <c r="A74" s="74">
        <f>IFERROR(__xludf.DUMMYFUNCTION("""COMPUTED_VALUE"""),45344.0)</f>
        <v>45344</v>
      </c>
      <c r="B74" s="31" t="str">
        <f>IFERROR(__xludf.DUMMYFUNCTION("""COMPUTED_VALUE"""),"Anand Keshav")</f>
        <v>Anand Keshav</v>
      </c>
      <c r="C74" s="31" t="str">
        <f>IFERROR(__xludf.DUMMYFUNCTION("""COMPUTED_VALUE"""),"Data Science")</f>
        <v>Data Science</v>
      </c>
      <c r="D74" s="31">
        <f>IFERROR(__xludf.DUMMYFUNCTION("""COMPUTED_VALUE"""),9.798729457E9)</f>
        <v>9798729457</v>
      </c>
      <c r="E74" s="31" t="str">
        <f>IFERROR(__xludf.DUMMYFUNCTION("""COMPUTED_VALUE"""),"Data Science Trainee")</f>
        <v>Data Science Trainee</v>
      </c>
      <c r="F74" s="31" t="str">
        <f>IFERROR(__xludf.DUMMYFUNCTION("""COMPUTED_VALUE"""),"Data Science")</f>
        <v>Data Science</v>
      </c>
      <c r="G74" s="31" t="str">
        <f>IFERROR(__xludf.DUMMYFUNCTION("""COMPUTED_VALUE"""),"anandkeshav5454@gmail.com")</f>
        <v>anandkeshav5454@gmail.com</v>
      </c>
      <c r="H74" s="31" t="str">
        <f>IFERROR(__xludf.DUMMYFUNCTION("""COMPUTED_VALUE"""),"Priyanshu Jain")</f>
        <v>Priyanshu Jain</v>
      </c>
      <c r="I74" s="75">
        <f>IFERROR(__xludf.DUMMYFUNCTION("""COMPUTED_VALUE"""),45342.0)</f>
        <v>45342</v>
      </c>
      <c r="J74" s="31" t="str">
        <f>IFERROR(__xludf.DUMMYFUNCTION("""COMPUTED_VALUE"""),"Nidhi Khedekar")</f>
        <v>Nidhi Khedekar</v>
      </c>
      <c r="K74" s="31" t="str">
        <f>IFERROR(__xludf.DUMMYFUNCTION("""COMPUTED_VALUE"""),"Joined")</f>
        <v>Joined</v>
      </c>
      <c r="L74" s="31" t="str">
        <f>IFERROR(__xludf.DUMMYFUNCTION("""COMPUTED_VALUE"""),"In Office")</f>
        <v>In Office</v>
      </c>
      <c r="M74" s="31" t="str">
        <f>IFERROR(__xludf.DUMMYFUNCTION("""COMPUTED_VALUE"""),"anand.keshav@zupee.in")</f>
        <v>anand.keshav@zupee.in</v>
      </c>
      <c r="N74" s="31" t="str">
        <f>IFERROR(__xludf.DUMMYFUNCTION("""COMPUTED_VALUE"""),"DF7VFG3X74")</f>
        <v>DF7VFG3X74</v>
      </c>
    </row>
    <row r="75">
      <c r="A75" s="74">
        <f>IFERROR(__xludf.DUMMYFUNCTION("""COMPUTED_VALUE"""),45348.0)</f>
        <v>45348</v>
      </c>
      <c r="B75" s="31" t="str">
        <f>IFERROR(__xludf.DUMMYFUNCTION("""COMPUTED_VALUE"""),"Rajat Garg")</f>
        <v>Rajat Garg</v>
      </c>
      <c r="C75" s="31" t="str">
        <f>IFERROR(__xludf.DUMMYFUNCTION("""COMPUTED_VALUE"""),"Analytics")</f>
        <v>Analytics</v>
      </c>
      <c r="D75" s="31">
        <f>IFERROR(__xludf.DUMMYFUNCTION("""COMPUTED_VALUE"""),8.209384565E9)</f>
        <v>8209384565</v>
      </c>
      <c r="E75" s="31" t="str">
        <f>IFERROR(__xludf.DUMMYFUNCTION("""COMPUTED_VALUE"""),"Lead Data Analyst")</f>
        <v>Lead Data Analyst</v>
      </c>
      <c r="F75" s="31" t="str">
        <f>IFERROR(__xludf.DUMMYFUNCTION("""COMPUTED_VALUE"""),"Product Analytics")</f>
        <v>Product Analytics</v>
      </c>
      <c r="G75" s="31" t="str">
        <f>IFERROR(__xludf.DUMMYFUNCTION("""COMPUTED_VALUE"""),"rgargrajatgarg@gmail.com")</f>
        <v>rgargrajatgarg@gmail.com</v>
      </c>
      <c r="H75" s="31" t="str">
        <f>IFERROR(__xludf.DUMMYFUNCTION("""COMPUTED_VALUE"""),"Shwetank Anand")</f>
        <v>Shwetank Anand</v>
      </c>
      <c r="I75" s="75">
        <f>IFERROR(__xludf.DUMMYFUNCTION("""COMPUTED_VALUE"""),45343.0)</f>
        <v>45343</v>
      </c>
      <c r="J75" s="31" t="str">
        <f>IFERROR(__xludf.DUMMYFUNCTION("""COMPUTED_VALUE"""),"Mamta Pandey")</f>
        <v>Mamta Pandey</v>
      </c>
      <c r="K75" s="31" t="str">
        <f>IFERROR(__xludf.DUMMYFUNCTION("""COMPUTED_VALUE"""),"Joined")</f>
        <v>Joined</v>
      </c>
      <c r="L75" s="31" t="str">
        <f>IFERROR(__xludf.DUMMYFUNCTION("""COMPUTED_VALUE"""),"In Office")</f>
        <v>In Office</v>
      </c>
      <c r="M75" s="31" t="str">
        <f>IFERROR(__xludf.DUMMYFUNCTION("""COMPUTED_VALUE"""),"rajat.garg@zupee.in")</f>
        <v>rajat.garg@zupee.in</v>
      </c>
      <c r="N75" s="31" t="str">
        <f>IFERROR(__xludf.DUMMYFUNCTION("""COMPUTED_VALUE"""),"CNXX7Y7TC9")</f>
        <v>CNXX7Y7TC9</v>
      </c>
    </row>
    <row r="76">
      <c r="A76" s="74">
        <f>IFERROR(__xludf.DUMMYFUNCTION("""COMPUTED_VALUE"""),45371.0)</f>
        <v>45371</v>
      </c>
      <c r="B76" s="31" t="str">
        <f>IFERROR(__xludf.DUMMYFUNCTION("""COMPUTED_VALUE"""),"Ankur Agarwal")</f>
        <v>Ankur Agarwal</v>
      </c>
      <c r="C76" s="31" t="str">
        <f>IFERROR(__xludf.DUMMYFUNCTION("""COMPUTED_VALUE"""),"Finance")</f>
        <v>Finance</v>
      </c>
      <c r="D76" s="31">
        <f>IFERROR(__xludf.DUMMYFUNCTION("""COMPUTED_VALUE"""),8.800577791E9)</f>
        <v>8800577791</v>
      </c>
      <c r="E76" s="31" t="str">
        <f>IFERROR(__xludf.DUMMYFUNCTION("""COMPUTED_VALUE"""),"Financial Controller")</f>
        <v>Financial Controller</v>
      </c>
      <c r="F76" s="31" t="str">
        <f>IFERROR(__xludf.DUMMYFUNCTION("""COMPUTED_VALUE"""),"Finance")</f>
        <v>Finance</v>
      </c>
      <c r="G76" s="31" t="str">
        <f>IFERROR(__xludf.DUMMYFUNCTION("""COMPUTED_VALUE"""),"agarwal.ankur1312@gmail.com")</f>
        <v>agarwal.ankur1312@gmail.com</v>
      </c>
      <c r="H76" s="31" t="str">
        <f>IFERROR(__xludf.DUMMYFUNCTION("""COMPUTED_VALUE"""),"Sumit Chugh")</f>
        <v>Sumit Chugh</v>
      </c>
      <c r="I76" s="75">
        <f>IFERROR(__xludf.DUMMYFUNCTION("""COMPUTED_VALUE"""),45342.0)</f>
        <v>45342</v>
      </c>
      <c r="J76" s="31" t="str">
        <f>IFERROR(__xludf.DUMMYFUNCTION("""COMPUTED_VALUE"""),"Rajneesh Yadav")</f>
        <v>Rajneesh Yadav</v>
      </c>
      <c r="K76" s="31" t="str">
        <f>IFERROR(__xludf.DUMMYFUNCTION("""COMPUTED_VALUE"""),"Joined")</f>
        <v>Joined</v>
      </c>
      <c r="L76" s="31" t="str">
        <f>IFERROR(__xludf.DUMMYFUNCTION("""COMPUTED_VALUE"""),"In Office")</f>
        <v>In Office</v>
      </c>
      <c r="M76" s="31" t="str">
        <f>IFERROR(__xludf.DUMMYFUNCTION("""COMPUTED_VALUE"""),"ankur.agarwal@zupee.in")</f>
        <v>ankur.agarwal@zupee.in</v>
      </c>
      <c r="N76" s="31"/>
    </row>
    <row r="77">
      <c r="A77" s="74">
        <f>IFERROR(__xludf.DUMMYFUNCTION("""COMPUTED_VALUE"""),45387.0)</f>
        <v>45387</v>
      </c>
      <c r="B77" s="31" t="str">
        <f>IFERROR(__xludf.DUMMYFUNCTION("""COMPUTED_VALUE"""),"Ayush Garg")</f>
        <v>Ayush Garg</v>
      </c>
      <c r="C77" s="31" t="str">
        <f>IFERROR(__xludf.DUMMYFUNCTION("""COMPUTED_VALUE"""),"Finance")</f>
        <v>Finance</v>
      </c>
      <c r="D77" s="31">
        <f>IFERROR(__xludf.DUMMYFUNCTION("""COMPUTED_VALUE"""),9.873858951E9)</f>
        <v>9873858951</v>
      </c>
      <c r="E77" s="31" t="str">
        <f>IFERROR(__xludf.DUMMYFUNCTION("""COMPUTED_VALUE"""),"Manager - Taxation")</f>
        <v>Manager - Taxation</v>
      </c>
      <c r="F77" s="31" t="str">
        <f>IFERROR(__xludf.DUMMYFUNCTION("""COMPUTED_VALUE"""),"Finance")</f>
        <v>Finance</v>
      </c>
      <c r="G77" s="31" t="str">
        <f>IFERROR(__xludf.DUMMYFUNCTION("""COMPUTED_VALUE"""),"caayushgarg01@gmail.com")</f>
        <v>caayushgarg01@gmail.com</v>
      </c>
      <c r="H77" s="31" t="str">
        <f>IFERROR(__xludf.DUMMYFUNCTION("""COMPUTED_VALUE"""),"Vijay MR")</f>
        <v>Vijay MR</v>
      </c>
      <c r="I77" s="75">
        <f>IFERROR(__xludf.DUMMYFUNCTION("""COMPUTED_VALUE"""),45327.0)</f>
        <v>45327</v>
      </c>
      <c r="J77" s="31" t="str">
        <f>IFERROR(__xludf.DUMMYFUNCTION("""COMPUTED_VALUE"""),"Naina")</f>
        <v>Naina</v>
      </c>
      <c r="K77" s="31" t="str">
        <f>IFERROR(__xludf.DUMMYFUNCTION("""COMPUTED_VALUE"""),"Offer Declined")</f>
        <v>Offer Declined</v>
      </c>
      <c r="L77" s="31" t="str">
        <f>IFERROR(__xludf.DUMMYFUNCTION("""COMPUTED_VALUE"""),"In Office")</f>
        <v>In Office</v>
      </c>
      <c r="M77" s="31"/>
      <c r="N77" s="31"/>
    </row>
    <row r="78">
      <c r="A78" s="74">
        <f>IFERROR(__xludf.DUMMYFUNCTION("""COMPUTED_VALUE"""),45383.0)</f>
        <v>45383</v>
      </c>
      <c r="B78" s="31" t="str">
        <f>IFERROR(__xludf.DUMMYFUNCTION("""COMPUTED_VALUE"""),"Kritika Maheshwari")</f>
        <v>Kritika Maheshwari</v>
      </c>
      <c r="C78" s="31" t="str">
        <f>IFERROR(__xludf.DUMMYFUNCTION("""COMPUTED_VALUE"""),"Finance")</f>
        <v>Finance</v>
      </c>
      <c r="D78" s="31">
        <f>IFERROR(__xludf.DUMMYFUNCTION("""COMPUTED_VALUE"""),9.627634268E9)</f>
        <v>9627634268</v>
      </c>
      <c r="E78" s="31" t="str">
        <f>IFERROR(__xludf.DUMMYFUNCTION("""COMPUTED_VALUE"""),"Manager- Business Finance")</f>
        <v>Manager- Business Finance</v>
      </c>
      <c r="F78" s="31" t="str">
        <f>IFERROR(__xludf.DUMMYFUNCTION("""COMPUTED_VALUE"""),"Finance")</f>
        <v>Finance</v>
      </c>
      <c r="G78" s="31" t="str">
        <f>IFERROR(__xludf.DUMMYFUNCTION("""COMPUTED_VALUE"""),"cakritikamaheshwari22@gmail.com")</f>
        <v>cakritikamaheshwari22@gmail.com</v>
      </c>
      <c r="H78" s="31" t="str">
        <f>IFERROR(__xludf.DUMMYFUNCTION("""COMPUTED_VALUE"""),"Garima Bothra")</f>
        <v>Garima Bothra</v>
      </c>
      <c r="I78" s="75">
        <f>IFERROR(__xludf.DUMMYFUNCTION("""COMPUTED_VALUE"""),45348.0)</f>
        <v>45348</v>
      </c>
      <c r="J78" s="31" t="str">
        <f>IFERROR(__xludf.DUMMYFUNCTION("""COMPUTED_VALUE"""),"Nidhi Khedekar")</f>
        <v>Nidhi Khedekar</v>
      </c>
      <c r="K78" s="31" t="str">
        <f>IFERROR(__xludf.DUMMYFUNCTION("""COMPUTED_VALUE"""),"Offer Declined")</f>
        <v>Offer Declined</v>
      </c>
      <c r="L78" s="31" t="str">
        <f>IFERROR(__xludf.DUMMYFUNCTION("""COMPUTED_VALUE"""),"In Office")</f>
        <v>In Office</v>
      </c>
      <c r="M78" s="31"/>
      <c r="N78" s="31"/>
    </row>
    <row r="79">
      <c r="A79" s="74">
        <f>IFERROR(__xludf.DUMMYFUNCTION("""COMPUTED_VALUE"""),45357.0)</f>
        <v>45357</v>
      </c>
      <c r="B79" s="31" t="str">
        <f>IFERROR(__xludf.DUMMYFUNCTION("""COMPUTED_VALUE"""),"Varun Pandey")</f>
        <v>Varun Pandey</v>
      </c>
      <c r="C79" s="31" t="str">
        <f>IFERROR(__xludf.DUMMYFUNCTION("""COMPUTED_VALUE"""),"Product")</f>
        <v>Product</v>
      </c>
      <c r="D79" s="31">
        <f>IFERROR(__xludf.DUMMYFUNCTION("""COMPUTED_VALUE"""),8.800909261E9)</f>
        <v>8800909261</v>
      </c>
      <c r="E79" s="31" t="str">
        <f>IFERROR(__xludf.DUMMYFUNCTION("""COMPUTED_VALUE"""),"UX Researcher")</f>
        <v>UX Researcher</v>
      </c>
      <c r="F79" s="31" t="str">
        <f>IFERROR(__xludf.DUMMYFUNCTION("""COMPUTED_VALUE"""),"Design")</f>
        <v>Design</v>
      </c>
      <c r="G79" s="31" t="str">
        <f>IFERROR(__xludf.DUMMYFUNCTION("""COMPUTED_VALUE"""),"varun.pandey@outlook.in")</f>
        <v>varun.pandey@outlook.in</v>
      </c>
      <c r="H79" s="31" t="str">
        <f>IFERROR(__xludf.DUMMYFUNCTION("""COMPUTED_VALUE"""),"Pareena Singh")</f>
        <v>Pareena Singh</v>
      </c>
      <c r="I79" s="75">
        <f>IFERROR(__xludf.DUMMYFUNCTION("""COMPUTED_VALUE"""),45350.0)</f>
        <v>45350</v>
      </c>
      <c r="J79" s="31" t="str">
        <f>IFERROR(__xludf.DUMMYFUNCTION("""COMPUTED_VALUE"""),"Naina")</f>
        <v>Naina</v>
      </c>
      <c r="K79" s="31" t="str">
        <f>IFERROR(__xludf.DUMMYFUNCTION("""COMPUTED_VALUE"""),"Offer Declined")</f>
        <v>Offer Declined</v>
      </c>
      <c r="L79" s="31" t="str">
        <f>IFERROR(__xludf.DUMMYFUNCTION("""COMPUTED_VALUE"""),"In Office")</f>
        <v>In Office</v>
      </c>
      <c r="M79" s="31"/>
      <c r="N79" s="31"/>
    </row>
    <row r="80">
      <c r="A80" s="74">
        <f>IFERROR(__xludf.DUMMYFUNCTION("""COMPUTED_VALUE"""),45357.0)</f>
        <v>45357</v>
      </c>
      <c r="B80" s="31" t="str">
        <f>IFERROR(__xludf.DUMMYFUNCTION("""COMPUTED_VALUE"""),"Iqra Islam")</f>
        <v>Iqra Islam</v>
      </c>
      <c r="C80" s="31" t="str">
        <f>IFERROR(__xludf.DUMMYFUNCTION("""COMPUTED_VALUE"""),"Customer Experience")</f>
        <v>Customer Experience</v>
      </c>
      <c r="D80" s="31">
        <f>IFERROR(__xludf.DUMMYFUNCTION("""COMPUTED_VALUE"""),9.690255071E9)</f>
        <v>9690255071</v>
      </c>
      <c r="E80" s="31" t="str">
        <f>IFERROR(__xludf.DUMMYFUNCTION("""COMPUTED_VALUE"""),"Customer Support Executive")</f>
        <v>Customer Support Executive</v>
      </c>
      <c r="F80" s="31" t="str">
        <f>IFERROR(__xludf.DUMMYFUNCTION("""COMPUTED_VALUE"""),"Customer Relation Management")</f>
        <v>Customer Relation Management</v>
      </c>
      <c r="G80" s="31" t="str">
        <f>IFERROR(__xludf.DUMMYFUNCTION("""COMPUTED_VALUE"""),"	islamiqra999@gmail.com")</f>
        <v>	islamiqra999@gmail.com</v>
      </c>
      <c r="H80" s="31" t="str">
        <f>IFERROR(__xludf.DUMMYFUNCTION("""COMPUTED_VALUE"""),"Shivam Bali")</f>
        <v>Shivam Bali</v>
      </c>
      <c r="I80" s="75">
        <f>IFERROR(__xludf.DUMMYFUNCTION("""COMPUTED_VALUE"""),45350.0)</f>
        <v>45350</v>
      </c>
      <c r="J80" s="31" t="str">
        <f>IFERROR(__xludf.DUMMYFUNCTION("""COMPUTED_VALUE"""),"Nidhi Khedekar")</f>
        <v>Nidhi Khedekar</v>
      </c>
      <c r="K80" s="31" t="str">
        <f>IFERROR(__xludf.DUMMYFUNCTION("""COMPUTED_VALUE"""),"Joined")</f>
        <v>Joined</v>
      </c>
      <c r="L80" s="31" t="str">
        <f>IFERROR(__xludf.DUMMYFUNCTION("""COMPUTED_VALUE"""),"In Office")</f>
        <v>In Office</v>
      </c>
      <c r="M80" s="31" t="str">
        <f>IFERROR(__xludf.DUMMYFUNCTION("""COMPUTED_VALUE"""),"iqra.islam@zupee.in")</f>
        <v>iqra.islam@zupee.in</v>
      </c>
      <c r="N80" s="31"/>
    </row>
    <row r="81">
      <c r="A81" s="74">
        <f>IFERROR(__xludf.DUMMYFUNCTION("""COMPUTED_VALUE"""),45355.0)</f>
        <v>45355</v>
      </c>
      <c r="B81" s="31" t="str">
        <f>IFERROR(__xludf.DUMMYFUNCTION("""COMPUTED_VALUE"""),"Joel Jacob")</f>
        <v>Joel Jacob</v>
      </c>
      <c r="C81" s="31" t="str">
        <f>IFERROR(__xludf.DUMMYFUNCTION("""COMPUTED_VALUE"""),"Analytics")</f>
        <v>Analytics</v>
      </c>
      <c r="D81" s="31">
        <f>IFERROR(__xludf.DUMMYFUNCTION("""COMPUTED_VALUE"""),9.742048811E9)</f>
        <v>9742048811</v>
      </c>
      <c r="E81" s="31" t="str">
        <f>IFERROR(__xludf.DUMMYFUNCTION("""COMPUTED_VALUE"""),"Lead Data Analyst")</f>
        <v>Lead Data Analyst</v>
      </c>
      <c r="F81" s="31" t="str">
        <f>IFERROR(__xludf.DUMMYFUNCTION("""COMPUTED_VALUE"""),"Product Analytics")</f>
        <v>Product Analytics</v>
      </c>
      <c r="G81" s="31" t="str">
        <f>IFERROR(__xludf.DUMMYFUNCTION("""COMPUTED_VALUE"""),"joel_modayil@yahoo.in ")</f>
        <v>joel_modayil@yahoo.in </v>
      </c>
      <c r="H81" s="31" t="str">
        <f>IFERROR(__xludf.DUMMYFUNCTION("""COMPUTED_VALUE"""),"Shwetank Anand")</f>
        <v>Shwetank Anand</v>
      </c>
      <c r="I81" s="75">
        <f>IFERROR(__xludf.DUMMYFUNCTION("""COMPUTED_VALUE"""),45350.0)</f>
        <v>45350</v>
      </c>
      <c r="J81" s="31" t="str">
        <f>IFERROR(__xludf.DUMMYFUNCTION("""COMPUTED_VALUE"""),"Mamta Pandey")</f>
        <v>Mamta Pandey</v>
      </c>
      <c r="K81" s="31" t="str">
        <f>IFERROR(__xludf.DUMMYFUNCTION("""COMPUTED_VALUE"""),"Offer Declined")</f>
        <v>Offer Declined</v>
      </c>
      <c r="L81" s="31" t="str">
        <f>IFERROR(__xludf.DUMMYFUNCTION("""COMPUTED_VALUE"""),"In Office")</f>
        <v>In Office</v>
      </c>
      <c r="M81" s="31"/>
      <c r="N81" s="31"/>
    </row>
    <row r="82">
      <c r="A82" s="74">
        <f>IFERROR(__xludf.DUMMYFUNCTION("""COMPUTED_VALUE"""),45365.0)</f>
        <v>45365</v>
      </c>
      <c r="B82" s="31" t="str">
        <f>IFERROR(__xludf.DUMMYFUNCTION("""COMPUTED_VALUE"""),"Shiv Kumar")</f>
        <v>Shiv Kumar</v>
      </c>
      <c r="C82" s="31" t="str">
        <f>IFERROR(__xludf.DUMMYFUNCTION("""COMPUTED_VALUE"""),"Corporate")</f>
        <v>Corporate</v>
      </c>
      <c r="D82" s="31">
        <f>IFERROR(__xludf.DUMMYFUNCTION("""COMPUTED_VALUE"""),9.306910581E9)</f>
        <v>9306910581</v>
      </c>
      <c r="E82" s="31" t="str">
        <f>IFERROR(__xludf.DUMMYFUNCTION("""COMPUTED_VALUE"""),"IT Executive")</f>
        <v>IT Executive</v>
      </c>
      <c r="F82" s="31" t="str">
        <f>IFERROR(__xludf.DUMMYFUNCTION("""COMPUTED_VALUE"""),"Administration")</f>
        <v>Administration</v>
      </c>
      <c r="G82" s="31" t="str">
        <f>IFERROR(__xludf.DUMMYFUNCTION("""COMPUTED_VALUE"""),"Shivconiyal@gmail.com")</f>
        <v>Shivconiyal@gmail.com</v>
      </c>
      <c r="H82" s="31" t="str">
        <f>IFERROR(__xludf.DUMMYFUNCTION("""COMPUTED_VALUE"""),"Rajkumar Singh")</f>
        <v>Rajkumar Singh</v>
      </c>
      <c r="I82" s="75">
        <f>IFERROR(__xludf.DUMMYFUNCTION("""COMPUTED_VALUE"""),45350.0)</f>
        <v>45350</v>
      </c>
      <c r="J82" s="31" t="str">
        <f>IFERROR(__xludf.DUMMYFUNCTION("""COMPUTED_VALUE"""),"Mamta Pandey")</f>
        <v>Mamta Pandey</v>
      </c>
      <c r="K82" s="31" t="str">
        <f>IFERROR(__xludf.DUMMYFUNCTION("""COMPUTED_VALUE"""),"Joined")</f>
        <v>Joined</v>
      </c>
      <c r="L82" s="31" t="str">
        <f>IFERROR(__xludf.DUMMYFUNCTION("""COMPUTED_VALUE"""),"In Office")</f>
        <v>In Office</v>
      </c>
      <c r="M82" s="31" t="str">
        <f>IFERROR(__xludf.DUMMYFUNCTION("""COMPUTED_VALUE"""),"shiv.k@zupee.in")</f>
        <v>shiv.k@zupee.in</v>
      </c>
      <c r="N82" s="31" t="str">
        <f>IFERROR(__xludf.DUMMYFUNCTION("""COMPUTED_VALUE"""),"PWLJ6J0F7C")</f>
        <v>PWLJ6J0F7C</v>
      </c>
    </row>
    <row r="83">
      <c r="A83" s="74">
        <f>IFERROR(__xludf.DUMMYFUNCTION("""COMPUTED_VALUE"""),45357.0)</f>
        <v>45357</v>
      </c>
      <c r="B83" s="31" t="str">
        <f>IFERROR(__xludf.DUMMYFUNCTION("""COMPUTED_VALUE"""),"Vasudev Yadav")</f>
        <v>Vasudev Yadav</v>
      </c>
      <c r="C83" s="31" t="str">
        <f>IFERROR(__xludf.DUMMYFUNCTION("""COMPUTED_VALUE"""),"Customer Experience")</f>
        <v>Customer Experience</v>
      </c>
      <c r="D83" s="31">
        <f>IFERROR(__xludf.DUMMYFUNCTION("""COMPUTED_VALUE"""),8.882328557E9)</f>
        <v>8882328557</v>
      </c>
      <c r="E83" s="31" t="str">
        <f>IFERROR(__xludf.DUMMYFUNCTION("""COMPUTED_VALUE"""),"Customer Support Executive")</f>
        <v>Customer Support Executive</v>
      </c>
      <c r="F83" s="31" t="str">
        <f>IFERROR(__xludf.DUMMYFUNCTION("""COMPUTED_VALUE"""),"Customer Relation Management")</f>
        <v>Customer Relation Management</v>
      </c>
      <c r="G83" s="31" t="str">
        <f>IFERROR(__xludf.DUMMYFUNCTION("""COMPUTED_VALUE"""),"	vasudevyadav304@gmail.com")</f>
        <v>	vasudevyadav304@gmail.com</v>
      </c>
      <c r="H83" s="31" t="str">
        <f>IFERROR(__xludf.DUMMYFUNCTION("""COMPUTED_VALUE"""),"Shivam Bali")</f>
        <v>Shivam Bali</v>
      </c>
      <c r="I83" s="75">
        <f>IFERROR(__xludf.DUMMYFUNCTION("""COMPUTED_VALUE"""),45356.0)</f>
        <v>45356</v>
      </c>
      <c r="J83" s="31" t="str">
        <f>IFERROR(__xludf.DUMMYFUNCTION("""COMPUTED_VALUE"""),"Nidhi Khedekar")</f>
        <v>Nidhi Khedekar</v>
      </c>
      <c r="K83" s="31" t="str">
        <f>IFERROR(__xludf.DUMMYFUNCTION("""COMPUTED_VALUE"""),"Joined")</f>
        <v>Joined</v>
      </c>
      <c r="L83" s="31" t="str">
        <f>IFERROR(__xludf.DUMMYFUNCTION("""COMPUTED_VALUE"""),"In Office")</f>
        <v>In Office</v>
      </c>
      <c r="M83" s="31" t="str">
        <f>IFERROR(__xludf.DUMMYFUNCTION("""COMPUTED_VALUE"""),"vasudev.yadav@zupee.in")</f>
        <v>vasudev.yadav@zupee.in</v>
      </c>
      <c r="N83" s="31"/>
    </row>
    <row r="84">
      <c r="A84" s="74">
        <f>IFERROR(__xludf.DUMMYFUNCTION("""COMPUTED_VALUE"""),45357.0)</f>
        <v>45357</v>
      </c>
      <c r="B84" s="31" t="str">
        <f>IFERROR(__xludf.DUMMYFUNCTION("""COMPUTED_VALUE"""),"Aman")</f>
        <v>Aman</v>
      </c>
      <c r="C84" s="31" t="str">
        <f>IFERROR(__xludf.DUMMYFUNCTION("""COMPUTED_VALUE"""),"Technology")</f>
        <v>Technology</v>
      </c>
      <c r="D84" s="31">
        <f>IFERROR(__xludf.DUMMYFUNCTION("""COMPUTED_VALUE"""),7.988985535E9)</f>
        <v>7988985535</v>
      </c>
      <c r="E84" s="31" t="str">
        <f>IFERROR(__xludf.DUMMYFUNCTION("""COMPUTED_VALUE"""),"Quality Assurance Engineer- 1 ")</f>
        <v>Quality Assurance Engineer- 1 </v>
      </c>
      <c r="F84" s="31" t="str">
        <f>IFERROR(__xludf.DUMMYFUNCTION("""COMPUTED_VALUE"""),"Quality")</f>
        <v>Quality</v>
      </c>
      <c r="G84" s="31" t="str">
        <f>IFERROR(__xludf.DUMMYFUNCTION("""COMPUTED_VALUE"""),"amanhans60@gmail.com")</f>
        <v>amanhans60@gmail.com</v>
      </c>
      <c r="H84" s="31" t="str">
        <f>IFERROR(__xludf.DUMMYFUNCTION("""COMPUTED_VALUE"""),"Vishal Agarwal")</f>
        <v>Vishal Agarwal</v>
      </c>
      <c r="I84" s="75">
        <f>IFERROR(__xludf.DUMMYFUNCTION("""COMPUTED_VALUE"""),45356.0)</f>
        <v>45356</v>
      </c>
      <c r="J84" s="31" t="str">
        <f>IFERROR(__xludf.DUMMYFUNCTION("""COMPUTED_VALUE"""),"Mamta Pandey")</f>
        <v>Mamta Pandey</v>
      </c>
      <c r="K84" s="31" t="str">
        <f>IFERROR(__xludf.DUMMYFUNCTION("""COMPUTED_VALUE"""),"Joined")</f>
        <v>Joined</v>
      </c>
      <c r="L84" s="31" t="str">
        <f>IFERROR(__xludf.DUMMYFUNCTION("""COMPUTED_VALUE"""),"In Office")</f>
        <v>In Office</v>
      </c>
      <c r="M84" s="31"/>
      <c r="N84" s="31"/>
    </row>
    <row r="85">
      <c r="A85" s="74">
        <f>IFERROR(__xludf.DUMMYFUNCTION("""COMPUTED_VALUE"""),45362.0)</f>
        <v>45362</v>
      </c>
      <c r="B85" s="31" t="str">
        <f>IFERROR(__xludf.DUMMYFUNCTION("""COMPUTED_VALUE"""),"Amit Mohanta")</f>
        <v>Amit Mohanta</v>
      </c>
      <c r="C85" s="31" t="str">
        <f>IFERROR(__xludf.DUMMYFUNCTION("""COMPUTED_VALUE"""),"Product")</f>
        <v>Product</v>
      </c>
      <c r="D85" s="31">
        <f>IFERROR(__xludf.DUMMYFUNCTION("""COMPUTED_VALUE"""),9.97155741E9)</f>
        <v>9971557410</v>
      </c>
      <c r="E85" s="31" t="str">
        <f>IFERROR(__xludf.DUMMYFUNCTION("""COMPUTED_VALUE"""),"Senior 3D Animator")</f>
        <v>Senior 3D Animator</v>
      </c>
      <c r="F85" s="31" t="str">
        <f>IFERROR(__xludf.DUMMYFUNCTION("""COMPUTED_VALUE"""),"Design")</f>
        <v>Design</v>
      </c>
      <c r="G85" s="31" t="str">
        <f>IFERROR(__xludf.DUMMYFUNCTION("""COMPUTED_VALUE"""),"mohanta27@gmail.com")</f>
        <v>mohanta27@gmail.com</v>
      </c>
      <c r="H85" s="31" t="str">
        <f>IFERROR(__xludf.DUMMYFUNCTION("""COMPUTED_VALUE"""),"Aarti Luthra")</f>
        <v>Aarti Luthra</v>
      </c>
      <c r="I85" s="75">
        <f>IFERROR(__xludf.DUMMYFUNCTION("""COMPUTED_VALUE"""),45358.0)</f>
        <v>45358</v>
      </c>
      <c r="J85" s="31" t="str">
        <f>IFERROR(__xludf.DUMMYFUNCTION("""COMPUTED_VALUE"""),"Naina")</f>
        <v>Naina</v>
      </c>
      <c r="K85" s="31" t="str">
        <f>IFERROR(__xludf.DUMMYFUNCTION("""COMPUTED_VALUE"""),"Joined")</f>
        <v>Joined</v>
      </c>
      <c r="L85" s="31" t="str">
        <f>IFERROR(__xludf.DUMMYFUNCTION("""COMPUTED_VALUE"""),"In Office")</f>
        <v>In Office</v>
      </c>
      <c r="M85" s="31" t="str">
        <f>IFERROR(__xludf.DUMMYFUNCTION("""COMPUTED_VALUE"""),"amit.mohanta@zupee.in")</f>
        <v>amit.mohanta@zupee.in</v>
      </c>
      <c r="N85" s="31"/>
    </row>
    <row r="86">
      <c r="A86" s="74">
        <f>IFERROR(__xludf.DUMMYFUNCTION("""COMPUTED_VALUE"""),45364.0)</f>
        <v>45364</v>
      </c>
      <c r="B86" s="31" t="str">
        <f>IFERROR(__xludf.DUMMYFUNCTION("""COMPUTED_VALUE"""),"Suman Kumar")</f>
        <v>Suman Kumar</v>
      </c>
      <c r="C86" s="31" t="str">
        <f>IFERROR(__xludf.DUMMYFUNCTION("""COMPUTED_VALUE"""),"Customer Experience")</f>
        <v>Customer Experience</v>
      </c>
      <c r="D86" s="31">
        <f>IFERROR(__xludf.DUMMYFUNCTION("""COMPUTED_VALUE"""),9.015511336E9)</f>
        <v>9015511336</v>
      </c>
      <c r="E86" s="31" t="str">
        <f>IFERROR(__xludf.DUMMYFUNCTION("""COMPUTED_VALUE"""),"Senior Executive- Customer Experience")</f>
        <v>Senior Executive- Customer Experience</v>
      </c>
      <c r="F86" s="31" t="str">
        <f>IFERROR(__xludf.DUMMYFUNCTION("""COMPUTED_VALUE"""),"Customer Relation Management")</f>
        <v>Customer Relation Management</v>
      </c>
      <c r="G86" s="31" t="str">
        <f>IFERROR(__xludf.DUMMYFUNCTION("""COMPUTED_VALUE"""),"sumankumar0112@gmail.com")</f>
        <v>sumankumar0112@gmail.com</v>
      </c>
      <c r="H86" s="31" t="str">
        <f>IFERROR(__xludf.DUMMYFUNCTION("""COMPUTED_VALUE"""),"Shivam Bali")</f>
        <v>Shivam Bali</v>
      </c>
      <c r="I86" s="75">
        <f>IFERROR(__xludf.DUMMYFUNCTION("""COMPUTED_VALUE"""),45363.0)</f>
        <v>45363</v>
      </c>
      <c r="J86" s="31" t="str">
        <f>IFERROR(__xludf.DUMMYFUNCTION("""COMPUTED_VALUE"""),"Nidhi Khedekar")</f>
        <v>Nidhi Khedekar</v>
      </c>
      <c r="K86" s="31" t="str">
        <f>IFERROR(__xludf.DUMMYFUNCTION("""COMPUTED_VALUE"""),"Joined")</f>
        <v>Joined</v>
      </c>
      <c r="L86" s="31" t="str">
        <f>IFERROR(__xludf.DUMMYFUNCTION("""COMPUTED_VALUE"""),"In Office")</f>
        <v>In Office</v>
      </c>
      <c r="M86" s="31" t="str">
        <f>IFERROR(__xludf.DUMMYFUNCTION("""COMPUTED_VALUE"""),"suman.kumar@zupee.in")</f>
        <v>suman.kumar@zupee.in</v>
      </c>
      <c r="N86" s="31"/>
    </row>
    <row r="87">
      <c r="A87" s="74">
        <f>IFERROR(__xludf.DUMMYFUNCTION("""COMPUTED_VALUE"""),45385.0)</f>
        <v>45385</v>
      </c>
      <c r="B87" s="31" t="str">
        <f>IFERROR(__xludf.DUMMYFUNCTION("""COMPUTED_VALUE"""),"Ankush Gupta")</f>
        <v>Ankush Gupta</v>
      </c>
      <c r="C87" s="31" t="str">
        <f>IFERROR(__xludf.DUMMYFUNCTION("""COMPUTED_VALUE"""),"Analytics")</f>
        <v>Analytics</v>
      </c>
      <c r="D87" s="31">
        <f>IFERROR(__xludf.DUMMYFUNCTION("""COMPUTED_VALUE"""),8.559983095E9)</f>
        <v>8559983095</v>
      </c>
      <c r="E87" s="31" t="str">
        <f>IFERROR(__xludf.DUMMYFUNCTION("""COMPUTED_VALUE"""),"Senior Data Analyst")</f>
        <v>Senior Data Analyst</v>
      </c>
      <c r="F87" s="31" t="str">
        <f>IFERROR(__xludf.DUMMYFUNCTION("""COMPUTED_VALUE"""),"Product Analytics")</f>
        <v>Product Analytics</v>
      </c>
      <c r="G87" s="31" t="str">
        <f>IFERROR(__xludf.DUMMYFUNCTION("""COMPUTED_VALUE"""),"ankushguptash1997@gmail.com")</f>
        <v>ankushguptash1997@gmail.com</v>
      </c>
      <c r="H87" s="31" t="str">
        <f>IFERROR(__xludf.DUMMYFUNCTION("""COMPUTED_VALUE"""),"Shwetank Anand")</f>
        <v>Shwetank Anand</v>
      </c>
      <c r="I87" s="75">
        <f>IFERROR(__xludf.DUMMYFUNCTION("""COMPUTED_VALUE"""),45369.0)</f>
        <v>45369</v>
      </c>
      <c r="J87" s="31" t="str">
        <f>IFERROR(__xludf.DUMMYFUNCTION("""COMPUTED_VALUE"""),"Nidhi Khedekar")</f>
        <v>Nidhi Khedekar</v>
      </c>
      <c r="K87" s="31" t="str">
        <f>IFERROR(__xludf.DUMMYFUNCTION("""COMPUTED_VALUE"""),"Joined")</f>
        <v>Joined</v>
      </c>
      <c r="L87" s="31" t="str">
        <f>IFERROR(__xludf.DUMMYFUNCTION("""COMPUTED_VALUE"""),"In Office")</f>
        <v>In Office</v>
      </c>
      <c r="M87" s="31" t="str">
        <f>IFERROR(__xludf.DUMMYFUNCTION("""COMPUTED_VALUE"""),"ankush.gupta@zupee.in")</f>
        <v>ankush.gupta@zupee.in</v>
      </c>
      <c r="N87" s="31"/>
    </row>
    <row r="88">
      <c r="A88" s="74">
        <f>IFERROR(__xludf.DUMMYFUNCTION("""COMPUTED_VALUE"""),45397.0)</f>
        <v>45397</v>
      </c>
      <c r="B88" s="31" t="str">
        <f>IFERROR(__xludf.DUMMYFUNCTION("""COMPUTED_VALUE"""),"Pankaj Sharma")</f>
        <v>Pankaj Sharma</v>
      </c>
      <c r="C88" s="31" t="str">
        <f>IFERROR(__xludf.DUMMYFUNCTION("""COMPUTED_VALUE"""),"Customer Experience")</f>
        <v>Customer Experience</v>
      </c>
      <c r="D88" s="31">
        <f>IFERROR(__xludf.DUMMYFUNCTION("""COMPUTED_VALUE"""),7.007976868E9)</f>
        <v>7007976868</v>
      </c>
      <c r="E88" s="31" t="str">
        <f>IFERROR(__xludf.DUMMYFUNCTION("""COMPUTED_VALUE"""),"Senior Fraud Analyst")</f>
        <v>Senior Fraud Analyst</v>
      </c>
      <c r="F88" s="31" t="str">
        <f>IFERROR(__xludf.DUMMYFUNCTION("""COMPUTED_VALUE"""),"Fraud Risk Management ")</f>
        <v>Fraud Risk Management </v>
      </c>
      <c r="G88" s="31" t="str">
        <f>IFERROR(__xludf.DUMMYFUNCTION("""COMPUTED_VALUE"""),"Pankajjshaarma@outlook.com")</f>
        <v>Pankajjshaarma@outlook.com</v>
      </c>
      <c r="H88" s="31" t="str">
        <f>IFERROR(__xludf.DUMMYFUNCTION("""COMPUTED_VALUE"""),"Aman Khare")</f>
        <v>Aman Khare</v>
      </c>
      <c r="I88" s="75">
        <f>IFERROR(__xludf.DUMMYFUNCTION("""COMPUTED_VALUE"""),45369.0)</f>
        <v>45369</v>
      </c>
      <c r="J88" s="31" t="str">
        <f>IFERROR(__xludf.DUMMYFUNCTION("""COMPUTED_VALUE"""),"Nidhi Khedekar")</f>
        <v>Nidhi Khedekar</v>
      </c>
      <c r="K88" s="31" t="str">
        <f>IFERROR(__xludf.DUMMYFUNCTION("""COMPUTED_VALUE"""),"Joined")</f>
        <v>Joined</v>
      </c>
      <c r="L88" s="31" t="str">
        <f>IFERROR(__xludf.DUMMYFUNCTION("""COMPUTED_VALUE"""),"In Office")</f>
        <v>In Office</v>
      </c>
      <c r="M88" s="31" t="str">
        <f>IFERROR(__xludf.DUMMYFUNCTION("""COMPUTED_VALUE"""),"pankaj.sharma@zupee.in")</f>
        <v>pankaj.sharma@zupee.in</v>
      </c>
      <c r="N88" s="31"/>
    </row>
    <row r="89">
      <c r="A89" s="74">
        <f>IFERROR(__xludf.DUMMYFUNCTION("""COMPUTED_VALUE"""),45432.0)</f>
        <v>45432</v>
      </c>
      <c r="B89" s="31" t="str">
        <f>IFERROR(__xludf.DUMMYFUNCTION("""COMPUTED_VALUE"""),"Shubham Gupta")</f>
        <v>Shubham Gupta</v>
      </c>
      <c r="C89" s="31" t="str">
        <f>IFERROR(__xludf.DUMMYFUNCTION("""COMPUTED_VALUE"""),"Analytics")</f>
        <v>Analytics</v>
      </c>
      <c r="D89" s="31">
        <f>IFERROR(__xludf.DUMMYFUNCTION("""COMPUTED_VALUE"""),8.005462446E9)</f>
        <v>8005462446</v>
      </c>
      <c r="E89" s="31" t="str">
        <f>IFERROR(__xludf.DUMMYFUNCTION("""COMPUTED_VALUE"""),"Senior Data Analyst")</f>
        <v>Senior Data Analyst</v>
      </c>
      <c r="F89" s="31" t="str">
        <f>IFERROR(__xludf.DUMMYFUNCTION("""COMPUTED_VALUE"""),"Product Analytics")</f>
        <v>Product Analytics</v>
      </c>
      <c r="G89" s="31" t="str">
        <f>IFERROR(__xludf.DUMMYFUNCTION("""COMPUTED_VALUE"""),"reachshubham1997@gmail.com")</f>
        <v>reachshubham1997@gmail.com</v>
      </c>
      <c r="H89" s="31" t="str">
        <f>IFERROR(__xludf.DUMMYFUNCTION("""COMPUTED_VALUE"""),"Raman Malik")</f>
        <v>Raman Malik</v>
      </c>
      <c r="I89" s="75">
        <f>IFERROR(__xludf.DUMMYFUNCTION("""COMPUTED_VALUE"""),45370.0)</f>
        <v>45370</v>
      </c>
      <c r="J89" s="31" t="str">
        <f>IFERROR(__xludf.DUMMYFUNCTION("""COMPUTED_VALUE"""),"Nidhi Khedekar")</f>
        <v>Nidhi Khedekar</v>
      </c>
      <c r="K89" s="31" t="str">
        <f>IFERROR(__xludf.DUMMYFUNCTION("""COMPUTED_VALUE"""),"Joined")</f>
        <v>Joined</v>
      </c>
      <c r="L89" s="31" t="str">
        <f>IFERROR(__xludf.DUMMYFUNCTION("""COMPUTED_VALUE"""),"In Office")</f>
        <v>In Office</v>
      </c>
      <c r="M89" s="31" t="str">
        <f>IFERROR(__xludf.DUMMYFUNCTION("""COMPUTED_VALUE"""),"shubham.gupta@zupee.in")</f>
        <v>shubham.gupta@zupee.in</v>
      </c>
      <c r="N89" s="31"/>
    </row>
    <row r="90">
      <c r="A90" s="74">
        <f>IFERROR(__xludf.DUMMYFUNCTION("""COMPUTED_VALUE"""),45433.0)</f>
        <v>45433</v>
      </c>
      <c r="B90" s="31" t="str">
        <f>IFERROR(__xludf.DUMMYFUNCTION("""COMPUTED_VALUE"""),"Nikhil Jain")</f>
        <v>Nikhil Jain</v>
      </c>
      <c r="C90" s="31" t="str">
        <f>IFERROR(__xludf.DUMMYFUNCTION("""COMPUTED_VALUE"""),"Analytics")</f>
        <v>Analytics</v>
      </c>
      <c r="D90" s="31">
        <f>IFERROR(__xludf.DUMMYFUNCTION("""COMPUTED_VALUE"""),8.950085725E9)</f>
        <v>8950085725</v>
      </c>
      <c r="E90" s="31" t="str">
        <f>IFERROR(__xludf.DUMMYFUNCTION("""COMPUTED_VALUE"""),"Senior Data Analyst")</f>
        <v>Senior Data Analyst</v>
      </c>
      <c r="F90" s="31" t="str">
        <f>IFERROR(__xludf.DUMMYFUNCTION("""COMPUTED_VALUE"""),"Product Analytics")</f>
        <v>Product Analytics</v>
      </c>
      <c r="G90" s="31" t="str">
        <f>IFERROR(__xludf.DUMMYFUNCTION("""COMPUTED_VALUE"""),"nikhil.jain1912@gmail.com")</f>
        <v>nikhil.jain1912@gmail.com</v>
      </c>
      <c r="H90" s="31" t="str">
        <f>IFERROR(__xludf.DUMMYFUNCTION("""COMPUTED_VALUE"""),"Raman Malik")</f>
        <v>Raman Malik</v>
      </c>
      <c r="I90" s="75">
        <f>IFERROR(__xludf.DUMMYFUNCTION("""COMPUTED_VALUE"""),45370.0)</f>
        <v>45370</v>
      </c>
      <c r="J90" s="31" t="str">
        <f>IFERROR(__xludf.DUMMYFUNCTION("""COMPUTED_VALUE"""),"Mamta Pandey")</f>
        <v>Mamta Pandey</v>
      </c>
      <c r="K90" s="31" t="str">
        <f>IFERROR(__xludf.DUMMYFUNCTION("""COMPUTED_VALUE"""),"Joined")</f>
        <v>Joined</v>
      </c>
      <c r="L90" s="31" t="str">
        <f>IFERROR(__xludf.DUMMYFUNCTION("""COMPUTED_VALUE"""),"In Office")</f>
        <v>In Office</v>
      </c>
      <c r="M90" s="31" t="str">
        <f>IFERROR(__xludf.DUMMYFUNCTION("""COMPUTED_VALUE"""),"nikhil.jain@zupee.in")</f>
        <v>nikhil.jain@zupee.in</v>
      </c>
      <c r="N90" s="31"/>
    </row>
    <row r="91">
      <c r="A91" s="74">
        <f>IFERROR(__xludf.DUMMYFUNCTION("""COMPUTED_VALUE"""),45419.0)</f>
        <v>45419</v>
      </c>
      <c r="B91" s="31" t="str">
        <f>IFERROR(__xludf.DUMMYFUNCTION("""COMPUTED_VALUE"""),"Chaitanya Kapoor")</f>
        <v>Chaitanya Kapoor</v>
      </c>
      <c r="C91" s="31" t="str">
        <f>IFERROR(__xludf.DUMMYFUNCTION("""COMPUTED_VALUE"""),"Analytics")</f>
        <v>Analytics</v>
      </c>
      <c r="D91" s="31">
        <f>IFERROR(__xludf.DUMMYFUNCTION("""COMPUTED_VALUE"""),9.811924922E9)</f>
        <v>9811924922</v>
      </c>
      <c r="E91" s="31" t="str">
        <f>IFERROR(__xludf.DUMMYFUNCTION("""COMPUTED_VALUE"""),"Lead Data Analyst")</f>
        <v>Lead Data Analyst</v>
      </c>
      <c r="F91" s="31" t="str">
        <f>IFERROR(__xludf.DUMMYFUNCTION("""COMPUTED_VALUE"""),"Product Analytics")</f>
        <v>Product Analytics</v>
      </c>
      <c r="G91" s="31" t="str">
        <f>IFERROR(__xludf.DUMMYFUNCTION("""COMPUTED_VALUE"""),"chaitanya.kapoor@outlook.com")</f>
        <v>chaitanya.kapoor@outlook.com</v>
      </c>
      <c r="H91" s="31" t="str">
        <f>IFERROR(__xludf.DUMMYFUNCTION("""COMPUTED_VALUE"""),"Shwetank Anand")</f>
        <v>Shwetank Anand</v>
      </c>
      <c r="I91" s="75">
        <f>IFERROR(__xludf.DUMMYFUNCTION("""COMPUTED_VALUE"""),45371.0)</f>
        <v>45371</v>
      </c>
      <c r="J91" s="31" t="str">
        <f>IFERROR(__xludf.DUMMYFUNCTION("""COMPUTED_VALUE"""),"Mamta Pandey")</f>
        <v>Mamta Pandey</v>
      </c>
      <c r="K91" s="31" t="str">
        <f>IFERROR(__xludf.DUMMYFUNCTION("""COMPUTED_VALUE"""),"Joined")</f>
        <v>Joined</v>
      </c>
      <c r="L91" s="31" t="str">
        <f>IFERROR(__xludf.DUMMYFUNCTION("""COMPUTED_VALUE"""),"In Office")</f>
        <v>In Office</v>
      </c>
      <c r="M91" s="31" t="str">
        <f>IFERROR(__xludf.DUMMYFUNCTION("""COMPUTED_VALUE"""),"chaitanya.kapoor@zupee.in")</f>
        <v>chaitanya.kapoor@zupee.in</v>
      </c>
      <c r="N91" s="31"/>
    </row>
    <row r="92">
      <c r="A92" s="74">
        <f>IFERROR(__xludf.DUMMYFUNCTION("""COMPUTED_VALUE"""),45397.0)</f>
        <v>45397</v>
      </c>
      <c r="B92" s="31" t="str">
        <f>IFERROR(__xludf.DUMMYFUNCTION("""COMPUTED_VALUE"""),"Anurag Dwivedi")</f>
        <v>Anurag Dwivedi</v>
      </c>
      <c r="C92" s="31" t="str">
        <f>IFERROR(__xludf.DUMMYFUNCTION("""COMPUTED_VALUE"""),"Customer Experience")</f>
        <v>Customer Experience</v>
      </c>
      <c r="D92" s="31">
        <f>IFERROR(__xludf.DUMMYFUNCTION("""COMPUTED_VALUE"""),9.807225188E9)</f>
        <v>9807225188</v>
      </c>
      <c r="E92" s="31" t="str">
        <f>IFERROR(__xludf.DUMMYFUNCTION("""COMPUTED_VALUE"""),"Senior Fraud Analyst")</f>
        <v>Senior Fraud Analyst</v>
      </c>
      <c r="F92" s="31" t="str">
        <f>IFERROR(__xludf.DUMMYFUNCTION("""COMPUTED_VALUE"""),"Fraud Risk Management ")</f>
        <v>Fraud Risk Management </v>
      </c>
      <c r="G92" s="31" t="str">
        <f>IFERROR(__xludf.DUMMYFUNCTION("""COMPUTED_VALUE"""),"anudwivedi31@gmail.com")</f>
        <v>anudwivedi31@gmail.com</v>
      </c>
      <c r="H92" s="31" t="str">
        <f>IFERROR(__xludf.DUMMYFUNCTION("""COMPUTED_VALUE"""),"Aman Khare")</f>
        <v>Aman Khare</v>
      </c>
      <c r="I92" s="75">
        <f>IFERROR(__xludf.DUMMYFUNCTION("""COMPUTED_VALUE"""),45377.0)</f>
        <v>45377</v>
      </c>
      <c r="J92" s="31" t="str">
        <f>IFERROR(__xludf.DUMMYFUNCTION("""COMPUTED_VALUE"""),"Nidhi Khedekar")</f>
        <v>Nidhi Khedekar</v>
      </c>
      <c r="K92" s="31" t="str">
        <f>IFERROR(__xludf.DUMMYFUNCTION("""COMPUTED_VALUE"""),"Joined")</f>
        <v>Joined</v>
      </c>
      <c r="L92" s="31" t="str">
        <f>IFERROR(__xludf.DUMMYFUNCTION("""COMPUTED_VALUE"""),"In Office")</f>
        <v>In Office</v>
      </c>
      <c r="M92" s="31" t="str">
        <f>IFERROR(__xludf.DUMMYFUNCTION("""COMPUTED_VALUE"""),"anurag.dwivedi@zupee.in")</f>
        <v>anurag.dwivedi@zupee.in</v>
      </c>
      <c r="N92" s="31"/>
    </row>
    <row r="93">
      <c r="A93" s="74">
        <f>IFERROR(__xludf.DUMMYFUNCTION("""COMPUTED_VALUE"""),45385.0)</f>
        <v>45385</v>
      </c>
      <c r="B93" s="31" t="str">
        <f>IFERROR(__xludf.DUMMYFUNCTION("""COMPUTED_VALUE"""),"Hemant Dandotiya")</f>
        <v>Hemant Dandotiya</v>
      </c>
      <c r="C93" s="31" t="str">
        <f>IFERROR(__xludf.DUMMYFUNCTION("""COMPUTED_VALUE"""),"Product")</f>
        <v>Product</v>
      </c>
      <c r="D93" s="31">
        <f>IFERROR(__xludf.DUMMYFUNCTION("""COMPUTED_VALUE"""),8.800327796E9)</f>
        <v>8800327796</v>
      </c>
      <c r="E93" s="31" t="str">
        <f>IFERROR(__xludf.DUMMYFUNCTION("""COMPUTED_VALUE"""),"Senior 3D Game Artist")</f>
        <v>Senior 3D Game Artist</v>
      </c>
      <c r="F93" s="31" t="str">
        <f>IFERROR(__xludf.DUMMYFUNCTION("""COMPUTED_VALUE"""),"Design")</f>
        <v>Design</v>
      </c>
      <c r="G93" s="31" t="str">
        <f>IFERROR(__xludf.DUMMYFUNCTION("""COMPUTED_VALUE"""),"hemant.sharma010@gmail.com")</f>
        <v>hemant.sharma010@gmail.com</v>
      </c>
      <c r="H93" s="31" t="str">
        <f>IFERROR(__xludf.DUMMYFUNCTION("""COMPUTED_VALUE"""),"Aarti Luthra")</f>
        <v>Aarti Luthra</v>
      </c>
      <c r="I93" s="75">
        <f>IFERROR(__xludf.DUMMYFUNCTION("""COMPUTED_VALUE"""),45384.0)</f>
        <v>45384</v>
      </c>
      <c r="J93" s="31" t="str">
        <f>IFERROR(__xludf.DUMMYFUNCTION("""COMPUTED_VALUE"""),"Naina")</f>
        <v>Naina</v>
      </c>
      <c r="K93" s="31" t="str">
        <f>IFERROR(__xludf.DUMMYFUNCTION("""COMPUTED_VALUE"""),"Joined")</f>
        <v>Joined</v>
      </c>
      <c r="L93" s="31" t="str">
        <f>IFERROR(__xludf.DUMMYFUNCTION("""COMPUTED_VALUE"""),"In Office")</f>
        <v>In Office</v>
      </c>
      <c r="M93" s="31" t="str">
        <f>IFERROR(__xludf.DUMMYFUNCTION("""COMPUTED_VALUE"""),"hemant.dandotiya@zupee.in")</f>
        <v>hemant.dandotiya@zupee.in</v>
      </c>
      <c r="N93" s="31"/>
    </row>
    <row r="94">
      <c r="A94" s="74">
        <f>IFERROR(__xludf.DUMMYFUNCTION("""COMPUTED_VALUE"""),45390.0)</f>
        <v>45390</v>
      </c>
      <c r="B94" s="31" t="str">
        <f>IFERROR(__xludf.DUMMYFUNCTION("""COMPUTED_VALUE"""),"Divya")</f>
        <v>Divya</v>
      </c>
      <c r="C94" s="31" t="str">
        <f>IFERROR(__xludf.DUMMYFUNCTION("""COMPUTED_VALUE"""),"Customer Experience")</f>
        <v>Customer Experience</v>
      </c>
      <c r="D94" s="31">
        <f>IFERROR(__xludf.DUMMYFUNCTION("""COMPUTED_VALUE"""),7.88910877E9)</f>
        <v>7889108770</v>
      </c>
      <c r="E94" s="31" t="str">
        <f>IFERROR(__xludf.DUMMYFUNCTION("""COMPUTED_VALUE"""),"Senior Executive – Customer Experience")</f>
        <v>Senior Executive – Customer Experience</v>
      </c>
      <c r="F94" s="31" t="str">
        <f>IFERROR(__xludf.DUMMYFUNCTION("""COMPUTED_VALUE"""),"Customer Relation Management")</f>
        <v>Customer Relation Management</v>
      </c>
      <c r="G94" s="31" t="str">
        <f>IFERROR(__xludf.DUMMYFUNCTION("""COMPUTED_VALUE"""),"dd8628083429@gmail.com")</f>
        <v>dd8628083429@gmail.com</v>
      </c>
      <c r="H94" s="31" t="str">
        <f>IFERROR(__xludf.DUMMYFUNCTION("""COMPUTED_VALUE"""),"Shivam Bali")</f>
        <v>Shivam Bali</v>
      </c>
      <c r="I94" s="75">
        <f>IFERROR(__xludf.DUMMYFUNCTION("""COMPUTED_VALUE"""),45386.0)</f>
        <v>45386</v>
      </c>
      <c r="J94" s="31" t="str">
        <f>IFERROR(__xludf.DUMMYFUNCTION("""COMPUTED_VALUE"""),"Nidhi Khedekar")</f>
        <v>Nidhi Khedekar</v>
      </c>
      <c r="K94" s="31" t="str">
        <f>IFERROR(__xludf.DUMMYFUNCTION("""COMPUTED_VALUE"""),"Joined")</f>
        <v>Joined</v>
      </c>
      <c r="L94" s="31" t="str">
        <f>IFERROR(__xludf.DUMMYFUNCTION("""COMPUTED_VALUE"""),"Virtual")</f>
        <v>Virtual</v>
      </c>
      <c r="M94" s="31"/>
      <c r="N94" s="31"/>
    </row>
    <row r="95">
      <c r="A95" s="74">
        <f>IFERROR(__xludf.DUMMYFUNCTION("""COMPUTED_VALUE"""),45432.0)</f>
        <v>45432</v>
      </c>
      <c r="B95" s="31" t="str">
        <f>IFERROR(__xludf.DUMMYFUNCTION("""COMPUTED_VALUE"""),"S Anand Babu")</f>
        <v>S Anand Babu</v>
      </c>
      <c r="C95" s="31" t="str">
        <f>IFERROR(__xludf.DUMMYFUNCTION("""COMPUTED_VALUE"""),"HR")</f>
        <v>HR</v>
      </c>
      <c r="D95" s="31">
        <f>IFERROR(__xludf.DUMMYFUNCTION("""COMPUTED_VALUE"""),7.09758945E9)</f>
        <v>7097589450</v>
      </c>
      <c r="E95" s="31" t="str">
        <f>IFERROR(__xludf.DUMMYFUNCTION("""COMPUTED_VALUE"""),"Assistant Manager - Talent Acquisition")</f>
        <v>Assistant Manager - Talent Acquisition</v>
      </c>
      <c r="F95" s="31" t="str">
        <f>IFERROR(__xludf.DUMMYFUNCTION("""COMPUTED_VALUE"""),"Human Resource")</f>
        <v>Human Resource</v>
      </c>
      <c r="G95" s="31" t="str">
        <f>IFERROR(__xludf.DUMMYFUNCTION("""COMPUTED_VALUE"""),"john.sab72@gmail.com")</f>
        <v>john.sab72@gmail.com</v>
      </c>
      <c r="H95" s="31" t="str">
        <f>IFERROR(__xludf.DUMMYFUNCTION("""COMPUTED_VALUE"""),"M Sangeetha")</f>
        <v>M Sangeetha</v>
      </c>
      <c r="I95" s="75">
        <f>IFERROR(__xludf.DUMMYFUNCTION("""COMPUTED_VALUE"""),45386.0)</f>
        <v>45386</v>
      </c>
      <c r="J95" s="31" t="str">
        <f>IFERROR(__xludf.DUMMYFUNCTION("""COMPUTED_VALUE"""),"Nidhi Khedekar")</f>
        <v>Nidhi Khedekar</v>
      </c>
      <c r="K95" s="31" t="str">
        <f>IFERROR(__xludf.DUMMYFUNCTION("""COMPUTED_VALUE"""),"Offer Declined")</f>
        <v>Offer Declined</v>
      </c>
      <c r="L95" s="31" t="str">
        <f>IFERROR(__xludf.DUMMYFUNCTION("""COMPUTED_VALUE"""),"In Office")</f>
        <v>In Office</v>
      </c>
      <c r="M95" s="31"/>
      <c r="N95" s="31"/>
    </row>
    <row r="96">
      <c r="A96" s="74">
        <f>IFERROR(__xludf.DUMMYFUNCTION("""COMPUTED_VALUE"""),45413.0)</f>
        <v>45413</v>
      </c>
      <c r="B96" s="31" t="str">
        <f>IFERROR(__xludf.DUMMYFUNCTION("""COMPUTED_VALUE"""),"Satyam Singh")</f>
        <v>Satyam Singh</v>
      </c>
      <c r="C96" s="31" t="str">
        <f>IFERROR(__xludf.DUMMYFUNCTION("""COMPUTED_VALUE"""),"Marketing")</f>
        <v>Marketing</v>
      </c>
      <c r="D96" s="31">
        <f>IFERROR(__xludf.DUMMYFUNCTION("""COMPUTED_VALUE"""),9.528178911E9)</f>
        <v>9528178911</v>
      </c>
      <c r="E96" s="31" t="str">
        <f>IFERROR(__xludf.DUMMYFUNCTION("""COMPUTED_VALUE"""),"SEO Executive")</f>
        <v>SEO Executive</v>
      </c>
      <c r="F96" s="31" t="str">
        <f>IFERROR(__xludf.DUMMYFUNCTION("""COMPUTED_VALUE"""),"Digital Marketing")</f>
        <v>Digital Marketing</v>
      </c>
      <c r="G96" s="31" t="str">
        <f>IFERROR(__xludf.DUMMYFUNCTION("""COMPUTED_VALUE"""),"career.satyamsingh@gmail.com")</f>
        <v>career.satyamsingh@gmail.com</v>
      </c>
      <c r="H96" s="31" t="str">
        <f>IFERROR(__xludf.DUMMYFUNCTION("""COMPUTED_VALUE"""),"Lekhika Dhariyal ")</f>
        <v>Lekhika Dhariyal </v>
      </c>
      <c r="I96" s="75">
        <f>IFERROR(__xludf.DUMMYFUNCTION("""COMPUTED_VALUE"""),45386.0)</f>
        <v>45386</v>
      </c>
      <c r="J96" s="31" t="str">
        <f>IFERROR(__xludf.DUMMYFUNCTION("""COMPUTED_VALUE"""),"Naina")</f>
        <v>Naina</v>
      </c>
      <c r="K96" s="31" t="str">
        <f>IFERROR(__xludf.DUMMYFUNCTION("""COMPUTED_VALUE"""),"Joined")</f>
        <v>Joined</v>
      </c>
      <c r="L96" s="31" t="str">
        <f>IFERROR(__xludf.DUMMYFUNCTION("""COMPUTED_VALUE"""),"In Office")</f>
        <v>In Office</v>
      </c>
      <c r="M96" s="31" t="str">
        <f>IFERROR(__xludf.DUMMYFUNCTION("""COMPUTED_VALUE"""),"satyam.singh@zupee.in")</f>
        <v>satyam.singh@zupee.in</v>
      </c>
      <c r="N96" s="31" t="str">
        <f>IFERROR(__xludf.DUMMYFUNCTION("""COMPUTED_VALUE"""),"W56VYKG546")</f>
        <v>W56VYKG546</v>
      </c>
    </row>
    <row r="97">
      <c r="A97" s="74">
        <f>IFERROR(__xludf.DUMMYFUNCTION("""COMPUTED_VALUE"""),45397.0)</f>
        <v>45397</v>
      </c>
      <c r="B97" s="31" t="str">
        <f>IFERROR(__xludf.DUMMYFUNCTION("""COMPUTED_VALUE"""),"Basilnath Samson Masabiel")</f>
        <v>Basilnath Samson Masabiel</v>
      </c>
      <c r="C97" s="31" t="str">
        <f>IFERROR(__xludf.DUMMYFUNCTION("""COMPUTED_VALUE"""),"Customer Experience")</f>
        <v>Customer Experience</v>
      </c>
      <c r="D97" s="31">
        <f>IFERROR(__xludf.DUMMYFUNCTION("""COMPUTED_VALUE"""),8.867140028E9)</f>
        <v>8867140028</v>
      </c>
      <c r="E97" s="31" t="str">
        <f>IFERROR(__xludf.DUMMYFUNCTION("""COMPUTED_VALUE"""),"Senior Analyst – Process Excellence")</f>
        <v>Senior Analyst – Process Excellence</v>
      </c>
      <c r="F97" s="31" t="str">
        <f>IFERROR(__xludf.DUMMYFUNCTION("""COMPUTED_VALUE"""),"Opex")</f>
        <v>Opex</v>
      </c>
      <c r="G97" s="31" t="str">
        <f>IFERROR(__xludf.DUMMYFUNCTION("""COMPUTED_VALUE"""),"samsonbasilnath@gmail.com")</f>
        <v>samsonbasilnath@gmail.com</v>
      </c>
      <c r="H97" s="31" t="str">
        <f>IFERROR(__xludf.DUMMYFUNCTION("""COMPUTED_VALUE"""),"Sumit Yadav")</f>
        <v>Sumit Yadav</v>
      </c>
      <c r="I97" s="75">
        <f>IFERROR(__xludf.DUMMYFUNCTION("""COMPUTED_VALUE"""),45390.0)</f>
        <v>45390</v>
      </c>
      <c r="J97" s="31" t="str">
        <f>IFERROR(__xludf.DUMMYFUNCTION("""COMPUTED_VALUE"""),"Nidhi Khedekar")</f>
        <v>Nidhi Khedekar</v>
      </c>
      <c r="K97" s="31" t="str">
        <f>IFERROR(__xludf.DUMMYFUNCTION("""COMPUTED_VALUE"""),"Joined")</f>
        <v>Joined</v>
      </c>
      <c r="L97" s="31" t="str">
        <f>IFERROR(__xludf.DUMMYFUNCTION("""COMPUTED_VALUE"""),"In Office")</f>
        <v>In Office</v>
      </c>
      <c r="M97" s="31" t="str">
        <f>IFERROR(__xludf.DUMMYFUNCTION("""COMPUTED_VALUE"""),"basilnath.masabiel@zupee.in")</f>
        <v>basilnath.masabiel@zupee.in</v>
      </c>
      <c r="N97" s="31" t="str">
        <f>IFERROR(__xludf.DUMMYFUNCTION("""COMPUTED_VALUE"""),"PW03VMJK")</f>
        <v>PW03VMJK</v>
      </c>
    </row>
    <row r="98">
      <c r="A98" s="74">
        <f>IFERROR(__xludf.DUMMYFUNCTION("""COMPUTED_VALUE"""),45446.0)</f>
        <v>45446</v>
      </c>
      <c r="B98" s="31" t="str">
        <f>IFERROR(__xludf.DUMMYFUNCTION("""COMPUTED_VALUE"""),"Ankit Agarwal")</f>
        <v>Ankit Agarwal</v>
      </c>
      <c r="C98" s="31" t="str">
        <f>IFERROR(__xludf.DUMMYFUNCTION("""COMPUTED_VALUE"""),"Technology")</f>
        <v>Technology</v>
      </c>
      <c r="D98" s="31">
        <f>IFERROR(__xludf.DUMMYFUNCTION("""COMPUTED_VALUE"""),9.886146848E9)</f>
        <v>9886146848</v>
      </c>
      <c r="E98" s="31" t="str">
        <f>IFERROR(__xludf.DUMMYFUNCTION("""COMPUTED_VALUE"""),"Staff Engineer")</f>
        <v>Staff Engineer</v>
      </c>
      <c r="F98" s="31" t="str">
        <f>IFERROR(__xludf.DUMMYFUNCTION("""COMPUTED_VALUE"""),"Engineering")</f>
        <v>Engineering</v>
      </c>
      <c r="G98" s="31" t="str">
        <f>IFERROR(__xludf.DUMMYFUNCTION("""COMPUTED_VALUE"""),"agrwl.ankit28@gmail.com")</f>
        <v>agrwl.ankit28@gmail.com</v>
      </c>
      <c r="H98" s="31" t="str">
        <f>IFERROR(__xludf.DUMMYFUNCTION("""COMPUTED_VALUE"""),"Gaurav Sharma")</f>
        <v>Gaurav Sharma</v>
      </c>
      <c r="I98" s="75">
        <f>IFERROR(__xludf.DUMMYFUNCTION("""COMPUTED_VALUE"""),45398.0)</f>
        <v>45398</v>
      </c>
      <c r="J98" s="31" t="str">
        <f>IFERROR(__xludf.DUMMYFUNCTION("""COMPUTED_VALUE"""),"Rajneesh Yadav")</f>
        <v>Rajneesh Yadav</v>
      </c>
      <c r="K98" s="31" t="str">
        <f>IFERROR(__xludf.DUMMYFUNCTION("""COMPUTED_VALUE"""),"Offer Declined")</f>
        <v>Offer Declined</v>
      </c>
      <c r="L98" s="31" t="str">
        <f>IFERROR(__xludf.DUMMYFUNCTION("""COMPUTED_VALUE"""),"In Office")</f>
        <v>In Office</v>
      </c>
      <c r="M98" s="31"/>
      <c r="N98" s="31"/>
    </row>
    <row r="99">
      <c r="A99" s="74">
        <f>IFERROR(__xludf.DUMMYFUNCTION("""COMPUTED_VALUE"""),45427.0)</f>
        <v>45427</v>
      </c>
      <c r="B99" s="31" t="str">
        <f>IFERROR(__xludf.DUMMYFUNCTION("""COMPUTED_VALUE"""),"Sanchi Gupta")</f>
        <v>Sanchi Gupta</v>
      </c>
      <c r="C99" s="31" t="str">
        <f>IFERROR(__xludf.DUMMYFUNCTION("""COMPUTED_VALUE"""),"Marketing")</f>
        <v>Marketing</v>
      </c>
      <c r="D99" s="31">
        <f>IFERROR(__xludf.DUMMYFUNCTION("""COMPUTED_VALUE"""),9.871183498E9)</f>
        <v>9871183498</v>
      </c>
      <c r="E99" s="31" t="str">
        <f>IFERROR(__xludf.DUMMYFUNCTION("""COMPUTED_VALUE"""),"Senior SEO  Content Writer")</f>
        <v>Senior SEO  Content Writer</v>
      </c>
      <c r="F99" s="31" t="str">
        <f>IFERROR(__xludf.DUMMYFUNCTION("""COMPUTED_VALUE"""),"Digital Marketing")</f>
        <v>Digital Marketing</v>
      </c>
      <c r="G99" s="31" t="str">
        <f>IFERROR(__xludf.DUMMYFUNCTION("""COMPUTED_VALUE"""),"gupta.sanchi2050@gmail.com")</f>
        <v>gupta.sanchi2050@gmail.com</v>
      </c>
      <c r="H99" s="31" t="str">
        <f>IFERROR(__xludf.DUMMYFUNCTION("""COMPUTED_VALUE"""),"Lekhika Dhariyal ")</f>
        <v>Lekhika Dhariyal </v>
      </c>
      <c r="I99" s="75">
        <f>IFERROR(__xludf.DUMMYFUNCTION("""COMPUTED_VALUE"""),45398.0)</f>
        <v>45398</v>
      </c>
      <c r="J99" s="31" t="str">
        <f>IFERROR(__xludf.DUMMYFUNCTION("""COMPUTED_VALUE"""),"Naina")</f>
        <v>Naina</v>
      </c>
      <c r="K99" s="31" t="str">
        <f>IFERROR(__xludf.DUMMYFUNCTION("""COMPUTED_VALUE"""),"Joined")</f>
        <v>Joined</v>
      </c>
      <c r="L99" s="31" t="str">
        <f>IFERROR(__xludf.DUMMYFUNCTION("""COMPUTED_VALUE"""),"In Office")</f>
        <v>In Office</v>
      </c>
      <c r="M99" s="31" t="str">
        <f>IFERROR(__xludf.DUMMYFUNCTION("""COMPUTED_VALUE"""),"sanchi.gupta@zupee.in")</f>
        <v>sanchi.gupta@zupee.in</v>
      </c>
      <c r="N99" s="31" t="str">
        <f>IFERROR(__xludf.DUMMYFUNCTION("""COMPUTED_VALUE"""),"559W234")</f>
        <v>559W234</v>
      </c>
    </row>
    <row r="100">
      <c r="A100" s="74">
        <f>IFERROR(__xludf.DUMMYFUNCTION("""COMPUTED_VALUE"""),45432.0)</f>
        <v>45432</v>
      </c>
      <c r="B100" s="31" t="str">
        <f>IFERROR(__xludf.DUMMYFUNCTION("""COMPUTED_VALUE"""),"Sneha Kumar")</f>
        <v>Sneha Kumar</v>
      </c>
      <c r="C100" s="31" t="str">
        <f>IFERROR(__xludf.DUMMYFUNCTION("""COMPUTED_VALUE"""),"Marketing")</f>
        <v>Marketing</v>
      </c>
      <c r="D100" s="31">
        <f>IFERROR(__xludf.DUMMYFUNCTION("""COMPUTED_VALUE"""),9.873180141E9)</f>
        <v>9873180141</v>
      </c>
      <c r="E100" s="31" t="str">
        <f>IFERROR(__xludf.DUMMYFUNCTION("""COMPUTED_VALUE"""),"Senior Manager- Brand Marketing")</f>
        <v>Senior Manager- Brand Marketing</v>
      </c>
      <c r="F100" s="31" t="str">
        <f>IFERROR(__xludf.DUMMYFUNCTION("""COMPUTED_VALUE"""),"Brand Marketing")</f>
        <v>Brand Marketing</v>
      </c>
      <c r="G100" s="31" t="str">
        <f>IFERROR(__xludf.DUMMYFUNCTION("""COMPUTED_VALUE"""),"p17snehak@iima.ac.in")</f>
        <v>p17snehak@iima.ac.in</v>
      </c>
      <c r="H100" s="31" t="str">
        <f>IFERROR(__xludf.DUMMYFUNCTION("""COMPUTED_VALUE"""),"Katha Pankaj Tara")</f>
        <v>Katha Pankaj Tara</v>
      </c>
      <c r="I100" s="75">
        <f>IFERROR(__xludf.DUMMYFUNCTION("""COMPUTED_VALUE"""),45398.0)</f>
        <v>45398</v>
      </c>
      <c r="J100" s="31" t="str">
        <f>IFERROR(__xludf.DUMMYFUNCTION("""COMPUTED_VALUE"""),"Rajneesh Yadav")</f>
        <v>Rajneesh Yadav</v>
      </c>
      <c r="K100" s="31" t="str">
        <f>IFERROR(__xludf.DUMMYFUNCTION("""COMPUTED_VALUE"""),"Offer Declined")</f>
        <v>Offer Declined</v>
      </c>
      <c r="L100" s="31" t="str">
        <f>IFERROR(__xludf.DUMMYFUNCTION("""COMPUTED_VALUE"""),"In Office")</f>
        <v>In Office</v>
      </c>
      <c r="M100" s="31"/>
      <c r="N100" s="31"/>
    </row>
    <row r="101">
      <c r="A101" s="74">
        <f>IFERROR(__xludf.DUMMYFUNCTION("""COMPUTED_VALUE"""),45453.0)</f>
        <v>45453</v>
      </c>
      <c r="B101" s="31" t="str">
        <f>IFERROR(__xludf.DUMMYFUNCTION("""COMPUTED_VALUE"""),"Richa Sharma ")</f>
        <v>Richa Sharma </v>
      </c>
      <c r="C101" s="31" t="str">
        <f>IFERROR(__xludf.DUMMYFUNCTION("""COMPUTED_VALUE"""),"HR")</f>
        <v>HR</v>
      </c>
      <c r="D101" s="31">
        <f>IFERROR(__xludf.DUMMYFUNCTION("""COMPUTED_VALUE"""),9.650926072E9)</f>
        <v>9650926072</v>
      </c>
      <c r="E101" s="31" t="str">
        <f>IFERROR(__xludf.DUMMYFUNCTION("""COMPUTED_VALUE"""),"Manager - HRBP")</f>
        <v>Manager - HRBP</v>
      </c>
      <c r="F101" s="31" t="str">
        <f>IFERROR(__xludf.DUMMYFUNCTION("""COMPUTED_VALUE"""),"Human Resource")</f>
        <v>Human Resource</v>
      </c>
      <c r="G101" s="31" t="str">
        <f>IFERROR(__xludf.DUMMYFUNCTION("""COMPUTED_VALUE"""),"richasharma.7@outlook.com")</f>
        <v>richasharma.7@outlook.com</v>
      </c>
      <c r="H101" s="31" t="str">
        <f>IFERROR(__xludf.DUMMYFUNCTION("""COMPUTED_VALUE"""),"Gaurav Saxena")</f>
        <v>Gaurav Saxena</v>
      </c>
      <c r="I101" s="75">
        <f>IFERROR(__xludf.DUMMYFUNCTION("""COMPUTED_VALUE"""),45400.0)</f>
        <v>45400</v>
      </c>
      <c r="J101" s="31" t="str">
        <f>IFERROR(__xludf.DUMMYFUNCTION("""COMPUTED_VALUE"""),"Naina")</f>
        <v>Naina</v>
      </c>
      <c r="K101" s="31" t="str">
        <f>IFERROR(__xludf.DUMMYFUNCTION("""COMPUTED_VALUE"""),"Joined")</f>
        <v>Joined</v>
      </c>
      <c r="L101" s="31" t="str">
        <f>IFERROR(__xludf.DUMMYFUNCTION("""COMPUTED_VALUE"""),"In Office")</f>
        <v>In Office</v>
      </c>
      <c r="M101" s="31"/>
      <c r="N101" s="31"/>
    </row>
    <row r="102">
      <c r="A102" s="74">
        <f>IFERROR(__xludf.DUMMYFUNCTION("""COMPUTED_VALUE"""),45404.0)</f>
        <v>45404</v>
      </c>
      <c r="B102" s="31" t="str">
        <f>IFERROR(__xludf.DUMMYFUNCTION("""COMPUTED_VALUE"""),"Piyush Maurya")</f>
        <v>Piyush Maurya</v>
      </c>
      <c r="C102" s="31" t="str">
        <f>IFERROR(__xludf.DUMMYFUNCTION("""COMPUTED_VALUE"""),"Technology")</f>
        <v>Technology</v>
      </c>
      <c r="D102" s="31">
        <f>IFERROR(__xludf.DUMMYFUNCTION("""COMPUTED_VALUE"""),9.717439537E9)</f>
        <v>9717439537</v>
      </c>
      <c r="E102" s="31" t="str">
        <f>IFERROR(__xludf.DUMMYFUNCTION("""COMPUTED_VALUE"""),"SDET Trainee")</f>
        <v>SDET Trainee</v>
      </c>
      <c r="F102" s="31" t="str">
        <f>IFERROR(__xludf.DUMMYFUNCTION("""COMPUTED_VALUE"""),"SDET")</f>
        <v>SDET</v>
      </c>
      <c r="G102" s="31" t="str">
        <f>IFERROR(__xludf.DUMMYFUNCTION("""COMPUTED_VALUE"""),"p")</f>
        <v>p</v>
      </c>
      <c r="H102" s="31" t="str">
        <f>IFERROR(__xludf.DUMMYFUNCTION("""COMPUTED_VALUE"""),"Sahil Puri")</f>
        <v>Sahil Puri</v>
      </c>
      <c r="I102" s="75">
        <f>IFERROR(__xludf.DUMMYFUNCTION("""COMPUTED_VALUE"""),45401.0)</f>
        <v>45401</v>
      </c>
      <c r="J102" s="31" t="str">
        <f>IFERROR(__xludf.DUMMYFUNCTION("""COMPUTED_VALUE"""),"Mamta Pandey")</f>
        <v>Mamta Pandey</v>
      </c>
      <c r="K102" s="31" t="str">
        <f>IFERROR(__xludf.DUMMYFUNCTION("""COMPUTED_VALUE"""),"Joined")</f>
        <v>Joined</v>
      </c>
      <c r="L102" s="31" t="str">
        <f>IFERROR(__xludf.DUMMYFUNCTION("""COMPUTED_VALUE"""),"In Office")</f>
        <v>In Office</v>
      </c>
      <c r="M102" s="31" t="str">
        <f>IFERROR(__xludf.DUMMYFUNCTION("""COMPUTED_VALUE"""),"piyush.maurya@zupee.in")</f>
        <v>piyush.maurya@zupee.in</v>
      </c>
      <c r="N102" s="31" t="str">
        <f>IFERROR(__xludf.DUMMYFUNCTION("""COMPUTED_VALUE"""),"J59J2RFJFW")</f>
        <v>J59J2RFJFW</v>
      </c>
    </row>
    <row r="103">
      <c r="A103" s="74">
        <f>IFERROR(__xludf.DUMMYFUNCTION("""COMPUTED_VALUE"""),45439.0)</f>
        <v>45439</v>
      </c>
      <c r="B103" s="31" t="str">
        <f>IFERROR(__xludf.DUMMYFUNCTION("""COMPUTED_VALUE"""),"Ishant Bhutani")</f>
        <v>Ishant Bhutani</v>
      </c>
      <c r="C103" s="31" t="str">
        <f>IFERROR(__xludf.DUMMYFUNCTION("""COMPUTED_VALUE"""),"Marketing")</f>
        <v>Marketing</v>
      </c>
      <c r="D103" s="31">
        <f>IFERROR(__xludf.DUMMYFUNCTION("""COMPUTED_VALUE"""),9.873975201E9)</f>
        <v>9873975201</v>
      </c>
      <c r="E103" s="31" t="str">
        <f>IFERROR(__xludf.DUMMYFUNCTION("""COMPUTED_VALUE"""),"Associate Director- Digital Marketing")</f>
        <v>Associate Director- Digital Marketing</v>
      </c>
      <c r="F103" s="31" t="str">
        <f>IFERROR(__xludf.DUMMYFUNCTION("""COMPUTED_VALUE"""),"Digital Marketing")</f>
        <v>Digital Marketing</v>
      </c>
      <c r="G103" s="31" t="str">
        <f>IFERROR(__xludf.DUMMYFUNCTION("""COMPUTED_VALUE"""),"ishantbhutani7@gmail.com")</f>
        <v>ishantbhutani7@gmail.com</v>
      </c>
      <c r="H103" s="31" t="str">
        <f>IFERROR(__xludf.DUMMYFUNCTION("""COMPUTED_VALUE"""),"Nishant Jaiswal")</f>
        <v>Nishant Jaiswal</v>
      </c>
      <c r="I103" s="75">
        <f>IFERROR(__xludf.DUMMYFUNCTION("""COMPUTED_VALUE"""),45404.0)</f>
        <v>45404</v>
      </c>
      <c r="J103" s="31" t="str">
        <f>IFERROR(__xludf.DUMMYFUNCTION("""COMPUTED_VALUE"""),"Rajneesh Yadav")</f>
        <v>Rajneesh Yadav</v>
      </c>
      <c r="K103" s="31" t="str">
        <f>IFERROR(__xludf.DUMMYFUNCTION("""COMPUTED_VALUE"""),"Offer Declined")</f>
        <v>Offer Declined</v>
      </c>
      <c r="L103" s="31" t="str">
        <f>IFERROR(__xludf.DUMMYFUNCTION("""COMPUTED_VALUE"""),"In Office")</f>
        <v>In Office</v>
      </c>
      <c r="M103" s="31"/>
      <c r="N103" s="31"/>
    </row>
    <row r="104">
      <c r="A104" s="74">
        <f>IFERROR(__xludf.DUMMYFUNCTION("""COMPUTED_VALUE"""),45406.0)</f>
        <v>45406</v>
      </c>
      <c r="B104" s="31" t="str">
        <f>IFERROR(__xludf.DUMMYFUNCTION("""COMPUTED_VALUE"""),"Gokul Verma")</f>
        <v>Gokul Verma</v>
      </c>
      <c r="C104" s="31" t="str">
        <f>IFERROR(__xludf.DUMMYFUNCTION("""COMPUTED_VALUE"""),"Technology")</f>
        <v>Technology</v>
      </c>
      <c r="D104" s="31">
        <f>IFERROR(__xludf.DUMMYFUNCTION("""COMPUTED_VALUE"""),8.677910193E9)</f>
        <v>8677910193</v>
      </c>
      <c r="E104" s="31" t="str">
        <f>IFERROR(__xludf.DUMMYFUNCTION("""COMPUTED_VALUE"""),"SDET Trainee")</f>
        <v>SDET Trainee</v>
      </c>
      <c r="F104" s="31" t="str">
        <f>IFERROR(__xludf.DUMMYFUNCTION("""COMPUTED_VALUE"""),"SDET")</f>
        <v>SDET</v>
      </c>
      <c r="G104" s="31" t="str">
        <f>IFERROR(__xludf.DUMMYFUNCTION("""COMPUTED_VALUE"""),"gokulverma1020@gmail.com")</f>
        <v>gokulverma1020@gmail.com</v>
      </c>
      <c r="H104" s="31" t="str">
        <f>IFERROR(__xludf.DUMMYFUNCTION("""COMPUTED_VALUE"""),"Sahil Puri")</f>
        <v>Sahil Puri</v>
      </c>
      <c r="I104" s="75">
        <f>IFERROR(__xludf.DUMMYFUNCTION("""COMPUTED_VALUE"""),45405.0)</f>
        <v>45405</v>
      </c>
      <c r="J104" s="31" t="str">
        <f>IFERROR(__xludf.DUMMYFUNCTION("""COMPUTED_VALUE"""),"Mamta Pandey")</f>
        <v>Mamta Pandey</v>
      </c>
      <c r="K104" s="31" t="str">
        <f>IFERROR(__xludf.DUMMYFUNCTION("""COMPUTED_VALUE"""),"Joined")</f>
        <v>Joined</v>
      </c>
      <c r="L104" s="31" t="str">
        <f>IFERROR(__xludf.DUMMYFUNCTION("""COMPUTED_VALUE"""),"In Office")</f>
        <v>In Office</v>
      </c>
      <c r="M104" s="31" t="str">
        <f>IFERROR(__xludf.DUMMYFUNCTION("""COMPUTED_VALUE"""),"gokul.verma@zupee.in")</f>
        <v>gokul.verma@zupee.in</v>
      </c>
      <c r="N104" s="31" t="str">
        <f>IFERROR(__xludf.DUMMYFUNCTION("""COMPUTED_VALUE"""),"MWG2W4YQND")</f>
        <v>MWG2W4YQND</v>
      </c>
    </row>
    <row r="105">
      <c r="A105" s="74">
        <f>IFERROR(__xludf.DUMMYFUNCTION("""COMPUTED_VALUE"""),45449.0)</f>
        <v>45449</v>
      </c>
      <c r="B105" s="31" t="str">
        <f>IFERROR(__xludf.DUMMYFUNCTION("""COMPUTED_VALUE"""),"Ravi Shankar Jha")</f>
        <v>Ravi Shankar Jha</v>
      </c>
      <c r="C105" s="31" t="str">
        <f>IFERROR(__xludf.DUMMYFUNCTION("""COMPUTED_VALUE"""),"Corporate")</f>
        <v>Corporate</v>
      </c>
      <c r="D105" s="31">
        <f>IFERROR(__xludf.DUMMYFUNCTION("""COMPUTED_VALUE"""),9.810499201E9)</f>
        <v>9810499201</v>
      </c>
      <c r="E105" s="31" t="str">
        <f>IFERROR(__xludf.DUMMYFUNCTION("""COMPUTED_VALUE"""),"Director- Public Policy")</f>
        <v>Director- Public Policy</v>
      </c>
      <c r="F105" s="31" t="str">
        <f>IFERROR(__xludf.DUMMYFUNCTION("""COMPUTED_VALUE"""),"Public policy")</f>
        <v>Public policy</v>
      </c>
      <c r="G105" s="31" t="str">
        <f>IFERROR(__xludf.DUMMYFUNCTION("""COMPUTED_VALUE"""),"ravi@u.nus.edu")</f>
        <v>ravi@u.nus.edu</v>
      </c>
      <c r="H105" s="31" t="str">
        <f>IFERROR(__xludf.DUMMYFUNCTION("""COMPUTED_VALUE"""),"Ashwani Rana")</f>
        <v>Ashwani Rana</v>
      </c>
      <c r="I105" s="75">
        <f>IFERROR(__xludf.DUMMYFUNCTION("""COMPUTED_VALUE"""),45407.0)</f>
        <v>45407</v>
      </c>
      <c r="J105" s="31" t="str">
        <f>IFERROR(__xludf.DUMMYFUNCTION("""COMPUTED_VALUE"""),"M Sangeetha")</f>
        <v>M Sangeetha</v>
      </c>
      <c r="K105" s="31" t="str">
        <f>IFERROR(__xludf.DUMMYFUNCTION("""COMPUTED_VALUE"""),"Joined")</f>
        <v>Joined</v>
      </c>
      <c r="L105" s="31" t="str">
        <f>IFERROR(__xludf.DUMMYFUNCTION("""COMPUTED_VALUE"""),"In Office")</f>
        <v>In Office</v>
      </c>
      <c r="M105" s="31"/>
      <c r="N105" s="31"/>
    </row>
    <row r="106">
      <c r="A106" s="74">
        <f>IFERROR(__xludf.DUMMYFUNCTION("""COMPUTED_VALUE"""),45453.0)</f>
        <v>45453</v>
      </c>
      <c r="B106" s="31" t="str">
        <f>IFERROR(__xludf.DUMMYFUNCTION("""COMPUTED_VALUE"""),"Rahul Satija")</f>
        <v>Rahul Satija</v>
      </c>
      <c r="C106" s="31" t="str">
        <f>IFERROR(__xludf.DUMMYFUNCTION("""COMPUTED_VALUE"""),"Finance")</f>
        <v>Finance</v>
      </c>
      <c r="D106" s="31">
        <f>IFERROR(__xludf.DUMMYFUNCTION("""COMPUTED_VALUE"""),9.873976976E9)</f>
        <v>9873976976</v>
      </c>
      <c r="E106" s="31" t="str">
        <f>IFERROR(__xludf.DUMMYFUNCTION("""COMPUTED_VALUE"""),"Associate Director - Taxation")</f>
        <v>Associate Director - Taxation</v>
      </c>
      <c r="F106" s="31" t="str">
        <f>IFERROR(__xludf.DUMMYFUNCTION("""COMPUTED_VALUE"""),"Finance")</f>
        <v>Finance</v>
      </c>
      <c r="G106" s="31" t="str">
        <f>IFERROR(__xludf.DUMMYFUNCTION("""COMPUTED_VALUE"""),"rahulsatija251990@gmail.com")</f>
        <v>rahulsatija251990@gmail.com</v>
      </c>
      <c r="H106" s="31" t="str">
        <f>IFERROR(__xludf.DUMMYFUNCTION("""COMPUTED_VALUE"""),"Ankur Agarwal")</f>
        <v>Ankur Agarwal</v>
      </c>
      <c r="I106" s="75">
        <f>IFERROR(__xludf.DUMMYFUNCTION("""COMPUTED_VALUE"""),45407.0)</f>
        <v>45407</v>
      </c>
      <c r="J106" s="31" t="str">
        <f>IFERROR(__xludf.DUMMYFUNCTION("""COMPUTED_VALUE"""),"Naina")</f>
        <v>Naina</v>
      </c>
      <c r="K106" s="31" t="str">
        <f>IFERROR(__xludf.DUMMYFUNCTION("""COMPUTED_VALUE"""),"Joined")</f>
        <v>Joined</v>
      </c>
      <c r="L106" s="31" t="str">
        <f>IFERROR(__xludf.DUMMYFUNCTION("""COMPUTED_VALUE"""),"In Office")</f>
        <v>In Office</v>
      </c>
      <c r="M106" s="31" t="str">
        <f>IFERROR(__xludf.DUMMYFUNCTION("""COMPUTED_VALUE"""),"rahul.satija@zupee.in")</f>
        <v>rahul.satija@zupee.in</v>
      </c>
      <c r="N106" s="31" t="str">
        <f>IFERROR(__xludf.DUMMYFUNCTION("""COMPUTED_VALUE"""),"LDX2JP9PY7")</f>
        <v>LDX2JP9PY7</v>
      </c>
    </row>
    <row r="107">
      <c r="A107" s="74">
        <f>IFERROR(__xludf.DUMMYFUNCTION("""COMPUTED_VALUE"""),45432.0)</f>
        <v>45432</v>
      </c>
      <c r="B107" s="31" t="str">
        <f>IFERROR(__xludf.DUMMYFUNCTION("""COMPUTED_VALUE"""),"Vivek Sharma")</f>
        <v>Vivek Sharma</v>
      </c>
      <c r="C107" s="31" t="str">
        <f>IFERROR(__xludf.DUMMYFUNCTION("""COMPUTED_VALUE"""),"Technology")</f>
        <v>Technology</v>
      </c>
      <c r="D107" s="31">
        <f>IFERROR(__xludf.DUMMYFUNCTION("""COMPUTED_VALUE"""),9.868956498E9)</f>
        <v>9868956498</v>
      </c>
      <c r="E107" s="31" t="str">
        <f>IFERROR(__xludf.DUMMYFUNCTION("""COMPUTED_VALUE"""),"Tech Lead")</f>
        <v>Tech Lead</v>
      </c>
      <c r="F107" s="31" t="str">
        <f>IFERROR(__xludf.DUMMYFUNCTION("""COMPUTED_VALUE"""),"Backend")</f>
        <v>Backend</v>
      </c>
      <c r="G107" s="31" t="str">
        <f>IFERROR(__xludf.DUMMYFUNCTION("""COMPUTED_VALUE"""),"vivek6923sh@gmail.com ")</f>
        <v>vivek6923sh@gmail.com </v>
      </c>
      <c r="H107" s="31"/>
      <c r="I107" s="75">
        <f>IFERROR(__xludf.DUMMYFUNCTION("""COMPUTED_VALUE"""),45408.0)</f>
        <v>45408</v>
      </c>
      <c r="J107" s="31" t="str">
        <f>IFERROR(__xludf.DUMMYFUNCTION("""COMPUTED_VALUE"""),"Nidhi Khedekar")</f>
        <v>Nidhi Khedekar</v>
      </c>
      <c r="K107" s="31" t="str">
        <f>IFERROR(__xludf.DUMMYFUNCTION("""COMPUTED_VALUE"""),"Offer Declined")</f>
        <v>Offer Declined</v>
      </c>
      <c r="L107" s="31" t="str">
        <f>IFERROR(__xludf.DUMMYFUNCTION("""COMPUTED_VALUE"""),"In Office")</f>
        <v>In Office</v>
      </c>
      <c r="M107" s="31" t="str">
        <f>IFERROR(__xludf.DUMMYFUNCTION("""COMPUTED_VALUE"""),"vivek.sharma@zupee.in")</f>
        <v>vivek.sharma@zupee.in</v>
      </c>
      <c r="N107" s="31"/>
    </row>
    <row r="108">
      <c r="A108" s="74">
        <f>IFERROR(__xludf.DUMMYFUNCTION("""COMPUTED_VALUE"""),45411.0)</f>
        <v>45411</v>
      </c>
      <c r="B108" s="31" t="str">
        <f>IFERROR(__xludf.DUMMYFUNCTION("""COMPUTED_VALUE"""),"Ritvik Sharma")</f>
        <v>Ritvik Sharma</v>
      </c>
      <c r="C108" s="31" t="str">
        <f>IFERROR(__xludf.DUMMYFUNCTION("""COMPUTED_VALUE"""),"Data Science")</f>
        <v>Data Science</v>
      </c>
      <c r="D108" s="31">
        <f>IFERROR(__xludf.DUMMYFUNCTION("""COMPUTED_VALUE"""),9.632919094E9)</f>
        <v>9632919094</v>
      </c>
      <c r="E108" s="31" t="str">
        <f>IFERROR(__xludf.DUMMYFUNCTION("""COMPUTED_VALUE"""),"Lead- Data Scientist")</f>
        <v>Lead- Data Scientist</v>
      </c>
      <c r="F108" s="31" t="str">
        <f>IFERROR(__xludf.DUMMYFUNCTION("""COMPUTED_VALUE"""),"Data Science")</f>
        <v>Data Science</v>
      </c>
      <c r="G108" s="31" t="str">
        <f>IFERROR(__xludf.DUMMYFUNCTION("""COMPUTED_VALUE"""),"iamritviksharma@gmail.com")</f>
        <v>iamritviksharma@gmail.com</v>
      </c>
      <c r="H108" s="31" t="str">
        <f>IFERROR(__xludf.DUMMYFUNCTION("""COMPUTED_VALUE"""),"Sairam Mushyam")</f>
        <v>Sairam Mushyam</v>
      </c>
      <c r="I108" s="75">
        <f>IFERROR(__xludf.DUMMYFUNCTION("""COMPUTED_VALUE"""),45408.0)</f>
        <v>45408</v>
      </c>
      <c r="J108" s="31" t="str">
        <f>IFERROR(__xludf.DUMMYFUNCTION("""COMPUTED_VALUE"""),"Rajneesh Yadav")</f>
        <v>Rajneesh Yadav</v>
      </c>
      <c r="K108" s="31" t="str">
        <f>IFERROR(__xludf.DUMMYFUNCTION("""COMPUTED_VALUE"""),"Joined")</f>
        <v>Joined</v>
      </c>
      <c r="L108" s="31" t="str">
        <f>IFERROR(__xludf.DUMMYFUNCTION("""COMPUTED_VALUE"""),"In Office")</f>
        <v>In Office</v>
      </c>
      <c r="M108" s="31" t="str">
        <f>IFERROR(__xludf.DUMMYFUNCTION("""COMPUTED_VALUE"""),"ritvik.sharma@zupee.in")</f>
        <v>ritvik.sharma@zupee.in</v>
      </c>
      <c r="N108" s="31" t="str">
        <f>IFERROR(__xludf.DUMMYFUNCTION("""COMPUTED_VALUE"""),"C3V5P6D0YT")</f>
        <v>C3V5P6D0YT</v>
      </c>
    </row>
    <row r="109">
      <c r="A109" s="74">
        <f>IFERROR(__xludf.DUMMYFUNCTION("""COMPUTED_VALUE"""),45462.0)</f>
        <v>45462</v>
      </c>
      <c r="B109" s="31" t="str">
        <f>IFERROR(__xludf.DUMMYFUNCTION("""COMPUTED_VALUE"""),"Soumya Manna")</f>
        <v>Soumya Manna</v>
      </c>
      <c r="C109" s="31" t="str">
        <f>IFERROR(__xludf.DUMMYFUNCTION("""COMPUTED_VALUE"""),"Technology")</f>
        <v>Technology</v>
      </c>
      <c r="D109" s="31">
        <f>IFERROR(__xludf.DUMMYFUNCTION("""COMPUTED_VALUE"""),9.038772181E9)</f>
        <v>9038772181</v>
      </c>
      <c r="E109" s="31" t="str">
        <f>IFERROR(__xludf.DUMMYFUNCTION("""COMPUTED_VALUE"""),"Senior Software Engineer")</f>
        <v>Senior Software Engineer</v>
      </c>
      <c r="F109" s="31" t="str">
        <f>IFERROR(__xludf.DUMMYFUNCTION("""COMPUTED_VALUE"""),"Backend")</f>
        <v>Backend</v>
      </c>
      <c r="G109" s="31" t="str">
        <f>IFERROR(__xludf.DUMMYFUNCTION("""COMPUTED_VALUE"""),"sm323265@gmail.com")</f>
        <v>sm323265@gmail.com</v>
      </c>
      <c r="H109" s="31"/>
      <c r="I109" s="75">
        <f>IFERROR(__xludf.DUMMYFUNCTION("""COMPUTED_VALUE"""),45408.0)</f>
        <v>45408</v>
      </c>
      <c r="J109" s="31" t="str">
        <f>IFERROR(__xludf.DUMMYFUNCTION("""COMPUTED_VALUE"""),"Nidhi Khedekar")</f>
        <v>Nidhi Khedekar</v>
      </c>
      <c r="K109" s="31" t="str">
        <f>IFERROR(__xludf.DUMMYFUNCTION("""COMPUTED_VALUE"""),"Joined")</f>
        <v>Joined</v>
      </c>
      <c r="L109" s="31" t="str">
        <f>IFERROR(__xludf.DUMMYFUNCTION("""COMPUTED_VALUE"""),"In Office")</f>
        <v>In Office</v>
      </c>
      <c r="M109" s="31" t="str">
        <f>IFERROR(__xludf.DUMMYFUNCTION("""COMPUTED_VALUE"""),"soumya.manna@zupee.in")</f>
        <v>soumya.manna@zupee.in</v>
      </c>
      <c r="N109" s="31"/>
    </row>
    <row r="110">
      <c r="A110" s="74">
        <f>IFERROR(__xludf.DUMMYFUNCTION("""COMPUTED_VALUE"""),45413.0)</f>
        <v>45413</v>
      </c>
      <c r="B110" s="31" t="str">
        <f>IFERROR(__xludf.DUMMYFUNCTION("""COMPUTED_VALUE"""),"Shivangi")</f>
        <v>Shivangi</v>
      </c>
      <c r="C110" s="31" t="str">
        <f>IFERROR(__xludf.DUMMYFUNCTION("""COMPUTED_VALUE"""),"Product")</f>
        <v>Product</v>
      </c>
      <c r="D110" s="31">
        <f>IFERROR(__xludf.DUMMYFUNCTION("""COMPUTED_VALUE"""),8.802002803E9)</f>
        <v>8802002803</v>
      </c>
      <c r="E110" s="31" t="str">
        <f>IFERROR(__xludf.DUMMYFUNCTION("""COMPUTED_VALUE"""),"Senior User Experience Researcher ")</f>
        <v>Senior User Experience Researcher </v>
      </c>
      <c r="F110" s="31" t="str">
        <f>IFERROR(__xludf.DUMMYFUNCTION("""COMPUTED_VALUE"""),"Design")</f>
        <v>Design</v>
      </c>
      <c r="G110" s="31" t="str">
        <f>IFERROR(__xludf.DUMMYFUNCTION("""COMPUTED_VALUE"""),"shivangi.shivangi2802@gmail.com")</f>
        <v>shivangi.shivangi2802@gmail.com</v>
      </c>
      <c r="H110" s="31" t="str">
        <f>IFERROR(__xludf.DUMMYFUNCTION("""COMPUTED_VALUE"""),"Pareena Singh")</f>
        <v>Pareena Singh</v>
      </c>
      <c r="I110" s="75">
        <f>IFERROR(__xludf.DUMMYFUNCTION("""COMPUTED_VALUE"""),45412.0)</f>
        <v>45412</v>
      </c>
      <c r="J110" s="31" t="str">
        <f>IFERROR(__xludf.DUMMYFUNCTION("""COMPUTED_VALUE"""),"Naina")</f>
        <v>Naina</v>
      </c>
      <c r="K110" s="31" t="str">
        <f>IFERROR(__xludf.DUMMYFUNCTION("""COMPUTED_VALUE"""),"Joined")</f>
        <v>Joined</v>
      </c>
      <c r="L110" s="31" t="str">
        <f>IFERROR(__xludf.DUMMYFUNCTION("""COMPUTED_VALUE"""),"In Office")</f>
        <v>In Office</v>
      </c>
      <c r="M110" s="31" t="str">
        <f>IFERROR(__xludf.DUMMYFUNCTION("""COMPUTED_VALUE"""),"shivangi.shivangi@zupee.in")</f>
        <v>shivangi.shivangi@zupee.in</v>
      </c>
      <c r="N110" s="31"/>
    </row>
    <row r="111">
      <c r="A111" s="74">
        <f>IFERROR(__xludf.DUMMYFUNCTION("""COMPUTED_VALUE"""),45413.0)</f>
        <v>45413</v>
      </c>
      <c r="B111" s="31" t="str">
        <f>IFERROR(__xludf.DUMMYFUNCTION("""COMPUTED_VALUE"""),"Uma Batra")</f>
        <v>Uma Batra</v>
      </c>
      <c r="C111" s="31" t="str">
        <f>IFERROR(__xludf.DUMMYFUNCTION("""COMPUTED_VALUE"""),"Customer Experience")</f>
        <v>Customer Experience</v>
      </c>
      <c r="D111" s="31">
        <f>IFERROR(__xludf.DUMMYFUNCTION("""COMPUTED_VALUE"""),8.708492778E9)</f>
        <v>8708492778</v>
      </c>
      <c r="E111" s="31" t="str">
        <f>IFERROR(__xludf.DUMMYFUNCTION("""COMPUTED_VALUE"""),"Senior Executive – Customer Experience")</f>
        <v>Senior Executive – Customer Experience</v>
      </c>
      <c r="F111" s="31" t="str">
        <f>IFERROR(__xludf.DUMMYFUNCTION("""COMPUTED_VALUE"""),"Customer Relation Management")</f>
        <v>Customer Relation Management</v>
      </c>
      <c r="G111" s="31" t="str">
        <f>IFERROR(__xludf.DUMMYFUNCTION("""COMPUTED_VALUE"""),"umabatra196@gmail.com")</f>
        <v>umabatra196@gmail.com</v>
      </c>
      <c r="H111" s="31" t="str">
        <f>IFERROR(__xludf.DUMMYFUNCTION("""COMPUTED_VALUE"""),"Alankrita Sharma")</f>
        <v>Alankrita Sharma</v>
      </c>
      <c r="I111" s="75">
        <f>IFERROR(__xludf.DUMMYFUNCTION("""COMPUTED_VALUE"""),45412.0)</f>
        <v>45412</v>
      </c>
      <c r="J111" s="31" t="str">
        <f>IFERROR(__xludf.DUMMYFUNCTION("""COMPUTED_VALUE"""),"Nidhi Khedekar")</f>
        <v>Nidhi Khedekar</v>
      </c>
      <c r="K111" s="31" t="str">
        <f>IFERROR(__xludf.DUMMYFUNCTION("""COMPUTED_VALUE"""),"Joined")</f>
        <v>Joined</v>
      </c>
      <c r="L111" s="31" t="str">
        <f>IFERROR(__xludf.DUMMYFUNCTION("""COMPUTED_VALUE"""),"In Office")</f>
        <v>In Office</v>
      </c>
      <c r="M111" s="31" t="str">
        <f>IFERROR(__xludf.DUMMYFUNCTION("""COMPUTED_VALUE"""),"uma.batra@zupee.in")</f>
        <v>uma.batra@zupee.in</v>
      </c>
      <c r="N111" s="31"/>
    </row>
    <row r="112">
      <c r="A112" s="74">
        <f>IFERROR(__xludf.DUMMYFUNCTION("""COMPUTED_VALUE"""),45418.0)</f>
        <v>45418</v>
      </c>
      <c r="B112" s="31" t="str">
        <f>IFERROR(__xludf.DUMMYFUNCTION("""COMPUTED_VALUE"""),"Utkarsh Vishal ")</f>
        <v>Utkarsh Vishal </v>
      </c>
      <c r="C112" s="31" t="str">
        <f>IFERROR(__xludf.DUMMYFUNCTION("""COMPUTED_VALUE"""),"Analytics")</f>
        <v>Analytics</v>
      </c>
      <c r="D112" s="31">
        <f>IFERROR(__xludf.DUMMYFUNCTION("""COMPUTED_VALUE"""),8.617754783E9)</f>
        <v>8617754783</v>
      </c>
      <c r="E112" s="31" t="str">
        <f>IFERROR(__xludf.DUMMYFUNCTION("""COMPUTED_VALUE"""),"Senior Data Analyst")</f>
        <v>Senior Data Analyst</v>
      </c>
      <c r="F112" s="31" t="str">
        <f>IFERROR(__xludf.DUMMYFUNCTION("""COMPUTED_VALUE"""),"Product Analytics")</f>
        <v>Product Analytics</v>
      </c>
      <c r="G112" s="31" t="str">
        <f>IFERROR(__xludf.DUMMYFUNCTION("""COMPUTED_VALUE"""),"utkarsh9874@gmail.com")</f>
        <v>utkarsh9874@gmail.com</v>
      </c>
      <c r="H112" s="31" t="str">
        <f>IFERROR(__xludf.DUMMYFUNCTION("""COMPUTED_VALUE"""),"Raman Malik")</f>
        <v>Raman Malik</v>
      </c>
      <c r="I112" s="75">
        <f>IFERROR(__xludf.DUMMYFUNCTION("""COMPUTED_VALUE"""),45413.0)</f>
        <v>45413</v>
      </c>
      <c r="J112" s="31" t="str">
        <f>IFERROR(__xludf.DUMMYFUNCTION("""COMPUTED_VALUE"""),"Nidhi Khedekar")</f>
        <v>Nidhi Khedekar</v>
      </c>
      <c r="K112" s="31" t="str">
        <f>IFERROR(__xludf.DUMMYFUNCTION("""COMPUTED_VALUE"""),"Joined")</f>
        <v>Joined</v>
      </c>
      <c r="L112" s="31" t="str">
        <f>IFERROR(__xludf.DUMMYFUNCTION("""COMPUTED_VALUE"""),"In Office")</f>
        <v>In Office</v>
      </c>
      <c r="M112" s="31"/>
      <c r="N112" s="31"/>
    </row>
    <row r="113">
      <c r="A113" s="74">
        <f>IFERROR(__xludf.DUMMYFUNCTION("""COMPUTED_VALUE"""),45509.0)</f>
        <v>45509</v>
      </c>
      <c r="B113" s="31" t="str">
        <f>IFERROR(__xludf.DUMMYFUNCTION("""COMPUTED_VALUE"""),"Shashank Gupta")</f>
        <v>Shashank Gupta</v>
      </c>
      <c r="C113" s="31" t="str">
        <f>IFERROR(__xludf.DUMMYFUNCTION("""COMPUTED_VALUE"""),"Finance")</f>
        <v>Finance</v>
      </c>
      <c r="D113" s="31">
        <f>IFERROR(__xludf.DUMMYFUNCTION("""COMPUTED_VALUE"""),8.584062327E9)</f>
        <v>8584062327</v>
      </c>
      <c r="E113" s="31" t="str">
        <f>IFERROR(__xludf.DUMMYFUNCTION("""COMPUTED_VALUE"""),"Associate Director- Business Finance ")</f>
        <v>Associate Director- Business Finance </v>
      </c>
      <c r="F113" s="31" t="str">
        <f>IFERROR(__xludf.DUMMYFUNCTION("""COMPUTED_VALUE"""),"Finance")</f>
        <v>Finance</v>
      </c>
      <c r="G113" s="31" t="str">
        <f>IFERROR(__xludf.DUMMYFUNCTION("""COMPUTED_VALUE"""),"shashankg2015@email.iimcal.ac.in")</f>
        <v>shashankg2015@email.iimcal.ac.in</v>
      </c>
      <c r="H113" s="31" t="str">
        <f>IFERROR(__xludf.DUMMYFUNCTION("""COMPUTED_VALUE"""),"Sumit Chugh")</f>
        <v>Sumit Chugh</v>
      </c>
      <c r="I113" s="75">
        <f>IFERROR(__xludf.DUMMYFUNCTION("""COMPUTED_VALUE"""),45413.0)</f>
        <v>45413</v>
      </c>
      <c r="J113" s="31" t="str">
        <f>IFERROR(__xludf.DUMMYFUNCTION("""COMPUTED_VALUE"""),"Rajneesh Yadav")</f>
        <v>Rajneesh Yadav</v>
      </c>
      <c r="K113" s="31" t="str">
        <f>IFERROR(__xludf.DUMMYFUNCTION("""COMPUTED_VALUE"""),"Joined")</f>
        <v>Joined</v>
      </c>
      <c r="L113" s="31" t="str">
        <f>IFERROR(__xludf.DUMMYFUNCTION("""COMPUTED_VALUE"""),"In Office")</f>
        <v>In Office</v>
      </c>
      <c r="M113" s="31" t="str">
        <f>IFERROR(__xludf.DUMMYFUNCTION("""COMPUTED_VALUE"""),"shashank.gupta@zupee.in")</f>
        <v>shashank.gupta@zupee.in</v>
      </c>
      <c r="N113" s="31" t="str">
        <f>IFERROR(__xludf.DUMMYFUNCTION("""COMPUTED_VALUE"""),"PW03VMLH")</f>
        <v>PW03VMLH</v>
      </c>
    </row>
    <row r="114">
      <c r="A114" s="74">
        <f>IFERROR(__xludf.DUMMYFUNCTION("""COMPUTED_VALUE"""),45481.0)</f>
        <v>45481</v>
      </c>
      <c r="B114" s="31" t="str">
        <f>IFERROR(__xludf.DUMMYFUNCTION("""COMPUTED_VALUE"""),"Yuvam Parmar")</f>
        <v>Yuvam Parmar</v>
      </c>
      <c r="C114" s="31" t="str">
        <f>IFERROR(__xludf.DUMMYFUNCTION("""COMPUTED_VALUE"""),"Game Design")</f>
        <v>Game Design</v>
      </c>
      <c r="D114" s="31">
        <f>IFERROR(__xludf.DUMMYFUNCTION("""COMPUTED_VALUE"""),9.818826113E9)</f>
        <v>9818826113</v>
      </c>
      <c r="E114" s="31" t="str">
        <f>IFERROR(__xludf.DUMMYFUNCTION("""COMPUTED_VALUE"""),"Lead Game Designer")</f>
        <v>Lead Game Designer</v>
      </c>
      <c r="F114" s="31" t="str">
        <f>IFERROR(__xludf.DUMMYFUNCTION("""COMPUTED_VALUE"""),"Game Design")</f>
        <v>Game Design</v>
      </c>
      <c r="G114" s="31" t="str">
        <f>IFERROR(__xludf.DUMMYFUNCTION("""COMPUTED_VALUE"""),"parmaryuvam27@gmail.com")</f>
        <v>parmaryuvam27@gmail.com</v>
      </c>
      <c r="H114" s="31" t="str">
        <f>IFERROR(__xludf.DUMMYFUNCTION("""COMPUTED_VALUE"""),"Sairam Mushyam")</f>
        <v>Sairam Mushyam</v>
      </c>
      <c r="I114" s="75">
        <f>IFERROR(__xludf.DUMMYFUNCTION("""COMPUTED_VALUE"""),45413.0)</f>
        <v>45413</v>
      </c>
      <c r="J114" s="31" t="str">
        <f>IFERROR(__xludf.DUMMYFUNCTION("""COMPUTED_VALUE"""),"Rajneesh Yadav")</f>
        <v>Rajneesh Yadav</v>
      </c>
      <c r="K114" s="31" t="str">
        <f>IFERROR(__xludf.DUMMYFUNCTION("""COMPUTED_VALUE"""),"Joined")</f>
        <v>Joined</v>
      </c>
      <c r="L114" s="31" t="str">
        <f>IFERROR(__xludf.DUMMYFUNCTION("""COMPUTED_VALUE"""),"In Office")</f>
        <v>In Office</v>
      </c>
      <c r="M114" s="31" t="str">
        <f>IFERROR(__xludf.DUMMYFUNCTION("""COMPUTED_VALUE"""),"yuvam.parmar@zupee.in")</f>
        <v>yuvam.parmar@zupee.in</v>
      </c>
      <c r="N114" s="31"/>
    </row>
    <row r="115">
      <c r="A115" s="74">
        <f>IFERROR(__xludf.DUMMYFUNCTION("""COMPUTED_VALUE"""),45460.0)</f>
        <v>45460</v>
      </c>
      <c r="B115" s="31" t="str">
        <f>IFERROR(__xludf.DUMMYFUNCTION("""COMPUTED_VALUE"""),"Nishant Tripathi")</f>
        <v>Nishant Tripathi</v>
      </c>
      <c r="C115" s="31" t="str">
        <f>IFERROR(__xludf.DUMMYFUNCTION("""COMPUTED_VALUE"""),"Founder's Office")</f>
        <v>Founder's Office</v>
      </c>
      <c r="D115" s="31">
        <f>IFERROR(__xludf.DUMMYFUNCTION("""COMPUTED_VALUE"""),8.433195473E9)</f>
        <v>8433195473</v>
      </c>
      <c r="E115" s="31" t="str">
        <f>IFERROR(__xludf.DUMMYFUNCTION("""COMPUTED_VALUE"""),"Executive- Founder's Office")</f>
        <v>Executive- Founder's Office</v>
      </c>
      <c r="F115" s="31" t="str">
        <f>IFERROR(__xludf.DUMMYFUNCTION("""COMPUTED_VALUE"""),"Founder's Office")</f>
        <v>Founder's Office</v>
      </c>
      <c r="G115" s="31" t="str">
        <f>IFERROR(__xludf.DUMMYFUNCTION("""COMPUTED_VALUE"""),"nishant20@iitk.ac.in")</f>
        <v>nishant20@iitk.ac.in</v>
      </c>
      <c r="H115" s="31" t="str">
        <f>IFERROR(__xludf.DUMMYFUNCTION("""COMPUTED_VALUE"""),"Dilsher Malhi")</f>
        <v>Dilsher Malhi</v>
      </c>
      <c r="I115" s="75">
        <f>IFERROR(__xludf.DUMMYFUNCTION("""COMPUTED_VALUE"""),45413.0)</f>
        <v>45413</v>
      </c>
      <c r="J115" s="31" t="str">
        <f>IFERROR(__xludf.DUMMYFUNCTION("""COMPUTED_VALUE"""),"M Sangeetha")</f>
        <v>M Sangeetha</v>
      </c>
      <c r="K115" s="31" t="str">
        <f>IFERROR(__xludf.DUMMYFUNCTION("""COMPUTED_VALUE"""),"Joined")</f>
        <v>Joined</v>
      </c>
      <c r="L115" s="31" t="str">
        <f>IFERROR(__xludf.DUMMYFUNCTION("""COMPUTED_VALUE"""),"In Office")</f>
        <v>In Office</v>
      </c>
      <c r="M115" s="31" t="str">
        <f>IFERROR(__xludf.DUMMYFUNCTION("""COMPUTED_VALUE"""),"nishant.tripathi@zupee.in")</f>
        <v>nishant.tripathi@zupee.in</v>
      </c>
      <c r="N115" s="31"/>
    </row>
    <row r="116">
      <c r="A116" s="74">
        <f>IFERROR(__xludf.DUMMYFUNCTION("""COMPUTED_VALUE"""),45460.0)</f>
        <v>45460</v>
      </c>
      <c r="B116" s="31" t="str">
        <f>IFERROR(__xludf.DUMMYFUNCTION("""COMPUTED_VALUE"""),"Aditi Khanna")</f>
        <v>Aditi Khanna</v>
      </c>
      <c r="C116" s="31" t="str">
        <f>IFERROR(__xludf.DUMMYFUNCTION("""COMPUTED_VALUE"""),"Founder's Office")</f>
        <v>Founder's Office</v>
      </c>
      <c r="D116" s="31">
        <f>IFERROR(__xludf.DUMMYFUNCTION("""COMPUTED_VALUE"""),8.287549188E9)</f>
        <v>8287549188</v>
      </c>
      <c r="E116" s="31" t="str">
        <f>IFERROR(__xludf.DUMMYFUNCTION("""COMPUTED_VALUE"""),"Executive- Founder's Office")</f>
        <v>Executive- Founder's Office</v>
      </c>
      <c r="F116" s="31" t="str">
        <f>IFERROR(__xludf.DUMMYFUNCTION("""COMPUTED_VALUE"""),"Founder's Office")</f>
        <v>Founder's Office</v>
      </c>
      <c r="G116" s="31" t="str">
        <f>IFERROR(__xludf.DUMMYFUNCTION("""COMPUTED_VALUE"""),"khannaaditi405@gmail.com")</f>
        <v>khannaaditi405@gmail.com</v>
      </c>
      <c r="H116" s="31" t="str">
        <f>IFERROR(__xludf.DUMMYFUNCTION("""COMPUTED_VALUE"""),"Dilsher Malhi")</f>
        <v>Dilsher Malhi</v>
      </c>
      <c r="I116" s="75">
        <f>IFERROR(__xludf.DUMMYFUNCTION("""COMPUTED_VALUE"""),45413.0)</f>
        <v>45413</v>
      </c>
      <c r="J116" s="31" t="str">
        <f>IFERROR(__xludf.DUMMYFUNCTION("""COMPUTED_VALUE"""),"M Sangeetha")</f>
        <v>M Sangeetha</v>
      </c>
      <c r="K116" s="31" t="str">
        <f>IFERROR(__xludf.DUMMYFUNCTION("""COMPUTED_VALUE"""),"Joined")</f>
        <v>Joined</v>
      </c>
      <c r="L116" s="31" t="str">
        <f>IFERROR(__xludf.DUMMYFUNCTION("""COMPUTED_VALUE"""),"In Office")</f>
        <v>In Office</v>
      </c>
      <c r="M116" s="31" t="str">
        <f>IFERROR(__xludf.DUMMYFUNCTION("""COMPUTED_VALUE"""),"aditi.khanna@zupee.in")</f>
        <v>aditi.khanna@zupee.in</v>
      </c>
      <c r="N116" s="31" t="str">
        <f>IFERROR(__xludf.DUMMYFUNCTION("""COMPUTED_VALUE"""),"DF4NF4XHMV")</f>
        <v>DF4NF4XHMV</v>
      </c>
    </row>
    <row r="117">
      <c r="A117" s="74">
        <f>IFERROR(__xludf.DUMMYFUNCTION("""COMPUTED_VALUE"""),45421.0)</f>
        <v>45421</v>
      </c>
      <c r="B117" s="31" t="str">
        <f>IFERROR(__xludf.DUMMYFUNCTION("""COMPUTED_VALUE"""),"Kanwar Aditya Singh")</f>
        <v>Kanwar Aditya Singh</v>
      </c>
      <c r="C117" s="31" t="str">
        <f>IFERROR(__xludf.DUMMYFUNCTION("""COMPUTED_VALUE"""),"Technology")</f>
        <v>Technology</v>
      </c>
      <c r="D117" s="31">
        <f>IFERROR(__xludf.DUMMYFUNCTION("""COMPUTED_VALUE"""),8.708190168E9)</f>
        <v>8708190168</v>
      </c>
      <c r="E117" s="31" t="str">
        <f>IFERROR(__xludf.DUMMYFUNCTION("""COMPUTED_VALUE"""),"SDET Trainee")</f>
        <v>SDET Trainee</v>
      </c>
      <c r="F117" s="31" t="str">
        <f>IFERROR(__xludf.DUMMYFUNCTION("""COMPUTED_VALUE"""),"SDET")</f>
        <v>SDET</v>
      </c>
      <c r="G117" s="31" t="str">
        <f>IFERROR(__xludf.DUMMYFUNCTION("""COMPUTED_VALUE"""),"kanwaradityasingh30@gmail.com")</f>
        <v>kanwaradityasingh30@gmail.com</v>
      </c>
      <c r="H117" s="31" t="str">
        <f>IFERROR(__xludf.DUMMYFUNCTION("""COMPUTED_VALUE"""),"Sahil Puri")</f>
        <v>Sahil Puri</v>
      </c>
      <c r="I117" s="75">
        <f>IFERROR(__xludf.DUMMYFUNCTION("""COMPUTED_VALUE"""),45420.0)</f>
        <v>45420</v>
      </c>
      <c r="J117" s="31" t="str">
        <f>IFERROR(__xludf.DUMMYFUNCTION("""COMPUTED_VALUE"""),"Mamta Pandey")</f>
        <v>Mamta Pandey</v>
      </c>
      <c r="K117" s="31" t="str">
        <f>IFERROR(__xludf.DUMMYFUNCTION("""COMPUTED_VALUE"""),"Joined")</f>
        <v>Joined</v>
      </c>
      <c r="L117" s="31" t="str">
        <f>IFERROR(__xludf.DUMMYFUNCTION("""COMPUTED_VALUE"""),"In Office")</f>
        <v>In Office</v>
      </c>
      <c r="M117" s="31" t="str">
        <f>IFERROR(__xludf.DUMMYFUNCTION("""COMPUTED_VALUE"""),"kanwar.singh@zupee.in")</f>
        <v>kanwar.singh@zupee.in</v>
      </c>
      <c r="N117" s="31" t="str">
        <f>IFERROR(__xludf.DUMMYFUNCTION("""COMPUTED_VALUE"""),"G6497T97JF")</f>
        <v>G6497T97JF</v>
      </c>
    </row>
    <row r="118">
      <c r="A118" s="74">
        <f>IFERROR(__xludf.DUMMYFUNCTION("""COMPUTED_VALUE"""),45453.0)</f>
        <v>45453</v>
      </c>
      <c r="B118" s="31" t="str">
        <f>IFERROR(__xludf.DUMMYFUNCTION("""COMPUTED_VALUE"""),"Mrityunjay Kumar")</f>
        <v>Mrityunjay Kumar</v>
      </c>
      <c r="C118" s="31" t="str">
        <f>IFERROR(__xludf.DUMMYFUNCTION("""COMPUTED_VALUE"""),"Customer Experience")</f>
        <v>Customer Experience</v>
      </c>
      <c r="D118" s="31">
        <f>IFERROR(__xludf.DUMMYFUNCTION("""COMPUTED_VALUE"""),7.694966881E9)</f>
        <v>7694966881</v>
      </c>
      <c r="E118" s="31" t="str">
        <f>IFERROR(__xludf.DUMMYFUNCTION("""COMPUTED_VALUE"""),"AM-Operation and Strategy")</f>
        <v>AM-Operation and Strategy</v>
      </c>
      <c r="F118" s="31" t="str">
        <f>IFERROR(__xludf.DUMMYFUNCTION("""COMPUTED_VALUE"""),"Customer Relation Management")</f>
        <v>Customer Relation Management</v>
      </c>
      <c r="G118" s="31" t="str">
        <f>IFERROR(__xludf.DUMMYFUNCTION("""COMPUTED_VALUE"""),"Mrityunjay1061@gmail.com")</f>
        <v>Mrityunjay1061@gmail.com</v>
      </c>
      <c r="H118" s="31" t="str">
        <f>IFERROR(__xludf.DUMMYFUNCTION("""COMPUTED_VALUE"""),"Sumit Yadav")</f>
        <v>Sumit Yadav</v>
      </c>
      <c r="I118" s="75">
        <f>IFERROR(__xludf.DUMMYFUNCTION("""COMPUTED_VALUE"""),45421.0)</f>
        <v>45421</v>
      </c>
      <c r="J118" s="31" t="str">
        <f>IFERROR(__xludf.DUMMYFUNCTION("""COMPUTED_VALUE"""),"Nidhi Khedekar")</f>
        <v>Nidhi Khedekar</v>
      </c>
      <c r="K118" s="31" t="str">
        <f>IFERROR(__xludf.DUMMYFUNCTION("""COMPUTED_VALUE"""),"Joined")</f>
        <v>Joined</v>
      </c>
      <c r="L118" s="31" t="str">
        <f>IFERROR(__xludf.DUMMYFUNCTION("""COMPUTED_VALUE"""),"In Office")</f>
        <v>In Office</v>
      </c>
      <c r="M118" s="31" t="str">
        <f>IFERROR(__xludf.DUMMYFUNCTION("""COMPUTED_VALUE"""),"mrityunjay.k@zupee.in")</f>
        <v>mrityunjay.k@zupee.in</v>
      </c>
      <c r="N118" s="31" t="str">
        <f>IFERROR(__xludf.DUMMYFUNCTION("""COMPUTED_VALUE"""),"4BGJDK3")</f>
        <v>4BGJDK3</v>
      </c>
    </row>
    <row r="119">
      <c r="A119" s="74">
        <f>IFERROR(__xludf.DUMMYFUNCTION("""COMPUTED_VALUE"""),45467.0)</f>
        <v>45467</v>
      </c>
      <c r="B119" s="31" t="str">
        <f>IFERROR(__xludf.DUMMYFUNCTION("""COMPUTED_VALUE"""),"Gaurav Chawla")</f>
        <v>Gaurav Chawla</v>
      </c>
      <c r="C119" s="31" t="str">
        <f>IFERROR(__xludf.DUMMYFUNCTION("""COMPUTED_VALUE"""),"Analytics")</f>
        <v>Analytics</v>
      </c>
      <c r="D119" s="31">
        <f>IFERROR(__xludf.DUMMYFUNCTION("""COMPUTED_VALUE"""),6.307064628E9)</f>
        <v>6307064628</v>
      </c>
      <c r="E119" s="31" t="str">
        <f>IFERROR(__xludf.DUMMYFUNCTION("""COMPUTED_VALUE"""),"Lead Data Analyst")</f>
        <v>Lead Data Analyst</v>
      </c>
      <c r="F119" s="31" t="str">
        <f>IFERROR(__xludf.DUMMYFUNCTION("""COMPUTED_VALUE"""),"Product Analytics")</f>
        <v>Product Analytics</v>
      </c>
      <c r="G119" s="31" t="str">
        <f>IFERROR(__xludf.DUMMYFUNCTION("""COMPUTED_VALUE"""),"chawla.gaurav112@gmail.com")</f>
        <v>chawla.gaurav112@gmail.com</v>
      </c>
      <c r="H119" s="31" t="str">
        <f>IFERROR(__xludf.DUMMYFUNCTION("""COMPUTED_VALUE"""),"Raman Malik")</f>
        <v>Raman Malik</v>
      </c>
      <c r="I119" s="75">
        <f>IFERROR(__xludf.DUMMYFUNCTION("""COMPUTED_VALUE"""),45421.0)</f>
        <v>45421</v>
      </c>
      <c r="J119" s="31" t="str">
        <f>IFERROR(__xludf.DUMMYFUNCTION("""COMPUTED_VALUE"""),"Mamta Pandey")</f>
        <v>Mamta Pandey</v>
      </c>
      <c r="K119" s="31" t="str">
        <f>IFERROR(__xludf.DUMMYFUNCTION("""COMPUTED_VALUE"""),"Offer Declined")</f>
        <v>Offer Declined</v>
      </c>
      <c r="L119" s="31" t="str">
        <f>IFERROR(__xludf.DUMMYFUNCTION("""COMPUTED_VALUE"""),"In Office")</f>
        <v>In Office</v>
      </c>
      <c r="M119" s="31"/>
      <c r="N119" s="31"/>
    </row>
    <row r="120">
      <c r="A120" s="74">
        <f>IFERROR(__xludf.DUMMYFUNCTION("""COMPUTED_VALUE"""),45453.0)</f>
        <v>45453</v>
      </c>
      <c r="B120" s="31" t="str">
        <f>IFERROR(__xludf.DUMMYFUNCTION("""COMPUTED_VALUE"""),"Pallavi Singh")</f>
        <v>Pallavi Singh</v>
      </c>
      <c r="C120" s="31" t="str">
        <f>IFERROR(__xludf.DUMMYFUNCTION("""COMPUTED_VALUE"""),"Analytics")</f>
        <v>Analytics</v>
      </c>
      <c r="D120" s="31">
        <f>IFERROR(__xludf.DUMMYFUNCTION("""COMPUTED_VALUE"""),9.582878511E9)</f>
        <v>9582878511</v>
      </c>
      <c r="E120" s="31" t="str">
        <f>IFERROR(__xludf.DUMMYFUNCTION("""COMPUTED_VALUE"""),"Lead Data Analyst")</f>
        <v>Lead Data Analyst</v>
      </c>
      <c r="F120" s="31" t="str">
        <f>IFERROR(__xludf.DUMMYFUNCTION("""COMPUTED_VALUE"""),"Product Analytics")</f>
        <v>Product Analytics</v>
      </c>
      <c r="G120" s="31" t="str">
        <f>IFERROR(__xludf.DUMMYFUNCTION("""COMPUTED_VALUE"""),"pallavi.sin02@gmail.com ")</f>
        <v>pallavi.sin02@gmail.com </v>
      </c>
      <c r="H120" s="31" t="str">
        <f>IFERROR(__xludf.DUMMYFUNCTION("""COMPUTED_VALUE"""),"Raman Malik")</f>
        <v>Raman Malik</v>
      </c>
      <c r="I120" s="75">
        <f>IFERROR(__xludf.DUMMYFUNCTION("""COMPUTED_VALUE"""),45425.0)</f>
        <v>45425</v>
      </c>
      <c r="J120" s="31" t="str">
        <f>IFERROR(__xludf.DUMMYFUNCTION("""COMPUTED_VALUE"""),"Mamta Pandey")</f>
        <v>Mamta Pandey</v>
      </c>
      <c r="K120" s="31" t="str">
        <f>IFERROR(__xludf.DUMMYFUNCTION("""COMPUTED_VALUE"""),"Joined")</f>
        <v>Joined</v>
      </c>
      <c r="L120" s="31" t="str">
        <f>IFERROR(__xludf.DUMMYFUNCTION("""COMPUTED_VALUE"""),"In Office")</f>
        <v>In Office</v>
      </c>
      <c r="M120" s="31" t="str">
        <f>IFERROR(__xludf.DUMMYFUNCTION("""COMPUTED_VALUE"""),"pallavi.singh@zupee.in")</f>
        <v>pallavi.singh@zupee.in</v>
      </c>
      <c r="N120" s="31"/>
    </row>
    <row r="121">
      <c r="A121" s="74">
        <f>IFERROR(__xludf.DUMMYFUNCTION("""COMPUTED_VALUE"""),45446.0)</f>
        <v>45446</v>
      </c>
      <c r="B121" s="31" t="str">
        <f>IFERROR(__xludf.DUMMYFUNCTION("""COMPUTED_VALUE"""),"Abhishek Gupta")</f>
        <v>Abhishek Gupta</v>
      </c>
      <c r="C121" s="31" t="str">
        <f>IFERROR(__xludf.DUMMYFUNCTION("""COMPUTED_VALUE"""),"Technology")</f>
        <v>Technology</v>
      </c>
      <c r="D121" s="31">
        <f>IFERROR(__xludf.DUMMYFUNCTION("""COMPUTED_VALUE"""),9.999913305E9)</f>
        <v>9999913305</v>
      </c>
      <c r="E121" s="31" t="str">
        <f>IFERROR(__xludf.DUMMYFUNCTION("""COMPUTED_VALUE"""),"VP- Engineering")</f>
        <v>VP- Engineering</v>
      </c>
      <c r="F121" s="31" t="str">
        <f>IFERROR(__xludf.DUMMYFUNCTION("""COMPUTED_VALUE"""),"Engineering")</f>
        <v>Engineering</v>
      </c>
      <c r="G121" s="31" t="str">
        <f>IFERROR(__xludf.DUMMYFUNCTION("""COMPUTED_VALUE"""),"abhishekgupta230489@gmail.com")</f>
        <v>abhishekgupta230489@gmail.com</v>
      </c>
      <c r="H121" s="31" t="str">
        <f>IFERROR(__xludf.DUMMYFUNCTION("""COMPUTED_VALUE"""),"Dilsher Malhi")</f>
        <v>Dilsher Malhi</v>
      </c>
      <c r="I121" s="75">
        <f>IFERROR(__xludf.DUMMYFUNCTION("""COMPUTED_VALUE"""),45425.0)</f>
        <v>45425</v>
      </c>
      <c r="J121" s="31" t="str">
        <f>IFERROR(__xludf.DUMMYFUNCTION("""COMPUTED_VALUE"""),"Rajneesh Yadav")</f>
        <v>Rajneesh Yadav</v>
      </c>
      <c r="K121" s="31" t="str">
        <f>IFERROR(__xludf.DUMMYFUNCTION("""COMPUTED_VALUE"""),"Joined")</f>
        <v>Joined</v>
      </c>
      <c r="L121" s="31" t="str">
        <f>IFERROR(__xludf.DUMMYFUNCTION("""COMPUTED_VALUE"""),"In Office")</f>
        <v>In Office</v>
      </c>
      <c r="M121" s="31" t="str">
        <f>IFERROR(__xludf.DUMMYFUNCTION("""COMPUTED_VALUE"""),"abhishek.g@zupee.in")</f>
        <v>abhishek.g@zupee.in</v>
      </c>
      <c r="N121" s="31"/>
    </row>
    <row r="122">
      <c r="A122" s="74">
        <f>IFERROR(__xludf.DUMMYFUNCTION("""COMPUTED_VALUE"""),45474.0)</f>
        <v>45474</v>
      </c>
      <c r="B122" s="31" t="str">
        <f>IFERROR(__xludf.DUMMYFUNCTION("""COMPUTED_VALUE"""),"Shubham Agarwal")</f>
        <v>Shubham Agarwal</v>
      </c>
      <c r="C122" s="31" t="str">
        <f>IFERROR(__xludf.DUMMYFUNCTION("""COMPUTED_VALUE"""),"Technology")</f>
        <v>Technology</v>
      </c>
      <c r="D122" s="31">
        <f>IFERROR(__xludf.DUMMYFUNCTION("""COMPUTED_VALUE"""),8.287847369E9)</f>
        <v>8287847369</v>
      </c>
      <c r="E122" s="31" t="str">
        <f>IFERROR(__xludf.DUMMYFUNCTION("""COMPUTED_VALUE"""),"Senior Software Engineer")</f>
        <v>Senior Software Engineer</v>
      </c>
      <c r="F122" s="31" t="str">
        <f>IFERROR(__xludf.DUMMYFUNCTION("""COMPUTED_VALUE"""),"Backend")</f>
        <v>Backend</v>
      </c>
      <c r="G122" s="31" t="str">
        <f>IFERROR(__xludf.DUMMYFUNCTION("""COMPUTED_VALUE"""),"shubhamagarwal641@gmail.com")</f>
        <v>shubhamagarwal641@gmail.com</v>
      </c>
      <c r="H122" s="31"/>
      <c r="I122" s="75">
        <f>IFERROR(__xludf.DUMMYFUNCTION("""COMPUTED_VALUE"""),45426.0)</f>
        <v>45426</v>
      </c>
      <c r="J122" s="31" t="str">
        <f>IFERROR(__xludf.DUMMYFUNCTION("""COMPUTED_VALUE"""),"Nidhi Khedekar")</f>
        <v>Nidhi Khedekar</v>
      </c>
      <c r="K122" s="31" t="str">
        <f>IFERROR(__xludf.DUMMYFUNCTION("""COMPUTED_VALUE"""),"Offer Declined")</f>
        <v>Offer Declined</v>
      </c>
      <c r="L122" s="31" t="str">
        <f>IFERROR(__xludf.DUMMYFUNCTION("""COMPUTED_VALUE"""),"In Office")</f>
        <v>In Office</v>
      </c>
      <c r="M122" s="31" t="str">
        <f>IFERROR(__xludf.DUMMYFUNCTION("""COMPUTED_VALUE"""),"shubham.agarwal@zupee.in")</f>
        <v>shubham.agarwal@zupee.in</v>
      </c>
      <c r="N122" s="31"/>
    </row>
    <row r="123">
      <c r="A123" s="74">
        <f>IFERROR(__xludf.DUMMYFUNCTION("""COMPUTED_VALUE"""),45446.0)</f>
        <v>45446</v>
      </c>
      <c r="B123" s="31" t="str">
        <f>IFERROR(__xludf.DUMMYFUNCTION("""COMPUTED_VALUE"""),"Shivani Bisht")</f>
        <v>Shivani Bisht</v>
      </c>
      <c r="C123" s="31" t="str">
        <f>IFERROR(__xludf.DUMMYFUNCTION("""COMPUTED_VALUE"""),"HR")</f>
        <v>HR</v>
      </c>
      <c r="D123" s="31">
        <f>IFERROR(__xludf.DUMMYFUNCTION("""COMPUTED_VALUE"""),7.982058712E9)</f>
        <v>7982058712</v>
      </c>
      <c r="E123" s="31" t="str">
        <f>IFERROR(__xludf.DUMMYFUNCTION("""COMPUTED_VALUE"""),"Senior Executive -HR")</f>
        <v>Senior Executive -HR</v>
      </c>
      <c r="F123" s="31" t="str">
        <f>IFERROR(__xludf.DUMMYFUNCTION("""COMPUTED_VALUE"""),"Human Resource")</f>
        <v>Human Resource</v>
      </c>
      <c r="G123" s="31" t="str">
        <f>IFERROR(__xludf.DUMMYFUNCTION("""COMPUTED_VALUE"""),"99.bishtshivani@gmail.com")</f>
        <v>99.bishtshivani@gmail.com</v>
      </c>
      <c r="H123" s="31" t="str">
        <f>IFERROR(__xludf.DUMMYFUNCTION("""COMPUTED_VALUE"""),"Vivek Jain")</f>
        <v>Vivek Jain</v>
      </c>
      <c r="I123" s="75">
        <f>IFERROR(__xludf.DUMMYFUNCTION("""COMPUTED_VALUE"""),45428.0)</f>
        <v>45428</v>
      </c>
      <c r="J123" s="31" t="str">
        <f>IFERROR(__xludf.DUMMYFUNCTION("""COMPUTED_VALUE"""),"Naina")</f>
        <v>Naina</v>
      </c>
      <c r="K123" s="31" t="str">
        <f>IFERROR(__xludf.DUMMYFUNCTION("""COMPUTED_VALUE"""),"Joined")</f>
        <v>Joined</v>
      </c>
      <c r="L123" s="31" t="str">
        <f>IFERROR(__xludf.DUMMYFUNCTION("""COMPUTED_VALUE"""),"In Office")</f>
        <v>In Office</v>
      </c>
      <c r="M123" s="31" t="str">
        <f>IFERROR(__xludf.DUMMYFUNCTION("""COMPUTED_VALUE"""),"shivani.bisht@zupee.in")</f>
        <v>shivani.bisht@zupee.in</v>
      </c>
      <c r="N123" s="31" t="str">
        <f>IFERROR(__xludf.DUMMYFUNCTION("""COMPUTED_VALUE"""),"PW03VMQL")</f>
        <v>PW03VMQL</v>
      </c>
    </row>
    <row r="124">
      <c r="A124" s="74">
        <f>IFERROR(__xludf.DUMMYFUNCTION("""COMPUTED_VALUE"""),45432.0)</f>
        <v>45432</v>
      </c>
      <c r="B124" s="31" t="str">
        <f>IFERROR(__xludf.DUMMYFUNCTION("""COMPUTED_VALUE"""),"Rajashekhar Nari")</f>
        <v>Rajashekhar Nari</v>
      </c>
      <c r="C124" s="31" t="str">
        <f>IFERROR(__xludf.DUMMYFUNCTION("""COMPUTED_VALUE"""),"Data Engineer")</f>
        <v>Data Engineer</v>
      </c>
      <c r="D124" s="31">
        <f>IFERROR(__xludf.DUMMYFUNCTION("""COMPUTED_VALUE"""),9.110833865E9)</f>
        <v>9110833865</v>
      </c>
      <c r="E124" s="31" t="str">
        <f>IFERROR(__xludf.DUMMYFUNCTION("""COMPUTED_VALUE"""),"Senior Data Engineer")</f>
        <v>Senior Data Engineer</v>
      </c>
      <c r="F124" s="31" t="str">
        <f>IFERROR(__xludf.DUMMYFUNCTION("""COMPUTED_VALUE"""),"Data Engineering")</f>
        <v>Data Engineering</v>
      </c>
      <c r="G124" s="31" t="str">
        <f>IFERROR(__xludf.DUMMYFUNCTION("""COMPUTED_VALUE"""),"rajashekhar1198@gmail.com")</f>
        <v>rajashekhar1198@gmail.com</v>
      </c>
      <c r="H124" s="31" t="str">
        <f>IFERROR(__xludf.DUMMYFUNCTION("""COMPUTED_VALUE"""),"Aman Kumar Bahl")</f>
        <v>Aman Kumar Bahl</v>
      </c>
      <c r="I124" s="75">
        <f>IFERROR(__xludf.DUMMYFUNCTION("""COMPUTED_VALUE"""),45429.0)</f>
        <v>45429</v>
      </c>
      <c r="J124" s="31" t="str">
        <f>IFERROR(__xludf.DUMMYFUNCTION("""COMPUTED_VALUE"""),"Naina")</f>
        <v>Naina</v>
      </c>
      <c r="K124" s="31" t="str">
        <f>IFERROR(__xludf.DUMMYFUNCTION("""COMPUTED_VALUE"""),"Joined")</f>
        <v>Joined</v>
      </c>
      <c r="L124" s="31" t="str">
        <f>IFERROR(__xludf.DUMMYFUNCTION("""COMPUTED_VALUE"""),"Virtual")</f>
        <v>Virtual</v>
      </c>
      <c r="M124" s="31" t="str">
        <f>IFERROR(__xludf.DUMMYFUNCTION("""COMPUTED_VALUE"""),"rajashekhar.nari@zupee.in")</f>
        <v>rajashekhar.nari@zupee.in</v>
      </c>
      <c r="N124" s="31"/>
    </row>
    <row r="125">
      <c r="A125" s="74">
        <f>IFERROR(__xludf.DUMMYFUNCTION("""COMPUTED_VALUE"""),45469.0)</f>
        <v>45469</v>
      </c>
      <c r="B125" s="31" t="str">
        <f>IFERROR(__xludf.DUMMYFUNCTION("""COMPUTED_VALUE"""),"Garima Prakash")</f>
        <v>Garima Prakash</v>
      </c>
      <c r="C125" s="31" t="str">
        <f>IFERROR(__xludf.DUMMYFUNCTION("""COMPUTED_VALUE"""),"Corporate")</f>
        <v>Corporate</v>
      </c>
      <c r="D125" s="31">
        <f>IFERROR(__xludf.DUMMYFUNCTION("""COMPUTED_VALUE"""),8.009780728E9)</f>
        <v>8009780728</v>
      </c>
      <c r="E125" s="31" t="str">
        <f>IFERROR(__xludf.DUMMYFUNCTION("""COMPUTED_VALUE"""),"Manager- Public Policy")</f>
        <v>Manager- Public Policy</v>
      </c>
      <c r="F125" s="31" t="str">
        <f>IFERROR(__xludf.DUMMYFUNCTION("""COMPUTED_VALUE"""),"Public policy")</f>
        <v>Public policy</v>
      </c>
      <c r="G125" s="31" t="str">
        <f>IFERROR(__xludf.DUMMYFUNCTION("""COMPUTED_VALUE"""),"garima.prakash93@gmail.com")</f>
        <v>garima.prakash93@gmail.com</v>
      </c>
      <c r="H125" s="31" t="str">
        <f>IFERROR(__xludf.DUMMYFUNCTION("""COMPUTED_VALUE"""),"Ravi Shankar Jha")</f>
        <v>Ravi Shankar Jha</v>
      </c>
      <c r="I125" s="75">
        <f>IFERROR(__xludf.DUMMYFUNCTION("""COMPUTED_VALUE"""),45429.0)</f>
        <v>45429</v>
      </c>
      <c r="J125" s="31" t="str">
        <f>IFERROR(__xludf.DUMMYFUNCTION("""COMPUTED_VALUE"""),"M Sangeetha")</f>
        <v>M Sangeetha</v>
      </c>
      <c r="K125" s="31" t="str">
        <f>IFERROR(__xludf.DUMMYFUNCTION("""COMPUTED_VALUE"""),"Joined")</f>
        <v>Joined</v>
      </c>
      <c r="L125" s="31" t="str">
        <f>IFERROR(__xludf.DUMMYFUNCTION("""COMPUTED_VALUE"""),"In Office")</f>
        <v>In Office</v>
      </c>
      <c r="M125" s="31" t="str">
        <f>IFERROR(__xludf.DUMMYFUNCTION("""COMPUTED_VALUE"""),"garima.prakash@zupee.in")</f>
        <v>garima.prakash@zupee.in</v>
      </c>
      <c r="N125" s="31"/>
    </row>
    <row r="126">
      <c r="A126" s="74">
        <f>IFERROR(__xludf.DUMMYFUNCTION("""COMPUTED_VALUE"""),45474.0)</f>
        <v>45474</v>
      </c>
      <c r="B126" s="31" t="str">
        <f>IFERROR(__xludf.DUMMYFUNCTION("""COMPUTED_VALUE"""),"Arsalan Abbasi")</f>
        <v>Arsalan Abbasi</v>
      </c>
      <c r="C126" s="31" t="str">
        <f>IFERROR(__xludf.DUMMYFUNCTION("""COMPUTED_VALUE"""),"Marketing")</f>
        <v>Marketing</v>
      </c>
      <c r="D126" s="31">
        <f>IFERROR(__xludf.DUMMYFUNCTION("""COMPUTED_VALUE"""),8.423978787E9)</f>
        <v>8423978787</v>
      </c>
      <c r="E126" s="31" t="str">
        <f>IFERROR(__xludf.DUMMYFUNCTION("""COMPUTED_VALUE"""),"Associate- Digital Marketing")</f>
        <v>Associate- Digital Marketing</v>
      </c>
      <c r="F126" s="31" t="str">
        <f>IFERROR(__xludf.DUMMYFUNCTION("""COMPUTED_VALUE"""),"Digital Marketing")</f>
        <v>Digital Marketing</v>
      </c>
      <c r="G126" s="31" t="str">
        <f>IFERROR(__xludf.DUMMYFUNCTION("""COMPUTED_VALUE"""),"abbasiarsalan33@gmail.com")</f>
        <v>abbasiarsalan33@gmail.com</v>
      </c>
      <c r="H126" s="31" t="str">
        <f>IFERROR(__xludf.DUMMYFUNCTION("""COMPUTED_VALUE"""),"Ritwika Maitra")</f>
        <v>Ritwika Maitra</v>
      </c>
      <c r="I126" s="75">
        <f>IFERROR(__xludf.DUMMYFUNCTION("""COMPUTED_VALUE"""),45433.0)</f>
        <v>45433</v>
      </c>
      <c r="J126" s="31" t="str">
        <f>IFERROR(__xludf.DUMMYFUNCTION("""COMPUTED_VALUE"""),"Nidhi Khedekar")</f>
        <v>Nidhi Khedekar</v>
      </c>
      <c r="K126" s="31" t="str">
        <f>IFERROR(__xludf.DUMMYFUNCTION("""COMPUTED_VALUE"""),"Joined")</f>
        <v>Joined</v>
      </c>
      <c r="L126" s="31" t="str">
        <f>IFERROR(__xludf.DUMMYFUNCTION("""COMPUTED_VALUE"""),"In Office")</f>
        <v>In Office</v>
      </c>
      <c r="M126" s="31" t="str">
        <f>IFERROR(__xludf.DUMMYFUNCTION("""COMPUTED_VALUE"""),"arsalan.abbasi@zupee.in")</f>
        <v>arsalan.abbasi@zupee.in</v>
      </c>
      <c r="N126" s="31"/>
    </row>
    <row r="127">
      <c r="A127" s="74">
        <f>IFERROR(__xludf.DUMMYFUNCTION("""COMPUTED_VALUE"""),45446.0)</f>
        <v>45446</v>
      </c>
      <c r="B127" s="31" t="str">
        <f>IFERROR(__xludf.DUMMYFUNCTION("""COMPUTED_VALUE"""),"Abhishek Kumar")</f>
        <v>Abhishek Kumar</v>
      </c>
      <c r="C127" s="31" t="str">
        <f>IFERROR(__xludf.DUMMYFUNCTION("""COMPUTED_VALUE"""),"Customer Experience")</f>
        <v>Customer Experience</v>
      </c>
      <c r="D127" s="31">
        <f>IFERROR(__xludf.DUMMYFUNCTION("""COMPUTED_VALUE"""),9.971740642E9)</f>
        <v>9971740642</v>
      </c>
      <c r="E127" s="31" t="str">
        <f>IFERROR(__xludf.DUMMYFUNCTION("""COMPUTED_VALUE"""),"Customer Support Executive")</f>
        <v>Customer Support Executive</v>
      </c>
      <c r="F127" s="31" t="str">
        <f>IFERROR(__xludf.DUMMYFUNCTION("""COMPUTED_VALUE"""),"Customer Relation Management")</f>
        <v>Customer Relation Management</v>
      </c>
      <c r="G127" s="31" t="str">
        <f>IFERROR(__xludf.DUMMYFUNCTION("""COMPUTED_VALUE"""),"	ABHI.MECH446@gmail.com")</f>
        <v>	ABHI.MECH446@gmail.com</v>
      </c>
      <c r="H127" s="31" t="str">
        <f>IFERROR(__xludf.DUMMYFUNCTION("""COMPUTED_VALUE"""),"Shivam Bali")</f>
        <v>Shivam Bali</v>
      </c>
      <c r="I127" s="75">
        <f>IFERROR(__xludf.DUMMYFUNCTION("""COMPUTED_VALUE"""),45439.0)</f>
        <v>45439</v>
      </c>
      <c r="J127" s="31" t="str">
        <f>IFERROR(__xludf.DUMMYFUNCTION("""COMPUTED_VALUE"""),"Nidhi Khedekar")</f>
        <v>Nidhi Khedekar</v>
      </c>
      <c r="K127" s="31" t="str">
        <f>IFERROR(__xludf.DUMMYFUNCTION("""COMPUTED_VALUE"""),"Joined")</f>
        <v>Joined</v>
      </c>
      <c r="L127" s="31" t="str">
        <f>IFERROR(__xludf.DUMMYFUNCTION("""COMPUTED_VALUE"""),"In Office")</f>
        <v>In Office</v>
      </c>
      <c r="M127" s="31" t="str">
        <f>IFERROR(__xludf.DUMMYFUNCTION("""COMPUTED_VALUE"""),"abhishek.kumar@zupee.in")</f>
        <v>abhishek.kumar@zupee.in</v>
      </c>
      <c r="N127" s="31"/>
    </row>
    <row r="128">
      <c r="A128" s="74">
        <f>IFERROR(__xludf.DUMMYFUNCTION("""COMPUTED_VALUE"""),45477.0)</f>
        <v>45477</v>
      </c>
      <c r="B128" s="31" t="str">
        <f>IFERROR(__xludf.DUMMYFUNCTION("""COMPUTED_VALUE"""),"Hemail Askary")</f>
        <v>Hemail Askary</v>
      </c>
      <c r="C128" s="31" t="str">
        <f>IFERROR(__xludf.DUMMYFUNCTION("""COMPUTED_VALUE"""),"Analytics")</f>
        <v>Analytics</v>
      </c>
      <c r="D128" s="31">
        <f>IFERROR(__xludf.DUMMYFUNCTION("""COMPUTED_VALUE"""),8.279847104E9)</f>
        <v>8279847104</v>
      </c>
      <c r="E128" s="31" t="str">
        <f>IFERROR(__xludf.DUMMYFUNCTION("""COMPUTED_VALUE"""),"Lead Data Analyst")</f>
        <v>Lead Data Analyst</v>
      </c>
      <c r="F128" s="31" t="str">
        <f>IFERROR(__xludf.DUMMYFUNCTION("""COMPUTED_VALUE"""),"Product Analytics")</f>
        <v>Product Analytics</v>
      </c>
      <c r="G128" s="31" t="str">
        <f>IFERROR(__xludf.DUMMYFUNCTION("""COMPUTED_VALUE"""),"askaryhemail@gmail.com")</f>
        <v>askaryhemail@gmail.com</v>
      </c>
      <c r="H128" s="31" t="str">
        <f>IFERROR(__xludf.DUMMYFUNCTION("""COMPUTED_VALUE"""),"Himanshu Grover")</f>
        <v>Himanshu Grover</v>
      </c>
      <c r="I128" s="75">
        <f>IFERROR(__xludf.DUMMYFUNCTION("""COMPUTED_VALUE"""),45440.0)</f>
        <v>45440</v>
      </c>
      <c r="J128" s="31" t="str">
        <f>IFERROR(__xludf.DUMMYFUNCTION("""COMPUTED_VALUE"""),"Mamta Pandey")</f>
        <v>Mamta Pandey</v>
      </c>
      <c r="K128" s="31" t="str">
        <f>IFERROR(__xludf.DUMMYFUNCTION("""COMPUTED_VALUE"""),"Joined")</f>
        <v>Joined</v>
      </c>
      <c r="L128" s="31" t="str">
        <f>IFERROR(__xludf.DUMMYFUNCTION("""COMPUTED_VALUE"""),"In Office")</f>
        <v>In Office</v>
      </c>
      <c r="M128" s="31" t="str">
        <f>IFERROR(__xludf.DUMMYFUNCTION("""COMPUTED_VALUE"""),"hemail.askary@zupee.in")</f>
        <v>hemail.askary@zupee.in</v>
      </c>
      <c r="N128" s="31"/>
    </row>
    <row r="129">
      <c r="A129" s="74">
        <f>IFERROR(__xludf.DUMMYFUNCTION("""COMPUTED_VALUE"""),45474.0)</f>
        <v>45474</v>
      </c>
      <c r="B129" s="31" t="str">
        <f>IFERROR(__xludf.DUMMYFUNCTION("""COMPUTED_VALUE"""),"Kartik Malhotra")</f>
        <v>Kartik Malhotra</v>
      </c>
      <c r="C129" s="31" t="str">
        <f>IFERROR(__xludf.DUMMYFUNCTION("""COMPUTED_VALUE"""),"Technology")</f>
        <v>Technology</v>
      </c>
      <c r="D129" s="31">
        <f>IFERROR(__xludf.DUMMYFUNCTION("""COMPUTED_VALUE"""),9.646555185E9)</f>
        <v>9646555185</v>
      </c>
      <c r="E129" s="31" t="str">
        <f>IFERROR(__xludf.DUMMYFUNCTION("""COMPUTED_VALUE"""),"Senior Software Engineer- Devops")</f>
        <v>Senior Software Engineer- Devops</v>
      </c>
      <c r="F129" s="31" t="str">
        <f>IFERROR(__xludf.DUMMYFUNCTION("""COMPUTED_VALUE"""),"DevOps")</f>
        <v>DevOps</v>
      </c>
      <c r="G129" s="31" t="str">
        <f>IFERROR(__xludf.DUMMYFUNCTION("""COMPUTED_VALUE"""),"kartikmalhotra105@gmail.com")</f>
        <v>kartikmalhotra105@gmail.com</v>
      </c>
      <c r="H129" s="31" t="str">
        <f>IFERROR(__xludf.DUMMYFUNCTION("""COMPUTED_VALUE"""),"Saurav Yadav")</f>
        <v>Saurav Yadav</v>
      </c>
      <c r="I129" s="75">
        <f>IFERROR(__xludf.DUMMYFUNCTION("""COMPUTED_VALUE"""),45442.0)</f>
        <v>45442</v>
      </c>
      <c r="J129" s="31" t="str">
        <f>IFERROR(__xludf.DUMMYFUNCTION("""COMPUTED_VALUE"""),"Mamta Pandey")</f>
        <v>Mamta Pandey</v>
      </c>
      <c r="K129" s="31" t="str">
        <f>IFERROR(__xludf.DUMMYFUNCTION("""COMPUTED_VALUE"""),"Offer Declined")</f>
        <v>Offer Declined</v>
      </c>
      <c r="L129" s="31" t="str">
        <f>IFERROR(__xludf.DUMMYFUNCTION("""COMPUTED_VALUE"""),"In Office")</f>
        <v>In Office</v>
      </c>
      <c r="M129" s="31"/>
      <c r="N129" s="31"/>
    </row>
    <row r="130">
      <c r="A130" s="74">
        <f>IFERROR(__xludf.DUMMYFUNCTION("""COMPUTED_VALUE"""),45446.0)</f>
        <v>45446</v>
      </c>
      <c r="B130" s="31" t="str">
        <f>IFERROR(__xludf.DUMMYFUNCTION("""COMPUTED_VALUE"""),"Sidharth Dhiman")</f>
        <v>Sidharth Dhiman</v>
      </c>
      <c r="C130" s="31" t="str">
        <f>IFERROR(__xludf.DUMMYFUNCTION("""COMPUTED_VALUE"""),"Technology")</f>
        <v>Technology</v>
      </c>
      <c r="D130" s="31">
        <f>IFERROR(__xludf.DUMMYFUNCTION("""COMPUTED_VALUE"""),9.671258763E9)</f>
        <v>9671258763</v>
      </c>
      <c r="E130" s="31" t="str">
        <f>IFERROR(__xludf.DUMMYFUNCTION("""COMPUTED_VALUE"""),"Software Engineer")</f>
        <v>Software Engineer</v>
      </c>
      <c r="F130" s="31" t="str">
        <f>IFERROR(__xludf.DUMMYFUNCTION("""COMPUTED_VALUE"""),"Engineering")</f>
        <v>Engineering</v>
      </c>
      <c r="G130" s="31" t="str">
        <f>IFERROR(__xludf.DUMMYFUNCTION("""COMPUTED_VALUE"""),"sidharthdhimantdi@gmail.com")</f>
        <v>sidharthdhimantdi@gmail.com</v>
      </c>
      <c r="H130" s="31" t="str">
        <f>IFERROR(__xludf.DUMMYFUNCTION("""COMPUTED_VALUE"""),"Anuj Gupta")</f>
        <v>Anuj Gupta</v>
      </c>
      <c r="I130" s="75">
        <f>IFERROR(__xludf.DUMMYFUNCTION("""COMPUTED_VALUE"""),45443.0)</f>
        <v>45443</v>
      </c>
      <c r="J130" s="31" t="str">
        <f>IFERROR(__xludf.DUMMYFUNCTION("""COMPUTED_VALUE"""),"Nidhi Khedekar")</f>
        <v>Nidhi Khedekar</v>
      </c>
      <c r="K130" s="31" t="str">
        <f>IFERROR(__xludf.DUMMYFUNCTION("""COMPUTED_VALUE"""),"Joined")</f>
        <v>Joined</v>
      </c>
      <c r="L130" s="31" t="str">
        <f>IFERROR(__xludf.DUMMYFUNCTION("""COMPUTED_VALUE"""),"In Office")</f>
        <v>In Office</v>
      </c>
      <c r="M130" s="31" t="str">
        <f>IFERROR(__xludf.DUMMYFUNCTION("""COMPUTED_VALUE"""),"sidharth.dhiman@zupee.in")</f>
        <v>sidharth.dhiman@zupee.in</v>
      </c>
      <c r="N130" s="31"/>
    </row>
    <row r="131">
      <c r="A131" s="74">
        <f>IFERROR(__xludf.DUMMYFUNCTION("""COMPUTED_VALUE"""),45490.0)</f>
        <v>45490</v>
      </c>
      <c r="B131" s="31" t="str">
        <f>IFERROR(__xludf.DUMMYFUNCTION("""COMPUTED_VALUE"""),"Tarun Yadav
")</f>
        <v>Tarun Yadav
</v>
      </c>
      <c r="C131" s="31" t="str">
        <f>IFERROR(__xludf.DUMMYFUNCTION("""COMPUTED_VALUE"""),"Marketing")</f>
        <v>Marketing</v>
      </c>
      <c r="D131" s="31"/>
      <c r="E131" s="31" t="str">
        <f>IFERROR(__xludf.DUMMYFUNCTION("""COMPUTED_VALUE"""),"SEO and ASO Lead")</f>
        <v>SEO and ASO Lead</v>
      </c>
      <c r="F131" s="31" t="str">
        <f>IFERROR(__xludf.DUMMYFUNCTION("""COMPUTED_VALUE"""),"Digital Marketing")</f>
        <v>Digital Marketing</v>
      </c>
      <c r="G131" s="31" t="str">
        <f>IFERROR(__xludf.DUMMYFUNCTION("""COMPUTED_VALUE"""),"ytarun2009@gmail.com")</f>
        <v>ytarun2009@gmail.com</v>
      </c>
      <c r="H131" s="31" t="str">
        <f>IFERROR(__xludf.DUMMYFUNCTION("""COMPUTED_VALUE"""),"Nishant Jaiswal")</f>
        <v>Nishant Jaiswal</v>
      </c>
      <c r="I131" s="75">
        <f>IFERROR(__xludf.DUMMYFUNCTION("""COMPUTED_VALUE"""),45446.0)</f>
        <v>45446</v>
      </c>
      <c r="J131" s="31" t="str">
        <f>IFERROR(__xludf.DUMMYFUNCTION("""COMPUTED_VALUE"""),"Naina")</f>
        <v>Naina</v>
      </c>
      <c r="K131" s="31" t="str">
        <f>IFERROR(__xludf.DUMMYFUNCTION("""COMPUTED_VALUE"""),"Offer Declined")</f>
        <v>Offer Declined</v>
      </c>
      <c r="L131" s="31" t="str">
        <f>IFERROR(__xludf.DUMMYFUNCTION("""COMPUTED_VALUE"""),"In Office")</f>
        <v>In Office</v>
      </c>
      <c r="M131" s="31"/>
      <c r="N131" s="31"/>
    </row>
    <row r="132">
      <c r="A132" s="74">
        <f>IFERROR(__xludf.DUMMYFUNCTION("""COMPUTED_VALUE"""),45476.0)</f>
        <v>45476</v>
      </c>
      <c r="B132" s="31" t="str">
        <f>IFERROR(__xludf.DUMMYFUNCTION("""COMPUTED_VALUE"""),"Kapil Chhabra")</f>
        <v>Kapil Chhabra</v>
      </c>
      <c r="C132" s="31" t="str">
        <f>IFERROR(__xludf.DUMMYFUNCTION("""COMPUTED_VALUE"""),"Finance")</f>
        <v>Finance</v>
      </c>
      <c r="D132" s="31">
        <f>IFERROR(__xludf.DUMMYFUNCTION("""COMPUTED_VALUE"""),8.588880684E9)</f>
        <v>8588880684</v>
      </c>
      <c r="E132" s="31" t="str">
        <f>IFERROR(__xludf.DUMMYFUNCTION("""COMPUTED_VALUE"""),"Assistant Manager- Finance")</f>
        <v>Assistant Manager- Finance</v>
      </c>
      <c r="F132" s="31" t="str">
        <f>IFERROR(__xludf.DUMMYFUNCTION("""COMPUTED_VALUE"""),"Finance")</f>
        <v>Finance</v>
      </c>
      <c r="G132" s="31" t="str">
        <f>IFERROR(__xludf.DUMMYFUNCTION("""COMPUTED_VALUE"""),"chhabrakapil20@gmail.com")</f>
        <v>chhabrakapil20@gmail.com</v>
      </c>
      <c r="H132" s="31" t="str">
        <f>IFERROR(__xludf.DUMMYFUNCTION("""COMPUTED_VALUE"""),"Hitesh Vats")</f>
        <v>Hitesh Vats</v>
      </c>
      <c r="I132" s="75">
        <f>IFERROR(__xludf.DUMMYFUNCTION("""COMPUTED_VALUE"""),45447.0)</f>
        <v>45447</v>
      </c>
      <c r="J132" s="31" t="str">
        <f>IFERROR(__xludf.DUMMYFUNCTION("""COMPUTED_VALUE"""),"Mamta Pandey")</f>
        <v>Mamta Pandey</v>
      </c>
      <c r="K132" s="31" t="str">
        <f>IFERROR(__xludf.DUMMYFUNCTION("""COMPUTED_VALUE"""),"Offer Revoked")</f>
        <v>Offer Revoked</v>
      </c>
      <c r="L132" s="31" t="str">
        <f>IFERROR(__xludf.DUMMYFUNCTION("""COMPUTED_VALUE"""),"Virtual")</f>
        <v>Virtual</v>
      </c>
      <c r="M132" s="31"/>
      <c r="N132" s="31"/>
    </row>
    <row r="133">
      <c r="A133" s="74">
        <f>IFERROR(__xludf.DUMMYFUNCTION("""COMPUTED_VALUE"""),45474.0)</f>
        <v>45474</v>
      </c>
      <c r="B133" s="31" t="str">
        <f>IFERROR(__xludf.DUMMYFUNCTION("""COMPUTED_VALUE"""),"Karan Sharma")</f>
        <v>Karan Sharma</v>
      </c>
      <c r="C133" s="31" t="str">
        <f>IFERROR(__xludf.DUMMYFUNCTION("""COMPUTED_VALUE"""),"HR")</f>
        <v>HR</v>
      </c>
      <c r="D133" s="31">
        <f>IFERROR(__xludf.DUMMYFUNCTION("""COMPUTED_VALUE"""),9.80818645E9)</f>
        <v>9808186450</v>
      </c>
      <c r="E133" s="31" t="str">
        <f>IFERROR(__xludf.DUMMYFUNCTION("""COMPUTED_VALUE"""),"Assistant Manager - Talent Acquisition")</f>
        <v>Assistant Manager - Talent Acquisition</v>
      </c>
      <c r="F133" s="31" t="str">
        <f>IFERROR(__xludf.DUMMYFUNCTION("""COMPUTED_VALUE"""),"Human Resource")</f>
        <v>Human Resource</v>
      </c>
      <c r="G133" s="31" t="str">
        <f>IFERROR(__xludf.DUMMYFUNCTION("""COMPUTED_VALUE"""),"recruiter.karan0492@gmail.com")</f>
        <v>recruiter.karan0492@gmail.com</v>
      </c>
      <c r="H133" s="31" t="str">
        <f>IFERROR(__xludf.DUMMYFUNCTION("""COMPUTED_VALUE""")," M Sangeetha")</f>
        <v> M Sangeetha</v>
      </c>
      <c r="I133" s="75">
        <f>IFERROR(__xludf.DUMMYFUNCTION("""COMPUTED_VALUE"""),45447.0)</f>
        <v>45447</v>
      </c>
      <c r="J133" s="31" t="str">
        <f>IFERROR(__xludf.DUMMYFUNCTION("""COMPUTED_VALUE"""),"Naina")</f>
        <v>Naina</v>
      </c>
      <c r="K133" s="31" t="str">
        <f>IFERROR(__xludf.DUMMYFUNCTION("""COMPUTED_VALUE"""),"Offer Declined")</f>
        <v>Offer Declined</v>
      </c>
      <c r="L133" s="31" t="str">
        <f>IFERROR(__xludf.DUMMYFUNCTION("""COMPUTED_VALUE"""),"In Office")</f>
        <v>In Office</v>
      </c>
      <c r="M133" s="31"/>
      <c r="N133" s="31"/>
    </row>
    <row r="134">
      <c r="A134" s="74">
        <f>IFERROR(__xludf.DUMMYFUNCTION("""COMPUTED_VALUE"""),45481.0)</f>
        <v>45481</v>
      </c>
      <c r="B134" s="31" t="str">
        <f>IFERROR(__xludf.DUMMYFUNCTION("""COMPUTED_VALUE"""),"Punit Kumar Sharma")</f>
        <v>Punit Kumar Sharma</v>
      </c>
      <c r="C134" s="31" t="str">
        <f>IFERROR(__xludf.DUMMYFUNCTION("""COMPUTED_VALUE"""),"Finance")</f>
        <v>Finance</v>
      </c>
      <c r="D134" s="31">
        <f>IFERROR(__xludf.DUMMYFUNCTION("""COMPUTED_VALUE"""),8.053217448E9)</f>
        <v>8053217448</v>
      </c>
      <c r="E134" s="31" t="str">
        <f>IFERROR(__xludf.DUMMYFUNCTION("""COMPUTED_VALUE"""),"AM-FP&amp;A")</f>
        <v>AM-FP&amp;A</v>
      </c>
      <c r="F134" s="31" t="str">
        <f>IFERROR(__xludf.DUMMYFUNCTION("""COMPUTED_VALUE"""),"Finance")</f>
        <v>Finance</v>
      </c>
      <c r="G134" s="31" t="str">
        <f>IFERROR(__xludf.DUMMYFUNCTION("""COMPUTED_VALUE"""),"punit.s448@gmail.com")</f>
        <v>punit.s448@gmail.com</v>
      </c>
      <c r="H134" s="31" t="str">
        <f>IFERROR(__xludf.DUMMYFUNCTION("""COMPUTED_VALUE"""),"Garima Bothra")</f>
        <v>Garima Bothra</v>
      </c>
      <c r="I134" s="75">
        <f>IFERROR(__xludf.DUMMYFUNCTION("""COMPUTED_VALUE"""),45450.0)</f>
        <v>45450</v>
      </c>
      <c r="J134" s="31" t="str">
        <f>IFERROR(__xludf.DUMMYFUNCTION("""COMPUTED_VALUE"""),"Nidhi Khedekar")</f>
        <v>Nidhi Khedekar</v>
      </c>
      <c r="K134" s="31" t="str">
        <f>IFERROR(__xludf.DUMMYFUNCTION("""COMPUTED_VALUE"""),"Joined")</f>
        <v>Joined</v>
      </c>
      <c r="L134" s="31" t="str">
        <f>IFERROR(__xludf.DUMMYFUNCTION("""COMPUTED_VALUE"""),"In Office")</f>
        <v>In Office</v>
      </c>
      <c r="M134" s="31"/>
      <c r="N134" s="31"/>
    </row>
    <row r="135">
      <c r="A135" s="74">
        <f>IFERROR(__xludf.DUMMYFUNCTION("""COMPUTED_VALUE"""),45488.0)</f>
        <v>45488</v>
      </c>
      <c r="B135" s="31" t="str">
        <f>IFERROR(__xludf.DUMMYFUNCTION("""COMPUTED_VALUE"""),"Kamana Basotia")</f>
        <v>Kamana Basotia</v>
      </c>
      <c r="C135" s="31" t="str">
        <f>IFERROR(__xludf.DUMMYFUNCTION("""COMPUTED_VALUE"""),"Finance")</f>
        <v>Finance</v>
      </c>
      <c r="D135" s="31">
        <f>IFERROR(__xludf.DUMMYFUNCTION("""COMPUTED_VALUE"""),9.163358777E9)</f>
        <v>9163358777</v>
      </c>
      <c r="E135" s="31" t="str">
        <f>IFERROR(__xludf.DUMMYFUNCTION("""COMPUTED_VALUE"""),"Business Finance Manager")</f>
        <v>Business Finance Manager</v>
      </c>
      <c r="F135" s="31" t="str">
        <f>IFERROR(__xludf.DUMMYFUNCTION("""COMPUTED_VALUE"""),"Finance")</f>
        <v>Finance</v>
      </c>
      <c r="G135" s="31" t="str">
        <f>IFERROR(__xludf.DUMMYFUNCTION("""COMPUTED_VALUE"""),"kamana95@gmail.com")</f>
        <v>kamana95@gmail.com</v>
      </c>
      <c r="H135" s="31" t="str">
        <f>IFERROR(__xludf.DUMMYFUNCTION("""COMPUTED_VALUE"""),"Garima Bothra")</f>
        <v>Garima Bothra</v>
      </c>
      <c r="I135" s="75">
        <f>IFERROR(__xludf.DUMMYFUNCTION("""COMPUTED_VALUE"""),45450.0)</f>
        <v>45450</v>
      </c>
      <c r="J135" s="31" t="str">
        <f>IFERROR(__xludf.DUMMYFUNCTION("""COMPUTED_VALUE"""),"Nidhi Khedekar")</f>
        <v>Nidhi Khedekar</v>
      </c>
      <c r="K135" s="31" t="str">
        <f>IFERROR(__xludf.DUMMYFUNCTION("""COMPUTED_VALUE"""),"Offer Revoked")</f>
        <v>Offer Revoked</v>
      </c>
      <c r="L135" s="31" t="str">
        <f>IFERROR(__xludf.DUMMYFUNCTION("""COMPUTED_VALUE"""),"In Office")</f>
        <v>In Office</v>
      </c>
      <c r="M135" s="31"/>
      <c r="N135" s="31"/>
    </row>
    <row r="136">
      <c r="A136" s="74">
        <f>IFERROR(__xludf.DUMMYFUNCTION("""COMPUTED_VALUE"""),45481.0)</f>
        <v>45481</v>
      </c>
      <c r="B136" s="31" t="str">
        <f>IFERROR(__xludf.DUMMYFUNCTION("""COMPUTED_VALUE"""),"Arpit Rathore")</f>
        <v>Arpit Rathore</v>
      </c>
      <c r="C136" s="31" t="str">
        <f>IFERROR(__xludf.DUMMYFUNCTION("""COMPUTED_VALUE"""),"Customer Experience")</f>
        <v>Customer Experience</v>
      </c>
      <c r="D136" s="31">
        <f>IFERROR(__xludf.DUMMYFUNCTION("""COMPUTED_VALUE"""),8.188883E9)</f>
        <v>8188883000</v>
      </c>
      <c r="E136" s="31" t="str">
        <f>IFERROR(__xludf.DUMMYFUNCTION("""COMPUTED_VALUE"""),"QA Executive")</f>
        <v>QA Executive</v>
      </c>
      <c r="F136" s="31" t="str">
        <f>IFERROR(__xludf.DUMMYFUNCTION("""COMPUTED_VALUE"""),"Customer Relation Management")</f>
        <v>Customer Relation Management</v>
      </c>
      <c r="G136" s="31" t="str">
        <f>IFERROR(__xludf.DUMMYFUNCTION("""COMPUTED_VALUE"""),"arpit282@gmail.com")</f>
        <v>arpit282@gmail.com</v>
      </c>
      <c r="H136" s="31" t="str">
        <f>IFERROR(__xludf.DUMMYFUNCTION("""COMPUTED_VALUE"""),"Alankrita Sharma")</f>
        <v>Alankrita Sharma</v>
      </c>
      <c r="I136" s="75">
        <f>IFERROR(__xludf.DUMMYFUNCTION("""COMPUTED_VALUE"""),45450.0)</f>
        <v>45450</v>
      </c>
      <c r="J136" s="31" t="str">
        <f>IFERROR(__xludf.DUMMYFUNCTION("""COMPUTED_VALUE"""),"Nidhi Khedekar")</f>
        <v>Nidhi Khedekar</v>
      </c>
      <c r="K136" s="31" t="str">
        <f>IFERROR(__xludf.DUMMYFUNCTION("""COMPUTED_VALUE"""),"Joined")</f>
        <v>Joined</v>
      </c>
      <c r="L136" s="31" t="str">
        <f>IFERROR(__xludf.DUMMYFUNCTION("""COMPUTED_VALUE"""),"In Office")</f>
        <v>In Office</v>
      </c>
      <c r="M136" s="31" t="str">
        <f>IFERROR(__xludf.DUMMYFUNCTION("""COMPUTED_VALUE"""),"arpit.rathore@zupee.in")</f>
        <v>arpit.rathore@zupee.in</v>
      </c>
      <c r="N136" s="31"/>
    </row>
    <row r="137">
      <c r="A137" s="74">
        <f>IFERROR(__xludf.DUMMYFUNCTION("""COMPUTED_VALUE"""),45455.0)</f>
        <v>45455</v>
      </c>
      <c r="B137" s="31" t="str">
        <f>IFERROR(__xludf.DUMMYFUNCTION("""COMPUTED_VALUE"""),"Gitika")</f>
        <v>Gitika</v>
      </c>
      <c r="C137" s="31" t="str">
        <f>IFERROR(__xludf.DUMMYFUNCTION("""COMPUTED_VALUE"""),"Customer Experience")</f>
        <v>Customer Experience</v>
      </c>
      <c r="D137" s="31">
        <f>IFERROR(__xludf.DUMMYFUNCTION("""COMPUTED_VALUE"""),9.084193275E9)</f>
        <v>9084193275</v>
      </c>
      <c r="E137" s="31" t="str">
        <f>IFERROR(__xludf.DUMMYFUNCTION("""COMPUTED_VALUE"""),"Customer Support Executive")</f>
        <v>Customer Support Executive</v>
      </c>
      <c r="F137" s="31" t="str">
        <f>IFERROR(__xludf.DUMMYFUNCTION("""COMPUTED_VALUE"""),"Customer Relation Management")</f>
        <v>Customer Relation Management</v>
      </c>
      <c r="G137" s="31" t="str">
        <f>IFERROR(__xludf.DUMMYFUNCTION("""COMPUTED_VALUE"""),"palgitika749@gmail.com")</f>
        <v>palgitika749@gmail.com</v>
      </c>
      <c r="H137" s="31" t="str">
        <f>IFERROR(__xludf.DUMMYFUNCTION("""COMPUTED_VALUE"""),"Mritunjay Kumar")</f>
        <v>Mritunjay Kumar</v>
      </c>
      <c r="I137" s="75">
        <f>IFERROR(__xludf.DUMMYFUNCTION("""COMPUTED_VALUE"""),45453.0)</f>
        <v>45453</v>
      </c>
      <c r="J137" s="31" t="str">
        <f>IFERROR(__xludf.DUMMYFUNCTION("""COMPUTED_VALUE"""),"Nidhi Khedekar")</f>
        <v>Nidhi Khedekar</v>
      </c>
      <c r="K137" s="31" t="str">
        <f>IFERROR(__xludf.DUMMYFUNCTION("""COMPUTED_VALUE"""),"Joined")</f>
        <v>Joined</v>
      </c>
      <c r="L137" s="31" t="str">
        <f>IFERROR(__xludf.DUMMYFUNCTION("""COMPUTED_VALUE"""),"In Office")</f>
        <v>In Office</v>
      </c>
      <c r="M137" s="31"/>
      <c r="N137" s="31"/>
    </row>
    <row r="138">
      <c r="A138" s="74">
        <f>IFERROR(__xludf.DUMMYFUNCTION("""COMPUTED_VALUE"""),45455.0)</f>
        <v>45455</v>
      </c>
      <c r="B138" s="31" t="str">
        <f>IFERROR(__xludf.DUMMYFUNCTION("""COMPUTED_VALUE"""),"Samarth Udasin")</f>
        <v>Samarth Udasin</v>
      </c>
      <c r="C138" s="31" t="str">
        <f>IFERROR(__xludf.DUMMYFUNCTION("""COMPUTED_VALUE"""),"Corporate")</f>
        <v>Corporate</v>
      </c>
      <c r="D138" s="31">
        <f>IFERROR(__xludf.DUMMYFUNCTION("""COMPUTED_VALUE"""),8.989605103E9)</f>
        <v>8989605103</v>
      </c>
      <c r="E138" s="31" t="str">
        <f>IFERROR(__xludf.DUMMYFUNCTION("""COMPUTED_VALUE"""),"Legal Trainee")</f>
        <v>Legal Trainee</v>
      </c>
      <c r="F138" s="31" t="str">
        <f>IFERROR(__xludf.DUMMYFUNCTION("""COMPUTED_VALUE"""),"Legal")</f>
        <v>Legal</v>
      </c>
      <c r="G138" s="31" t="str">
        <f>IFERROR(__xludf.DUMMYFUNCTION("""COMPUTED_VALUE"""),"samarthudasin@gmail.com")</f>
        <v>samarthudasin@gmail.com</v>
      </c>
      <c r="H138" s="31" t="str">
        <f>IFERROR(__xludf.DUMMYFUNCTION("""COMPUTED_VALUE"""),"Arpita Latta and Avijit Sharma")</f>
        <v>Arpita Latta and Avijit Sharma</v>
      </c>
      <c r="I138" s="75">
        <f>IFERROR(__xludf.DUMMYFUNCTION("""COMPUTED_VALUE"""),45454.0)</f>
        <v>45454</v>
      </c>
      <c r="J138" s="31" t="str">
        <f>IFERROR(__xludf.DUMMYFUNCTION("""COMPUTED_VALUE"""),"Mamta Pandey")</f>
        <v>Mamta Pandey</v>
      </c>
      <c r="K138" s="31" t="str">
        <f>IFERROR(__xludf.DUMMYFUNCTION("""COMPUTED_VALUE"""),"Joined")</f>
        <v>Joined</v>
      </c>
      <c r="L138" s="31" t="str">
        <f>IFERROR(__xludf.DUMMYFUNCTION("""COMPUTED_VALUE"""),"In Office")</f>
        <v>In Office</v>
      </c>
      <c r="M138" s="31" t="str">
        <f>IFERROR(__xludf.DUMMYFUNCTION("""COMPUTED_VALUE"""),"samarth.udasin@zupee.in")</f>
        <v>samarth.udasin@zupee.in</v>
      </c>
      <c r="N138" s="31"/>
    </row>
    <row r="139">
      <c r="A139" s="74">
        <f>IFERROR(__xludf.DUMMYFUNCTION("""COMPUTED_VALUE"""),45455.0)</f>
        <v>45455</v>
      </c>
      <c r="B139" s="31" t="str">
        <f>IFERROR(__xludf.DUMMYFUNCTION("""COMPUTED_VALUE"""),"Abhishek Bisht")</f>
        <v>Abhishek Bisht</v>
      </c>
      <c r="C139" s="31" t="str">
        <f>IFERROR(__xludf.DUMMYFUNCTION("""COMPUTED_VALUE"""),"Technology")</f>
        <v>Technology</v>
      </c>
      <c r="D139" s="31">
        <f>IFERROR(__xludf.DUMMYFUNCTION("""COMPUTED_VALUE"""),9.354439217E9)</f>
        <v>9354439217</v>
      </c>
      <c r="E139" s="31" t="str">
        <f>IFERROR(__xludf.DUMMYFUNCTION("""COMPUTED_VALUE"""),"Software Development Engineer in Test")</f>
        <v>Software Development Engineer in Test</v>
      </c>
      <c r="F139" s="31" t="str">
        <f>IFERROR(__xludf.DUMMYFUNCTION("""COMPUTED_VALUE"""),"SDET")</f>
        <v>SDET</v>
      </c>
      <c r="G139" s="31" t="str">
        <f>IFERROR(__xludf.DUMMYFUNCTION("""COMPUTED_VALUE"""),"abhishek.bisht.21@gmail.com")</f>
        <v>abhishek.bisht.21@gmail.com</v>
      </c>
      <c r="H139" s="31" t="str">
        <f>IFERROR(__xludf.DUMMYFUNCTION("""COMPUTED_VALUE"""),"Sahil Puri")</f>
        <v>Sahil Puri</v>
      </c>
      <c r="I139" s="75">
        <f>IFERROR(__xludf.DUMMYFUNCTION("""COMPUTED_VALUE"""),45454.0)</f>
        <v>45454</v>
      </c>
      <c r="J139" s="31" t="str">
        <f>IFERROR(__xludf.DUMMYFUNCTION("""COMPUTED_VALUE"""),"Mamta Pandey")</f>
        <v>Mamta Pandey</v>
      </c>
      <c r="K139" s="31" t="str">
        <f>IFERROR(__xludf.DUMMYFUNCTION("""COMPUTED_VALUE"""),"Joined")</f>
        <v>Joined</v>
      </c>
      <c r="L139" s="31" t="str">
        <f>IFERROR(__xludf.DUMMYFUNCTION("""COMPUTED_VALUE"""),"In Office")</f>
        <v>In Office</v>
      </c>
      <c r="M139" s="31" t="str">
        <f>IFERROR(__xludf.DUMMYFUNCTION("""COMPUTED_VALUE"""),"abhishek.bisht@zupee.in")</f>
        <v>abhishek.bisht@zupee.in</v>
      </c>
      <c r="N139" s="31"/>
    </row>
    <row r="140">
      <c r="A140" s="74">
        <f>IFERROR(__xludf.DUMMYFUNCTION("""COMPUTED_VALUE"""),45474.0)</f>
        <v>45474</v>
      </c>
      <c r="B140" s="31" t="str">
        <f>IFERROR(__xludf.DUMMYFUNCTION("""COMPUTED_VALUE"""),"Kunal Garg")</f>
        <v>Kunal Garg</v>
      </c>
      <c r="C140" s="31" t="str">
        <f>IFERROR(__xludf.DUMMYFUNCTION("""COMPUTED_VALUE"""),"Technology")</f>
        <v>Technology</v>
      </c>
      <c r="D140" s="31">
        <f>IFERROR(__xludf.DUMMYFUNCTION("""COMPUTED_VALUE"""),7.637833889E9)</f>
        <v>7637833889</v>
      </c>
      <c r="E140" s="31" t="str">
        <f>IFERROR(__xludf.DUMMYFUNCTION("""COMPUTED_VALUE"""),"Software Engineer")</f>
        <v>Software Engineer</v>
      </c>
      <c r="F140" s="31" t="str">
        <f>IFERROR(__xludf.DUMMYFUNCTION("""COMPUTED_VALUE"""),"Engineering")</f>
        <v>Engineering</v>
      </c>
      <c r="G140" s="31" t="str">
        <f>IFERROR(__xludf.DUMMYFUNCTION("""COMPUTED_VALUE"""),"kunalgarg1213@gmail.com")</f>
        <v>kunalgarg1213@gmail.com</v>
      </c>
      <c r="H140" s="31" t="str">
        <f>IFERROR(__xludf.DUMMYFUNCTION("""COMPUTED_VALUE"""),"Amit Garg")</f>
        <v>Amit Garg</v>
      </c>
      <c r="I140" s="75">
        <f>IFERROR(__xludf.DUMMYFUNCTION("""COMPUTED_VALUE"""),45454.0)</f>
        <v>45454</v>
      </c>
      <c r="J140" s="31" t="str">
        <f>IFERROR(__xludf.DUMMYFUNCTION("""COMPUTED_VALUE"""),"Nidhi Khedekar")</f>
        <v>Nidhi Khedekar</v>
      </c>
      <c r="K140" s="31" t="str">
        <f>IFERROR(__xludf.DUMMYFUNCTION("""COMPUTED_VALUE"""),"Offer Declined")</f>
        <v>Offer Declined</v>
      </c>
      <c r="L140" s="31" t="str">
        <f>IFERROR(__xludf.DUMMYFUNCTION("""COMPUTED_VALUE"""),"Drop Out")</f>
        <v>Drop Out</v>
      </c>
      <c r="M140" s="31" t="str">
        <f>IFERROR(__xludf.DUMMYFUNCTION("""COMPUTED_VALUE"""),"kunal.garg@zupee.in")</f>
        <v>kunal.garg@zupee.in</v>
      </c>
      <c r="N140" s="31"/>
    </row>
    <row r="141">
      <c r="A141" s="74">
        <f>IFERROR(__xludf.DUMMYFUNCTION("""COMPUTED_VALUE"""),45457.0)</f>
        <v>45457</v>
      </c>
      <c r="B141" s="31" t="str">
        <f>IFERROR(__xludf.DUMMYFUNCTION("""COMPUTED_VALUE"""),"Anita Rane")</f>
        <v>Anita Rane</v>
      </c>
      <c r="C141" s="31" t="str">
        <f>IFERROR(__xludf.DUMMYFUNCTION("""COMPUTED_VALUE"""),"Marketing")</f>
        <v>Marketing</v>
      </c>
      <c r="D141" s="31">
        <f>IFERROR(__xludf.DUMMYFUNCTION("""COMPUTED_VALUE"""),9.886676891E9)</f>
        <v>9886676891</v>
      </c>
      <c r="E141" s="31" t="str">
        <f>IFERROR(__xludf.DUMMYFUNCTION("""COMPUTED_VALUE"""),"Creative Director")</f>
        <v>Creative Director</v>
      </c>
      <c r="F141" s="31" t="str">
        <f>IFERROR(__xludf.DUMMYFUNCTION("""COMPUTED_VALUE"""),"Brand Marketing")</f>
        <v>Brand Marketing</v>
      </c>
      <c r="G141" s="31" t="str">
        <f>IFERROR(__xludf.DUMMYFUNCTION("""COMPUTED_VALUE"""),"anitarane5@gmail.com")</f>
        <v>anitarane5@gmail.com</v>
      </c>
      <c r="H141" s="31" t="str">
        <f>IFERROR(__xludf.DUMMYFUNCTION("""COMPUTED_VALUE"""),"Katha Pankaj Tara")</f>
        <v>Katha Pankaj Tara</v>
      </c>
      <c r="I141" s="75">
        <f>IFERROR(__xludf.DUMMYFUNCTION("""COMPUTED_VALUE"""),45454.0)</f>
        <v>45454</v>
      </c>
      <c r="J141" s="31" t="str">
        <f>IFERROR(__xludf.DUMMYFUNCTION("""COMPUTED_VALUE"""),"Rajneesh Yadav")</f>
        <v>Rajneesh Yadav</v>
      </c>
      <c r="K141" s="31" t="str">
        <f>IFERROR(__xludf.DUMMYFUNCTION("""COMPUTED_VALUE"""),"Joined")</f>
        <v>Joined</v>
      </c>
      <c r="L141" s="31" t="str">
        <f>IFERROR(__xludf.DUMMYFUNCTION("""COMPUTED_VALUE"""),"Virtual")</f>
        <v>Virtual</v>
      </c>
      <c r="M141" s="31" t="str">
        <f>IFERROR(__xludf.DUMMYFUNCTION("""COMPUTED_VALUE"""),"anita.rane@zupee.in")</f>
        <v>anita.rane@zupee.in</v>
      </c>
      <c r="N141" s="31"/>
    </row>
    <row r="142">
      <c r="A142" s="74">
        <f>IFERROR(__xludf.DUMMYFUNCTION("""COMPUTED_VALUE"""),45461.0)</f>
        <v>45461</v>
      </c>
      <c r="B142" s="31" t="str">
        <f>IFERROR(__xludf.DUMMYFUNCTION("""COMPUTED_VALUE"""),"Gautam Malhotra")</f>
        <v>Gautam Malhotra</v>
      </c>
      <c r="C142" s="31" t="str">
        <f>IFERROR(__xludf.DUMMYFUNCTION("""COMPUTED_VALUE"""),"Data Science")</f>
        <v>Data Science</v>
      </c>
      <c r="D142" s="31">
        <f>IFERROR(__xludf.DUMMYFUNCTION("""COMPUTED_VALUE"""),9.311492333E9)</f>
        <v>9311492333</v>
      </c>
      <c r="E142" s="31" t="str">
        <f>IFERROR(__xludf.DUMMYFUNCTION("""COMPUTED_VALUE"""),"Machine Learning Trainee")</f>
        <v>Machine Learning Trainee</v>
      </c>
      <c r="F142" s="31" t="str">
        <f>IFERROR(__xludf.DUMMYFUNCTION("""COMPUTED_VALUE"""),"Data Science")</f>
        <v>Data Science</v>
      </c>
      <c r="G142" s="31" t="str">
        <f>IFERROR(__xludf.DUMMYFUNCTION("""COMPUTED_VALUE"""),"malhotragautam3000@gmail.com")</f>
        <v>malhotragautam3000@gmail.com</v>
      </c>
      <c r="H142" s="31" t="str">
        <f>IFERROR(__xludf.DUMMYFUNCTION("""COMPUTED_VALUE"""),"Nandeshwar Gupta")</f>
        <v>Nandeshwar Gupta</v>
      </c>
      <c r="I142" s="75">
        <f>IFERROR(__xludf.DUMMYFUNCTION("""COMPUTED_VALUE"""),45460.0)</f>
        <v>45460</v>
      </c>
      <c r="J142" s="31" t="str">
        <f>IFERROR(__xludf.DUMMYFUNCTION("""COMPUTED_VALUE"""),"Mamta Pandey")</f>
        <v>Mamta Pandey</v>
      </c>
      <c r="K142" s="31" t="str">
        <f>IFERROR(__xludf.DUMMYFUNCTION("""COMPUTED_VALUE"""),"Joined")</f>
        <v>Joined</v>
      </c>
      <c r="L142" s="31" t="str">
        <f>IFERROR(__xludf.DUMMYFUNCTION("""COMPUTED_VALUE"""),"In Office")</f>
        <v>In Office</v>
      </c>
      <c r="M142" s="31" t="str">
        <f>IFERROR(__xludf.DUMMYFUNCTION("""COMPUTED_VALUE"""),"gautam.malhotra@zupee.in")</f>
        <v>gautam.malhotra@zupee.in</v>
      </c>
      <c r="N142" s="31"/>
    </row>
    <row r="143">
      <c r="A143" s="74">
        <f>IFERROR(__xludf.DUMMYFUNCTION("""COMPUTED_VALUE"""),45462.0)</f>
        <v>45462</v>
      </c>
      <c r="B143" s="31" t="str">
        <f>IFERROR(__xludf.DUMMYFUNCTION("""COMPUTED_VALUE"""),"Janvi")</f>
        <v>Janvi</v>
      </c>
      <c r="C143" s="31" t="str">
        <f>IFERROR(__xludf.DUMMYFUNCTION("""COMPUTED_VALUE"""),"Customer Experience")</f>
        <v>Customer Experience</v>
      </c>
      <c r="D143" s="31">
        <f>IFERROR(__xludf.DUMMYFUNCTION("""COMPUTED_VALUE"""),7.678410421E9)</f>
        <v>7678410421</v>
      </c>
      <c r="E143" s="31" t="str">
        <f>IFERROR(__xludf.DUMMYFUNCTION("""COMPUTED_VALUE"""),"Customer Support Executive")</f>
        <v>Customer Support Executive</v>
      </c>
      <c r="F143" s="31" t="str">
        <f>IFERROR(__xludf.DUMMYFUNCTION("""COMPUTED_VALUE"""),"Customer Relation Management")</f>
        <v>Customer Relation Management</v>
      </c>
      <c r="G143" s="31" t="str">
        <f>IFERROR(__xludf.DUMMYFUNCTION("""COMPUTED_VALUE"""),"janvirajpoot255@gmail.com")</f>
        <v>janvirajpoot255@gmail.com</v>
      </c>
      <c r="H143" s="31" t="str">
        <f>IFERROR(__xludf.DUMMYFUNCTION("""COMPUTED_VALUE"""),"Shivam Bali")</f>
        <v>Shivam Bali</v>
      </c>
      <c r="I143" s="75">
        <f>IFERROR(__xludf.DUMMYFUNCTION("""COMPUTED_VALUE"""),45460.0)</f>
        <v>45460</v>
      </c>
      <c r="J143" s="31" t="str">
        <f>IFERROR(__xludf.DUMMYFUNCTION("""COMPUTED_VALUE"""),"Nidhi Khedekar")</f>
        <v>Nidhi Khedekar</v>
      </c>
      <c r="K143" s="31" t="str">
        <f>IFERROR(__xludf.DUMMYFUNCTION("""COMPUTED_VALUE"""),"Joined")</f>
        <v>Joined</v>
      </c>
      <c r="L143" s="31" t="str">
        <f>IFERROR(__xludf.DUMMYFUNCTION("""COMPUTED_VALUE"""),"In Office")</f>
        <v>In Office</v>
      </c>
      <c r="M143" s="31"/>
      <c r="N143" s="31"/>
    </row>
    <row r="144">
      <c r="A144" s="74">
        <f>IFERROR(__xludf.DUMMYFUNCTION("""COMPUTED_VALUE"""),45491.0)</f>
        <v>45491</v>
      </c>
      <c r="B144" s="31" t="str">
        <f>IFERROR(__xludf.DUMMYFUNCTION("""COMPUTED_VALUE"""),"Shyam Sunder Verma")</f>
        <v>Shyam Sunder Verma</v>
      </c>
      <c r="C144" s="31" t="str">
        <f>IFERROR(__xludf.DUMMYFUNCTION("""COMPUTED_VALUE"""),"Admin")</f>
        <v>Admin</v>
      </c>
      <c r="D144" s="31">
        <f>IFERROR(__xludf.DUMMYFUNCTION("""COMPUTED_VALUE"""),8.860582418E9)</f>
        <v>8860582418</v>
      </c>
      <c r="E144" s="31" t="str">
        <f>IFERROR(__xludf.DUMMYFUNCTION("""COMPUTED_VALUE"""),"Personal Assistant")</f>
        <v>Personal Assistant</v>
      </c>
      <c r="F144" s="31" t="str">
        <f>IFERROR(__xludf.DUMMYFUNCTION("""COMPUTED_VALUE"""),"Founder's Office")</f>
        <v>Founder's Office</v>
      </c>
      <c r="G144" s="31" t="str">
        <f>IFERROR(__xludf.DUMMYFUNCTION("""COMPUTED_VALUE"""),"shyams1677@yahoo.co.in")</f>
        <v>shyams1677@yahoo.co.in</v>
      </c>
      <c r="H144" s="31" t="str">
        <f>IFERROR(__xludf.DUMMYFUNCTION("""COMPUTED_VALUE"""),"Dilsher Malhi")</f>
        <v>Dilsher Malhi</v>
      </c>
      <c r="I144" s="75">
        <f>IFERROR(__xludf.DUMMYFUNCTION("""COMPUTED_VALUE"""),45460.0)</f>
        <v>45460</v>
      </c>
      <c r="J144" s="31" t="str">
        <f>IFERROR(__xludf.DUMMYFUNCTION("""COMPUTED_VALUE"""),"Nidhi Khedekar")</f>
        <v>Nidhi Khedekar</v>
      </c>
      <c r="K144" s="31" t="str">
        <f>IFERROR(__xludf.DUMMYFUNCTION("""COMPUTED_VALUE"""),"Joined")</f>
        <v>Joined</v>
      </c>
      <c r="L144" s="31" t="str">
        <f>IFERROR(__xludf.DUMMYFUNCTION("""COMPUTED_VALUE"""),"In Office")</f>
        <v>In Office</v>
      </c>
      <c r="M144" s="31" t="str">
        <f>IFERROR(__xludf.DUMMYFUNCTION("""COMPUTED_VALUE"""),"shyam.verma@zupee.in")</f>
        <v>shyam.verma@zupee.in</v>
      </c>
      <c r="N144" s="31" t="str">
        <f>IFERROR(__xludf.DUMMYFUNCTION("""COMPUTED_VALUE"""),"PG04FPHC")</f>
        <v>PG04FPHC</v>
      </c>
    </row>
    <row r="145">
      <c r="A145" s="74">
        <f>IFERROR(__xludf.DUMMYFUNCTION("""COMPUTED_VALUE"""),45495.0)</f>
        <v>45495</v>
      </c>
      <c r="B145" s="31" t="str">
        <f>IFERROR(__xludf.DUMMYFUNCTION("""COMPUTED_VALUE"""),"Meenu Bharti")</f>
        <v>Meenu Bharti</v>
      </c>
      <c r="C145" s="31" t="str">
        <f>IFERROR(__xludf.DUMMYFUNCTION("""COMPUTED_VALUE"""),"HR")</f>
        <v>HR</v>
      </c>
      <c r="D145" s="31">
        <f>IFERROR(__xludf.DUMMYFUNCTION("""COMPUTED_VALUE"""),9.810359527E9)</f>
        <v>9810359527</v>
      </c>
      <c r="E145" s="31" t="str">
        <f>IFERROR(__xludf.DUMMYFUNCTION("""COMPUTED_VALUE"""),"Assistant Manager - HRBP")</f>
        <v>Assistant Manager - HRBP</v>
      </c>
      <c r="F145" s="31" t="str">
        <f>IFERROR(__xludf.DUMMYFUNCTION("""COMPUTED_VALUE"""),"Human Resource")</f>
        <v>Human Resource</v>
      </c>
      <c r="G145" s="31" t="str">
        <f>IFERROR(__xludf.DUMMYFUNCTION("""COMPUTED_VALUE"""),"meenubharti2006@gmail.com")</f>
        <v>meenubharti2006@gmail.com</v>
      </c>
      <c r="H145" s="31" t="str">
        <f>IFERROR(__xludf.DUMMYFUNCTION("""COMPUTED_VALUE"""),"Gaurav Saxena")</f>
        <v>Gaurav Saxena</v>
      </c>
      <c r="I145" s="75">
        <f>IFERROR(__xludf.DUMMYFUNCTION("""COMPUTED_VALUE"""),45460.0)</f>
        <v>45460</v>
      </c>
      <c r="J145" s="31" t="str">
        <f>IFERROR(__xludf.DUMMYFUNCTION("""COMPUTED_VALUE"""),"Naina")</f>
        <v>Naina</v>
      </c>
      <c r="K145" s="31" t="str">
        <f>IFERROR(__xludf.DUMMYFUNCTION("""COMPUTED_VALUE"""),"Joined")</f>
        <v>Joined</v>
      </c>
      <c r="L145" s="31" t="str">
        <f>IFERROR(__xludf.DUMMYFUNCTION("""COMPUTED_VALUE"""),"In Office")</f>
        <v>In Office</v>
      </c>
      <c r="M145" s="31" t="str">
        <f>IFERROR(__xludf.DUMMYFUNCTION("""COMPUTED_VALUE"""),"meenu.bharti@zupee.in")</f>
        <v>meenu.bharti@zupee.in</v>
      </c>
      <c r="N145" s="31" t="str">
        <f>IFERROR(__xludf.DUMMYFUNCTION("""COMPUTED_VALUE"""),"PW03VMPY")</f>
        <v>PW03VMPY</v>
      </c>
    </row>
    <row r="146">
      <c r="A146" s="74">
        <f>IFERROR(__xludf.DUMMYFUNCTION("""COMPUTED_VALUE"""),45525.0)</f>
        <v>45525</v>
      </c>
      <c r="B146" s="31" t="str">
        <f>IFERROR(__xludf.DUMMYFUNCTION("""COMPUTED_VALUE"""),"Yash Oberoi")</f>
        <v>Yash Oberoi</v>
      </c>
      <c r="C146" s="31" t="str">
        <f>IFERROR(__xludf.DUMMYFUNCTION("""COMPUTED_VALUE"""),"PR")</f>
        <v>PR</v>
      </c>
      <c r="D146" s="31">
        <f>IFERROR(__xludf.DUMMYFUNCTION("""COMPUTED_VALUE"""),9.821754606E9)</f>
        <v>9821754606</v>
      </c>
      <c r="E146" s="31" t="str">
        <f>IFERROR(__xludf.DUMMYFUNCTION("""COMPUTED_VALUE"""),"PR Executive")</f>
        <v>PR Executive</v>
      </c>
      <c r="F146" s="31" t="str">
        <f>IFERROR(__xludf.DUMMYFUNCTION("""COMPUTED_VALUE"""),"PR")</f>
        <v>PR</v>
      </c>
      <c r="G146" s="31" t="str">
        <f>IFERROR(__xludf.DUMMYFUNCTION("""COMPUTED_VALUE"""),"yashuoberoi@gmail.com")</f>
        <v>yashuoberoi@gmail.com</v>
      </c>
      <c r="H146" s="31" t="str">
        <f>IFERROR(__xludf.DUMMYFUNCTION("""COMPUTED_VALUE"""),"Tanmeet Kaur Ahuja")</f>
        <v>Tanmeet Kaur Ahuja</v>
      </c>
      <c r="I146" s="75">
        <f>IFERROR(__xludf.DUMMYFUNCTION("""COMPUTED_VALUE"""),45461.0)</f>
        <v>45461</v>
      </c>
      <c r="J146" s="31" t="str">
        <f>IFERROR(__xludf.DUMMYFUNCTION("""COMPUTED_VALUE"""),"Nidhi Khedekar")</f>
        <v>Nidhi Khedekar</v>
      </c>
      <c r="K146" s="31" t="str">
        <f>IFERROR(__xludf.DUMMYFUNCTION("""COMPUTED_VALUE"""),"Joined")</f>
        <v>Joined</v>
      </c>
      <c r="L146" s="31" t="str">
        <f>IFERROR(__xludf.DUMMYFUNCTION("""COMPUTED_VALUE"""),"In Office")</f>
        <v>In Office</v>
      </c>
      <c r="M146" s="31" t="str">
        <f>IFERROR(__xludf.DUMMYFUNCTION("""COMPUTED_VALUE"""),"yash.oberoi@zupee.in")</f>
        <v>yash.oberoi@zupee.in</v>
      </c>
      <c r="N146" s="31"/>
    </row>
    <row r="147">
      <c r="A147" s="74">
        <f>IFERROR(__xludf.DUMMYFUNCTION("""COMPUTED_VALUE"""),45467.0)</f>
        <v>45467</v>
      </c>
      <c r="B147" s="31" t="str">
        <f>IFERROR(__xludf.DUMMYFUNCTION("""COMPUTED_VALUE"""),"Aditya Marda")</f>
        <v>Aditya Marda</v>
      </c>
      <c r="C147" s="31" t="str">
        <f>IFERROR(__xludf.DUMMYFUNCTION("""COMPUTED_VALUE"""),"Marketing")</f>
        <v>Marketing</v>
      </c>
      <c r="D147" s="31">
        <f>IFERROR(__xludf.DUMMYFUNCTION("""COMPUTED_VALUE"""),7.875901304E9)</f>
        <v>7875901304</v>
      </c>
      <c r="E147" s="31" t="str">
        <f>IFERROR(__xludf.DUMMYFUNCTION("""COMPUTED_VALUE"""),"Senior Associate-Digital Marketing")</f>
        <v>Senior Associate-Digital Marketing</v>
      </c>
      <c r="F147" s="31" t="str">
        <f>IFERROR(__xludf.DUMMYFUNCTION("""COMPUTED_VALUE"""),"Digital Marketing")</f>
        <v>Digital Marketing</v>
      </c>
      <c r="G147" s="31" t="str">
        <f>IFERROR(__xludf.DUMMYFUNCTION("""COMPUTED_VALUE"""),"adityamarda1@gmail.com")</f>
        <v>adityamarda1@gmail.com</v>
      </c>
      <c r="H147" s="31" t="str">
        <f>IFERROR(__xludf.DUMMYFUNCTION("""COMPUTED_VALUE"""),"Ritwika Rai")</f>
        <v>Ritwika Rai</v>
      </c>
      <c r="I147" s="75">
        <f>IFERROR(__xludf.DUMMYFUNCTION("""COMPUTED_VALUE"""),45464.0)</f>
        <v>45464</v>
      </c>
      <c r="J147" s="31" t="str">
        <f>IFERROR(__xludf.DUMMYFUNCTION("""COMPUTED_VALUE"""),"Nidhi Khedekar")</f>
        <v>Nidhi Khedekar</v>
      </c>
      <c r="K147" s="31" t="str">
        <f>IFERROR(__xludf.DUMMYFUNCTION("""COMPUTED_VALUE"""),"Joined")</f>
        <v>Joined</v>
      </c>
      <c r="L147" s="31" t="str">
        <f>IFERROR(__xludf.DUMMYFUNCTION("""COMPUTED_VALUE"""),"Virtual")</f>
        <v>Virtual</v>
      </c>
      <c r="M147" s="31" t="str">
        <f>IFERROR(__xludf.DUMMYFUNCTION("""COMPUTED_VALUE"""),"aditya.marda@zupee.in")</f>
        <v>aditya.marda@zupee.in</v>
      </c>
      <c r="N147" s="31"/>
    </row>
    <row r="148">
      <c r="A148" s="74">
        <f>IFERROR(__xludf.DUMMYFUNCTION("""COMPUTED_VALUE"""),45467.0)</f>
        <v>45467</v>
      </c>
      <c r="B148" s="31" t="str">
        <f>IFERROR(__xludf.DUMMYFUNCTION("""COMPUTED_VALUE"""),"Gaurav Malhotra")</f>
        <v>Gaurav Malhotra</v>
      </c>
      <c r="C148" s="31" t="str">
        <f>IFERROR(__xludf.DUMMYFUNCTION("""COMPUTED_VALUE"""),"Customer Experience")</f>
        <v>Customer Experience</v>
      </c>
      <c r="D148" s="31">
        <f>IFERROR(__xludf.DUMMYFUNCTION("""COMPUTED_VALUE"""),9.650616176E9)</f>
        <v>9650616176</v>
      </c>
      <c r="E148" s="31" t="str">
        <f>IFERROR(__xludf.DUMMYFUNCTION("""COMPUTED_VALUE"""),"Senior Executive-Customer Experience")</f>
        <v>Senior Executive-Customer Experience</v>
      </c>
      <c r="F148" s="31" t="str">
        <f>IFERROR(__xludf.DUMMYFUNCTION("""COMPUTED_VALUE"""),"Customer Relation Management")</f>
        <v>Customer Relation Management</v>
      </c>
      <c r="G148" s="31" t="str">
        <f>IFERROR(__xludf.DUMMYFUNCTION("""COMPUTED_VALUE"""),"Gauravmalhotra096@gmail.com ")</f>
        <v>Gauravmalhotra096@gmail.com </v>
      </c>
      <c r="H148" s="31" t="str">
        <f>IFERROR(__xludf.DUMMYFUNCTION("""COMPUTED_VALUE"""),"Shivam Bali")</f>
        <v>Shivam Bali</v>
      </c>
      <c r="I148" s="75">
        <f>IFERROR(__xludf.DUMMYFUNCTION("""COMPUTED_VALUE"""),45464.0)</f>
        <v>45464</v>
      </c>
      <c r="J148" s="31" t="str">
        <f>IFERROR(__xludf.DUMMYFUNCTION("""COMPUTED_VALUE"""),"Nidhi Khedekar")</f>
        <v>Nidhi Khedekar</v>
      </c>
      <c r="K148" s="31" t="str">
        <f>IFERROR(__xludf.DUMMYFUNCTION("""COMPUTED_VALUE"""),"Joined")</f>
        <v>Joined</v>
      </c>
      <c r="L148" s="31" t="str">
        <f>IFERROR(__xludf.DUMMYFUNCTION("""COMPUTED_VALUE"""),"In Office")</f>
        <v>In Office</v>
      </c>
      <c r="M148" s="31" t="str">
        <f>IFERROR(__xludf.DUMMYFUNCTION("""COMPUTED_VALUE"""),"gaurav.malhotra@zupee.in")</f>
        <v>gaurav.malhotra@zupee.in</v>
      </c>
      <c r="N148" s="31"/>
    </row>
    <row r="149">
      <c r="A149" s="74">
        <f>IFERROR(__xludf.DUMMYFUNCTION("""COMPUTED_VALUE"""),45474.0)</f>
        <v>45474</v>
      </c>
      <c r="B149" s="31" t="str">
        <f>IFERROR(__xludf.DUMMYFUNCTION("""COMPUTED_VALUE"""),"Abhishek Prasad")</f>
        <v>Abhishek Prasad</v>
      </c>
      <c r="C149" s="31" t="str">
        <f>IFERROR(__xludf.DUMMYFUNCTION("""COMPUTED_VALUE"""),"Customer Experience")</f>
        <v>Customer Experience</v>
      </c>
      <c r="D149" s="31">
        <f>IFERROR(__xludf.DUMMYFUNCTION("""COMPUTED_VALUE"""),8.092541196E9)</f>
        <v>8092541196</v>
      </c>
      <c r="E149" s="31" t="str">
        <f>IFERROR(__xludf.DUMMYFUNCTION("""COMPUTED_VALUE"""),"QA Executive")</f>
        <v>QA Executive</v>
      </c>
      <c r="F149" s="31" t="str">
        <f>IFERROR(__xludf.DUMMYFUNCTION("""COMPUTED_VALUE"""),"Customer Relation Management")</f>
        <v>Customer Relation Management</v>
      </c>
      <c r="G149" s="31" t="str">
        <f>IFERROR(__xludf.DUMMYFUNCTION("""COMPUTED_VALUE"""),"prasadabhishek0123@gmail.com ")</f>
        <v>prasadabhishek0123@gmail.com </v>
      </c>
      <c r="H149" s="31" t="str">
        <f>IFERROR(__xludf.DUMMYFUNCTION("""COMPUTED_VALUE"""),"Alankrita Sharma")</f>
        <v>Alankrita Sharma</v>
      </c>
      <c r="I149" s="75">
        <f>IFERROR(__xludf.DUMMYFUNCTION("""COMPUTED_VALUE"""),45464.0)</f>
        <v>45464</v>
      </c>
      <c r="J149" s="31" t="str">
        <f>IFERROR(__xludf.DUMMYFUNCTION("""COMPUTED_VALUE"""),"Nidhi Khedekar")</f>
        <v>Nidhi Khedekar</v>
      </c>
      <c r="K149" s="31" t="str">
        <f>IFERROR(__xludf.DUMMYFUNCTION("""COMPUTED_VALUE"""),"Joined")</f>
        <v>Joined</v>
      </c>
      <c r="L149" s="31" t="str">
        <f>IFERROR(__xludf.DUMMYFUNCTION("""COMPUTED_VALUE"""),"In Office")</f>
        <v>In Office</v>
      </c>
      <c r="M149" s="31" t="str">
        <f>IFERROR(__xludf.DUMMYFUNCTION("""COMPUTED_VALUE"""),"abhishek.prasad@zupee.in")</f>
        <v>abhishek.prasad@zupee.in</v>
      </c>
      <c r="N149" s="31" t="str">
        <f>IFERROR(__xludf.DUMMYFUNCTION("""COMPUTED_VALUE"""),"PF4BM4AP")</f>
        <v>PF4BM4AP</v>
      </c>
    </row>
    <row r="150">
      <c r="A150" s="74">
        <f>IFERROR(__xludf.DUMMYFUNCTION("""COMPUTED_VALUE"""),45474.0)</f>
        <v>45474</v>
      </c>
      <c r="B150" s="31" t="str">
        <f>IFERROR(__xludf.DUMMYFUNCTION("""COMPUTED_VALUE"""),"Hritik Raj")</f>
        <v>Hritik Raj</v>
      </c>
      <c r="C150" s="31" t="str">
        <f>IFERROR(__xludf.DUMMYFUNCTION("""COMPUTED_VALUE"""),"Technology")</f>
        <v>Technology</v>
      </c>
      <c r="D150" s="31">
        <f>IFERROR(__xludf.DUMMYFUNCTION("""COMPUTED_VALUE"""),9.289365686E9)</f>
        <v>9289365686</v>
      </c>
      <c r="E150" s="31" t="str">
        <f>IFERROR(__xludf.DUMMYFUNCTION("""COMPUTED_VALUE"""),"Software Engineer Trainee")</f>
        <v>Software Engineer Trainee</v>
      </c>
      <c r="F150" s="31" t="str">
        <f>IFERROR(__xludf.DUMMYFUNCTION("""COMPUTED_VALUE"""),"Engineering")</f>
        <v>Engineering</v>
      </c>
      <c r="G150" s="31" t="str">
        <f>IFERROR(__xludf.DUMMYFUNCTION("""COMPUTED_VALUE"""),"rhritik22@gmail.com")</f>
        <v>rhritik22@gmail.com</v>
      </c>
      <c r="H150" s="31" t="str">
        <f>IFERROR(__xludf.DUMMYFUNCTION("""COMPUTED_VALUE"""),"Ranjeet Kumar")</f>
        <v>Ranjeet Kumar</v>
      </c>
      <c r="I150" s="75">
        <f>IFERROR(__xludf.DUMMYFUNCTION("""COMPUTED_VALUE"""),45464.0)</f>
        <v>45464</v>
      </c>
      <c r="J150" s="31" t="str">
        <f>IFERROR(__xludf.DUMMYFUNCTION("""COMPUTED_VALUE"""),"Naina")</f>
        <v>Naina</v>
      </c>
      <c r="K150" s="31" t="str">
        <f>IFERROR(__xludf.DUMMYFUNCTION("""COMPUTED_VALUE"""),"Joined")</f>
        <v>Joined</v>
      </c>
      <c r="L150" s="31" t="str">
        <f>IFERROR(__xludf.DUMMYFUNCTION("""COMPUTED_VALUE"""),"In Office")</f>
        <v>In Office</v>
      </c>
      <c r="M150" s="31"/>
      <c r="N150" s="31"/>
    </row>
    <row r="151">
      <c r="A151" s="74">
        <f>IFERROR(__xludf.DUMMYFUNCTION("""COMPUTED_VALUE"""),45511.0)</f>
        <v>45511</v>
      </c>
      <c r="B151" s="31" t="str">
        <f>IFERROR(__xludf.DUMMYFUNCTION("""COMPUTED_VALUE"""),"Prakash Vedavyas Acharya")</f>
        <v>Prakash Vedavyas Acharya</v>
      </c>
      <c r="C151" s="31" t="str">
        <f>IFERROR(__xludf.DUMMYFUNCTION("""COMPUTED_VALUE"""),"Marketing")</f>
        <v>Marketing</v>
      </c>
      <c r="D151" s="31">
        <f>IFERROR(__xludf.DUMMYFUNCTION("""COMPUTED_VALUE"""),9.89279148E9)</f>
        <v>9892791480</v>
      </c>
      <c r="E151" s="31" t="str">
        <f>IFERROR(__xludf.DUMMYFUNCTION("""COMPUTED_VALUE"""),"Associate Director- Digital Marketing")</f>
        <v>Associate Director- Digital Marketing</v>
      </c>
      <c r="F151" s="31" t="str">
        <f>IFERROR(__xludf.DUMMYFUNCTION("""COMPUTED_VALUE"""),"Digital Marketing")</f>
        <v>Digital Marketing</v>
      </c>
      <c r="G151" s="31" t="str">
        <f>IFERROR(__xludf.DUMMYFUNCTION("""COMPUTED_VALUE"""),"praks1983@gmail.com")</f>
        <v>praks1983@gmail.com</v>
      </c>
      <c r="H151" s="31" t="str">
        <f>IFERROR(__xludf.DUMMYFUNCTION("""COMPUTED_VALUE"""),"Nishant Jaiswal")</f>
        <v>Nishant Jaiswal</v>
      </c>
      <c r="I151" s="75">
        <f>IFERROR(__xludf.DUMMYFUNCTION("""COMPUTED_VALUE"""),45468.0)</f>
        <v>45468</v>
      </c>
      <c r="J151" s="31" t="str">
        <f>IFERROR(__xludf.DUMMYFUNCTION("""COMPUTED_VALUE"""),"Rajneesh Yadav")</f>
        <v>Rajneesh Yadav</v>
      </c>
      <c r="K151" s="31" t="str">
        <f>IFERROR(__xludf.DUMMYFUNCTION("""COMPUTED_VALUE"""),"Joined")</f>
        <v>Joined</v>
      </c>
      <c r="L151" s="31" t="str">
        <f>IFERROR(__xludf.DUMMYFUNCTION("""COMPUTED_VALUE"""),"In Office")</f>
        <v>In Office</v>
      </c>
      <c r="M151" s="31"/>
      <c r="N151" s="31"/>
    </row>
    <row r="152">
      <c r="A152" s="74">
        <f>IFERROR(__xludf.DUMMYFUNCTION("""COMPUTED_VALUE"""),45474.0)</f>
        <v>45474</v>
      </c>
      <c r="B152" s="31" t="str">
        <f>IFERROR(__xludf.DUMMYFUNCTION("""COMPUTED_VALUE"""),"Munnu Kumar")</f>
        <v>Munnu Kumar</v>
      </c>
      <c r="C152" s="31" t="str">
        <f>IFERROR(__xludf.DUMMYFUNCTION("""COMPUTED_VALUE"""),"Technology")</f>
        <v>Technology</v>
      </c>
      <c r="D152" s="31">
        <f>IFERROR(__xludf.DUMMYFUNCTION("""COMPUTED_VALUE"""),8.860517784E9)</f>
        <v>8860517784</v>
      </c>
      <c r="E152" s="31" t="str">
        <f>IFERROR(__xludf.DUMMYFUNCTION("""COMPUTED_VALUE"""),"Software Development Engineer 3")</f>
        <v>Software Development Engineer 3</v>
      </c>
      <c r="F152" s="31" t="str">
        <f>IFERROR(__xludf.DUMMYFUNCTION("""COMPUTED_VALUE"""),"Backend")</f>
        <v>Backend</v>
      </c>
      <c r="G152" s="31" t="str">
        <f>IFERROR(__xludf.DUMMYFUNCTION("""COMPUTED_VALUE"""),"munnu.kumar37@gmail.com")</f>
        <v>munnu.kumar37@gmail.com</v>
      </c>
      <c r="H152" s="31" t="str">
        <f>IFERROR(__xludf.DUMMYFUNCTION("""COMPUTED_VALUE"""),"Amit Garg")</f>
        <v>Amit Garg</v>
      </c>
      <c r="I152" s="75">
        <f>IFERROR(__xludf.DUMMYFUNCTION("""COMPUTED_VALUE"""),45470.0)</f>
        <v>45470</v>
      </c>
      <c r="J152" s="31" t="str">
        <f>IFERROR(__xludf.DUMMYFUNCTION("""COMPUTED_VALUE"""),"Nidhi Khedekar")</f>
        <v>Nidhi Khedekar</v>
      </c>
      <c r="K152" s="31" t="str">
        <f>IFERROR(__xludf.DUMMYFUNCTION("""COMPUTED_VALUE"""),"Joined")</f>
        <v>Joined</v>
      </c>
      <c r="L152" s="31" t="str">
        <f>IFERROR(__xludf.DUMMYFUNCTION("""COMPUTED_VALUE"""),"In Office")</f>
        <v>In Office</v>
      </c>
      <c r="M152" s="31" t="str">
        <f>IFERROR(__xludf.DUMMYFUNCTION("""COMPUTED_VALUE"""),"munnu.kumar@zupee.in")</f>
        <v>munnu.kumar@zupee.in</v>
      </c>
      <c r="N152" s="31"/>
    </row>
    <row r="153">
      <c r="A153" s="74">
        <f>IFERROR(__xludf.DUMMYFUNCTION("""COMPUTED_VALUE"""),45505.0)</f>
        <v>45505</v>
      </c>
      <c r="B153" s="31" t="str">
        <f>IFERROR(__xludf.DUMMYFUNCTION("""COMPUTED_VALUE"""),"Mukul Chaudhary")</f>
        <v>Mukul Chaudhary</v>
      </c>
      <c r="C153" s="31" t="str">
        <f>IFERROR(__xludf.DUMMYFUNCTION("""COMPUTED_VALUE"""),"Design")</f>
        <v>Design</v>
      </c>
      <c r="D153" s="31">
        <f>IFERROR(__xludf.DUMMYFUNCTION("""COMPUTED_VALUE"""),9.899913996E9)</f>
        <v>9899913996</v>
      </c>
      <c r="E153" s="31" t="str">
        <f>IFERROR(__xludf.DUMMYFUNCTION("""COMPUTED_VALUE"""),"Senior Motion Graphic Designer")</f>
        <v>Senior Motion Graphic Designer</v>
      </c>
      <c r="F153" s="31" t="str">
        <f>IFERROR(__xludf.DUMMYFUNCTION("""COMPUTED_VALUE"""),"Marketing Design")</f>
        <v>Marketing Design</v>
      </c>
      <c r="G153" s="31" t="str">
        <f>IFERROR(__xludf.DUMMYFUNCTION("""COMPUTED_VALUE"""),"mukulchaudhary0905@gmail.com")</f>
        <v>mukulchaudhary0905@gmail.com</v>
      </c>
      <c r="H153" s="31" t="str">
        <f>IFERROR(__xludf.DUMMYFUNCTION("""COMPUTED_VALUE"""),"Katha Pankaj Tara")</f>
        <v>Katha Pankaj Tara</v>
      </c>
      <c r="I153" s="75">
        <f>IFERROR(__xludf.DUMMYFUNCTION("""COMPUTED_VALUE"""),45470.0)</f>
        <v>45470</v>
      </c>
      <c r="J153" s="31" t="str">
        <f>IFERROR(__xludf.DUMMYFUNCTION("""COMPUTED_VALUE"""),"Nidhi Khedekar")</f>
        <v>Nidhi Khedekar</v>
      </c>
      <c r="K153" s="31" t="str">
        <f>IFERROR(__xludf.DUMMYFUNCTION("""COMPUTED_VALUE"""),"Joined")</f>
        <v>Joined</v>
      </c>
      <c r="L153" s="31" t="str">
        <f>IFERROR(__xludf.DUMMYFUNCTION("""COMPUTED_VALUE"""),"In Office")</f>
        <v>In Office</v>
      </c>
      <c r="M153" s="31" t="str">
        <f>IFERROR(__xludf.DUMMYFUNCTION("""COMPUTED_VALUE"""),"mukul.chaudhary@zupee.in")</f>
        <v>mukul.chaudhary@zupee.in</v>
      </c>
      <c r="N153" s="31"/>
    </row>
    <row r="154">
      <c r="A154" s="74">
        <f>IFERROR(__xludf.DUMMYFUNCTION("""COMPUTED_VALUE"""),45481.0)</f>
        <v>45481</v>
      </c>
      <c r="B154" s="31" t="str">
        <f>IFERROR(__xludf.DUMMYFUNCTION("""COMPUTED_VALUE"""),"Ayush Gupta	")</f>
        <v>Ayush Gupta	</v>
      </c>
      <c r="C154" s="31" t="str">
        <f>IFERROR(__xludf.DUMMYFUNCTION("""COMPUTED_VALUE"""),"Technology")</f>
        <v>Technology</v>
      </c>
      <c r="D154" s="31">
        <f>IFERROR(__xludf.DUMMYFUNCTION("""COMPUTED_VALUE"""),6.386582895E9)</f>
        <v>6386582895</v>
      </c>
      <c r="E154" s="31" t="str">
        <f>IFERROR(__xludf.DUMMYFUNCTION("""COMPUTED_VALUE"""),"Software Engineer")</f>
        <v>Software Engineer</v>
      </c>
      <c r="F154" s="31" t="str">
        <f>IFERROR(__xludf.DUMMYFUNCTION("""COMPUTED_VALUE"""),"Backend")</f>
        <v>Backend</v>
      </c>
      <c r="G154" s="31" t="str">
        <f>IFERROR(__xludf.DUMMYFUNCTION("""COMPUTED_VALUE"""),"ayushguptaair1@gmail.com ")</f>
        <v>ayushguptaair1@gmail.com </v>
      </c>
      <c r="H154" s="31" t="str">
        <f>IFERROR(__xludf.DUMMYFUNCTION("""COMPUTED_VALUE"""),"Rahul Sharma")</f>
        <v>Rahul Sharma</v>
      </c>
      <c r="I154" s="75">
        <f>IFERROR(__xludf.DUMMYFUNCTION("""COMPUTED_VALUE"""),45470.0)</f>
        <v>45470</v>
      </c>
      <c r="J154" s="31" t="str">
        <f>IFERROR(__xludf.DUMMYFUNCTION("""COMPUTED_VALUE"""),"Nidhi Khedekar")</f>
        <v>Nidhi Khedekar</v>
      </c>
      <c r="K154" s="31" t="str">
        <f>IFERROR(__xludf.DUMMYFUNCTION("""COMPUTED_VALUE"""),"Joined")</f>
        <v>Joined</v>
      </c>
      <c r="L154" s="31" t="str">
        <f>IFERROR(__xludf.DUMMYFUNCTION("""COMPUTED_VALUE"""),"In Office")</f>
        <v>In Office</v>
      </c>
      <c r="M154" s="31"/>
      <c r="N154" s="31"/>
    </row>
    <row r="155">
      <c r="A155" s="74">
        <f>IFERROR(__xludf.DUMMYFUNCTION("""COMPUTED_VALUE"""),45490.0)</f>
        <v>45490</v>
      </c>
      <c r="B155" s="31" t="str">
        <f>IFERROR(__xludf.DUMMYFUNCTION("""COMPUTED_VALUE"""),"Shivam Sharma")</f>
        <v>Shivam Sharma</v>
      </c>
      <c r="C155" s="31" t="str">
        <f>IFERROR(__xludf.DUMMYFUNCTION("""COMPUTED_VALUE"""),"HR")</f>
        <v>HR</v>
      </c>
      <c r="D155" s="31">
        <f>IFERROR(__xludf.DUMMYFUNCTION("""COMPUTED_VALUE"""),9.8784189E9)</f>
        <v>9878418900</v>
      </c>
      <c r="E155" s="31" t="str">
        <f>IFERROR(__xludf.DUMMYFUNCTION("""COMPUTED_VALUE"""),"Assistant Manager - Talent Acquisition")</f>
        <v>Assistant Manager - Talent Acquisition</v>
      </c>
      <c r="F155" s="31" t="str">
        <f>IFERROR(__xludf.DUMMYFUNCTION("""COMPUTED_VALUE"""),"Human Resource")</f>
        <v>Human Resource</v>
      </c>
      <c r="G155" s="31" t="str">
        <f>IFERROR(__xludf.DUMMYFUNCTION("""COMPUTED_VALUE"""),"shivam9sharma9@gmail.com")</f>
        <v>shivam9sharma9@gmail.com</v>
      </c>
      <c r="H155" s="31" t="str">
        <f>IFERROR(__xludf.DUMMYFUNCTION("""COMPUTED_VALUE"""),"Sangeetha")</f>
        <v>Sangeetha</v>
      </c>
      <c r="I155" s="75">
        <f>IFERROR(__xludf.DUMMYFUNCTION("""COMPUTED_VALUE"""),45470.0)</f>
        <v>45470</v>
      </c>
      <c r="J155" s="31" t="str">
        <f>IFERROR(__xludf.DUMMYFUNCTION("""COMPUTED_VALUE"""),"Nidhi Khedekar")</f>
        <v>Nidhi Khedekar</v>
      </c>
      <c r="K155" s="31" t="str">
        <f>IFERROR(__xludf.DUMMYFUNCTION("""COMPUTED_VALUE"""),"Joined")</f>
        <v>Joined</v>
      </c>
      <c r="L155" s="31" t="str">
        <f>IFERROR(__xludf.DUMMYFUNCTION("""COMPUTED_VALUE"""),"In Office")</f>
        <v>In Office</v>
      </c>
      <c r="M155" s="31" t="str">
        <f>IFERROR(__xludf.DUMMYFUNCTION("""COMPUTED_VALUE"""),"shivam.sharma@zupee.in")</f>
        <v>shivam.sharma@zupee.in</v>
      </c>
      <c r="N155" s="31"/>
    </row>
    <row r="156">
      <c r="A156" s="74">
        <f>IFERROR(__xludf.DUMMYFUNCTION("""COMPUTED_VALUE"""),45531.0)</f>
        <v>45531</v>
      </c>
      <c r="B156" s="31" t="str">
        <f>IFERROR(__xludf.DUMMYFUNCTION("""COMPUTED_VALUE"""),"Anish Kumar Jain")</f>
        <v>Anish Kumar Jain</v>
      </c>
      <c r="C156" s="31" t="str">
        <f>IFERROR(__xludf.DUMMYFUNCTION("""COMPUTED_VALUE"""),"Finance")</f>
        <v>Finance</v>
      </c>
      <c r="D156" s="31">
        <f>IFERROR(__xludf.DUMMYFUNCTION("""COMPUTED_VALUE"""),8.26931011E9)</f>
        <v>8269310110</v>
      </c>
      <c r="E156" s="31" t="str">
        <f>IFERROR(__xludf.DUMMYFUNCTION("""COMPUTED_VALUE"""),"Manager- Finance")</f>
        <v>Manager- Finance</v>
      </c>
      <c r="F156" s="31" t="str">
        <f>IFERROR(__xludf.DUMMYFUNCTION("""COMPUTED_VALUE"""),"Finance")</f>
        <v>Finance</v>
      </c>
      <c r="G156" s="31" t="str">
        <f>IFERROR(__xludf.DUMMYFUNCTION("""COMPUTED_VALUE"""),"anishh.ca@gmail.com")</f>
        <v>anishh.ca@gmail.com</v>
      </c>
      <c r="H156" s="31" t="str">
        <f>IFERROR(__xludf.DUMMYFUNCTION("""COMPUTED_VALUE"""),"Ankur Agarwal")</f>
        <v>Ankur Agarwal</v>
      </c>
      <c r="I156" s="75">
        <f>IFERROR(__xludf.DUMMYFUNCTION("""COMPUTED_VALUE"""),45470.0)</f>
        <v>45470</v>
      </c>
      <c r="J156" s="31" t="str">
        <f>IFERROR(__xludf.DUMMYFUNCTION("""COMPUTED_VALUE"""),"Mamta Pandey")</f>
        <v>Mamta Pandey</v>
      </c>
      <c r="K156" s="31" t="str">
        <f>IFERROR(__xludf.DUMMYFUNCTION("""COMPUTED_VALUE"""),"Offer Declined")</f>
        <v>Offer Declined</v>
      </c>
      <c r="L156" s="31" t="str">
        <f>IFERROR(__xludf.DUMMYFUNCTION("""COMPUTED_VALUE"""),"In Office")</f>
        <v>In Office</v>
      </c>
      <c r="M156" s="31"/>
      <c r="N156" s="31"/>
    </row>
    <row r="157">
      <c r="A157" s="74">
        <f>IFERROR(__xludf.DUMMYFUNCTION("""COMPUTED_VALUE"""),45481.0)</f>
        <v>45481</v>
      </c>
      <c r="B157" s="31" t="str">
        <f>IFERROR(__xludf.DUMMYFUNCTION("""COMPUTED_VALUE"""),"Om Tewari")</f>
        <v>Om Tewari</v>
      </c>
      <c r="C157" s="31" t="str">
        <f>IFERROR(__xludf.DUMMYFUNCTION("""COMPUTED_VALUE"""),"HR")</f>
        <v>HR</v>
      </c>
      <c r="D157" s="31">
        <f>IFERROR(__xludf.DUMMYFUNCTION("""COMPUTED_VALUE"""),9.837301079E9)</f>
        <v>9837301079</v>
      </c>
      <c r="E157" s="31" t="str">
        <f>IFERROR(__xludf.DUMMYFUNCTION("""COMPUTED_VALUE"""),"Senior Associate- Talent Acquisition")</f>
        <v>Senior Associate- Talent Acquisition</v>
      </c>
      <c r="F157" s="31" t="str">
        <f>IFERROR(__xludf.DUMMYFUNCTION("""COMPUTED_VALUE"""),"Human Resource")</f>
        <v>Human Resource</v>
      </c>
      <c r="G157" s="31" t="str">
        <f>IFERROR(__xludf.DUMMYFUNCTION("""COMPUTED_VALUE"""),"tewari4129@gmail.com")</f>
        <v>tewari4129@gmail.com</v>
      </c>
      <c r="H157" s="31" t="str">
        <f>IFERROR(__xludf.DUMMYFUNCTION("""COMPUTED_VALUE"""),"Rajneesh Yadav")</f>
        <v>Rajneesh Yadav</v>
      </c>
      <c r="I157" s="75">
        <f>IFERROR(__xludf.DUMMYFUNCTION("""COMPUTED_VALUE"""),45470.0)</f>
        <v>45470</v>
      </c>
      <c r="J157" s="31" t="str">
        <f>IFERROR(__xludf.DUMMYFUNCTION("""COMPUTED_VALUE"""),"Mamta Pandey")</f>
        <v>Mamta Pandey</v>
      </c>
      <c r="K157" s="31" t="str">
        <f>IFERROR(__xludf.DUMMYFUNCTION("""COMPUTED_VALUE"""),"Offer Declined")</f>
        <v>Offer Declined</v>
      </c>
      <c r="L157" s="31" t="str">
        <f>IFERROR(__xludf.DUMMYFUNCTION("""COMPUTED_VALUE"""),"In Office")</f>
        <v>In Office</v>
      </c>
      <c r="M157" s="31"/>
      <c r="N157" s="31"/>
    </row>
    <row r="158">
      <c r="A158" s="74">
        <f>IFERROR(__xludf.DUMMYFUNCTION("""COMPUTED_VALUE"""),45474.0)</f>
        <v>45474</v>
      </c>
      <c r="B158" s="31" t="str">
        <f>IFERROR(__xludf.DUMMYFUNCTION("""COMPUTED_VALUE"""),"Khushboo Chopra")</f>
        <v>Khushboo Chopra</v>
      </c>
      <c r="C158" s="31" t="str">
        <f>IFERROR(__xludf.DUMMYFUNCTION("""COMPUTED_VALUE"""),"Marketing")</f>
        <v>Marketing</v>
      </c>
      <c r="D158" s="31">
        <f>IFERROR(__xludf.DUMMYFUNCTION("""COMPUTED_VALUE"""),8.287202288E9)</f>
        <v>8287202288</v>
      </c>
      <c r="E158" s="31" t="str">
        <f>IFERROR(__xludf.DUMMYFUNCTION("""COMPUTED_VALUE"""),"Senior Manager – Brand Marketing")</f>
        <v>Senior Manager – Brand Marketing</v>
      </c>
      <c r="F158" s="31" t="str">
        <f>IFERROR(__xludf.DUMMYFUNCTION("""COMPUTED_VALUE"""),"Brand Marketing")</f>
        <v>Brand Marketing</v>
      </c>
      <c r="G158" s="31" t="str">
        <f>IFERROR(__xludf.DUMMYFUNCTION("""COMPUTED_VALUE"""),"khushboochopra17@gmail.com")</f>
        <v>khushboochopra17@gmail.com</v>
      </c>
      <c r="H158" s="31" t="str">
        <f>IFERROR(__xludf.DUMMYFUNCTION("""COMPUTED_VALUE"""),"Katha Pankaj Tara")</f>
        <v>Katha Pankaj Tara</v>
      </c>
      <c r="I158" s="75">
        <f>IFERROR(__xludf.DUMMYFUNCTION("""COMPUTED_VALUE"""),45470.0)</f>
        <v>45470</v>
      </c>
      <c r="J158" s="31" t="str">
        <f>IFERROR(__xludf.DUMMYFUNCTION("""COMPUTED_VALUE"""),"Nidhi Khedekar")</f>
        <v>Nidhi Khedekar</v>
      </c>
      <c r="K158" s="31" t="str">
        <f>IFERROR(__xludf.DUMMYFUNCTION("""COMPUTED_VALUE"""),"Joined")</f>
        <v>Joined</v>
      </c>
      <c r="L158" s="31" t="str">
        <f>IFERROR(__xludf.DUMMYFUNCTION("""COMPUTED_VALUE"""),"In Office")</f>
        <v>In Office</v>
      </c>
      <c r="M158" s="31" t="str">
        <f>IFERROR(__xludf.DUMMYFUNCTION("""COMPUTED_VALUE"""),"khushboo.chopra@zupee.in")</f>
        <v>khushboo.chopra@zupee.in</v>
      </c>
      <c r="N158" s="31"/>
    </row>
    <row r="159">
      <c r="A159" s="74">
        <f>IFERROR(__xludf.DUMMYFUNCTION("""COMPUTED_VALUE"""),45505.0)</f>
        <v>45505</v>
      </c>
      <c r="B159" s="31" t="str">
        <f>IFERROR(__xludf.DUMMYFUNCTION("""COMPUTED_VALUE"""),"Amroj Pal Singh Sandhu")</f>
        <v>Amroj Pal Singh Sandhu</v>
      </c>
      <c r="C159" s="31" t="str">
        <f>IFERROR(__xludf.DUMMYFUNCTION("""COMPUTED_VALUE"""),"Technology")</f>
        <v>Technology</v>
      </c>
      <c r="D159" s="31">
        <f>IFERROR(__xludf.DUMMYFUNCTION("""COMPUTED_VALUE"""),8.238384322E9)</f>
        <v>8238384322</v>
      </c>
      <c r="E159" s="31" t="str">
        <f>IFERROR(__xludf.DUMMYFUNCTION("""COMPUTED_VALUE"""),"Engineering Manager")</f>
        <v>Engineering Manager</v>
      </c>
      <c r="F159" s="31" t="str">
        <f>IFERROR(__xludf.DUMMYFUNCTION("""COMPUTED_VALUE"""),"Engineering")</f>
        <v>Engineering</v>
      </c>
      <c r="G159" s="31" t="str">
        <f>IFERROR(__xludf.DUMMYFUNCTION("""COMPUTED_VALUE"""),"amrojpalsinghs@gmail.com")</f>
        <v>amrojpalsinghs@gmail.com</v>
      </c>
      <c r="H159" s="31" t="str">
        <f>IFERROR(__xludf.DUMMYFUNCTION("""COMPUTED_VALUE"""),"Abhishek Gupta")</f>
        <v>Abhishek Gupta</v>
      </c>
      <c r="I159" s="75">
        <f>IFERROR(__xludf.DUMMYFUNCTION("""COMPUTED_VALUE"""),45470.0)</f>
        <v>45470</v>
      </c>
      <c r="J159" s="31" t="str">
        <f>IFERROR(__xludf.DUMMYFUNCTION("""COMPUTED_VALUE"""),"Rajneesh Yadav")</f>
        <v>Rajneesh Yadav</v>
      </c>
      <c r="K159" s="31" t="str">
        <f>IFERROR(__xludf.DUMMYFUNCTION("""COMPUTED_VALUE"""),"Joined")</f>
        <v>Joined</v>
      </c>
      <c r="L159" s="31" t="str">
        <f>IFERROR(__xludf.DUMMYFUNCTION("""COMPUTED_VALUE"""),"In Office")</f>
        <v>In Office</v>
      </c>
      <c r="M159" s="31"/>
      <c r="N159" s="31"/>
    </row>
    <row r="160">
      <c r="A160" s="74">
        <f>IFERROR(__xludf.DUMMYFUNCTION("""COMPUTED_VALUE"""),45481.0)</f>
        <v>45481</v>
      </c>
      <c r="B160" s="31" t="str">
        <f>IFERROR(__xludf.DUMMYFUNCTION("""COMPUTED_VALUE"""),"Anjali Pal")</f>
        <v>Anjali Pal</v>
      </c>
      <c r="C160" s="31" t="str">
        <f>IFERROR(__xludf.DUMMYFUNCTION("""COMPUTED_VALUE"""),"Customer Experience")</f>
        <v>Customer Experience</v>
      </c>
      <c r="D160" s="31">
        <f>IFERROR(__xludf.DUMMYFUNCTION("""COMPUTED_VALUE"""),9.717117404E9)</f>
        <v>9717117404</v>
      </c>
      <c r="E160" s="31" t="str">
        <f>IFERROR(__xludf.DUMMYFUNCTION("""COMPUTED_VALUE"""),"Customer Support Executive")</f>
        <v>Customer Support Executive</v>
      </c>
      <c r="F160" s="31" t="str">
        <f>IFERROR(__xludf.DUMMYFUNCTION("""COMPUTED_VALUE"""),"Customer Relation Management")</f>
        <v>Customer Relation Management</v>
      </c>
      <c r="G160" s="31" t="str">
        <f>IFERROR(__xludf.DUMMYFUNCTION("""COMPUTED_VALUE"""),"paulanjali009@gmail.com")</f>
        <v>paulanjali009@gmail.com</v>
      </c>
      <c r="H160" s="31" t="str">
        <f>IFERROR(__xludf.DUMMYFUNCTION("""COMPUTED_VALUE"""),"Alankrita Sharma")</f>
        <v>Alankrita Sharma</v>
      </c>
      <c r="I160" s="75">
        <f>IFERROR(__xludf.DUMMYFUNCTION("""COMPUTED_VALUE"""),45471.0)</f>
        <v>45471</v>
      </c>
      <c r="J160" s="31" t="str">
        <f>IFERROR(__xludf.DUMMYFUNCTION("""COMPUTED_VALUE"""),"Nidhi Khedekar")</f>
        <v>Nidhi Khedekar</v>
      </c>
      <c r="K160" s="31" t="str">
        <f>IFERROR(__xludf.DUMMYFUNCTION("""COMPUTED_VALUE"""),"Joined")</f>
        <v>Joined</v>
      </c>
      <c r="L160" s="31" t="str">
        <f>IFERROR(__xludf.DUMMYFUNCTION("""COMPUTED_VALUE"""),"In Office")</f>
        <v>In Office</v>
      </c>
      <c r="M160" s="31" t="str">
        <f>IFERROR(__xludf.DUMMYFUNCTION("""COMPUTED_VALUE"""),"anjali.pal@zupee.in")</f>
        <v>anjali.pal@zupee.in</v>
      </c>
      <c r="N160" s="31" t="str">
        <f>IFERROR(__xludf.DUMMYFUNCTION("""COMPUTED_VALUE"""),"PW03VMFN")</f>
        <v>PW03VMFN</v>
      </c>
    </row>
    <row r="161">
      <c r="A161" s="74">
        <f>IFERROR(__xludf.DUMMYFUNCTION("""COMPUTED_VALUE"""),45518.0)</f>
        <v>45518</v>
      </c>
      <c r="B161" s="31" t="str">
        <f>IFERROR(__xludf.DUMMYFUNCTION("""COMPUTED_VALUE"""),"Rajdeep Singh Tanwar")</f>
        <v>Rajdeep Singh Tanwar</v>
      </c>
      <c r="C161" s="31" t="str">
        <f>IFERROR(__xludf.DUMMYFUNCTION("""COMPUTED_VALUE"""),"Technology")</f>
        <v>Technology</v>
      </c>
      <c r="D161" s="31">
        <f>IFERROR(__xludf.DUMMYFUNCTION("""COMPUTED_VALUE"""),7.000614559E9)</f>
        <v>7000614559</v>
      </c>
      <c r="E161" s="31" t="str">
        <f>IFERROR(__xludf.DUMMYFUNCTION("""COMPUTED_VALUE"""),"Software Engineer")</f>
        <v>Software Engineer</v>
      </c>
      <c r="F161" s="31" t="str">
        <f>IFERROR(__xludf.DUMMYFUNCTION("""COMPUTED_VALUE"""),"Engineering")</f>
        <v>Engineering</v>
      </c>
      <c r="G161" s="31" t="str">
        <f>IFERROR(__xludf.DUMMYFUNCTION("""COMPUTED_VALUE"""),"rajdeeptanwar5@gmail.com")</f>
        <v>rajdeeptanwar5@gmail.com</v>
      </c>
      <c r="H161" s="31" t="str">
        <f>IFERROR(__xludf.DUMMYFUNCTION("""COMPUTED_VALUE"""),"Rahul Sharma")</f>
        <v>Rahul Sharma</v>
      </c>
      <c r="I161" s="75">
        <f>IFERROR(__xludf.DUMMYFUNCTION("""COMPUTED_VALUE"""),45471.0)</f>
        <v>45471</v>
      </c>
      <c r="J161" s="31" t="str">
        <f>IFERROR(__xludf.DUMMYFUNCTION("""COMPUTED_VALUE"""),"Nidhi Khedekar")</f>
        <v>Nidhi Khedekar</v>
      </c>
      <c r="K161" s="31" t="str">
        <f>IFERROR(__xludf.DUMMYFUNCTION("""COMPUTED_VALUE"""),"Offer Declined")</f>
        <v>Offer Declined</v>
      </c>
      <c r="L161" s="31" t="str">
        <f>IFERROR(__xludf.DUMMYFUNCTION("""COMPUTED_VALUE"""),"In Office")</f>
        <v>In Office</v>
      </c>
      <c r="M161" s="31"/>
      <c r="N161" s="31"/>
    </row>
    <row r="162">
      <c r="A162" s="74">
        <f>IFERROR(__xludf.DUMMYFUNCTION("""COMPUTED_VALUE"""),45481.0)</f>
        <v>45481</v>
      </c>
      <c r="B162" s="31" t="str">
        <f>IFERROR(__xludf.DUMMYFUNCTION("""COMPUTED_VALUE"""),"Abhishek Singh")</f>
        <v>Abhishek Singh</v>
      </c>
      <c r="C162" s="31" t="str">
        <f>IFERROR(__xludf.DUMMYFUNCTION("""COMPUTED_VALUE"""),"Customer Experience")</f>
        <v>Customer Experience</v>
      </c>
      <c r="D162" s="31">
        <f>IFERROR(__xludf.DUMMYFUNCTION("""COMPUTED_VALUE"""),8.13086658E9)</f>
        <v>8130866580</v>
      </c>
      <c r="E162" s="31" t="str">
        <f>IFERROR(__xludf.DUMMYFUNCTION("""COMPUTED_VALUE"""),"Senior Fraud Analyst")</f>
        <v>Senior Fraud Analyst</v>
      </c>
      <c r="F162" s="31" t="str">
        <f>IFERROR(__xludf.DUMMYFUNCTION("""COMPUTED_VALUE"""),"Customer Relation Management")</f>
        <v>Customer Relation Management</v>
      </c>
      <c r="G162" s="31" t="str">
        <f>IFERROR(__xludf.DUMMYFUNCTION("""COMPUTED_VALUE"""),"singhabhi1005@gmail.com")</f>
        <v>singhabhi1005@gmail.com</v>
      </c>
      <c r="H162" s="31" t="str">
        <f>IFERROR(__xludf.DUMMYFUNCTION("""COMPUTED_VALUE"""),"Aman Khare")</f>
        <v>Aman Khare</v>
      </c>
      <c r="I162" s="75">
        <f>IFERROR(__xludf.DUMMYFUNCTION("""COMPUTED_VALUE"""),45471.0)</f>
        <v>45471</v>
      </c>
      <c r="J162" s="31" t="str">
        <f>IFERROR(__xludf.DUMMYFUNCTION("""COMPUTED_VALUE"""),"Nidhi Khedekar")</f>
        <v>Nidhi Khedekar</v>
      </c>
      <c r="K162" s="31" t="str">
        <f>IFERROR(__xludf.DUMMYFUNCTION("""COMPUTED_VALUE"""),"Joined")</f>
        <v>Joined</v>
      </c>
      <c r="L162" s="31" t="str">
        <f>IFERROR(__xludf.DUMMYFUNCTION("""COMPUTED_VALUE"""),"In Office")</f>
        <v>In Office</v>
      </c>
      <c r="M162" s="31" t="str">
        <f>IFERROR(__xludf.DUMMYFUNCTION("""COMPUTED_VALUE"""),"abhishek.singh@zupee.in")</f>
        <v>abhishek.singh@zupee.in</v>
      </c>
      <c r="N162" s="31"/>
    </row>
    <row r="163">
      <c r="A163" s="74">
        <f>IFERROR(__xludf.DUMMYFUNCTION("""COMPUTED_VALUE"""),45481.0)</f>
        <v>45481</v>
      </c>
      <c r="B163" s="31" t="str">
        <f>IFERROR(__xludf.DUMMYFUNCTION("""COMPUTED_VALUE"""),"Bharti Rani")</f>
        <v>Bharti Rani</v>
      </c>
      <c r="C163" s="31" t="str">
        <f>IFERROR(__xludf.DUMMYFUNCTION("""COMPUTED_VALUE"""),"Customer Experience")</f>
        <v>Customer Experience</v>
      </c>
      <c r="D163" s="31">
        <f>IFERROR(__xludf.DUMMYFUNCTION("""COMPUTED_VALUE"""),9.729712568E9)</f>
        <v>9729712568</v>
      </c>
      <c r="E163" s="31" t="str">
        <f>IFERROR(__xludf.DUMMYFUNCTION("""COMPUTED_VALUE"""),"Senior Fraud Analyst")</f>
        <v>Senior Fraud Analyst</v>
      </c>
      <c r="F163" s="31" t="str">
        <f>IFERROR(__xludf.DUMMYFUNCTION("""COMPUTED_VALUE"""),"Customer Relation Management")</f>
        <v>Customer Relation Management</v>
      </c>
      <c r="G163" s="31" t="str">
        <f>IFERROR(__xludf.DUMMYFUNCTION("""COMPUTED_VALUE"""),"	bhartikania91@gmail.com")</f>
        <v>	bhartikania91@gmail.com</v>
      </c>
      <c r="H163" s="31" t="str">
        <f>IFERROR(__xludf.DUMMYFUNCTION("""COMPUTED_VALUE"""),"Aman Khare")</f>
        <v>Aman Khare</v>
      </c>
      <c r="I163" s="75">
        <f>IFERROR(__xludf.DUMMYFUNCTION("""COMPUTED_VALUE"""),45471.0)</f>
        <v>45471</v>
      </c>
      <c r="J163" s="31" t="str">
        <f>IFERROR(__xludf.DUMMYFUNCTION("""COMPUTED_VALUE"""),"Nidhi Khedekar")</f>
        <v>Nidhi Khedekar</v>
      </c>
      <c r="K163" s="31" t="str">
        <f>IFERROR(__xludf.DUMMYFUNCTION("""COMPUTED_VALUE"""),"Joined")</f>
        <v>Joined</v>
      </c>
      <c r="L163" s="31" t="str">
        <f>IFERROR(__xludf.DUMMYFUNCTION("""COMPUTED_VALUE"""),"In Office")</f>
        <v>In Office</v>
      </c>
      <c r="M163" s="31" t="str">
        <f>IFERROR(__xludf.DUMMYFUNCTION("""COMPUTED_VALUE"""),"bharti.rani@zupee.in")</f>
        <v>bharti.rani@zupee.in</v>
      </c>
      <c r="N163" s="31"/>
    </row>
    <row r="164">
      <c r="A164" s="74">
        <f>IFERROR(__xludf.DUMMYFUNCTION("""COMPUTED_VALUE"""),45474.0)</f>
        <v>45474</v>
      </c>
      <c r="B164" s="31" t="str">
        <f>IFERROR(__xludf.DUMMYFUNCTION("""COMPUTED_VALUE"""),"Ashmita")</f>
        <v>Ashmita</v>
      </c>
      <c r="C164" s="31" t="str">
        <f>IFERROR(__xludf.DUMMYFUNCTION("""COMPUTED_VALUE"""),"Corporate")</f>
        <v>Corporate</v>
      </c>
      <c r="D164" s="31">
        <f>IFERROR(__xludf.DUMMYFUNCTION("""COMPUTED_VALUE"""),8.95005336E9)</f>
        <v>8950053360</v>
      </c>
      <c r="E164" s="31" t="str">
        <f>IFERROR(__xludf.DUMMYFUNCTION("""COMPUTED_VALUE"""),"Legal Trainee")</f>
        <v>Legal Trainee</v>
      </c>
      <c r="F164" s="31" t="str">
        <f>IFERROR(__xludf.DUMMYFUNCTION("""COMPUTED_VALUE"""),"Legal")</f>
        <v>Legal</v>
      </c>
      <c r="G164" s="31" t="str">
        <f>IFERROR(__xludf.DUMMYFUNCTION("""COMPUTED_VALUE"""),"Ashmita.in@gmail.com")</f>
        <v>Ashmita.in@gmail.com</v>
      </c>
      <c r="H164" s="31" t="str">
        <f>IFERROR(__xludf.DUMMYFUNCTION("""COMPUTED_VALUE"""),"Avijit Sharma")</f>
        <v>Avijit Sharma</v>
      </c>
      <c r="I164" s="75">
        <f>IFERROR(__xludf.DUMMYFUNCTION("""COMPUTED_VALUE"""),45471.0)</f>
        <v>45471</v>
      </c>
      <c r="J164" s="31" t="str">
        <f>IFERROR(__xludf.DUMMYFUNCTION("""COMPUTED_VALUE"""),"Mamta Pandey")</f>
        <v>Mamta Pandey</v>
      </c>
      <c r="K164" s="31" t="str">
        <f>IFERROR(__xludf.DUMMYFUNCTION("""COMPUTED_VALUE"""),"Joined")</f>
        <v>Joined</v>
      </c>
      <c r="L164" s="31" t="str">
        <f>IFERROR(__xludf.DUMMYFUNCTION("""COMPUTED_VALUE"""),"In Office")</f>
        <v>In Office</v>
      </c>
      <c r="M164" s="31"/>
      <c r="N164" s="31"/>
    </row>
    <row r="165">
      <c r="A165" s="74">
        <f>IFERROR(__xludf.DUMMYFUNCTION("""COMPUTED_VALUE"""),45474.0)</f>
        <v>45474</v>
      </c>
      <c r="B165" s="31" t="str">
        <f>IFERROR(__xludf.DUMMYFUNCTION("""COMPUTED_VALUE"""),"Piyush Patel")</f>
        <v>Piyush Patel</v>
      </c>
      <c r="C165" s="31" t="str">
        <f>IFERROR(__xludf.DUMMYFUNCTION("""COMPUTED_VALUE"""),"Marketing")</f>
        <v>Marketing</v>
      </c>
      <c r="D165" s="31">
        <f>IFERROR(__xludf.DUMMYFUNCTION("""COMPUTED_VALUE"""),7.0858521E9)</f>
        <v>7085852100</v>
      </c>
      <c r="E165" s="31" t="str">
        <f>IFERROR(__xludf.DUMMYFUNCTION("""COMPUTED_VALUE"""),"Associate Director Digital Marketing")</f>
        <v>Associate Director Digital Marketing</v>
      </c>
      <c r="F165" s="31" t="str">
        <f>IFERROR(__xludf.DUMMYFUNCTION("""COMPUTED_VALUE"""),"Digital Marketing")</f>
        <v>Digital Marketing</v>
      </c>
      <c r="G165" s="31" t="str">
        <f>IFERROR(__xludf.DUMMYFUNCTION("""COMPUTED_VALUE"""),"piyushpatel0319@gmail.com")</f>
        <v>piyushpatel0319@gmail.com</v>
      </c>
      <c r="H165" s="31" t="str">
        <f>IFERROR(__xludf.DUMMYFUNCTION("""COMPUTED_VALUE"""),"Nishant Jaiswal")</f>
        <v>Nishant Jaiswal</v>
      </c>
      <c r="I165" s="75">
        <f>IFERROR(__xludf.DUMMYFUNCTION("""COMPUTED_VALUE"""),45468.0)</f>
        <v>45468</v>
      </c>
      <c r="J165" s="31" t="str">
        <f>IFERROR(__xludf.DUMMYFUNCTION("""COMPUTED_VALUE"""),"Naina")</f>
        <v>Naina</v>
      </c>
      <c r="K165" s="31" t="str">
        <f>IFERROR(__xludf.DUMMYFUNCTION("""COMPUTED_VALUE"""),"Joined")</f>
        <v>Joined</v>
      </c>
      <c r="L165" s="31" t="str">
        <f>IFERROR(__xludf.DUMMYFUNCTION("""COMPUTED_VALUE"""),"Virtual")</f>
        <v>Virtual</v>
      </c>
      <c r="M165" s="31" t="str">
        <f>IFERROR(__xludf.DUMMYFUNCTION("""COMPUTED_VALUE"""),"piyush.patel@zupee.in")</f>
        <v>piyush.patel@zupee.in</v>
      </c>
      <c r="N165" s="31" t="str">
        <f>IFERROR(__xludf.DUMMYFUNCTION("""COMPUTED_VALUE"""),"L9WW7VR6HQ")</f>
        <v>L9WW7VR6HQ</v>
      </c>
    </row>
    <row r="166">
      <c r="A166" s="74">
        <f>IFERROR(__xludf.DUMMYFUNCTION("""COMPUTED_VALUE"""),45498.0)</f>
        <v>45498</v>
      </c>
      <c r="B166" s="31" t="str">
        <f>IFERROR(__xludf.DUMMYFUNCTION("""COMPUTED_VALUE"""),"Vivek Choudhary")</f>
        <v>Vivek Choudhary</v>
      </c>
      <c r="C166" s="31" t="str">
        <f>IFERROR(__xludf.DUMMYFUNCTION("""COMPUTED_VALUE"""),"Technology")</f>
        <v>Technology</v>
      </c>
      <c r="D166" s="31">
        <f>IFERROR(__xludf.DUMMYFUNCTION("""COMPUTED_VALUE"""),7.418706276E9)</f>
        <v>7418706276</v>
      </c>
      <c r="E166" s="31" t="str">
        <f>IFERROR(__xludf.DUMMYFUNCTION("""COMPUTED_VALUE"""),"Senior Software Engineer - Android ")</f>
        <v>Senior Software Engineer - Android </v>
      </c>
      <c r="F166" s="31" t="str">
        <f>IFERROR(__xludf.DUMMYFUNCTION("""COMPUTED_VALUE"""),"Engineering")</f>
        <v>Engineering</v>
      </c>
      <c r="G166" s="31" t="str">
        <f>IFERROR(__xludf.DUMMYFUNCTION("""COMPUTED_VALUE"""),"cvivek07@gmail.com")</f>
        <v>cvivek07@gmail.com</v>
      </c>
      <c r="H166" s="31" t="str">
        <f>IFERROR(__xludf.DUMMYFUNCTION("""COMPUTED_VALUE"""),"Anshul Mittal")</f>
        <v>Anshul Mittal</v>
      </c>
      <c r="I166" s="75">
        <f>IFERROR(__xludf.DUMMYFUNCTION("""COMPUTED_VALUE"""),45475.0)</f>
        <v>45475</v>
      </c>
      <c r="J166" s="31" t="str">
        <f>IFERROR(__xludf.DUMMYFUNCTION("""COMPUTED_VALUE"""),"Naina")</f>
        <v>Naina</v>
      </c>
      <c r="K166" s="31" t="str">
        <f>IFERROR(__xludf.DUMMYFUNCTION("""COMPUTED_VALUE"""),"Joined")</f>
        <v>Joined</v>
      </c>
      <c r="L166" s="31" t="str">
        <f>IFERROR(__xludf.DUMMYFUNCTION("""COMPUTED_VALUE"""),"In Office")</f>
        <v>In Office</v>
      </c>
      <c r="M166" s="31" t="str">
        <f>IFERROR(__xludf.DUMMYFUNCTION("""COMPUTED_VALUE"""),"vivek.choudhary@zupee.in")</f>
        <v>vivek.choudhary@zupee.in</v>
      </c>
      <c r="N166" s="31" t="str">
        <f>IFERROR(__xludf.DUMMYFUNCTION("""COMPUTED_VALUE"""),"GHQ2LYGG9H")</f>
        <v>GHQ2LYGG9H</v>
      </c>
    </row>
    <row r="167">
      <c r="A167" s="74">
        <f>IFERROR(__xludf.DUMMYFUNCTION("""COMPUTED_VALUE"""),45481.0)</f>
        <v>45481</v>
      </c>
      <c r="B167" s="31" t="str">
        <f>IFERROR(__xludf.DUMMYFUNCTION("""COMPUTED_VALUE"""),"Harshit Makhija")</f>
        <v>Harshit Makhija</v>
      </c>
      <c r="C167" s="31" t="str">
        <f>IFERROR(__xludf.DUMMYFUNCTION("""COMPUTED_VALUE"""),"Technology")</f>
        <v>Technology</v>
      </c>
      <c r="D167" s="31">
        <f>IFERROR(__xludf.DUMMYFUNCTION("""COMPUTED_VALUE"""),7.999645052E9)</f>
        <v>7999645052</v>
      </c>
      <c r="E167" s="31" t="str">
        <f>IFERROR(__xludf.DUMMYFUNCTION("""COMPUTED_VALUE"""),"Software Engineer")</f>
        <v>Software Engineer</v>
      </c>
      <c r="F167" s="31" t="str">
        <f>IFERROR(__xludf.DUMMYFUNCTION("""COMPUTED_VALUE"""),"Engineering")</f>
        <v>Engineering</v>
      </c>
      <c r="G167" s="31" t="str">
        <f>IFERROR(__xludf.DUMMYFUNCTION("""COMPUTED_VALUE"""),"harshitmakhija12042001@gmail.com")</f>
        <v>harshitmakhija12042001@gmail.com</v>
      </c>
      <c r="H167" s="31" t="str">
        <f>IFERROR(__xludf.DUMMYFUNCTION("""COMPUTED_VALUE"""),"Rahul Sharma")</f>
        <v>Rahul Sharma</v>
      </c>
      <c r="I167" s="75">
        <f>IFERROR(__xludf.DUMMYFUNCTION("""COMPUTED_VALUE"""),45478.0)</f>
        <v>45478</v>
      </c>
      <c r="J167" s="31" t="str">
        <f>IFERROR(__xludf.DUMMYFUNCTION("""COMPUTED_VALUE"""),"Nidhi Khedekar")</f>
        <v>Nidhi Khedekar</v>
      </c>
      <c r="K167" s="31" t="str">
        <f>IFERROR(__xludf.DUMMYFUNCTION("""COMPUTED_VALUE"""),"Joined")</f>
        <v>Joined</v>
      </c>
      <c r="L167" s="31" t="str">
        <f>IFERROR(__xludf.DUMMYFUNCTION("""COMPUTED_VALUE"""),"In Office")</f>
        <v>In Office</v>
      </c>
      <c r="M167" s="31" t="str">
        <f>IFERROR(__xludf.DUMMYFUNCTION("""COMPUTED_VALUE"""),"harshit.makhija@zupee.in")</f>
        <v>harshit.makhija@zupee.in</v>
      </c>
      <c r="N167" s="31"/>
    </row>
    <row r="168">
      <c r="A168" s="74">
        <f>IFERROR(__xludf.DUMMYFUNCTION("""COMPUTED_VALUE"""),45495.0)</f>
        <v>45495</v>
      </c>
      <c r="B168" s="31" t="str">
        <f>IFERROR(__xludf.DUMMYFUNCTION("""COMPUTED_VALUE"""),"Sakshi Pathak")</f>
        <v>Sakshi Pathak</v>
      </c>
      <c r="C168" s="31" t="str">
        <f>IFERROR(__xludf.DUMMYFUNCTION("""COMPUTED_VALUE"""),"Customer Experience")</f>
        <v>Customer Experience</v>
      </c>
      <c r="D168" s="31">
        <f>IFERROR(__xludf.DUMMYFUNCTION("""COMPUTED_VALUE"""),7.755063324E9)</f>
        <v>7755063324</v>
      </c>
      <c r="E168" s="31" t="str">
        <f>IFERROR(__xludf.DUMMYFUNCTION("""COMPUTED_VALUE"""),"Customer Support Executive")</f>
        <v>Customer Support Executive</v>
      </c>
      <c r="F168" s="31" t="str">
        <f>IFERROR(__xludf.DUMMYFUNCTION("""COMPUTED_VALUE"""),"Customer Relation Management")</f>
        <v>Customer Relation Management</v>
      </c>
      <c r="G168" s="31" t="str">
        <f>IFERROR(__xludf.DUMMYFUNCTION("""COMPUTED_VALUE"""),"sakshipathak763@gmail.com")</f>
        <v>sakshipathak763@gmail.com</v>
      </c>
      <c r="H168" s="31" t="str">
        <f>IFERROR(__xludf.DUMMYFUNCTION("""COMPUTED_VALUE"""),"Shivam Baki")</f>
        <v>Shivam Baki</v>
      </c>
      <c r="I168" s="75">
        <f>IFERROR(__xludf.DUMMYFUNCTION("""COMPUTED_VALUE"""),45478.0)</f>
        <v>45478</v>
      </c>
      <c r="J168" s="31" t="str">
        <f>IFERROR(__xludf.DUMMYFUNCTION("""COMPUTED_VALUE"""),"Nidhi Khedekar")</f>
        <v>Nidhi Khedekar</v>
      </c>
      <c r="K168" s="31" t="str">
        <f>IFERROR(__xludf.DUMMYFUNCTION("""COMPUTED_VALUE"""),"Joined")</f>
        <v>Joined</v>
      </c>
      <c r="L168" s="31" t="str">
        <f>IFERROR(__xludf.DUMMYFUNCTION("""COMPUTED_VALUE"""),"In Office")</f>
        <v>In Office</v>
      </c>
      <c r="M168" s="31" t="str">
        <f>IFERROR(__xludf.DUMMYFUNCTION("""COMPUTED_VALUE"""),"sakshi.pathak@zupee.in")</f>
        <v>sakshi.pathak@zupee.in</v>
      </c>
      <c r="N168" s="31"/>
    </row>
    <row r="169">
      <c r="A169" s="74">
        <f>IFERROR(__xludf.DUMMYFUNCTION("""COMPUTED_VALUE"""),45481.0)</f>
        <v>45481</v>
      </c>
      <c r="B169" s="31" t="str">
        <f>IFERROR(__xludf.DUMMYFUNCTION("""COMPUTED_VALUE"""),"Parth Jindal")</f>
        <v>Parth Jindal</v>
      </c>
      <c r="C169" s="31" t="str">
        <f>IFERROR(__xludf.DUMMYFUNCTION("""COMPUTED_VALUE"""),"Technology")</f>
        <v>Technology</v>
      </c>
      <c r="D169" s="31">
        <f>IFERROR(__xludf.DUMMYFUNCTION("""COMPUTED_VALUE"""),9.811315182E9)</f>
        <v>9811315182</v>
      </c>
      <c r="E169" s="31" t="str">
        <f>IFERROR(__xludf.DUMMYFUNCTION("""COMPUTED_VALUE"""),"Software Engineer")</f>
        <v>Software Engineer</v>
      </c>
      <c r="F169" s="31" t="str">
        <f>IFERROR(__xludf.DUMMYFUNCTION("""COMPUTED_VALUE"""),"Engineering")</f>
        <v>Engineering</v>
      </c>
      <c r="G169" s="31" t="str">
        <f>IFERROR(__xludf.DUMMYFUNCTION("""COMPUTED_VALUE"""),"parthjindl@gmail.com")</f>
        <v>parthjindl@gmail.com</v>
      </c>
      <c r="H169" s="31" t="str">
        <f>IFERROR(__xludf.DUMMYFUNCTION("""COMPUTED_VALUE"""),"Rahul Sharma")</f>
        <v>Rahul Sharma</v>
      </c>
      <c r="I169" s="75">
        <f>IFERROR(__xludf.DUMMYFUNCTION("""COMPUTED_VALUE"""),45478.0)</f>
        <v>45478</v>
      </c>
      <c r="J169" s="31" t="str">
        <f>IFERROR(__xludf.DUMMYFUNCTION("""COMPUTED_VALUE"""),"Nidhi Khedekar")</f>
        <v>Nidhi Khedekar</v>
      </c>
      <c r="K169" s="31" t="str">
        <f>IFERROR(__xludf.DUMMYFUNCTION("""COMPUTED_VALUE"""),"Joined")</f>
        <v>Joined</v>
      </c>
      <c r="L169" s="31" t="str">
        <f>IFERROR(__xludf.DUMMYFUNCTION("""COMPUTED_VALUE"""),"In Office")</f>
        <v>In Office</v>
      </c>
      <c r="M169" s="31" t="str">
        <f>IFERROR(__xludf.DUMMYFUNCTION("""COMPUTED_VALUE"""),"parth.jindal@zupee.in")</f>
        <v>parth.jindal@zupee.in</v>
      </c>
      <c r="N169" s="31"/>
    </row>
    <row r="170">
      <c r="A170" s="74">
        <f>IFERROR(__xludf.DUMMYFUNCTION("""COMPUTED_VALUE"""),45483.0)</f>
        <v>45483</v>
      </c>
      <c r="B170" s="31" t="str">
        <f>IFERROR(__xludf.DUMMYFUNCTION("""COMPUTED_VALUE"""),"Hritik Wadhwa")</f>
        <v>Hritik Wadhwa</v>
      </c>
      <c r="C170" s="31" t="str">
        <f>IFERROR(__xludf.DUMMYFUNCTION("""COMPUTED_VALUE"""),"Technology")</f>
        <v>Technology</v>
      </c>
      <c r="D170" s="31">
        <f>IFERROR(__xludf.DUMMYFUNCTION("""COMPUTED_VALUE"""),8.053834588E9)</f>
        <v>8053834588</v>
      </c>
      <c r="E170" s="31" t="str">
        <f>IFERROR(__xludf.DUMMYFUNCTION("""COMPUTED_VALUE"""),"Senior Software Engineer")</f>
        <v>Senior Software Engineer</v>
      </c>
      <c r="F170" s="31" t="str">
        <f>IFERROR(__xludf.DUMMYFUNCTION("""COMPUTED_VALUE"""),"Engineering")</f>
        <v>Engineering</v>
      </c>
      <c r="G170" s="31" t="str">
        <f>IFERROR(__xludf.DUMMYFUNCTION("""COMPUTED_VALUE"""),"akkywadhwa@gmail.com")</f>
        <v>akkywadhwa@gmail.com</v>
      </c>
      <c r="H170" s="31"/>
      <c r="I170" s="75">
        <f>IFERROR(__xludf.DUMMYFUNCTION("""COMPUTED_VALUE"""),45478.0)</f>
        <v>45478</v>
      </c>
      <c r="J170" s="31" t="str">
        <f>IFERROR(__xludf.DUMMYFUNCTION("""COMPUTED_VALUE"""),"Nidhi Khedekar")</f>
        <v>Nidhi Khedekar</v>
      </c>
      <c r="K170" s="31" t="str">
        <f>IFERROR(__xludf.DUMMYFUNCTION("""COMPUTED_VALUE"""),"Joined")</f>
        <v>Joined</v>
      </c>
      <c r="L170" s="31" t="str">
        <f>IFERROR(__xludf.DUMMYFUNCTION("""COMPUTED_VALUE"""),"In Office")</f>
        <v>In Office</v>
      </c>
      <c r="M170" s="31" t="str">
        <f>IFERROR(__xludf.DUMMYFUNCTION("""COMPUTED_VALUE"""),"hritik.wadhwa@zupee.in")</f>
        <v>hritik.wadhwa@zupee.in</v>
      </c>
      <c r="N170" s="31"/>
    </row>
    <row r="171">
      <c r="A171" s="74">
        <f>IFERROR(__xludf.DUMMYFUNCTION("""COMPUTED_VALUE"""),45481.0)</f>
        <v>45481</v>
      </c>
      <c r="B171" s="31" t="str">
        <f>IFERROR(__xludf.DUMMYFUNCTION("""COMPUTED_VALUE"""),"Ankur Sharma")</f>
        <v>Ankur Sharma</v>
      </c>
      <c r="C171" s="31" t="str">
        <f>IFERROR(__xludf.DUMMYFUNCTION("""COMPUTED_VALUE"""),"Corporate")</f>
        <v>Corporate</v>
      </c>
      <c r="D171" s="31">
        <f>IFERROR(__xludf.DUMMYFUNCTION("""COMPUTED_VALUE"""),8.448133543E9)</f>
        <v>8448133543</v>
      </c>
      <c r="E171" s="31" t="str">
        <f>IFERROR(__xludf.DUMMYFUNCTION("""COMPUTED_VALUE"""),"Associate- Legal")</f>
        <v>Associate- Legal</v>
      </c>
      <c r="F171" s="31" t="str">
        <f>IFERROR(__xludf.DUMMYFUNCTION("""COMPUTED_VALUE"""),"Legal")</f>
        <v>Legal</v>
      </c>
      <c r="G171" s="31" t="str">
        <f>IFERROR(__xludf.DUMMYFUNCTION("""COMPUTED_VALUE"""),"anvashishth20@gmail.com")</f>
        <v>anvashishth20@gmail.com</v>
      </c>
      <c r="H171" s="31" t="str">
        <f>IFERROR(__xludf.DUMMYFUNCTION("""COMPUTED_VALUE"""),"Avijit Sharma")</f>
        <v>Avijit Sharma</v>
      </c>
      <c r="I171" s="75">
        <f>IFERROR(__xludf.DUMMYFUNCTION("""COMPUTED_VALUE"""),45478.0)</f>
        <v>45478</v>
      </c>
      <c r="J171" s="31" t="str">
        <f>IFERROR(__xludf.DUMMYFUNCTION("""COMPUTED_VALUE"""),"Mamta Pandey")</f>
        <v>Mamta Pandey</v>
      </c>
      <c r="K171" s="31" t="str">
        <f>IFERROR(__xludf.DUMMYFUNCTION("""COMPUTED_VALUE"""),"Joined")</f>
        <v>Joined</v>
      </c>
      <c r="L171" s="31" t="str">
        <f>IFERROR(__xludf.DUMMYFUNCTION("""COMPUTED_VALUE"""),"In Office")</f>
        <v>In Office</v>
      </c>
      <c r="M171" s="31" t="str">
        <f>IFERROR(__xludf.DUMMYFUNCTION("""COMPUTED_VALUE"""),"ankur.sharma@zupee.in")</f>
        <v>ankur.sharma@zupee.in</v>
      </c>
      <c r="N171" s="31"/>
    </row>
    <row r="172">
      <c r="A172" s="74">
        <f>IFERROR(__xludf.DUMMYFUNCTION("""COMPUTED_VALUE"""),45488.0)</f>
        <v>45488</v>
      </c>
      <c r="B172" s="31" t="str">
        <f>IFERROR(__xludf.DUMMYFUNCTION("""COMPUTED_VALUE"""),"Aashi Mangal")</f>
        <v>Aashi Mangal</v>
      </c>
      <c r="C172" s="31" t="str">
        <f>IFERROR(__xludf.DUMMYFUNCTION("""COMPUTED_VALUE"""),"Technology")</f>
        <v>Technology</v>
      </c>
      <c r="D172" s="31">
        <f>IFERROR(__xludf.DUMMYFUNCTION("""COMPUTED_VALUE"""),9.5494214E9)</f>
        <v>9549421400</v>
      </c>
      <c r="E172" s="31" t="str">
        <f>IFERROR(__xludf.DUMMYFUNCTION("""COMPUTED_VALUE"""),"Software Engineer")</f>
        <v>Software Engineer</v>
      </c>
      <c r="F172" s="31" t="str">
        <f>IFERROR(__xludf.DUMMYFUNCTION("""COMPUTED_VALUE"""),"Engineering")</f>
        <v>Engineering</v>
      </c>
      <c r="G172" s="31" t="str">
        <f>IFERROR(__xludf.DUMMYFUNCTION("""COMPUTED_VALUE"""),"aashimangal4614@gmail.com")</f>
        <v>aashimangal4614@gmail.com</v>
      </c>
      <c r="H172" s="31" t="str">
        <f>IFERROR(__xludf.DUMMYFUNCTION("""COMPUTED_VALUE"""),"Rahul Sharma")</f>
        <v>Rahul Sharma</v>
      </c>
      <c r="I172" s="75">
        <f>IFERROR(__xludf.DUMMYFUNCTION("""COMPUTED_VALUE"""),45482.0)</f>
        <v>45482</v>
      </c>
      <c r="J172" s="31" t="str">
        <f>IFERROR(__xludf.DUMMYFUNCTION("""COMPUTED_VALUE"""),"Nidhi Khedekar")</f>
        <v>Nidhi Khedekar</v>
      </c>
      <c r="K172" s="31" t="str">
        <f>IFERROR(__xludf.DUMMYFUNCTION("""COMPUTED_VALUE"""),"Joined")</f>
        <v>Joined</v>
      </c>
      <c r="L172" s="31" t="str">
        <f>IFERROR(__xludf.DUMMYFUNCTION("""COMPUTED_VALUE"""),"In Office")</f>
        <v>In Office</v>
      </c>
      <c r="M172" s="31" t="str">
        <f>IFERROR(__xludf.DUMMYFUNCTION("""COMPUTED_VALUE"""),"aashi.mangal@zupee.in")</f>
        <v>aashi.mangal@zupee.in</v>
      </c>
      <c r="N172" s="31"/>
    </row>
    <row r="173">
      <c r="A173" s="74">
        <f>IFERROR(__xludf.DUMMYFUNCTION("""COMPUTED_VALUE"""),45526.0)</f>
        <v>45526</v>
      </c>
      <c r="B173" s="31" t="str">
        <f>IFERROR(__xludf.DUMMYFUNCTION("""COMPUTED_VALUE"""),"Harsh Prateek Singh")</f>
        <v>Harsh Prateek Singh</v>
      </c>
      <c r="C173" s="31" t="str">
        <f>IFERROR(__xludf.DUMMYFUNCTION("""COMPUTED_VALUE"""),"Technology")</f>
        <v>Technology</v>
      </c>
      <c r="D173" s="31">
        <f>IFERROR(__xludf.DUMMYFUNCTION("""COMPUTED_VALUE"""),8.449427176E9)</f>
        <v>8449427176</v>
      </c>
      <c r="E173" s="31" t="str">
        <f>IFERROR(__xludf.DUMMYFUNCTION("""COMPUTED_VALUE"""),"Staff Engineer- Devops")</f>
        <v>Staff Engineer- Devops</v>
      </c>
      <c r="F173" s="31" t="str">
        <f>IFERROR(__xludf.DUMMYFUNCTION("""COMPUTED_VALUE"""),"Engineering")</f>
        <v>Engineering</v>
      </c>
      <c r="G173" s="31" t="str">
        <f>IFERROR(__xludf.DUMMYFUNCTION("""COMPUTED_VALUE"""),"harsh.prateek.singh@gmail.com")</f>
        <v>harsh.prateek.singh@gmail.com</v>
      </c>
      <c r="H173" s="31" t="str">
        <f>IFERROR(__xludf.DUMMYFUNCTION("""COMPUTED_VALUE"""),"Saurav Yadav")</f>
        <v>Saurav Yadav</v>
      </c>
      <c r="I173" s="75">
        <f>IFERROR(__xludf.DUMMYFUNCTION("""COMPUTED_VALUE"""),45489.0)</f>
        <v>45489</v>
      </c>
      <c r="J173" s="31" t="str">
        <f>IFERROR(__xludf.DUMMYFUNCTION("""COMPUTED_VALUE"""),"Rajneesh Yadav")</f>
        <v>Rajneesh Yadav</v>
      </c>
      <c r="K173" s="31" t="str">
        <f>IFERROR(__xludf.DUMMYFUNCTION("""COMPUTED_VALUE"""),"Offer Declined")</f>
        <v>Offer Declined</v>
      </c>
      <c r="L173" s="31" t="str">
        <f>IFERROR(__xludf.DUMMYFUNCTION("""COMPUTED_VALUE"""),"In Office")</f>
        <v>In Office</v>
      </c>
      <c r="M173" s="31"/>
      <c r="N173" s="31"/>
    </row>
    <row r="174">
      <c r="A174" s="74">
        <f>IFERROR(__xludf.DUMMYFUNCTION("""COMPUTED_VALUE"""),45541.0)</f>
        <v>45541</v>
      </c>
      <c r="B174" s="31" t="str">
        <f>IFERROR(__xludf.DUMMYFUNCTION("""COMPUTED_VALUE"""),"Amarjeet Yadav")</f>
        <v>Amarjeet Yadav</v>
      </c>
      <c r="C174" s="31" t="str">
        <f>IFERROR(__xludf.DUMMYFUNCTION("""COMPUTED_VALUE"""),"Technology")</f>
        <v>Technology</v>
      </c>
      <c r="D174" s="31">
        <f>IFERROR(__xludf.DUMMYFUNCTION("""COMPUTED_VALUE"""),7.999230378E9)</f>
        <v>7999230378</v>
      </c>
      <c r="E174" s="31" t="str">
        <f>IFERROR(__xludf.DUMMYFUNCTION("""COMPUTED_VALUE"""),"Senior Software Engineer")</f>
        <v>Senior Software Engineer</v>
      </c>
      <c r="F174" s="31" t="str">
        <f>IFERROR(__xludf.DUMMYFUNCTION("""COMPUTED_VALUE"""),"Engineering")</f>
        <v>Engineering</v>
      </c>
      <c r="G174" s="31" t="str">
        <f>IFERROR(__xludf.DUMMYFUNCTION("""COMPUTED_VALUE"""),"amarjeet12a@gmail.com ")</f>
        <v>amarjeet12a@gmail.com </v>
      </c>
      <c r="H174" s="31"/>
      <c r="I174" s="75">
        <f>IFERROR(__xludf.DUMMYFUNCTION("""COMPUTED_VALUE"""),45491.0)</f>
        <v>45491</v>
      </c>
      <c r="J174" s="31" t="str">
        <f>IFERROR(__xludf.DUMMYFUNCTION("""COMPUTED_VALUE"""),"Nidhi Khedekar")</f>
        <v>Nidhi Khedekar</v>
      </c>
      <c r="K174" s="31" t="str">
        <f>IFERROR(__xludf.DUMMYFUNCTION("""COMPUTED_VALUE"""),"Joined")</f>
        <v>Joined</v>
      </c>
      <c r="L174" s="31" t="str">
        <f>IFERROR(__xludf.DUMMYFUNCTION("""COMPUTED_VALUE"""),"In Office")</f>
        <v>In Office</v>
      </c>
      <c r="M174" s="31" t="str">
        <f>IFERROR(__xludf.DUMMYFUNCTION("""COMPUTED_VALUE"""),"amarjeet.yadav@zupee.in")</f>
        <v>amarjeet.yadav@zupee.in</v>
      </c>
      <c r="N174" s="31"/>
    </row>
    <row r="175">
      <c r="A175" s="74">
        <f>IFERROR(__xludf.DUMMYFUNCTION("""COMPUTED_VALUE"""),45525.0)</f>
        <v>45525</v>
      </c>
      <c r="B175" s="31" t="str">
        <f>IFERROR(__xludf.DUMMYFUNCTION("""COMPUTED_VALUE"""),"Apurav Bhatia")</f>
        <v>Apurav Bhatia</v>
      </c>
      <c r="C175" s="31" t="str">
        <f>IFERROR(__xludf.DUMMYFUNCTION("""COMPUTED_VALUE"""),"Finance")</f>
        <v>Finance</v>
      </c>
      <c r="D175" s="31">
        <f>IFERROR(__xludf.DUMMYFUNCTION("""COMPUTED_VALUE"""),9.896928243E9)</f>
        <v>9896928243</v>
      </c>
      <c r="E175" s="31" t="str">
        <f>IFERROR(__xludf.DUMMYFUNCTION("""COMPUTED_VALUE"""),"Assistant Manager-Finance
")</f>
        <v>Assistant Manager-Finance
</v>
      </c>
      <c r="F175" s="31" t="str">
        <f>IFERROR(__xludf.DUMMYFUNCTION("""COMPUTED_VALUE"""),"Finance")</f>
        <v>Finance</v>
      </c>
      <c r="G175" s="31" t="str">
        <f>IFERROR(__xludf.DUMMYFUNCTION("""COMPUTED_VALUE"""),"apuravbhatia1@gmail.com")</f>
        <v>apuravbhatia1@gmail.com</v>
      </c>
      <c r="H175" s="31" t="str">
        <f>IFERROR(__xludf.DUMMYFUNCTION("""COMPUTED_VALUE"""),"Hitesh Vats")</f>
        <v>Hitesh Vats</v>
      </c>
      <c r="I175" s="75">
        <f>IFERROR(__xludf.DUMMYFUNCTION("""COMPUTED_VALUE"""),45491.0)</f>
        <v>45491</v>
      </c>
      <c r="J175" s="31" t="str">
        <f>IFERROR(__xludf.DUMMYFUNCTION("""COMPUTED_VALUE"""),"Nidhi Khedekar")</f>
        <v>Nidhi Khedekar</v>
      </c>
      <c r="K175" s="31" t="str">
        <f>IFERROR(__xludf.DUMMYFUNCTION("""COMPUTED_VALUE"""),"Offer Declined")</f>
        <v>Offer Declined</v>
      </c>
      <c r="L175" s="31" t="str">
        <f>IFERROR(__xludf.DUMMYFUNCTION("""COMPUTED_VALUE"""),"In Office")</f>
        <v>In Office</v>
      </c>
      <c r="M175" s="31"/>
      <c r="N175" s="31"/>
    </row>
    <row r="176">
      <c r="A176" s="74">
        <f>IFERROR(__xludf.DUMMYFUNCTION("""COMPUTED_VALUE"""),45558.0)</f>
        <v>45558</v>
      </c>
      <c r="B176" s="31" t="str">
        <f>IFERROR(__xludf.DUMMYFUNCTION("""COMPUTED_VALUE"""),"Harshit Srivastava")</f>
        <v>Harshit Srivastava</v>
      </c>
      <c r="C176" s="31" t="str">
        <f>IFERROR(__xludf.DUMMYFUNCTION("""COMPUTED_VALUE"""),"Analytics")</f>
        <v>Analytics</v>
      </c>
      <c r="D176" s="31">
        <f>IFERROR(__xludf.DUMMYFUNCTION("""COMPUTED_VALUE"""),6.387671865E9)</f>
        <v>6387671865</v>
      </c>
      <c r="E176" s="31" t="str">
        <f>IFERROR(__xludf.DUMMYFUNCTION("""COMPUTED_VALUE"""),"Senior Data Analyst")</f>
        <v>Senior Data Analyst</v>
      </c>
      <c r="F176" s="31" t="str">
        <f>IFERROR(__xludf.DUMMYFUNCTION("""COMPUTED_VALUE"""),"Product Analytics")</f>
        <v>Product Analytics</v>
      </c>
      <c r="G176" s="31" t="str">
        <f>IFERROR(__xludf.DUMMYFUNCTION("""COMPUTED_VALUE"""),"harshitsanjeev@gmail.com")</f>
        <v>harshitsanjeev@gmail.com</v>
      </c>
      <c r="H176" s="31" t="str">
        <f>IFERROR(__xludf.DUMMYFUNCTION("""COMPUTED_VALUE"""),"Raman Malik")</f>
        <v>Raman Malik</v>
      </c>
      <c r="I176" s="75">
        <f>IFERROR(__xludf.DUMMYFUNCTION("""COMPUTED_VALUE"""),45491.0)</f>
        <v>45491</v>
      </c>
      <c r="J176" s="31" t="str">
        <f>IFERROR(__xludf.DUMMYFUNCTION("""COMPUTED_VALUE"""),"Mamta Pandey")</f>
        <v>Mamta Pandey</v>
      </c>
      <c r="K176" s="31" t="str">
        <f>IFERROR(__xludf.DUMMYFUNCTION("""COMPUTED_VALUE"""),"Offer Declined")</f>
        <v>Offer Declined</v>
      </c>
      <c r="L176" s="31" t="str">
        <f>IFERROR(__xludf.DUMMYFUNCTION("""COMPUTED_VALUE"""),"In Office")</f>
        <v>In Office</v>
      </c>
      <c r="M176" s="31"/>
      <c r="N176" s="31"/>
    </row>
    <row r="177">
      <c r="A177" s="74">
        <f>IFERROR(__xludf.DUMMYFUNCTION("""COMPUTED_VALUE"""),45497.0)</f>
        <v>45497</v>
      </c>
      <c r="B177" s="31" t="str">
        <f>IFERROR(__xludf.DUMMYFUNCTION("""COMPUTED_VALUE"""),"Vishal Kumar Saw")</f>
        <v>Vishal Kumar Saw</v>
      </c>
      <c r="C177" s="31" t="str">
        <f>IFERROR(__xludf.DUMMYFUNCTION("""COMPUTED_VALUE"""),"Technology")</f>
        <v>Technology</v>
      </c>
      <c r="D177" s="31">
        <f>IFERROR(__xludf.DUMMYFUNCTION("""COMPUTED_VALUE"""),6.289555082E9)</f>
        <v>6289555082</v>
      </c>
      <c r="E177" s="31" t="str">
        <f>IFERROR(__xludf.DUMMYFUNCTION("""COMPUTED_VALUE"""),"Software Engineer")</f>
        <v>Software Engineer</v>
      </c>
      <c r="F177" s="31" t="str">
        <f>IFERROR(__xludf.DUMMYFUNCTION("""COMPUTED_VALUE"""),"Engineering")</f>
        <v>Engineering</v>
      </c>
      <c r="G177" s="31" t="str">
        <f>IFERROR(__xludf.DUMMYFUNCTION("""COMPUTED_VALUE"""),"vishalkrsaw2001@gmail.com")</f>
        <v>vishalkrsaw2001@gmail.com</v>
      </c>
      <c r="H177" s="31" t="str">
        <f>IFERROR(__xludf.DUMMYFUNCTION("""COMPUTED_VALUE"""),"Rahul Sharma")</f>
        <v>Rahul Sharma</v>
      </c>
      <c r="I177" s="75">
        <f>IFERROR(__xludf.DUMMYFUNCTION("""COMPUTED_VALUE"""),45492.0)</f>
        <v>45492</v>
      </c>
      <c r="J177" s="31" t="str">
        <f>IFERROR(__xludf.DUMMYFUNCTION("""COMPUTED_VALUE"""),"Nidhi Khedekar")</f>
        <v>Nidhi Khedekar</v>
      </c>
      <c r="K177" s="31" t="str">
        <f>IFERROR(__xludf.DUMMYFUNCTION("""COMPUTED_VALUE"""),"Joined")</f>
        <v>Joined</v>
      </c>
      <c r="L177" s="31" t="str">
        <f>IFERROR(__xludf.DUMMYFUNCTION("""COMPUTED_VALUE"""),"In Office")</f>
        <v>In Office</v>
      </c>
      <c r="M177" s="31" t="str">
        <f>IFERROR(__xludf.DUMMYFUNCTION("""COMPUTED_VALUE"""),"vishal.saw@zupee.in")</f>
        <v>vishal.saw@zupee.in</v>
      </c>
      <c r="N177" s="31"/>
    </row>
    <row r="178">
      <c r="A178" s="74">
        <f>IFERROR(__xludf.DUMMYFUNCTION("""COMPUTED_VALUE"""),45497.0)</f>
        <v>45497</v>
      </c>
      <c r="B178" s="31" t="str">
        <f>IFERROR(__xludf.DUMMYFUNCTION("""COMPUTED_VALUE"""),"Ayush Dabas")</f>
        <v>Ayush Dabas</v>
      </c>
      <c r="C178" s="31" t="str">
        <f>IFERROR(__xludf.DUMMYFUNCTION("""COMPUTED_VALUE"""),"Technology")</f>
        <v>Technology</v>
      </c>
      <c r="D178" s="31">
        <f>IFERROR(__xludf.DUMMYFUNCTION("""COMPUTED_VALUE"""),7.838898841E9)</f>
        <v>7838898841</v>
      </c>
      <c r="E178" s="31" t="str">
        <f>IFERROR(__xludf.DUMMYFUNCTION("""COMPUTED_VALUE"""),"Software Engineer Trainee")</f>
        <v>Software Engineer Trainee</v>
      </c>
      <c r="F178" s="31" t="str">
        <f>IFERROR(__xludf.DUMMYFUNCTION("""COMPUTED_VALUE"""),"Engineering")</f>
        <v>Engineering</v>
      </c>
      <c r="G178" s="31" t="str">
        <f>IFERROR(__xludf.DUMMYFUNCTION("""COMPUTED_VALUE"""),"	ayush.workk07@gmail.com")</f>
        <v>	ayush.workk07@gmail.com</v>
      </c>
      <c r="H178" s="31" t="str">
        <f>IFERROR(__xludf.DUMMYFUNCTION("""COMPUTED_VALUE"""),"Piyush Shukla")</f>
        <v>Piyush Shukla</v>
      </c>
      <c r="I178" s="75">
        <f>IFERROR(__xludf.DUMMYFUNCTION("""COMPUTED_VALUE"""),45496.0)</f>
        <v>45496</v>
      </c>
      <c r="J178" s="31" t="str">
        <f>IFERROR(__xludf.DUMMYFUNCTION("""COMPUTED_VALUE"""),"Nidhi Khedekar")</f>
        <v>Nidhi Khedekar</v>
      </c>
      <c r="K178" s="31" t="str">
        <f>IFERROR(__xludf.DUMMYFUNCTION("""COMPUTED_VALUE"""),"Joined")</f>
        <v>Joined</v>
      </c>
      <c r="L178" s="31" t="str">
        <f>IFERROR(__xludf.DUMMYFUNCTION("""COMPUTED_VALUE"""),"In Office")</f>
        <v>In Office</v>
      </c>
      <c r="M178" s="31" t="str">
        <f>IFERROR(__xludf.DUMMYFUNCTION("""COMPUTED_VALUE"""),"ayush.dabas@zupee.in")</f>
        <v>ayush.dabas@zupee.in</v>
      </c>
      <c r="N178" s="31" t="str">
        <f>IFERROR(__xludf.DUMMYFUNCTION("""COMPUTED_VALUE"""),"F2P0R4M93L")</f>
        <v>F2P0R4M93L</v>
      </c>
    </row>
    <row r="179">
      <c r="A179" s="74">
        <f>IFERROR(__xludf.DUMMYFUNCTION("""COMPUTED_VALUE"""),45497.0)</f>
        <v>45497</v>
      </c>
      <c r="B179" s="31" t="str">
        <f>IFERROR(__xludf.DUMMYFUNCTION("""COMPUTED_VALUE"""),"Saurabh Singh Yadav")</f>
        <v>Saurabh Singh Yadav</v>
      </c>
      <c r="C179" s="31" t="str">
        <f>IFERROR(__xludf.DUMMYFUNCTION("""COMPUTED_VALUE"""),"Technology")</f>
        <v>Technology</v>
      </c>
      <c r="D179" s="31">
        <f>IFERROR(__xludf.DUMMYFUNCTION("""COMPUTED_VALUE"""),7.052945461E9)</f>
        <v>7052945461</v>
      </c>
      <c r="E179" s="31" t="str">
        <f>IFERROR(__xludf.DUMMYFUNCTION("""COMPUTED_VALUE"""),"Software Engineer")</f>
        <v>Software Engineer</v>
      </c>
      <c r="F179" s="31" t="str">
        <f>IFERROR(__xludf.DUMMYFUNCTION("""COMPUTED_VALUE"""),"Engineering")</f>
        <v>Engineering</v>
      </c>
      <c r="G179" s="31" t="str">
        <f>IFERROR(__xludf.DUMMYFUNCTION("""COMPUTED_VALUE"""),"saurabh.16j@gmail.com")</f>
        <v>saurabh.16j@gmail.com</v>
      </c>
      <c r="H179" s="31" t="str">
        <f>IFERROR(__xludf.DUMMYFUNCTION("""COMPUTED_VALUE"""),"Rahul Sharma")</f>
        <v>Rahul Sharma</v>
      </c>
      <c r="I179" s="75">
        <f>IFERROR(__xludf.DUMMYFUNCTION("""COMPUTED_VALUE"""),45496.0)</f>
        <v>45496</v>
      </c>
      <c r="J179" s="31" t="str">
        <f>IFERROR(__xludf.DUMMYFUNCTION("""COMPUTED_VALUE"""),"Nidhi Khedekar")</f>
        <v>Nidhi Khedekar</v>
      </c>
      <c r="K179" s="31" t="str">
        <f>IFERROR(__xludf.DUMMYFUNCTION("""COMPUTED_VALUE"""),"Joined")</f>
        <v>Joined</v>
      </c>
      <c r="L179" s="31" t="str">
        <f>IFERROR(__xludf.DUMMYFUNCTION("""COMPUTED_VALUE"""),"In Office")</f>
        <v>In Office</v>
      </c>
      <c r="M179" s="31"/>
      <c r="N179" s="31"/>
    </row>
    <row r="180">
      <c r="A180" s="74">
        <f>IFERROR(__xludf.DUMMYFUNCTION("""COMPUTED_VALUE"""),45509.0)</f>
        <v>45509</v>
      </c>
      <c r="B180" s="31" t="str">
        <f>IFERROR(__xludf.DUMMYFUNCTION("""COMPUTED_VALUE"""),"Soumyadip Deb")</f>
        <v>Soumyadip Deb</v>
      </c>
      <c r="C180" s="31" t="str">
        <f>IFERROR(__xludf.DUMMYFUNCTION("""COMPUTED_VALUE"""),"Analytics")</f>
        <v>Analytics</v>
      </c>
      <c r="D180" s="31">
        <f>IFERROR(__xludf.DUMMYFUNCTION("""COMPUTED_VALUE"""),8.910112645E9)</f>
        <v>8910112645</v>
      </c>
      <c r="E180" s="31" t="str">
        <f>IFERROR(__xludf.DUMMYFUNCTION("""COMPUTED_VALUE""")," Senior Data Analyst")</f>
        <v> Senior Data Analyst</v>
      </c>
      <c r="F180" s="31" t="str">
        <f>IFERROR(__xludf.DUMMYFUNCTION("""COMPUTED_VALUE"""),"Product Analytics")</f>
        <v>Product Analytics</v>
      </c>
      <c r="G180" s="31" t="str">
        <f>IFERROR(__xludf.DUMMYFUNCTION("""COMPUTED_VALUE"""),"debsoumyadip@gmail.com ")</f>
        <v>debsoumyadip@gmail.com </v>
      </c>
      <c r="H180" s="31" t="str">
        <f>IFERROR(__xludf.DUMMYFUNCTION("""COMPUTED_VALUE"""),"Raman Malik  ")</f>
        <v>Raman Malik  </v>
      </c>
      <c r="I180" s="75">
        <f>IFERROR(__xludf.DUMMYFUNCTION("""COMPUTED_VALUE"""),45497.0)</f>
        <v>45497</v>
      </c>
      <c r="J180" s="31" t="str">
        <f>IFERROR(__xludf.DUMMYFUNCTION("""COMPUTED_VALUE"""),"Mamta Pandey")</f>
        <v>Mamta Pandey</v>
      </c>
      <c r="K180" s="31" t="str">
        <f>IFERROR(__xludf.DUMMYFUNCTION("""COMPUTED_VALUE"""),"Joined")</f>
        <v>Joined</v>
      </c>
      <c r="L180" s="31" t="str">
        <f>IFERROR(__xludf.DUMMYFUNCTION("""COMPUTED_VALUE"""),"In Office")</f>
        <v>In Office</v>
      </c>
      <c r="M180" s="31" t="str">
        <f>IFERROR(__xludf.DUMMYFUNCTION("""COMPUTED_VALUE"""),"soumyadip.deb@zupee.in")</f>
        <v>soumyadip.deb@zupee.in</v>
      </c>
      <c r="N180" s="31"/>
    </row>
    <row r="181">
      <c r="A181" s="74">
        <f>IFERROR(__xludf.DUMMYFUNCTION("""COMPUTED_VALUE"""),45525.0)</f>
        <v>45525</v>
      </c>
      <c r="B181" s="31" t="str">
        <f>IFERROR(__xludf.DUMMYFUNCTION("""COMPUTED_VALUE"""),"Amrit Anand")</f>
        <v>Amrit Anand</v>
      </c>
      <c r="C181" s="31" t="str">
        <f>IFERROR(__xludf.DUMMYFUNCTION("""COMPUTED_VALUE"""),"Corporate")</f>
        <v>Corporate</v>
      </c>
      <c r="D181" s="31">
        <f>IFERROR(__xludf.DUMMYFUNCTION("""COMPUTED_VALUE"""),9.958001195E9)</f>
        <v>9958001195</v>
      </c>
      <c r="E181" s="31" t="str">
        <f>IFERROR(__xludf.DUMMYFUNCTION("""COMPUTED_VALUE"""),"Associate Director- Communications")</f>
        <v>Associate Director- Communications</v>
      </c>
      <c r="F181" s="31" t="str">
        <f>IFERROR(__xludf.DUMMYFUNCTION("""COMPUTED_VALUE"""),"Public policy")</f>
        <v>Public policy</v>
      </c>
      <c r="G181" s="31" t="str">
        <f>IFERROR(__xludf.DUMMYFUNCTION("""COMPUTED_VALUE"""),"amrit.in@gmail.com")</f>
        <v>amrit.in@gmail.com</v>
      </c>
      <c r="H181" s="31" t="str">
        <f>IFERROR(__xludf.DUMMYFUNCTION("""COMPUTED_VALUE"""),"Ashwani Rana")</f>
        <v>Ashwani Rana</v>
      </c>
      <c r="I181" s="75">
        <f>IFERROR(__xludf.DUMMYFUNCTION("""COMPUTED_VALUE"""),45499.0)</f>
        <v>45499</v>
      </c>
      <c r="J181" s="31" t="str">
        <f>IFERROR(__xludf.DUMMYFUNCTION("""COMPUTED_VALUE"""),"M Sangeetha")</f>
        <v>M Sangeetha</v>
      </c>
      <c r="K181" s="31" t="str">
        <f>IFERROR(__xludf.DUMMYFUNCTION("""COMPUTED_VALUE"""),"Joined")</f>
        <v>Joined</v>
      </c>
      <c r="L181" s="31" t="str">
        <f>IFERROR(__xludf.DUMMYFUNCTION("""COMPUTED_VALUE"""),"In Office")</f>
        <v>In Office</v>
      </c>
      <c r="M181" s="31" t="str">
        <f>IFERROR(__xludf.DUMMYFUNCTION("""COMPUTED_VALUE"""),"amrit.anand@zupee.in")</f>
        <v>amrit.anand@zupee.in</v>
      </c>
      <c r="N181" s="31" t="str">
        <f>IFERROR(__xludf.DUMMYFUNCTION("""COMPUTED_VALUE"""),"K34X69QY54")</f>
        <v>K34X69QY54</v>
      </c>
    </row>
    <row r="182">
      <c r="A182" s="74">
        <f>IFERROR(__xludf.DUMMYFUNCTION("""COMPUTED_VALUE"""),45525.0)</f>
        <v>45525</v>
      </c>
      <c r="B182" s="31" t="str">
        <f>IFERROR(__xludf.DUMMYFUNCTION("""COMPUTED_VALUE"""),"Himanshu Nagpal")</f>
        <v>Himanshu Nagpal</v>
      </c>
      <c r="C182" s="31" t="str">
        <f>IFERROR(__xludf.DUMMYFUNCTION("""COMPUTED_VALUE"""),"Customer Experience")</f>
        <v>Customer Experience</v>
      </c>
      <c r="D182" s="31">
        <f>IFERROR(__xludf.DUMMYFUNCTION("""COMPUTED_VALUE"""),8.684033537E9)</f>
        <v>8684033537</v>
      </c>
      <c r="E182" s="31" t="str">
        <f>IFERROR(__xludf.DUMMYFUNCTION("""COMPUTED_VALUE"""),"Relationship Manager")</f>
        <v>Relationship Manager</v>
      </c>
      <c r="F182" s="31" t="str">
        <f>IFERROR(__xludf.DUMMYFUNCTION("""COMPUTED_VALUE"""),"Customer Relation Management")</f>
        <v>Customer Relation Management</v>
      </c>
      <c r="G182" s="31" t="str">
        <f>IFERROR(__xludf.DUMMYFUNCTION("""COMPUTED_VALUE"""),"hinagpal8901@gmail.com")</f>
        <v>hinagpal8901@gmail.com</v>
      </c>
      <c r="H182" s="31" t="str">
        <f>IFERROR(__xludf.DUMMYFUNCTION("""COMPUTED_VALUE"""),"Shivam Bali")</f>
        <v>Shivam Bali</v>
      </c>
      <c r="I182" s="75">
        <f>IFERROR(__xludf.DUMMYFUNCTION("""COMPUTED_VALUE"""),45504.0)</f>
        <v>45504</v>
      </c>
      <c r="J182" s="31" t="str">
        <f>IFERROR(__xludf.DUMMYFUNCTION("""COMPUTED_VALUE"""),"Nidhi Khedekar")</f>
        <v>Nidhi Khedekar</v>
      </c>
      <c r="K182" s="31" t="str">
        <f>IFERROR(__xludf.DUMMYFUNCTION("""COMPUTED_VALUE"""),"Joined")</f>
        <v>Joined</v>
      </c>
      <c r="L182" s="31" t="str">
        <f>IFERROR(__xludf.DUMMYFUNCTION("""COMPUTED_VALUE"""),"In Office")</f>
        <v>In Office</v>
      </c>
      <c r="M182" s="31" t="str">
        <f>IFERROR(__xludf.DUMMYFUNCTION("""COMPUTED_VALUE"""),"himanshu.nagpal@zupee.in")</f>
        <v>himanshu.nagpal@zupee.in</v>
      </c>
      <c r="N182" s="31" t="str">
        <f>IFERROR(__xludf.DUMMYFUNCTION("""COMPUTED_VALUE"""),"PW03VMQJ")</f>
        <v>PW03VMQJ</v>
      </c>
    </row>
    <row r="183">
      <c r="A183" s="74">
        <f>IFERROR(__xludf.DUMMYFUNCTION("""COMPUTED_VALUE"""),45505.0)</f>
        <v>45505</v>
      </c>
      <c r="B183" s="31" t="str">
        <f>IFERROR(__xludf.DUMMYFUNCTION("""COMPUTED_VALUE"""),"Rupam Das")</f>
        <v>Rupam Das</v>
      </c>
      <c r="C183" s="31" t="str">
        <f>IFERROR(__xludf.DUMMYFUNCTION("""COMPUTED_VALUE"""),"Product")</f>
        <v>Product</v>
      </c>
      <c r="D183" s="31">
        <f>IFERROR(__xludf.DUMMYFUNCTION("""COMPUTED_VALUE"""),9.911885682E9)</f>
        <v>9911885682</v>
      </c>
      <c r="E183" s="31" t="str">
        <f>IFERROR(__xludf.DUMMYFUNCTION("""COMPUTED_VALUE"""),"Product Marketing Executive")</f>
        <v>Product Marketing Executive</v>
      </c>
      <c r="F183" s="31" t="str">
        <f>IFERROR(__xludf.DUMMYFUNCTION("""COMPUTED_VALUE"""),"Product")</f>
        <v>Product</v>
      </c>
      <c r="G183" s="31" t="str">
        <f>IFERROR(__xludf.DUMMYFUNCTION("""COMPUTED_VALUE"""),"rupamdas766@gmail.com ")</f>
        <v>rupamdas766@gmail.com </v>
      </c>
      <c r="H183" s="31" t="str">
        <f>IFERROR(__xludf.DUMMYFUNCTION("""COMPUTED_VALUE"""),"Aditya Jha")</f>
        <v>Aditya Jha</v>
      </c>
      <c r="I183" s="75">
        <f>IFERROR(__xludf.DUMMYFUNCTION("""COMPUTED_VALUE"""),45504.0)</f>
        <v>45504</v>
      </c>
      <c r="J183" s="31" t="str">
        <f>IFERROR(__xludf.DUMMYFUNCTION("""COMPUTED_VALUE"""),"Nidhi Khedekar")</f>
        <v>Nidhi Khedekar</v>
      </c>
      <c r="K183" s="31" t="str">
        <f>IFERROR(__xludf.DUMMYFUNCTION("""COMPUTED_VALUE"""),"Joined")</f>
        <v>Joined</v>
      </c>
      <c r="L183" s="31" t="str">
        <f>IFERROR(__xludf.DUMMYFUNCTION("""COMPUTED_VALUE"""),"In Office")</f>
        <v>In Office</v>
      </c>
      <c r="M183" s="31" t="str">
        <f>IFERROR(__xludf.DUMMYFUNCTION("""COMPUTED_VALUE"""),"rupam.das@zupee.in")</f>
        <v>rupam.das@zupee.in</v>
      </c>
      <c r="N183" s="31"/>
    </row>
    <row r="184">
      <c r="A184" s="74">
        <f>IFERROR(__xludf.DUMMYFUNCTION("""COMPUTED_VALUE"""),45537.0)</f>
        <v>45537</v>
      </c>
      <c r="B184" s="31" t="str">
        <f>IFERROR(__xludf.DUMMYFUNCTION("""COMPUTED_VALUE"""),"Dipankar Jha")</f>
        <v>Dipankar Jha</v>
      </c>
      <c r="C184" s="31" t="str">
        <f>IFERROR(__xludf.DUMMYFUNCTION("""COMPUTED_VALUE"""),"Corporate")</f>
        <v>Corporate</v>
      </c>
      <c r="D184" s="31">
        <f>IFERROR(__xludf.DUMMYFUNCTION("""COMPUTED_VALUE"""),9.525416997E9)</f>
        <v>9525416997</v>
      </c>
      <c r="E184" s="31" t="str">
        <f>IFERROR(__xludf.DUMMYFUNCTION("""COMPUTED_VALUE"""),"Executive- Finance")</f>
        <v>Executive- Finance</v>
      </c>
      <c r="F184" s="31" t="str">
        <f>IFERROR(__xludf.DUMMYFUNCTION("""COMPUTED_VALUE"""),"Finance")</f>
        <v>Finance</v>
      </c>
      <c r="G184" s="31" t="str">
        <f>IFERROR(__xludf.DUMMYFUNCTION("""COMPUTED_VALUE"""),"dipankarjha00@gmail.com")</f>
        <v>dipankarjha00@gmail.com</v>
      </c>
      <c r="H184" s="31" t="str">
        <f>IFERROR(__xludf.DUMMYFUNCTION("""COMPUTED_VALUE"""),"Dhruv Adlakha")</f>
        <v>Dhruv Adlakha</v>
      </c>
      <c r="I184" s="75">
        <f>IFERROR(__xludf.DUMMYFUNCTION("""COMPUTED_VALUE"""),45504.0)</f>
        <v>45504</v>
      </c>
      <c r="J184" s="31" t="str">
        <f>IFERROR(__xludf.DUMMYFUNCTION("""COMPUTED_VALUE"""),"Mamta Pandey")</f>
        <v>Mamta Pandey</v>
      </c>
      <c r="K184" s="31" t="str">
        <f>IFERROR(__xludf.DUMMYFUNCTION("""COMPUTED_VALUE"""),"Joined")</f>
        <v>Joined</v>
      </c>
      <c r="L184" s="31" t="str">
        <f>IFERROR(__xludf.DUMMYFUNCTION("""COMPUTED_VALUE"""),"In Office")</f>
        <v>In Office</v>
      </c>
      <c r="M184" s="31" t="str">
        <f>IFERROR(__xludf.DUMMYFUNCTION("""COMPUTED_VALUE"""),"dipankar.jha@zupee.in")</f>
        <v>dipankar.jha@zupee.in</v>
      </c>
      <c r="N184" s="31" t="str">
        <f>IFERROR(__xludf.DUMMYFUNCTION("""COMPUTED_VALUE"""),"PW03VMMB")</f>
        <v>PW03VMMB</v>
      </c>
    </row>
    <row r="185">
      <c r="A185" s="74">
        <f>IFERROR(__xludf.DUMMYFUNCTION("""COMPUTED_VALUE"""),45509.0)</f>
        <v>45509</v>
      </c>
      <c r="B185" s="31" t="str">
        <f>IFERROR(__xludf.DUMMYFUNCTION("""COMPUTED_VALUE"""),"Mayank Kakkar")</f>
        <v>Mayank Kakkar</v>
      </c>
      <c r="C185" s="31" t="str">
        <f>IFERROR(__xludf.DUMMYFUNCTION("""COMPUTED_VALUE"""),"Technology")</f>
        <v>Technology</v>
      </c>
      <c r="D185" s="31">
        <f>IFERROR(__xludf.DUMMYFUNCTION("""COMPUTED_VALUE"""),9.557725692E9)</f>
        <v>9557725692</v>
      </c>
      <c r="E185" s="31" t="str">
        <f>IFERROR(__xludf.DUMMYFUNCTION("""COMPUTED_VALUE"""),"Software Engineer Trainee")</f>
        <v>Software Engineer Trainee</v>
      </c>
      <c r="F185" s="31" t="str">
        <f>IFERROR(__xludf.DUMMYFUNCTION("""COMPUTED_VALUE"""),"Engineering")</f>
        <v>Engineering</v>
      </c>
      <c r="G185" s="31" t="str">
        <f>IFERROR(__xludf.DUMMYFUNCTION("""COMPUTED_VALUE"""),"kakkarmayank2001@gmail.com")</f>
        <v>kakkarmayank2001@gmail.com</v>
      </c>
      <c r="H185" s="31" t="str">
        <f>IFERROR(__xludf.DUMMYFUNCTION("""COMPUTED_VALUE"""),"Piyush Shukla")</f>
        <v>Piyush Shukla</v>
      </c>
      <c r="I185" s="75">
        <f>IFERROR(__xludf.DUMMYFUNCTION("""COMPUTED_VALUE"""),45505.0)</f>
        <v>45505</v>
      </c>
      <c r="J185" s="31" t="str">
        <f>IFERROR(__xludf.DUMMYFUNCTION("""COMPUTED_VALUE"""),"Nidhi Khedekar")</f>
        <v>Nidhi Khedekar</v>
      </c>
      <c r="K185" s="31" t="str">
        <f>IFERROR(__xludf.DUMMYFUNCTION("""COMPUTED_VALUE"""),"Joined")</f>
        <v>Joined</v>
      </c>
      <c r="L185" s="31" t="str">
        <f>IFERROR(__xludf.DUMMYFUNCTION("""COMPUTED_VALUE"""),"In Office")</f>
        <v>In Office</v>
      </c>
      <c r="M185" s="31" t="str">
        <f>IFERROR(__xludf.DUMMYFUNCTION("""COMPUTED_VALUE"""),"mayank.kakkar@zupee.in")</f>
        <v>mayank.kakkar@zupee.in</v>
      </c>
      <c r="N185" s="31"/>
    </row>
    <row r="186">
      <c r="A186" s="74">
        <f>IFERROR(__xludf.DUMMYFUNCTION("""COMPUTED_VALUE"""),45511.0)</f>
        <v>45511</v>
      </c>
      <c r="B186" s="31" t="str">
        <f>IFERROR(__xludf.DUMMYFUNCTION("""COMPUTED_VALUE"""),"Shreya Pandey")</f>
        <v>Shreya Pandey</v>
      </c>
      <c r="C186" s="31" t="str">
        <f>IFERROR(__xludf.DUMMYFUNCTION("""COMPUTED_VALUE"""),"Customer Experience")</f>
        <v>Customer Experience</v>
      </c>
      <c r="D186" s="31">
        <f>IFERROR(__xludf.DUMMYFUNCTION("""COMPUTED_VALUE"""),9.520464896E9)</f>
        <v>9520464896</v>
      </c>
      <c r="E186" s="31" t="str">
        <f>IFERROR(__xludf.DUMMYFUNCTION("""COMPUTED_VALUE"""),"Relationship Manager")</f>
        <v>Relationship Manager</v>
      </c>
      <c r="F186" s="31" t="str">
        <f>IFERROR(__xludf.DUMMYFUNCTION("""COMPUTED_VALUE"""),"Customer Relation Management")</f>
        <v>Customer Relation Management</v>
      </c>
      <c r="G186" s="31" t="str">
        <f>IFERROR(__xludf.DUMMYFUNCTION("""COMPUTED_VALUE"""),"pandeyshrey121@gmail.com")</f>
        <v>pandeyshrey121@gmail.com</v>
      </c>
      <c r="H186" s="31" t="str">
        <f>IFERROR(__xludf.DUMMYFUNCTION("""COMPUTED_VALUE"""),"Shivam Bali")</f>
        <v>Shivam Bali</v>
      </c>
      <c r="I186" s="75">
        <f>IFERROR(__xludf.DUMMYFUNCTION("""COMPUTED_VALUE"""),45509.0)</f>
        <v>45509</v>
      </c>
      <c r="J186" s="31" t="str">
        <f>IFERROR(__xludf.DUMMYFUNCTION("""COMPUTED_VALUE"""),"Nidhi Khedekar")</f>
        <v>Nidhi Khedekar</v>
      </c>
      <c r="K186" s="31" t="str">
        <f>IFERROR(__xludf.DUMMYFUNCTION("""COMPUTED_VALUE"""),"Joined")</f>
        <v>Joined</v>
      </c>
      <c r="L186" s="31" t="str">
        <f>IFERROR(__xludf.DUMMYFUNCTION("""COMPUTED_VALUE"""),"In Office")</f>
        <v>In Office</v>
      </c>
      <c r="M186" s="31" t="str">
        <f>IFERROR(__xludf.DUMMYFUNCTION("""COMPUTED_VALUE"""),"shreya.pandey@zupee.in")</f>
        <v>shreya.pandey@zupee.in</v>
      </c>
      <c r="N186" s="31"/>
    </row>
    <row r="187">
      <c r="A187" s="74">
        <f>IFERROR(__xludf.DUMMYFUNCTION("""COMPUTED_VALUE"""),45551.0)</f>
        <v>45551</v>
      </c>
      <c r="B187" s="31" t="str">
        <f>IFERROR(__xludf.DUMMYFUNCTION("""COMPUTED_VALUE"""),"Ankit Wadhwa")</f>
        <v>Ankit Wadhwa</v>
      </c>
      <c r="C187" s="31" t="str">
        <f>IFERROR(__xludf.DUMMYFUNCTION("""COMPUTED_VALUE"""),"Finance")</f>
        <v>Finance</v>
      </c>
      <c r="D187" s="31">
        <f>IFERROR(__xludf.DUMMYFUNCTION("""COMPUTED_VALUE"""),9.910747374E9)</f>
        <v>9910747374</v>
      </c>
      <c r="E187" s="31" t="str">
        <f>IFERROR(__xludf.DUMMYFUNCTION("""COMPUTED_VALUE"""),"Manager-Taxation
")</f>
        <v>Manager-Taxation
</v>
      </c>
      <c r="F187" s="31" t="str">
        <f>IFERROR(__xludf.DUMMYFUNCTION("""COMPUTED_VALUE"""),"Finance")</f>
        <v>Finance</v>
      </c>
      <c r="G187" s="31" t="str">
        <f>IFERROR(__xludf.DUMMYFUNCTION("""COMPUTED_VALUE"""),"ankitwadhwa@outlook.in ")</f>
        <v>ankitwadhwa@outlook.in </v>
      </c>
      <c r="H187" s="31" t="str">
        <f>IFERROR(__xludf.DUMMYFUNCTION("""COMPUTED_VALUE"""),"Rahul Satija")</f>
        <v>Rahul Satija</v>
      </c>
      <c r="I187" s="75">
        <f>IFERROR(__xludf.DUMMYFUNCTION("""COMPUTED_VALUE"""),45510.0)</f>
        <v>45510</v>
      </c>
      <c r="J187" s="31" t="str">
        <f>IFERROR(__xludf.DUMMYFUNCTION("""COMPUTED_VALUE"""),"Nidhi Khedekar")</f>
        <v>Nidhi Khedekar</v>
      </c>
      <c r="K187" s="31" t="str">
        <f>IFERROR(__xludf.DUMMYFUNCTION("""COMPUTED_VALUE"""),"Joined")</f>
        <v>Joined</v>
      </c>
      <c r="L187" s="31" t="str">
        <f>IFERROR(__xludf.DUMMYFUNCTION("""COMPUTED_VALUE"""),"In Office")</f>
        <v>In Office</v>
      </c>
      <c r="M187" s="31" t="str">
        <f>IFERROR(__xludf.DUMMYFUNCTION("""COMPUTED_VALUE"""),"ankit.wadhwa@zupee.in")</f>
        <v>ankit.wadhwa@zupee.in</v>
      </c>
      <c r="N187" s="31"/>
    </row>
    <row r="188">
      <c r="A188" s="74">
        <f>IFERROR(__xludf.DUMMYFUNCTION("""COMPUTED_VALUE"""),45544.0)</f>
        <v>45544</v>
      </c>
      <c r="B188" s="31" t="str">
        <f>IFERROR(__xludf.DUMMYFUNCTION("""COMPUTED_VALUE"""),"Ramnarayan Jat")</f>
        <v>Ramnarayan Jat</v>
      </c>
      <c r="C188" s="31" t="str">
        <f>IFERROR(__xludf.DUMMYFUNCTION("""COMPUTED_VALUE"""),"Analytics")</f>
        <v>Analytics</v>
      </c>
      <c r="D188" s="31">
        <f>IFERROR(__xludf.DUMMYFUNCTION("""COMPUTED_VALUE"""),8.290486068E9)</f>
        <v>8290486068</v>
      </c>
      <c r="E188" s="31" t="str">
        <f>IFERROR(__xludf.DUMMYFUNCTION("""COMPUTED_VALUE"""),"Senior Data Analyst")</f>
        <v>Senior Data Analyst</v>
      </c>
      <c r="F188" s="31" t="str">
        <f>IFERROR(__xludf.DUMMYFUNCTION("""COMPUTED_VALUE"""),"Product Analytics")</f>
        <v>Product Analytics</v>
      </c>
      <c r="G188" s="31" t="str">
        <f>IFERROR(__xludf.DUMMYFUNCTION("""COMPUTED_VALUE"""),"ramnarayanjat56@gmail.com")</f>
        <v>ramnarayanjat56@gmail.com</v>
      </c>
      <c r="H188" s="31" t="str">
        <f>IFERROR(__xludf.DUMMYFUNCTION("""COMPUTED_VALUE"""),"Himanshu Grover")</f>
        <v>Himanshu Grover</v>
      </c>
      <c r="I188" s="75">
        <f>IFERROR(__xludf.DUMMYFUNCTION("""COMPUTED_VALUE"""),45510.0)</f>
        <v>45510</v>
      </c>
      <c r="J188" s="31" t="str">
        <f>IFERROR(__xludf.DUMMYFUNCTION("""COMPUTED_VALUE"""),"Mamta Pandey")</f>
        <v>Mamta Pandey</v>
      </c>
      <c r="K188" s="31" t="str">
        <f>IFERROR(__xludf.DUMMYFUNCTION("""COMPUTED_VALUE"""),"Offer Declined")</f>
        <v>Offer Declined</v>
      </c>
      <c r="L188" s="31" t="str">
        <f>IFERROR(__xludf.DUMMYFUNCTION("""COMPUTED_VALUE"""),"In Office")</f>
        <v>In Office</v>
      </c>
      <c r="M188" s="31"/>
      <c r="N188" s="31"/>
    </row>
    <row r="189">
      <c r="A189" s="74">
        <f>IFERROR(__xludf.DUMMYFUNCTION("""COMPUTED_VALUE"""),45516.0)</f>
        <v>45516</v>
      </c>
      <c r="B189" s="31" t="str">
        <f>IFERROR(__xludf.DUMMYFUNCTION("""COMPUTED_VALUE"""),"Rishabh Bhatia")</f>
        <v>Rishabh Bhatia</v>
      </c>
      <c r="C189" s="31" t="str">
        <f>IFERROR(__xludf.DUMMYFUNCTION("""COMPUTED_VALUE"""),"Technology")</f>
        <v>Technology</v>
      </c>
      <c r="D189" s="31">
        <f>IFERROR(__xludf.DUMMYFUNCTION("""COMPUTED_VALUE"""),9.999893268E9)</f>
        <v>9999893268</v>
      </c>
      <c r="E189" s="31" t="str">
        <f>IFERROR(__xludf.DUMMYFUNCTION("""COMPUTED_VALUE"""),"Senior Software Engineer")</f>
        <v>Senior Software Engineer</v>
      </c>
      <c r="F189" s="31" t="str">
        <f>IFERROR(__xludf.DUMMYFUNCTION("""COMPUTED_VALUE"""),"Engineering")</f>
        <v>Engineering</v>
      </c>
      <c r="G189" s="31" t="str">
        <f>IFERROR(__xludf.DUMMYFUNCTION("""COMPUTED_VALUE""")," irishabh96@gmail.com")</f>
        <v> irishabh96@gmail.com</v>
      </c>
      <c r="H189" s="31" t="str">
        <f>IFERROR(__xludf.DUMMYFUNCTION("""COMPUTED_VALUE"""),"Disha Garg")</f>
        <v>Disha Garg</v>
      </c>
      <c r="I189" s="75">
        <f>IFERROR(__xludf.DUMMYFUNCTION("""COMPUTED_VALUE"""),45513.0)</f>
        <v>45513</v>
      </c>
      <c r="J189" s="31" t="str">
        <f>IFERROR(__xludf.DUMMYFUNCTION("""COMPUTED_VALUE"""),"Nidhi Khedekar")</f>
        <v>Nidhi Khedekar</v>
      </c>
      <c r="K189" s="31" t="str">
        <f>IFERROR(__xludf.DUMMYFUNCTION("""COMPUTED_VALUE"""),"Joined")</f>
        <v>Joined</v>
      </c>
      <c r="L189" s="31" t="str">
        <f>IFERROR(__xludf.DUMMYFUNCTION("""COMPUTED_VALUE"""),"In Office")</f>
        <v>In Office</v>
      </c>
      <c r="M189" s="31" t="str">
        <f>IFERROR(__xludf.DUMMYFUNCTION("""COMPUTED_VALUE"""),"rishabh.bhatia@zupee.in")</f>
        <v>rishabh.bhatia@zupee.in</v>
      </c>
      <c r="N189" s="31" t="str">
        <f>IFERROR(__xludf.DUMMYFUNCTION("""COMPUTED_VALUE"""),"D0M47C71K7")</f>
        <v>D0M47C71K7</v>
      </c>
    </row>
    <row r="190">
      <c r="A190" s="74"/>
      <c r="B190" s="31" t="str">
        <f>IFERROR(__xludf.DUMMYFUNCTION("""COMPUTED_VALUE"""),"Aman Patni")</f>
        <v>Aman Patni</v>
      </c>
      <c r="C190" s="31" t="str">
        <f>IFERROR(__xludf.DUMMYFUNCTION("""COMPUTED_VALUE"""),"Finance")</f>
        <v>Finance</v>
      </c>
      <c r="D190" s="31">
        <f>IFERROR(__xludf.DUMMYFUNCTION("""COMPUTED_VALUE"""),9.811200851E9)</f>
        <v>9811200851</v>
      </c>
      <c r="E190" s="31" t="str">
        <f>IFERROR(__xludf.DUMMYFUNCTION("""COMPUTED_VALUE"""),"Manager-Finance")</f>
        <v>Manager-Finance</v>
      </c>
      <c r="F190" s="31" t="str">
        <f>IFERROR(__xludf.DUMMYFUNCTION("""COMPUTED_VALUE"""),"Finance")</f>
        <v>Finance</v>
      </c>
      <c r="G190" s="31" t="str">
        <f>IFERROR(__xludf.DUMMYFUNCTION("""COMPUTED_VALUE"""),"amanpatni004@gmail.com ")</f>
        <v>amanpatni004@gmail.com </v>
      </c>
      <c r="H190" s="31" t="str">
        <f>IFERROR(__xludf.DUMMYFUNCTION("""COMPUTED_VALUE"""),"Ankur Agarwal")</f>
        <v>Ankur Agarwal</v>
      </c>
      <c r="I190" s="75">
        <f>IFERROR(__xludf.DUMMYFUNCTION("""COMPUTED_VALUE"""),45513.0)</f>
        <v>45513</v>
      </c>
      <c r="J190" s="31" t="str">
        <f>IFERROR(__xludf.DUMMYFUNCTION("""COMPUTED_VALUE"""),"Mamta Pandey")</f>
        <v>Mamta Pandey</v>
      </c>
      <c r="K190" s="31" t="str">
        <f>IFERROR(__xludf.DUMMYFUNCTION("""COMPUTED_VALUE"""),"Joined")</f>
        <v>Joined</v>
      </c>
      <c r="L190" s="31" t="str">
        <f>IFERROR(__xludf.DUMMYFUNCTION("""COMPUTED_VALUE"""),"In Office")</f>
        <v>In Office</v>
      </c>
      <c r="M190" s="31" t="str">
        <f>IFERROR(__xludf.DUMMYFUNCTION("""COMPUTED_VALUE"""),"aman.patni@zupee.in")</f>
        <v>aman.patni@zupee.in</v>
      </c>
      <c r="N190" s="31" t="str">
        <f>IFERROR(__xludf.DUMMYFUNCTION("""COMPUTED_VALUE"""),"PF55KKJ2")</f>
        <v>PF55KKJ2</v>
      </c>
    </row>
    <row r="191">
      <c r="A191" s="74">
        <f>IFERROR(__xludf.DUMMYFUNCTION("""COMPUTED_VALUE"""),45518.0)</f>
        <v>45518</v>
      </c>
      <c r="B191" s="31" t="str">
        <f>IFERROR(__xludf.DUMMYFUNCTION("""COMPUTED_VALUE"""),"Rajan Jayaswal")</f>
        <v>Rajan Jayaswal</v>
      </c>
      <c r="C191" s="31" t="str">
        <f>IFERROR(__xludf.DUMMYFUNCTION("""COMPUTED_VALUE"""),"Design")</f>
        <v>Design</v>
      </c>
      <c r="D191" s="31">
        <f>IFERROR(__xludf.DUMMYFUNCTION("""COMPUTED_VALUE"""),8.805937549E9)</f>
        <v>8805937549</v>
      </c>
      <c r="E191" s="31" t="str">
        <f>IFERROR(__xludf.DUMMYFUNCTION("""COMPUTED_VALUE"""),"Senior Hindi UX Content Writer")</f>
        <v>Senior Hindi UX Content Writer</v>
      </c>
      <c r="F191" s="31" t="str">
        <f>IFERROR(__xludf.DUMMYFUNCTION("""COMPUTED_VALUE"""),"Content")</f>
        <v>Content</v>
      </c>
      <c r="G191" s="31" t="str">
        <f>IFERROR(__xludf.DUMMYFUNCTION("""COMPUTED_VALUE"""),"response2rajan@gmail.com ")</f>
        <v>response2rajan@gmail.com </v>
      </c>
      <c r="H191" s="31" t="str">
        <f>IFERROR(__xludf.DUMMYFUNCTION("""COMPUTED_VALUE"""),"Anish Abraham")</f>
        <v>Anish Abraham</v>
      </c>
      <c r="I191" s="75">
        <f>IFERROR(__xludf.DUMMYFUNCTION("""COMPUTED_VALUE"""),45513.0)</f>
        <v>45513</v>
      </c>
      <c r="J191" s="31" t="str">
        <f>IFERROR(__xludf.DUMMYFUNCTION("""COMPUTED_VALUE"""),"Naina")</f>
        <v>Naina</v>
      </c>
      <c r="K191" s="31" t="str">
        <f>IFERROR(__xludf.DUMMYFUNCTION("""COMPUTED_VALUE"""),"Joined")</f>
        <v>Joined</v>
      </c>
      <c r="L191" s="31" t="str">
        <f>IFERROR(__xludf.DUMMYFUNCTION("""COMPUTED_VALUE"""),"In Office")</f>
        <v>In Office</v>
      </c>
      <c r="M191" s="31" t="str">
        <f>IFERROR(__xludf.DUMMYFUNCTION("""COMPUTED_VALUE"""),"rajan.jayaswal@zupee.in")</f>
        <v>rajan.jayaswal@zupee.in</v>
      </c>
      <c r="N191" s="31" t="str">
        <f>IFERROR(__xludf.DUMMYFUNCTION("""COMPUTED_VALUE"""),"KQ745K7WJC")</f>
        <v>KQ745K7WJC</v>
      </c>
    </row>
    <row r="192">
      <c r="A192" s="74">
        <f>IFERROR(__xludf.DUMMYFUNCTION("""COMPUTED_VALUE"""),45547.0)</f>
        <v>45547</v>
      </c>
      <c r="B192" s="31" t="str">
        <f>IFERROR(__xludf.DUMMYFUNCTION("""COMPUTED_VALUE"""),"Karan Pal Sunkariya")</f>
        <v>Karan Pal Sunkariya</v>
      </c>
      <c r="C192" s="31" t="str">
        <f>IFERROR(__xludf.DUMMYFUNCTION("""COMPUTED_VALUE"""),"Technology")</f>
        <v>Technology</v>
      </c>
      <c r="D192" s="31">
        <f>IFERROR(__xludf.DUMMYFUNCTION("""COMPUTED_VALUE"""),9.19456386177E11)</f>
        <v>919456386177</v>
      </c>
      <c r="E192" s="31" t="str">
        <f>IFERROR(__xludf.DUMMYFUNCTION("""COMPUTED_VALUE"""),"Technical Lead")</f>
        <v>Technical Lead</v>
      </c>
      <c r="F192" s="31" t="str">
        <f>IFERROR(__xludf.DUMMYFUNCTION("""COMPUTED_VALUE"""),"Engineering")</f>
        <v>Engineering</v>
      </c>
      <c r="G192" s="31" t="str">
        <f>IFERROR(__xludf.DUMMYFUNCTION("""COMPUTED_VALUE"""),"karanpalsunkariya@gmail.com")</f>
        <v>karanpalsunkariya@gmail.com</v>
      </c>
      <c r="H192" s="31" t="str">
        <f>IFERROR(__xludf.DUMMYFUNCTION("""COMPUTED_VALUE"""),"Rahul Sharma")</f>
        <v>Rahul Sharma</v>
      </c>
      <c r="I192" s="75">
        <f>IFERROR(__xludf.DUMMYFUNCTION("""COMPUTED_VALUE"""),45517.0)</f>
        <v>45517</v>
      </c>
      <c r="J192" s="31" t="str">
        <f>IFERROR(__xludf.DUMMYFUNCTION("""COMPUTED_VALUE"""),"Naina")</f>
        <v>Naina</v>
      </c>
      <c r="K192" s="31" t="str">
        <f>IFERROR(__xludf.DUMMYFUNCTION("""COMPUTED_VALUE"""),"Joined")</f>
        <v>Joined</v>
      </c>
      <c r="L192" s="31" t="str">
        <f>IFERROR(__xludf.DUMMYFUNCTION("""COMPUTED_VALUE"""),"In Office")</f>
        <v>In Office</v>
      </c>
      <c r="M192" s="31" t="str">
        <f>IFERROR(__xludf.DUMMYFUNCTION("""COMPUTED_VALUE"""),"karan.sunkariya@zupee.in")</f>
        <v>karan.sunkariya@zupee.in</v>
      </c>
      <c r="N192" s="31" t="str">
        <f>IFERROR(__xludf.DUMMYFUNCTION("""COMPUTED_VALUE"""),"H73T2WK4HR")</f>
        <v>H73T2WK4HR</v>
      </c>
    </row>
    <row r="193">
      <c r="A193" s="74">
        <f>IFERROR(__xludf.DUMMYFUNCTION("""COMPUTED_VALUE"""),45525.0)</f>
        <v>45525</v>
      </c>
      <c r="B193" s="31" t="str">
        <f>IFERROR(__xludf.DUMMYFUNCTION("""COMPUTED_VALUE"""),"Suryanshu Shekhar")</f>
        <v>Suryanshu Shekhar</v>
      </c>
      <c r="C193" s="31" t="str">
        <f>IFERROR(__xludf.DUMMYFUNCTION("""COMPUTED_VALUE"""),"Analytics")</f>
        <v>Analytics</v>
      </c>
      <c r="D193" s="31">
        <f>IFERROR(__xludf.DUMMYFUNCTION("""COMPUTED_VALUE"""),8.05079524E9)</f>
        <v>8050795240</v>
      </c>
      <c r="E193" s="31" t="str">
        <f>IFERROR(__xludf.DUMMYFUNCTION("""COMPUTED_VALUE"""),"Manager-Data Analyst")</f>
        <v>Manager-Data Analyst</v>
      </c>
      <c r="F193" s="31" t="str">
        <f>IFERROR(__xludf.DUMMYFUNCTION("""COMPUTED_VALUE"""),"Product Analytics")</f>
        <v>Product Analytics</v>
      </c>
      <c r="G193" s="31" t="str">
        <f>IFERROR(__xludf.DUMMYFUNCTION("""COMPUTED_VALUE"""),"suryanshu.30sep@gmail.com")</f>
        <v>suryanshu.30sep@gmail.com</v>
      </c>
      <c r="H193" s="31" t="str">
        <f>IFERROR(__xludf.DUMMYFUNCTION("""COMPUTED_VALUE"""),"Raman Malik")</f>
        <v>Raman Malik</v>
      </c>
      <c r="I193" s="75">
        <f>IFERROR(__xludf.DUMMYFUNCTION("""COMPUTED_VALUE"""),45517.0)</f>
        <v>45517</v>
      </c>
      <c r="J193" s="31" t="str">
        <f>IFERROR(__xludf.DUMMYFUNCTION("""COMPUTED_VALUE"""),"Shivam Sharma")</f>
        <v>Shivam Sharma</v>
      </c>
      <c r="K193" s="31" t="str">
        <f>IFERROR(__xludf.DUMMYFUNCTION("""COMPUTED_VALUE"""),"Joined")</f>
        <v>Joined</v>
      </c>
      <c r="L193" s="31" t="str">
        <f>IFERROR(__xludf.DUMMYFUNCTION("""COMPUTED_VALUE"""),"Virtual")</f>
        <v>Virtual</v>
      </c>
      <c r="M193" s="31" t="str">
        <f>IFERROR(__xludf.DUMMYFUNCTION("""COMPUTED_VALUE"""),"suryanshu.shekhar@zupee.in")</f>
        <v>suryanshu.shekhar@zupee.in</v>
      </c>
      <c r="N193" s="31" t="str">
        <f>IFERROR(__xludf.DUMMYFUNCTION("""COMPUTED_VALUE"""),"MYCQ3Q6PK9")</f>
        <v>MYCQ3Q6PK9</v>
      </c>
    </row>
    <row r="194">
      <c r="A194" s="74"/>
      <c r="B194" s="31" t="str">
        <f>IFERROR(__xludf.DUMMYFUNCTION("""COMPUTED_VALUE"""),"Vipul Gupta")</f>
        <v>Vipul Gupta</v>
      </c>
      <c r="C194" s="31" t="str">
        <f>IFERROR(__xludf.DUMMYFUNCTION("""COMPUTED_VALUE"""),"Technology")</f>
        <v>Technology</v>
      </c>
      <c r="D194" s="31">
        <f>IFERROR(__xludf.DUMMYFUNCTION("""COMPUTED_VALUE"""),8.284807025E9)</f>
        <v>8284807025</v>
      </c>
      <c r="E194" s="31" t="str">
        <f>IFERROR(__xludf.DUMMYFUNCTION("""COMPUTED_VALUE"""),"SDET Lead")</f>
        <v>SDET Lead</v>
      </c>
      <c r="F194" s="31" t="str">
        <f>IFERROR(__xludf.DUMMYFUNCTION("""COMPUTED_VALUE"""),"SDET")</f>
        <v>SDET</v>
      </c>
      <c r="G194" s="31" t="str">
        <f>IFERROR(__xludf.DUMMYFUNCTION("""COMPUTED_VALUE"""),"vipul31gupta@gmail.com ")</f>
        <v>vipul31gupta@gmail.com </v>
      </c>
      <c r="H194" s="31" t="str">
        <f>IFERROR(__xludf.DUMMYFUNCTION("""COMPUTED_VALUE"""),"Sahil Puri")</f>
        <v>Sahil Puri</v>
      </c>
      <c r="I194" s="75">
        <f>IFERROR(__xludf.DUMMYFUNCTION("""COMPUTED_VALUE"""),45517.0)</f>
        <v>45517</v>
      </c>
      <c r="J194" s="31" t="str">
        <f>IFERROR(__xludf.DUMMYFUNCTION("""COMPUTED_VALUE"""),"Mamta Pandey")</f>
        <v>Mamta Pandey</v>
      </c>
      <c r="K194" s="31" t="str">
        <f>IFERROR(__xludf.DUMMYFUNCTION("""COMPUTED_VALUE"""),"Joined")</f>
        <v>Joined</v>
      </c>
      <c r="L194" s="31" t="str">
        <f>IFERROR(__xludf.DUMMYFUNCTION("""COMPUTED_VALUE"""),"In Office")</f>
        <v>In Office</v>
      </c>
      <c r="M194" s="31" t="str">
        <f>IFERROR(__xludf.DUMMYFUNCTION("""COMPUTED_VALUE"""),"vipul.gupta@zupee.in")</f>
        <v>vipul.gupta@zupee.in</v>
      </c>
      <c r="N194" s="31" t="str">
        <f>IFERROR(__xludf.DUMMYFUNCTION("""COMPUTED_VALUE"""),"MGX3759265")</f>
        <v>MGX3759265</v>
      </c>
    </row>
    <row r="195">
      <c r="A195" s="74">
        <f>IFERROR(__xludf.DUMMYFUNCTION("""COMPUTED_VALUE"""),45572.0)</f>
        <v>45572</v>
      </c>
      <c r="B195" s="31" t="str">
        <f>IFERROR(__xludf.DUMMYFUNCTION("""COMPUTED_VALUE"""),"Twinkle Bhati")</f>
        <v>Twinkle Bhati</v>
      </c>
      <c r="C195" s="31" t="str">
        <f>IFERROR(__xludf.DUMMYFUNCTION("""COMPUTED_VALUE"""),"Finance")</f>
        <v>Finance</v>
      </c>
      <c r="D195" s="31">
        <f>IFERROR(__xludf.DUMMYFUNCTION("""COMPUTED_VALUE"""),7.7409448E9)</f>
        <v>7740944800</v>
      </c>
      <c r="E195" s="31" t="str">
        <f>IFERROR(__xludf.DUMMYFUNCTION("""COMPUTED_VALUE"""),"Analyst-Finance")</f>
        <v>Analyst-Finance</v>
      </c>
      <c r="F195" s="31" t="str">
        <f>IFERROR(__xludf.DUMMYFUNCTION("""COMPUTED_VALUE"""),"Finance")</f>
        <v>Finance</v>
      </c>
      <c r="G195" s="31" t="str">
        <f>IFERROR(__xludf.DUMMYFUNCTION("""COMPUTED_VALUE"""),"twinklebbhati@gmail.com
")</f>
        <v>twinklebbhati@gmail.com
</v>
      </c>
      <c r="H195" s="31" t="str">
        <f>IFERROR(__xludf.DUMMYFUNCTION("""COMPUTED_VALUE"""),"Hitesh Vats")</f>
        <v>Hitesh Vats</v>
      </c>
      <c r="I195" s="75">
        <f>IFERROR(__xludf.DUMMYFUNCTION("""COMPUTED_VALUE"""),45518.0)</f>
        <v>45518</v>
      </c>
      <c r="J195" s="31" t="str">
        <f>IFERROR(__xludf.DUMMYFUNCTION("""COMPUTED_VALUE"""),"Nidhi Khedekar")</f>
        <v>Nidhi Khedekar</v>
      </c>
      <c r="K195" s="31" t="str">
        <f>IFERROR(__xludf.DUMMYFUNCTION("""COMPUTED_VALUE"""),"Joined")</f>
        <v>Joined</v>
      </c>
      <c r="L195" s="31" t="str">
        <f>IFERROR(__xludf.DUMMYFUNCTION("""COMPUTED_VALUE"""),"In Office")</f>
        <v>In Office</v>
      </c>
      <c r="M195" s="31" t="str">
        <f>IFERROR(__xludf.DUMMYFUNCTION("""COMPUTED_VALUE"""),"twinkle.bhati@zupee.in")</f>
        <v>twinkle.bhati@zupee.in</v>
      </c>
      <c r="N195" s="31"/>
    </row>
    <row r="196">
      <c r="A196" s="74">
        <f>IFERROR(__xludf.DUMMYFUNCTION("""COMPUTED_VALUE"""),45559.0)</f>
        <v>45559</v>
      </c>
      <c r="B196" s="31" t="str">
        <f>IFERROR(__xludf.DUMMYFUNCTION("""COMPUTED_VALUE"""),"Shridhar Sharma")</f>
        <v>Shridhar Sharma</v>
      </c>
      <c r="C196" s="31" t="str">
        <f>IFERROR(__xludf.DUMMYFUNCTION("""COMPUTED_VALUE"""),"Analytics")</f>
        <v>Analytics</v>
      </c>
      <c r="D196" s="31">
        <f>IFERROR(__xludf.DUMMYFUNCTION("""COMPUTED_VALUE"""),7.045800526E9)</f>
        <v>7045800526</v>
      </c>
      <c r="E196" s="31" t="str">
        <f>IFERROR(__xludf.DUMMYFUNCTION("""COMPUTED_VALUE"""),"Senior Data Analyst")</f>
        <v>Senior Data Analyst</v>
      </c>
      <c r="F196" s="31" t="str">
        <f>IFERROR(__xludf.DUMMYFUNCTION("""COMPUTED_VALUE"""),"Product Analytics")</f>
        <v>Product Analytics</v>
      </c>
      <c r="G196" s="31" t="str">
        <f>IFERROR(__xludf.DUMMYFUNCTION("""COMPUTED_VALUE"""),"itsshridharsharma@gmail.com")</f>
        <v>itsshridharsharma@gmail.com</v>
      </c>
      <c r="H196" s="31" t="str">
        <f>IFERROR(__xludf.DUMMYFUNCTION("""COMPUTED_VALUE"""),"Raman Malik  ")</f>
        <v>Raman Malik  </v>
      </c>
      <c r="I196" s="75">
        <f>IFERROR(__xludf.DUMMYFUNCTION("""COMPUTED_VALUE"""),45518.0)</f>
        <v>45518</v>
      </c>
      <c r="J196" s="31" t="str">
        <f>IFERROR(__xludf.DUMMYFUNCTION("""COMPUTED_VALUE"""),"Mamta Pandey")</f>
        <v>Mamta Pandey</v>
      </c>
      <c r="K196" s="31" t="str">
        <f>IFERROR(__xludf.DUMMYFUNCTION("""COMPUTED_VALUE"""),"Joined")</f>
        <v>Joined</v>
      </c>
      <c r="L196" s="31" t="str">
        <f>IFERROR(__xludf.DUMMYFUNCTION("""COMPUTED_VALUE"""),"In Office")</f>
        <v>In Office</v>
      </c>
      <c r="M196" s="31" t="str">
        <f>IFERROR(__xludf.DUMMYFUNCTION("""COMPUTED_VALUE"""),"shridhar.sharma@zupee.in")</f>
        <v>shridhar.sharma@zupee.in</v>
      </c>
      <c r="N196" s="31" t="str">
        <f>IFERROR(__xludf.DUMMYFUNCTION("""COMPUTED_VALUE"""),"MV2776DLWF")</f>
        <v>MV2776DLWF</v>
      </c>
    </row>
    <row r="197">
      <c r="A197" s="74">
        <f>IFERROR(__xludf.DUMMYFUNCTION("""COMPUTED_VALUE"""),45600.0)</f>
        <v>45600</v>
      </c>
      <c r="B197" s="31" t="str">
        <f>IFERROR(__xludf.DUMMYFUNCTION("""COMPUTED_VALUE"""),"Sushil Patel")</f>
        <v>Sushil Patel</v>
      </c>
      <c r="C197" s="31" t="str">
        <f>IFERROR(__xludf.DUMMYFUNCTION("""COMPUTED_VALUE"""),"HR")</f>
        <v>HR</v>
      </c>
      <c r="D197" s="31"/>
      <c r="E197" s="31" t="str">
        <f>IFERROR(__xludf.DUMMYFUNCTION("""COMPUTED_VALUE"""),"Associate Director- HRBP &amp; COE")</f>
        <v>Associate Director- HRBP &amp; COE</v>
      </c>
      <c r="F197" s="31" t="str">
        <f>IFERROR(__xludf.DUMMYFUNCTION("""COMPUTED_VALUE"""),"Human Resource")</f>
        <v>Human Resource</v>
      </c>
      <c r="G197" s="31" t="str">
        <f>IFERROR(__xludf.DUMMYFUNCTION("""COMPUTED_VALUE"""),"sushil.patel73@gmail.com")</f>
        <v>sushil.patel73@gmail.com</v>
      </c>
      <c r="H197" s="31" t="str">
        <f>IFERROR(__xludf.DUMMYFUNCTION("""COMPUTED_VALUE"""),"Akanksha Dhamija")</f>
        <v>Akanksha Dhamija</v>
      </c>
      <c r="I197" s="75">
        <f>IFERROR(__xludf.DUMMYFUNCTION("""COMPUTED_VALUE"""),45520.0)</f>
        <v>45520</v>
      </c>
      <c r="J197" s="31" t="str">
        <f>IFERROR(__xludf.DUMMYFUNCTION("""COMPUTED_VALUE"""),"M Sangeetha")</f>
        <v>M Sangeetha</v>
      </c>
      <c r="K197" s="31" t="str">
        <f>IFERROR(__xludf.DUMMYFUNCTION("""COMPUTED_VALUE"""),"Joined")</f>
        <v>Joined</v>
      </c>
      <c r="L197" s="31" t="str">
        <f>IFERROR(__xludf.DUMMYFUNCTION("""COMPUTED_VALUE"""),"In Office")</f>
        <v>In Office</v>
      </c>
      <c r="M197" s="31" t="str">
        <f>IFERROR(__xludf.DUMMYFUNCTION("""COMPUTED_VALUE"""),"sushil.patel@zupee.in")</f>
        <v>sushil.patel@zupee.in</v>
      </c>
      <c r="N197" s="31" t="str">
        <f>IFERROR(__xludf.DUMMYFUNCTION("""COMPUTED_VALUE"""),"JYW1VR2WF3")</f>
        <v>JYW1VR2WF3</v>
      </c>
    </row>
    <row r="198">
      <c r="A198" s="74">
        <f>IFERROR(__xludf.DUMMYFUNCTION("""COMPUTED_VALUE"""),45525.0)</f>
        <v>45525</v>
      </c>
      <c r="B198" s="31" t="str">
        <f>IFERROR(__xludf.DUMMYFUNCTION("""COMPUTED_VALUE"""),"Mehul Shah")</f>
        <v>Mehul Shah</v>
      </c>
      <c r="C198" s="31" t="str">
        <f>IFERROR(__xludf.DUMMYFUNCTION("""COMPUTED_VALUE"""),"Marketing")</f>
        <v>Marketing</v>
      </c>
      <c r="D198" s="31">
        <f>IFERROR(__xludf.DUMMYFUNCTION("""COMPUTED_VALUE"""),9.920968101E9)</f>
        <v>9920968101</v>
      </c>
      <c r="E198" s="31" t="str">
        <f>IFERROR(__xludf.DUMMYFUNCTION("""COMPUTED_VALUE"""),"SEO AND ASO Lead")</f>
        <v>SEO AND ASO Lead</v>
      </c>
      <c r="F198" s="31" t="str">
        <f>IFERROR(__xludf.DUMMYFUNCTION("""COMPUTED_VALUE"""),"Digital Marketing")</f>
        <v>Digital Marketing</v>
      </c>
      <c r="G198" s="31" t="str">
        <f>IFERROR(__xludf.DUMMYFUNCTION("""COMPUTED_VALUE"""),"kits.mehulshah@gmail.com")</f>
        <v>kits.mehulshah@gmail.com</v>
      </c>
      <c r="H198" s="31" t="str">
        <f>IFERROR(__xludf.DUMMYFUNCTION("""COMPUTED_VALUE"""),"Nishant Jaiswal")</f>
        <v>Nishant Jaiswal</v>
      </c>
      <c r="I198" s="75">
        <f>IFERROR(__xludf.DUMMYFUNCTION("""COMPUTED_VALUE"""),45524.0)</f>
        <v>45524</v>
      </c>
      <c r="J198" s="31" t="str">
        <f>IFERROR(__xludf.DUMMYFUNCTION("""COMPUTED_VALUE"""),"Naina")</f>
        <v>Naina</v>
      </c>
      <c r="K198" s="31" t="str">
        <f>IFERROR(__xludf.DUMMYFUNCTION("""COMPUTED_VALUE"""),"Joined")</f>
        <v>Joined</v>
      </c>
      <c r="L198" s="31" t="str">
        <f>IFERROR(__xludf.DUMMYFUNCTION("""COMPUTED_VALUE"""),"Virtual")</f>
        <v>Virtual</v>
      </c>
      <c r="M198" s="31" t="str">
        <f>IFERROR(__xludf.DUMMYFUNCTION("""COMPUTED_VALUE"""),"mehul.shah@zupee.in")</f>
        <v>mehul.shah@zupee.in</v>
      </c>
      <c r="N198" s="31"/>
    </row>
    <row r="199">
      <c r="A199" s="74"/>
      <c r="B199" s="31" t="str">
        <f>IFERROR(__xludf.DUMMYFUNCTION("""COMPUTED_VALUE"""),"Samarth Asthana")</f>
        <v>Samarth Asthana</v>
      </c>
      <c r="C199" s="31" t="str">
        <f>IFERROR(__xludf.DUMMYFUNCTION("""COMPUTED_VALUE"""),"Technology")</f>
        <v>Technology</v>
      </c>
      <c r="D199" s="31">
        <f>IFERROR(__xludf.DUMMYFUNCTION("""COMPUTED_VALUE"""),7.651842669E9)</f>
        <v>7651842669</v>
      </c>
      <c r="E199" s="31" t="str">
        <f>IFERROR(__xludf.DUMMYFUNCTION("""COMPUTED_VALUE"""),"Software Engineer")</f>
        <v>Software Engineer</v>
      </c>
      <c r="F199" s="31" t="str">
        <f>IFERROR(__xludf.DUMMYFUNCTION("""COMPUTED_VALUE"""),"Engineering")</f>
        <v>Engineering</v>
      </c>
      <c r="G199" s="31" t="str">
        <f>IFERROR(__xludf.DUMMYFUNCTION("""COMPUTED_VALUE"""),"samarthasthana110@gmail.com")</f>
        <v>samarthasthana110@gmail.com</v>
      </c>
      <c r="H199" s="31"/>
      <c r="I199" s="75">
        <f>IFERROR(__xludf.DUMMYFUNCTION("""COMPUTED_VALUE"""),45526.0)</f>
        <v>45526</v>
      </c>
      <c r="J199" s="31" t="str">
        <f>IFERROR(__xludf.DUMMYFUNCTION("""COMPUTED_VALUE"""),"Nidhi Khedekar")</f>
        <v>Nidhi Khedekar</v>
      </c>
      <c r="K199" s="31" t="str">
        <f>IFERROR(__xludf.DUMMYFUNCTION("""COMPUTED_VALUE"""),"Offer Declined")</f>
        <v>Offer Declined</v>
      </c>
      <c r="L199" s="31" t="str">
        <f>IFERROR(__xludf.DUMMYFUNCTION("""COMPUTED_VALUE"""),"In Office")</f>
        <v>In Office</v>
      </c>
      <c r="M199" s="31"/>
      <c r="N199" s="31"/>
    </row>
    <row r="200">
      <c r="A200" s="74"/>
      <c r="B200" s="31" t="str">
        <f>IFERROR(__xludf.DUMMYFUNCTION("""COMPUTED_VALUE"""),"Vipin Kumar")</f>
        <v>Vipin Kumar</v>
      </c>
      <c r="C200" s="31" t="str">
        <f>IFERROR(__xludf.DUMMYFUNCTION("""COMPUTED_VALUE"""),"HR")</f>
        <v>HR</v>
      </c>
      <c r="D200" s="31">
        <f>IFERROR(__xludf.DUMMYFUNCTION("""COMPUTED_VALUE"""),8.750877322E9)</f>
        <v>8750877322</v>
      </c>
      <c r="E200" s="31" t="str">
        <f>IFERROR(__xludf.DUMMYFUNCTION("""COMPUTED_VALUE"""),"Associate-TA")</f>
        <v>Associate-TA</v>
      </c>
      <c r="F200" s="31" t="str">
        <f>IFERROR(__xludf.DUMMYFUNCTION("""COMPUTED_VALUE"""),"Human Resource")</f>
        <v>Human Resource</v>
      </c>
      <c r="G200" s="31" t="str">
        <f>IFERROR(__xludf.DUMMYFUNCTION("""COMPUTED_VALUE"""),"vipinkr2143@gmail.com")</f>
        <v>vipinkr2143@gmail.com</v>
      </c>
      <c r="H200" s="31" t="str">
        <f>IFERROR(__xludf.DUMMYFUNCTION("""COMPUTED_VALUE"""),"Rajneesh Yadav")</f>
        <v>Rajneesh Yadav</v>
      </c>
      <c r="I200" s="75">
        <f>IFERROR(__xludf.DUMMYFUNCTION("""COMPUTED_VALUE"""),45530.0)</f>
        <v>45530</v>
      </c>
      <c r="J200" s="31" t="str">
        <f>IFERROR(__xludf.DUMMYFUNCTION("""COMPUTED_VALUE"""),"Nidhi Khedekar")</f>
        <v>Nidhi Khedekar</v>
      </c>
      <c r="K200" s="31" t="str">
        <f>IFERROR(__xludf.DUMMYFUNCTION("""COMPUTED_VALUE"""),"Joined")</f>
        <v>Joined</v>
      </c>
      <c r="L200" s="31" t="str">
        <f>IFERROR(__xludf.DUMMYFUNCTION("""COMPUTED_VALUE"""),"In Office")</f>
        <v>In Office</v>
      </c>
      <c r="M200" s="31" t="str">
        <f>IFERROR(__xludf.DUMMYFUNCTION("""COMPUTED_VALUE"""),"vipin.kumar@zupee.in")</f>
        <v>vipin.kumar@zupee.in</v>
      </c>
      <c r="N200" s="31" t="str">
        <f>IFERROR(__xludf.DUMMYFUNCTION("""COMPUTED_VALUE"""),"PW03VMNZ")</f>
        <v>PW03VMNZ</v>
      </c>
    </row>
    <row r="201">
      <c r="A201" s="74"/>
      <c r="B201" s="31" t="str">
        <f>IFERROR(__xludf.DUMMYFUNCTION("""COMPUTED_VALUE"""),"Aviral Rastogi")</f>
        <v>Aviral Rastogi</v>
      </c>
      <c r="C201" s="31" t="str">
        <f>IFERROR(__xludf.DUMMYFUNCTION("""COMPUTED_VALUE"""),"Design")</f>
        <v>Design</v>
      </c>
      <c r="D201" s="31">
        <f>IFERROR(__xludf.DUMMYFUNCTION("""COMPUTED_VALUE"""),7.991388397E9)</f>
        <v>7991388397</v>
      </c>
      <c r="E201" s="31" t="str">
        <f>IFERROR(__xludf.DUMMYFUNCTION("""COMPUTED_VALUE"""),"Motion Graphic Designer")</f>
        <v>Motion Graphic Designer</v>
      </c>
      <c r="F201" s="31" t="str">
        <f>IFERROR(__xludf.DUMMYFUNCTION("""COMPUTED_VALUE"""),"Design")</f>
        <v>Design</v>
      </c>
      <c r="G201" s="31" t="str">
        <f>IFERROR(__xludf.DUMMYFUNCTION("""COMPUTED_VALUE"""),"aviralrastogi213@gmail.com")</f>
        <v>aviralrastogi213@gmail.com</v>
      </c>
      <c r="H201" s="31" t="str">
        <f>IFERROR(__xludf.DUMMYFUNCTION("""COMPUTED_VALUE"""),"Akshit Sharma")</f>
        <v>Akshit Sharma</v>
      </c>
      <c r="I201" s="75">
        <f>IFERROR(__xludf.DUMMYFUNCTION("""COMPUTED_VALUE"""),45531.0)</f>
        <v>45531</v>
      </c>
      <c r="J201" s="31" t="str">
        <f>IFERROR(__xludf.DUMMYFUNCTION("""COMPUTED_VALUE"""),"Naina")</f>
        <v>Naina</v>
      </c>
      <c r="K201" s="31" t="str">
        <f>IFERROR(__xludf.DUMMYFUNCTION("""COMPUTED_VALUE"""),"Joined")</f>
        <v>Joined</v>
      </c>
      <c r="L201" s="31" t="str">
        <f>IFERROR(__xludf.DUMMYFUNCTION("""COMPUTED_VALUE"""),"In Office")</f>
        <v>In Office</v>
      </c>
      <c r="M201" s="31"/>
      <c r="N201" s="31"/>
    </row>
    <row r="202">
      <c r="A202" s="74">
        <f>IFERROR(__xludf.DUMMYFUNCTION("""COMPUTED_VALUE"""),45583.0)</f>
        <v>45583</v>
      </c>
      <c r="B202" s="31" t="str">
        <f>IFERROR(__xludf.DUMMYFUNCTION("""COMPUTED_VALUE"""),"Bishan Bhadra")</f>
        <v>Bishan Bhadra</v>
      </c>
      <c r="C202" s="31" t="str">
        <f>IFERROR(__xludf.DUMMYFUNCTION("""COMPUTED_VALUE"""),"Analytics")</f>
        <v>Analytics</v>
      </c>
      <c r="D202" s="31"/>
      <c r="E202" s="31" t="str">
        <f>IFERROR(__xludf.DUMMYFUNCTION("""COMPUTED_VALUE"""),"Manager- Data Analytics")</f>
        <v>Manager- Data Analytics</v>
      </c>
      <c r="F202" s="31" t="str">
        <f>IFERROR(__xludf.DUMMYFUNCTION("""COMPUTED_VALUE"""),"Product Analytics")</f>
        <v>Product Analytics</v>
      </c>
      <c r="G202" s="31" t="str">
        <f>IFERROR(__xludf.DUMMYFUNCTION("""COMPUTED_VALUE"""),"bishanbhadra@gmail.com")</f>
        <v>bishanbhadra@gmail.com</v>
      </c>
      <c r="H202" s="31" t="str">
        <f>IFERROR(__xludf.DUMMYFUNCTION("""COMPUTED_VALUE"""),"Raman Malik  ")</f>
        <v>Raman Malik  </v>
      </c>
      <c r="I202" s="75">
        <f>IFERROR(__xludf.DUMMYFUNCTION("""COMPUTED_VALUE"""),45532.0)</f>
        <v>45532</v>
      </c>
      <c r="J202" s="31" t="str">
        <f>IFERROR(__xludf.DUMMYFUNCTION("""COMPUTED_VALUE"""),"Mamta Pandey")</f>
        <v>Mamta Pandey</v>
      </c>
      <c r="K202" s="31" t="str">
        <f>IFERROR(__xludf.DUMMYFUNCTION("""COMPUTED_VALUE"""),"Joined")</f>
        <v>Joined</v>
      </c>
      <c r="L202" s="31" t="str">
        <f>IFERROR(__xludf.DUMMYFUNCTION("""COMPUTED_VALUE"""),"In Office")</f>
        <v>In Office</v>
      </c>
      <c r="M202" s="31" t="str">
        <f>IFERROR(__xludf.DUMMYFUNCTION("""COMPUTED_VALUE"""),"bishan.bhadra@zupee.in")</f>
        <v>bishan.bhadra@zupee.in</v>
      </c>
      <c r="N202" s="31"/>
    </row>
    <row r="203">
      <c r="A203" s="74"/>
      <c r="B203" s="31" t="str">
        <f>IFERROR(__xludf.DUMMYFUNCTION("""COMPUTED_VALUE"""),"Suraj Arora")</f>
        <v>Suraj Arora</v>
      </c>
      <c r="C203" s="31" t="str">
        <f>IFERROR(__xludf.DUMMYFUNCTION("""COMPUTED_VALUE"""),"Design")</f>
        <v>Design</v>
      </c>
      <c r="D203" s="31">
        <f>IFERROR(__xludf.DUMMYFUNCTION("""COMPUTED_VALUE"""),7.982092568E9)</f>
        <v>7982092568</v>
      </c>
      <c r="E203" s="31" t="str">
        <f>IFERROR(__xludf.DUMMYFUNCTION("""COMPUTED_VALUE"""),"Senior Product Designer")</f>
        <v>Senior Product Designer</v>
      </c>
      <c r="F203" s="31" t="str">
        <f>IFERROR(__xludf.DUMMYFUNCTION("""COMPUTED_VALUE"""),"Design")</f>
        <v>Design</v>
      </c>
      <c r="G203" s="31" t="str">
        <f>IFERROR(__xludf.DUMMYFUNCTION("""COMPUTED_VALUE"""),"architectsurajarora@gmail.com")</f>
        <v>architectsurajarora@gmail.com</v>
      </c>
      <c r="H203" s="31" t="str">
        <f>IFERROR(__xludf.DUMMYFUNCTION("""COMPUTED_VALUE"""),"Anish Abraham")</f>
        <v>Anish Abraham</v>
      </c>
      <c r="I203" s="75">
        <f>IFERROR(__xludf.DUMMYFUNCTION("""COMPUTED_VALUE"""),45534.0)</f>
        <v>45534</v>
      </c>
      <c r="J203" s="31" t="str">
        <f>IFERROR(__xludf.DUMMYFUNCTION("""COMPUTED_VALUE"""),"Shivam Sharma")</f>
        <v>Shivam Sharma</v>
      </c>
      <c r="K203" s="31" t="str">
        <f>IFERROR(__xludf.DUMMYFUNCTION("""COMPUTED_VALUE"""),"Joined")</f>
        <v>Joined</v>
      </c>
      <c r="L203" s="31" t="str">
        <f>IFERROR(__xludf.DUMMYFUNCTION("""COMPUTED_VALUE"""),"In Office")</f>
        <v>In Office</v>
      </c>
      <c r="M203" s="31" t="str">
        <f>IFERROR(__xludf.DUMMYFUNCTION("""COMPUTED_VALUE"""),"suraj.arora@zupee.in")</f>
        <v>suraj.arora@zupee.in</v>
      </c>
      <c r="N203" s="31"/>
    </row>
    <row r="204">
      <c r="A204" s="74"/>
      <c r="B204" s="31" t="str">
        <f>IFERROR(__xludf.DUMMYFUNCTION("""COMPUTED_VALUE"""),"Prakhar Gupta  ")</f>
        <v>Prakhar Gupta  </v>
      </c>
      <c r="C204" s="31" t="str">
        <f>IFERROR(__xludf.DUMMYFUNCTION("""COMPUTED_VALUE"""),"Customer Experience")</f>
        <v>Customer Experience</v>
      </c>
      <c r="D204" s="31">
        <f>IFERROR(__xludf.DUMMYFUNCTION("""COMPUTED_VALUE"""),9.81189823E9)</f>
        <v>9811898230</v>
      </c>
      <c r="E204" s="31" t="str">
        <f>IFERROR(__xludf.DUMMYFUNCTION("""COMPUTED_VALUE"""),"Relationship Manager")</f>
        <v>Relationship Manager</v>
      </c>
      <c r="F204" s="31" t="str">
        <f>IFERROR(__xludf.DUMMYFUNCTION("""COMPUTED_VALUE"""),"Customer Relation Management")</f>
        <v>Customer Relation Management</v>
      </c>
      <c r="G204" s="31" t="str">
        <f>IFERROR(__xludf.DUMMYFUNCTION("""COMPUTED_VALUE"""),"Varshneyprakhar281@gmail.com")</f>
        <v>Varshneyprakhar281@gmail.com</v>
      </c>
      <c r="H204" s="31" t="str">
        <f>IFERROR(__xludf.DUMMYFUNCTION("""COMPUTED_VALUE"""),"Shivam Bali")</f>
        <v>Shivam Bali</v>
      </c>
      <c r="I204" s="75">
        <f>IFERROR(__xludf.DUMMYFUNCTION("""COMPUTED_VALUE"""),45534.0)</f>
        <v>45534</v>
      </c>
      <c r="J204" s="31" t="str">
        <f>IFERROR(__xludf.DUMMYFUNCTION("""COMPUTED_VALUE"""),"Nidhi Khedekar")</f>
        <v>Nidhi Khedekar</v>
      </c>
      <c r="K204" s="31" t="str">
        <f>IFERROR(__xludf.DUMMYFUNCTION("""COMPUTED_VALUE"""),"Joined")</f>
        <v>Joined</v>
      </c>
      <c r="L204" s="31" t="str">
        <f>IFERROR(__xludf.DUMMYFUNCTION("""COMPUTED_VALUE"""),"In Office")</f>
        <v>In Office</v>
      </c>
      <c r="M204" s="31"/>
      <c r="N204" s="31"/>
    </row>
    <row r="205">
      <c r="A205" s="74"/>
      <c r="B205" s="31" t="str">
        <f>IFERROR(__xludf.DUMMYFUNCTION("""COMPUTED_VALUE"""),"Geeta Joshi")</f>
        <v>Geeta Joshi</v>
      </c>
      <c r="C205" s="31" t="str">
        <f>IFERROR(__xludf.DUMMYFUNCTION("""COMPUTED_VALUE"""),"Customer Experience")</f>
        <v>Customer Experience</v>
      </c>
      <c r="D205" s="31">
        <f>IFERROR(__xludf.DUMMYFUNCTION("""COMPUTED_VALUE"""),8.860810316E9)</f>
        <v>8860810316</v>
      </c>
      <c r="E205" s="31" t="str">
        <f>IFERROR(__xludf.DUMMYFUNCTION("""COMPUTED_VALUE"""),"Relationship Manager")</f>
        <v>Relationship Manager</v>
      </c>
      <c r="F205" s="31" t="str">
        <f>IFERROR(__xludf.DUMMYFUNCTION("""COMPUTED_VALUE"""),"Customer Relation Management")</f>
        <v>Customer Relation Management</v>
      </c>
      <c r="G205" s="31" t="str">
        <f>IFERROR(__xludf.DUMMYFUNCTION("""COMPUTED_VALUE"""),"jgeeta384@gmail.com")</f>
        <v>jgeeta384@gmail.com</v>
      </c>
      <c r="H205" s="31" t="str">
        <f>IFERROR(__xludf.DUMMYFUNCTION("""COMPUTED_VALUE"""),"Shivam Bali")</f>
        <v>Shivam Bali</v>
      </c>
      <c r="I205" s="75">
        <f>IFERROR(__xludf.DUMMYFUNCTION("""COMPUTED_VALUE"""),45534.0)</f>
        <v>45534</v>
      </c>
      <c r="J205" s="31" t="str">
        <f>IFERROR(__xludf.DUMMYFUNCTION("""COMPUTED_VALUE"""),"Nidhi Khedekar")</f>
        <v>Nidhi Khedekar</v>
      </c>
      <c r="K205" s="31" t="str">
        <f>IFERROR(__xludf.DUMMYFUNCTION("""COMPUTED_VALUE"""),"Joined")</f>
        <v>Joined</v>
      </c>
      <c r="L205" s="31" t="str">
        <f>IFERROR(__xludf.DUMMYFUNCTION("""COMPUTED_VALUE"""),"In Office")</f>
        <v>In Office</v>
      </c>
      <c r="M205" s="31" t="str">
        <f>IFERROR(__xludf.DUMMYFUNCTION("""COMPUTED_VALUE"""),"geeta.joshi@zupee.in")</f>
        <v>geeta.joshi@zupee.in</v>
      </c>
      <c r="N205" s="31" t="str">
        <f>IFERROR(__xludf.DUMMYFUNCTION("""COMPUTED_VALUE"""),"PG048DEN")</f>
        <v>PG048DEN</v>
      </c>
    </row>
    <row r="206">
      <c r="A206" s="74"/>
      <c r="B206" s="31" t="str">
        <f>IFERROR(__xludf.DUMMYFUNCTION("""COMPUTED_VALUE"""),"Rohit Sahni")</f>
        <v>Rohit Sahni</v>
      </c>
      <c r="C206" s="31" t="str">
        <f>IFERROR(__xludf.DUMMYFUNCTION("""COMPUTED_VALUE"""),"Customer Experience")</f>
        <v>Customer Experience</v>
      </c>
      <c r="D206" s="31">
        <f>IFERROR(__xludf.DUMMYFUNCTION("""COMPUTED_VALUE"""),9.711929192E9)</f>
        <v>9711929192</v>
      </c>
      <c r="E206" s="31" t="str">
        <f>IFERROR(__xludf.DUMMYFUNCTION("""COMPUTED_VALUE"""),"Relationship Manager")</f>
        <v>Relationship Manager</v>
      </c>
      <c r="F206" s="31" t="str">
        <f>IFERROR(__xludf.DUMMYFUNCTION("""COMPUTED_VALUE"""),"Customer Relation Management")</f>
        <v>Customer Relation Management</v>
      </c>
      <c r="G206" s="31" t="str">
        <f>IFERROR(__xludf.DUMMYFUNCTION("""COMPUTED_VALUE"""),"rohitsahni105@gmail.com")</f>
        <v>rohitsahni105@gmail.com</v>
      </c>
      <c r="H206" s="31" t="str">
        <f>IFERROR(__xludf.DUMMYFUNCTION("""COMPUTED_VALUE"""),"Shivam Bali")</f>
        <v>Shivam Bali</v>
      </c>
      <c r="I206" s="75">
        <f>IFERROR(__xludf.DUMMYFUNCTION("""COMPUTED_VALUE"""),45534.0)</f>
        <v>45534</v>
      </c>
      <c r="J206" s="31" t="str">
        <f>IFERROR(__xludf.DUMMYFUNCTION("""COMPUTED_VALUE"""),"Nidhi Khedekar")</f>
        <v>Nidhi Khedekar</v>
      </c>
      <c r="K206" s="31" t="str">
        <f>IFERROR(__xludf.DUMMYFUNCTION("""COMPUTED_VALUE"""),"Joined")</f>
        <v>Joined</v>
      </c>
      <c r="L206" s="31" t="str">
        <f>IFERROR(__xludf.DUMMYFUNCTION("""COMPUTED_VALUE"""),"In Office")</f>
        <v>In Office</v>
      </c>
      <c r="M206" s="31" t="str">
        <f>IFERROR(__xludf.DUMMYFUNCTION("""COMPUTED_VALUE"""),"rohit.sahni@zupee.in")</f>
        <v>rohit.sahni@zupee.in</v>
      </c>
      <c r="N206" s="31"/>
    </row>
    <row r="207">
      <c r="A207" s="74"/>
      <c r="B207" s="31" t="str">
        <f>IFERROR(__xludf.DUMMYFUNCTION("""COMPUTED_VALUE"""),"Khushboo ")</f>
        <v>Khushboo </v>
      </c>
      <c r="C207" s="31" t="str">
        <f>IFERROR(__xludf.DUMMYFUNCTION("""COMPUTED_VALUE"""),"Customer Experience")</f>
        <v>Customer Experience</v>
      </c>
      <c r="D207" s="31">
        <f>IFERROR(__xludf.DUMMYFUNCTION("""COMPUTED_VALUE"""),9.711692049E9)</f>
        <v>9711692049</v>
      </c>
      <c r="E207" s="31" t="str">
        <f>IFERROR(__xludf.DUMMYFUNCTION("""COMPUTED_VALUE"""),"Relationship Manager")</f>
        <v>Relationship Manager</v>
      </c>
      <c r="F207" s="31" t="str">
        <f>IFERROR(__xludf.DUMMYFUNCTION("""COMPUTED_VALUE"""),"Customer Relation Management")</f>
        <v>Customer Relation Management</v>
      </c>
      <c r="G207" s="31" t="str">
        <f>IFERROR(__xludf.DUMMYFUNCTION("""COMPUTED_VALUE"""),"khush490009@gmail.com")</f>
        <v>khush490009@gmail.com</v>
      </c>
      <c r="H207" s="31" t="str">
        <f>IFERROR(__xludf.DUMMYFUNCTION("""COMPUTED_VALUE"""),"Shivam Bali")</f>
        <v>Shivam Bali</v>
      </c>
      <c r="I207" s="75">
        <f>IFERROR(__xludf.DUMMYFUNCTION("""COMPUTED_VALUE"""),45534.0)</f>
        <v>45534</v>
      </c>
      <c r="J207" s="31" t="str">
        <f>IFERROR(__xludf.DUMMYFUNCTION("""COMPUTED_VALUE"""),"Nidhi Khedekar")</f>
        <v>Nidhi Khedekar</v>
      </c>
      <c r="K207" s="31" t="str">
        <f>IFERROR(__xludf.DUMMYFUNCTION("""COMPUTED_VALUE"""),"Joined")</f>
        <v>Joined</v>
      </c>
      <c r="L207" s="31" t="str">
        <f>IFERROR(__xludf.DUMMYFUNCTION("""COMPUTED_VALUE"""),"In Office")</f>
        <v>In Office</v>
      </c>
      <c r="M207" s="31"/>
      <c r="N207" s="31"/>
    </row>
    <row r="208">
      <c r="A208" s="74"/>
      <c r="B208" s="31" t="str">
        <f>IFERROR(__xludf.DUMMYFUNCTION("""COMPUTED_VALUE"""),"Vaibhav Swami")</f>
        <v>Vaibhav Swami</v>
      </c>
      <c r="C208" s="31" t="str">
        <f>IFERROR(__xludf.DUMMYFUNCTION("""COMPUTED_VALUE"""),"Customer Experience")</f>
        <v>Customer Experience</v>
      </c>
      <c r="D208" s="31">
        <f>IFERROR(__xludf.DUMMYFUNCTION("""COMPUTED_VALUE"""),8.826150211E9)</f>
        <v>8826150211</v>
      </c>
      <c r="E208" s="31" t="str">
        <f>IFERROR(__xludf.DUMMYFUNCTION("""COMPUTED_VALUE"""),"Senior Fraud Analyst")</f>
        <v>Senior Fraud Analyst</v>
      </c>
      <c r="F208" s="31" t="str">
        <f>IFERROR(__xludf.DUMMYFUNCTION("""COMPUTED_VALUE"""),"Fraud Risk Management ")</f>
        <v>Fraud Risk Management </v>
      </c>
      <c r="G208" s="31" t="str">
        <f>IFERROR(__xludf.DUMMYFUNCTION("""COMPUTED_VALUE"""),"vaiswa06@gmail.com")</f>
        <v>vaiswa06@gmail.com</v>
      </c>
      <c r="H208" s="31" t="str">
        <f>IFERROR(__xludf.DUMMYFUNCTION("""COMPUTED_VALUE"""),"Aman Khare")</f>
        <v>Aman Khare</v>
      </c>
      <c r="I208" s="75">
        <f>IFERROR(__xludf.DUMMYFUNCTION("""COMPUTED_VALUE"""),45534.0)</f>
        <v>45534</v>
      </c>
      <c r="J208" s="31" t="str">
        <f>IFERROR(__xludf.DUMMYFUNCTION("""COMPUTED_VALUE"""),"Nidhi Khedekar")</f>
        <v>Nidhi Khedekar</v>
      </c>
      <c r="K208" s="31" t="str">
        <f>IFERROR(__xludf.DUMMYFUNCTION("""COMPUTED_VALUE"""),"Offer Declined")</f>
        <v>Offer Declined</v>
      </c>
      <c r="L208" s="31" t="str">
        <f>IFERROR(__xludf.DUMMYFUNCTION("""COMPUTED_VALUE"""),"In Office")</f>
        <v>In Office</v>
      </c>
      <c r="M208" s="31"/>
      <c r="N208" s="31"/>
    </row>
    <row r="209">
      <c r="A209" s="74"/>
      <c r="B209" s="31" t="str">
        <f>IFERROR(__xludf.DUMMYFUNCTION("""COMPUTED_VALUE"""),"Akshit Kumar")</f>
        <v>Akshit Kumar</v>
      </c>
      <c r="C209" s="31" t="str">
        <f>IFERROR(__xludf.DUMMYFUNCTION("""COMPUTED_VALUE"""),"Technology")</f>
        <v>Technology</v>
      </c>
      <c r="D209" s="31">
        <f>IFERROR(__xludf.DUMMYFUNCTION("""COMPUTED_VALUE"""),8.595147603E9)</f>
        <v>8595147603</v>
      </c>
      <c r="E209" s="31" t="str">
        <f>IFERROR(__xludf.DUMMYFUNCTION("""COMPUTED_VALUE"""),"Software Engineer Trainee")</f>
        <v>Software Engineer Trainee</v>
      </c>
      <c r="F209" s="31" t="str">
        <f>IFERROR(__xludf.DUMMYFUNCTION("""COMPUTED_VALUE"""),"Backend")</f>
        <v>Backend</v>
      </c>
      <c r="G209" s="31" t="str">
        <f>IFERROR(__xludf.DUMMYFUNCTION("""COMPUTED_VALUE"""),"akshitkumar2003@gmail.com")</f>
        <v>akshitkumar2003@gmail.com</v>
      </c>
      <c r="H209" s="31" t="str">
        <f>IFERROR(__xludf.DUMMYFUNCTION("""COMPUTED_VALUE"""),"Piyush shukla")</f>
        <v>Piyush shukla</v>
      </c>
      <c r="I209" s="75">
        <f>IFERROR(__xludf.DUMMYFUNCTION("""COMPUTED_VALUE"""),45534.0)</f>
        <v>45534</v>
      </c>
      <c r="J209" s="31" t="str">
        <f>IFERROR(__xludf.DUMMYFUNCTION("""COMPUTED_VALUE"""),"Nidhi Khedekar")</f>
        <v>Nidhi Khedekar</v>
      </c>
      <c r="K209" s="31" t="str">
        <f>IFERROR(__xludf.DUMMYFUNCTION("""COMPUTED_VALUE"""),"Joined")</f>
        <v>Joined</v>
      </c>
      <c r="L209" s="31" t="str">
        <f>IFERROR(__xludf.DUMMYFUNCTION("""COMPUTED_VALUE"""),"In Office")</f>
        <v>In Office</v>
      </c>
      <c r="M209" s="31" t="str">
        <f>IFERROR(__xludf.DUMMYFUNCTION("""COMPUTED_VALUE"""),"akshit.kumar@zupee.in")</f>
        <v>akshit.kumar@zupee.in</v>
      </c>
      <c r="N209" s="31"/>
    </row>
    <row r="210">
      <c r="A210" s="74"/>
      <c r="B210" s="31" t="str">
        <f>IFERROR(__xludf.DUMMYFUNCTION("""COMPUTED_VALUE"""),"Sambhav Singh")</f>
        <v>Sambhav Singh</v>
      </c>
      <c r="C210" s="31" t="str">
        <f>IFERROR(__xludf.DUMMYFUNCTION("""COMPUTED_VALUE"""),"Data Science")</f>
        <v>Data Science</v>
      </c>
      <c r="D210" s="31">
        <f>IFERROR(__xludf.DUMMYFUNCTION("""COMPUTED_VALUE"""),8.383090804E9)</f>
        <v>8383090804</v>
      </c>
      <c r="E210" s="31" t="str">
        <f>IFERROR(__xludf.DUMMYFUNCTION("""COMPUTED_VALUE"""),"Full Stack Trainee")</f>
        <v>Full Stack Trainee</v>
      </c>
      <c r="F210" s="31" t="str">
        <f>IFERROR(__xludf.DUMMYFUNCTION("""COMPUTED_VALUE"""),"Data Science")</f>
        <v>Data Science</v>
      </c>
      <c r="G210" s="31" t="str">
        <f>IFERROR(__xludf.DUMMYFUNCTION("""COMPUTED_VALUE"""),"sambhav962@gmail.com   ")</f>
        <v>sambhav962@gmail.com   </v>
      </c>
      <c r="H210" s="31" t="str">
        <f>IFERROR(__xludf.DUMMYFUNCTION("""COMPUTED_VALUE"""),"Aman Behl")</f>
        <v>Aman Behl</v>
      </c>
      <c r="I210" s="75">
        <f>IFERROR(__xludf.DUMMYFUNCTION("""COMPUTED_VALUE"""),45534.0)</f>
        <v>45534</v>
      </c>
      <c r="J210" s="31" t="str">
        <f>IFERROR(__xludf.DUMMYFUNCTION("""COMPUTED_VALUE"""),"Shivam Sharma")</f>
        <v>Shivam Sharma</v>
      </c>
      <c r="K210" s="31" t="str">
        <f>IFERROR(__xludf.DUMMYFUNCTION("""COMPUTED_VALUE"""),"Joined")</f>
        <v>Joined</v>
      </c>
      <c r="L210" s="31" t="str">
        <f>IFERROR(__xludf.DUMMYFUNCTION("""COMPUTED_VALUE"""),"In Office")</f>
        <v>In Office</v>
      </c>
      <c r="M210" s="31" t="str">
        <f>IFERROR(__xludf.DUMMYFUNCTION("""COMPUTED_VALUE"""),"sambhav.singh@zupee.in")</f>
        <v>sambhav.singh@zupee.in</v>
      </c>
      <c r="N210" s="31" t="str">
        <f>IFERROR(__xludf.DUMMYFUNCTION("""COMPUTED_VALUE"""),"FCQ992VH0X")</f>
        <v>FCQ992VH0X</v>
      </c>
    </row>
    <row r="211">
      <c r="A211" s="74"/>
      <c r="B211" s="31" t="str">
        <f>IFERROR(__xludf.DUMMYFUNCTION("""COMPUTED_VALUE"""),"Lucky Singh")</f>
        <v>Lucky Singh</v>
      </c>
      <c r="C211" s="31" t="str">
        <f>IFERROR(__xludf.DUMMYFUNCTION("""COMPUTED_VALUE"""),"Technology")</f>
        <v>Technology</v>
      </c>
      <c r="D211" s="31">
        <f>IFERROR(__xludf.DUMMYFUNCTION("""COMPUTED_VALUE"""),8.447583101E9)</f>
        <v>8447583101</v>
      </c>
      <c r="E211" s="31" t="str">
        <f>IFERROR(__xludf.DUMMYFUNCTION("""COMPUTED_VALUE"""),"Software Engineer")</f>
        <v>Software Engineer</v>
      </c>
      <c r="F211" s="31" t="str">
        <f>IFERROR(__xludf.DUMMYFUNCTION("""COMPUTED_VALUE"""),"Engineering")</f>
        <v>Engineering</v>
      </c>
      <c r="G211" s="31" t="str">
        <f>IFERROR(__xludf.DUMMYFUNCTION("""COMPUTED_VALUE"""),"lucky.singh.12092000@gmail.com")</f>
        <v>lucky.singh.12092000@gmail.com</v>
      </c>
      <c r="H211" s="31" t="str">
        <f>IFERROR(__xludf.DUMMYFUNCTION("""COMPUTED_VALUE"""),"Piyush shukla")</f>
        <v>Piyush shukla</v>
      </c>
      <c r="I211" s="75"/>
      <c r="J211" s="31" t="str">
        <f>IFERROR(__xludf.DUMMYFUNCTION("""COMPUTED_VALUE"""),"Nidhi Khedekar")</f>
        <v>Nidhi Khedekar</v>
      </c>
      <c r="K211" s="31" t="str">
        <f>IFERROR(__xludf.DUMMYFUNCTION("""COMPUTED_VALUE"""),"Offer Declined")</f>
        <v>Offer Declined</v>
      </c>
      <c r="L211" s="31" t="str">
        <f>IFERROR(__xludf.DUMMYFUNCTION("""COMPUTED_VALUE"""),"In Office")</f>
        <v>In Office</v>
      </c>
      <c r="M211" s="31" t="str">
        <f>IFERROR(__xludf.DUMMYFUNCTION("""COMPUTED_VALUE"""),"lucky.singh1@zupee.in")</f>
        <v>lucky.singh1@zupee.in</v>
      </c>
      <c r="N211" s="31"/>
    </row>
    <row r="212">
      <c r="A212" s="74">
        <f>IFERROR(__xludf.DUMMYFUNCTION("""COMPUTED_VALUE"""),45572.0)</f>
        <v>45572</v>
      </c>
      <c r="B212" s="31" t="str">
        <f>IFERROR(__xludf.DUMMYFUNCTION("""COMPUTED_VALUE"""),"Arshad iqbal")</f>
        <v>Arshad iqbal</v>
      </c>
      <c r="C212" s="31" t="str">
        <f>IFERROR(__xludf.DUMMYFUNCTION("""COMPUTED_VALUE"""),"Marketing")</f>
        <v>Marketing</v>
      </c>
      <c r="D212" s="31">
        <f>IFERROR(__xludf.DUMMYFUNCTION("""COMPUTED_VALUE"""),9.00354813E9)</f>
        <v>9003548130</v>
      </c>
      <c r="E212" s="31" t="str">
        <f>IFERROR(__xludf.DUMMYFUNCTION("""COMPUTED_VALUE"""),"Associate- Digital Marketing")</f>
        <v>Associate- Digital Marketing</v>
      </c>
      <c r="F212" s="31" t="str">
        <f>IFERROR(__xludf.DUMMYFUNCTION("""COMPUTED_VALUE"""),"Digital Marketing")</f>
        <v>Digital Marketing</v>
      </c>
      <c r="G212" s="31" t="str">
        <f>IFERROR(__xludf.DUMMYFUNCTION("""COMPUTED_VALUE"""),"arshadiqbal129@gmail.com")</f>
        <v>arshadiqbal129@gmail.com</v>
      </c>
      <c r="H212" s="31" t="str">
        <f>IFERROR(__xludf.DUMMYFUNCTION("""COMPUTED_VALUE"""),"Nikhil Jha")</f>
        <v>Nikhil Jha</v>
      </c>
      <c r="I212" s="75"/>
      <c r="J212" s="31" t="str">
        <f>IFERROR(__xludf.DUMMYFUNCTION("""COMPUTED_VALUE"""),"Nidhi Khedekar")</f>
        <v>Nidhi Khedekar</v>
      </c>
      <c r="K212" s="31" t="str">
        <f>IFERROR(__xludf.DUMMYFUNCTION("""COMPUTED_VALUE"""),"Joined")</f>
        <v>Joined</v>
      </c>
      <c r="L212" s="31" t="str">
        <f>IFERROR(__xludf.DUMMYFUNCTION("""COMPUTED_VALUE"""),"In Office")</f>
        <v>In Office</v>
      </c>
      <c r="M212" s="31" t="str">
        <f>IFERROR(__xludf.DUMMYFUNCTION("""COMPUTED_VALUE"""),"arshad.iqbal@zupee.in")</f>
        <v>arshad.iqbal@zupee.in</v>
      </c>
      <c r="N212" s="31"/>
    </row>
    <row r="213">
      <c r="A213" s="74">
        <f>IFERROR(__xludf.DUMMYFUNCTION("""COMPUTED_VALUE"""),45574.0)</f>
        <v>45574</v>
      </c>
      <c r="B213" s="31" t="str">
        <f>IFERROR(__xludf.DUMMYFUNCTION("""COMPUTED_VALUE"""),"Manoranjan Otta")</f>
        <v>Manoranjan Otta</v>
      </c>
      <c r="C213" s="31" t="str">
        <f>IFERROR(__xludf.DUMMYFUNCTION("""COMPUTED_VALUE"""),"Technology")</f>
        <v>Technology</v>
      </c>
      <c r="D213" s="31">
        <f>IFERROR(__xludf.DUMMYFUNCTION("""COMPUTED_VALUE"""),9.438106359E9)</f>
        <v>9438106359</v>
      </c>
      <c r="E213" s="31" t="str">
        <f>IFERROR(__xludf.DUMMYFUNCTION("""COMPUTED_VALUE"""),"Senior Software Engineer")</f>
        <v>Senior Software Engineer</v>
      </c>
      <c r="F213" s="31" t="str">
        <f>IFERROR(__xludf.DUMMYFUNCTION("""COMPUTED_VALUE"""),"Engineering")</f>
        <v>Engineering</v>
      </c>
      <c r="G213" s="31" t="str">
        <f>IFERROR(__xludf.DUMMYFUNCTION("""COMPUTED_VALUE"""),"manoranjanotta@gmail.com")</f>
        <v>manoranjanotta@gmail.com</v>
      </c>
      <c r="H213" s="31"/>
      <c r="I213" s="75"/>
      <c r="J213" s="31" t="str">
        <f>IFERROR(__xludf.DUMMYFUNCTION("""COMPUTED_VALUE"""),"Nidhi Khedekar")</f>
        <v>Nidhi Khedekar</v>
      </c>
      <c r="K213" s="31" t="str">
        <f>IFERROR(__xludf.DUMMYFUNCTION("""COMPUTED_VALUE"""),"Offer Declined")</f>
        <v>Offer Declined</v>
      </c>
      <c r="L213" s="31" t="str">
        <f>IFERROR(__xludf.DUMMYFUNCTION("""COMPUTED_VALUE"""),"In Office")</f>
        <v>In Office</v>
      </c>
      <c r="M213" s="31"/>
      <c r="N213" s="31"/>
    </row>
    <row r="214">
      <c r="A214" s="74"/>
      <c r="B214" s="31" t="str">
        <f>IFERROR(__xludf.DUMMYFUNCTION("""COMPUTED_VALUE"""),"Priyansh Barya")</f>
        <v>Priyansh Barya</v>
      </c>
      <c r="C214" s="31" t="str">
        <f>IFERROR(__xludf.DUMMYFUNCTION("""COMPUTED_VALUE"""),"Technology")</f>
        <v>Technology</v>
      </c>
      <c r="D214" s="31">
        <f>IFERROR(__xludf.DUMMYFUNCTION("""COMPUTED_VALUE"""),7.024496742E9)</f>
        <v>7024496742</v>
      </c>
      <c r="E214" s="31" t="str">
        <f>IFERROR(__xludf.DUMMYFUNCTION("""COMPUTED_VALUE"""),"Software Engineer")</f>
        <v>Software Engineer</v>
      </c>
      <c r="F214" s="31" t="str">
        <f>IFERROR(__xludf.DUMMYFUNCTION("""COMPUTED_VALUE"""),"Engineering")</f>
        <v>Engineering</v>
      </c>
      <c r="G214" s="31" t="str">
        <f>IFERROR(__xludf.DUMMYFUNCTION("""COMPUTED_VALUE"""),"priyanshbarya@gmail.com ")</f>
        <v>priyanshbarya@gmail.com </v>
      </c>
      <c r="H214" s="31" t="str">
        <f>IFERROR(__xludf.DUMMYFUNCTION("""COMPUTED_VALUE"""),"Aman Gupta")</f>
        <v>Aman Gupta</v>
      </c>
      <c r="I214" s="75"/>
      <c r="J214" s="31" t="str">
        <f>IFERROR(__xludf.DUMMYFUNCTION("""COMPUTED_VALUE"""),"Nidhi Khedekar")</f>
        <v>Nidhi Khedekar</v>
      </c>
      <c r="K214" s="31" t="str">
        <f>IFERROR(__xludf.DUMMYFUNCTION("""COMPUTED_VALUE"""),"Joined")</f>
        <v>Joined</v>
      </c>
      <c r="L214" s="31" t="str">
        <f>IFERROR(__xludf.DUMMYFUNCTION("""COMPUTED_VALUE"""),"Virtual")</f>
        <v>Virtual</v>
      </c>
      <c r="M214" s="31" t="str">
        <f>IFERROR(__xludf.DUMMYFUNCTION("""COMPUTED_VALUE"""),"priyansh.barya@zupee.in")</f>
        <v>priyansh.barya@zupee.in</v>
      </c>
      <c r="N214" s="31" t="str">
        <f>IFERROR(__xludf.DUMMYFUNCTION("""COMPUTED_VALUE"""),"KHY0R40JPV")</f>
        <v>KHY0R40JPV</v>
      </c>
    </row>
    <row r="215">
      <c r="A215" s="74"/>
      <c r="B215" s="31" t="str">
        <f>IFERROR(__xludf.DUMMYFUNCTION("""COMPUTED_VALUE"""),"Sparsh Pandey ")</f>
        <v>Sparsh Pandey </v>
      </c>
      <c r="C215" s="31" t="str">
        <f>IFERROR(__xludf.DUMMYFUNCTION("""COMPUTED_VALUE"""),"Technology")</f>
        <v>Technology</v>
      </c>
      <c r="D215" s="31">
        <f>IFERROR(__xludf.DUMMYFUNCTION("""COMPUTED_VALUE"""),9.958147698E9)</f>
        <v>9958147698</v>
      </c>
      <c r="E215" s="31" t="str">
        <f>IFERROR(__xludf.DUMMYFUNCTION("""COMPUTED_VALUE"""),"Senior SDET")</f>
        <v>Senior SDET</v>
      </c>
      <c r="F215" s="31" t="str">
        <f>IFERROR(__xludf.DUMMYFUNCTION("""COMPUTED_VALUE"""),"SDET")</f>
        <v>SDET</v>
      </c>
      <c r="G215" s="31" t="str">
        <f>IFERROR(__xludf.DUMMYFUNCTION("""COMPUTED_VALUE"""),"sparshpandey221@gmail.com")</f>
        <v>sparshpandey221@gmail.com</v>
      </c>
      <c r="H215" s="31" t="str">
        <f>IFERROR(__xludf.DUMMYFUNCTION("""COMPUTED_VALUE"""),"Sahil Puri")</f>
        <v>Sahil Puri</v>
      </c>
      <c r="I215" s="75"/>
      <c r="J215" s="31" t="str">
        <f>IFERROR(__xludf.DUMMYFUNCTION("""COMPUTED_VALUE"""),"Mamta Pandey")</f>
        <v>Mamta Pandey</v>
      </c>
      <c r="K215" s="31" t="str">
        <f>IFERROR(__xludf.DUMMYFUNCTION("""COMPUTED_VALUE"""),"Joined")</f>
        <v>Joined</v>
      </c>
      <c r="L215" s="31" t="str">
        <f>IFERROR(__xludf.DUMMYFUNCTION("""COMPUTED_VALUE"""),"In Office")</f>
        <v>In Office</v>
      </c>
      <c r="M215" s="31"/>
      <c r="N215" s="31"/>
    </row>
    <row r="216">
      <c r="A216" s="74"/>
      <c r="B216" s="31" t="str">
        <f>IFERROR(__xludf.DUMMYFUNCTION("""COMPUTED_VALUE"""),"Nikhil Kumar")</f>
        <v>Nikhil Kumar</v>
      </c>
      <c r="C216" s="31" t="str">
        <f>IFERROR(__xludf.DUMMYFUNCTION("""COMPUTED_VALUE"""),"Customer Experience")</f>
        <v>Customer Experience</v>
      </c>
      <c r="D216" s="31">
        <f>IFERROR(__xludf.DUMMYFUNCTION("""COMPUTED_VALUE"""),9.760157837E9)</f>
        <v>9760157837</v>
      </c>
      <c r="E216" s="31" t="str">
        <f>IFERROR(__xludf.DUMMYFUNCTION("""COMPUTED_VALUE"""),"Relationship Manager")</f>
        <v>Relationship Manager</v>
      </c>
      <c r="F216" s="31" t="str">
        <f>IFERROR(__xludf.DUMMYFUNCTION("""COMPUTED_VALUE"""),"Customer Relation Management")</f>
        <v>Customer Relation Management</v>
      </c>
      <c r="G216" s="31" t="str">
        <f>IFERROR(__xludf.DUMMYFUNCTION("""COMPUTED_VALUE"""),"nikek097@gmail.com")</f>
        <v>nikek097@gmail.com</v>
      </c>
      <c r="H216" s="31" t="str">
        <f>IFERROR(__xludf.DUMMYFUNCTION("""COMPUTED_VALUE"""),"Shivam Bali")</f>
        <v>Shivam Bali</v>
      </c>
      <c r="I216" s="75"/>
      <c r="J216" s="31" t="str">
        <f>IFERROR(__xludf.DUMMYFUNCTION("""COMPUTED_VALUE"""),"Nidhi Khedekar")</f>
        <v>Nidhi Khedekar</v>
      </c>
      <c r="K216" s="31" t="str">
        <f>IFERROR(__xludf.DUMMYFUNCTION("""COMPUTED_VALUE"""),"Joined")</f>
        <v>Joined</v>
      </c>
      <c r="L216" s="31" t="str">
        <f>IFERROR(__xludf.DUMMYFUNCTION("""COMPUTED_VALUE"""),"In Office")</f>
        <v>In Office</v>
      </c>
      <c r="M216" s="31" t="str">
        <f>IFERROR(__xludf.DUMMYFUNCTION("""COMPUTED_VALUE"""),"nikhil.kumar@zupee.in")</f>
        <v>nikhil.kumar@zupee.in</v>
      </c>
      <c r="N216" s="31"/>
    </row>
    <row r="217">
      <c r="A217" s="74"/>
      <c r="B217" s="31" t="str">
        <f>IFERROR(__xludf.DUMMYFUNCTION("""COMPUTED_VALUE"""),"Attar Kaur")</f>
        <v>Attar Kaur</v>
      </c>
      <c r="C217" s="31" t="str">
        <f>IFERROR(__xludf.DUMMYFUNCTION("""COMPUTED_VALUE"""),"Customer Experience")</f>
        <v>Customer Experience</v>
      </c>
      <c r="D217" s="31">
        <f>IFERROR(__xludf.DUMMYFUNCTION("""COMPUTED_VALUE"""),8.826282286E9)</f>
        <v>8826282286</v>
      </c>
      <c r="E217" s="31" t="str">
        <f>IFERROR(__xludf.DUMMYFUNCTION("""COMPUTED_VALUE"""),"Relationship Manager")</f>
        <v>Relationship Manager</v>
      </c>
      <c r="F217" s="31" t="str">
        <f>IFERROR(__xludf.DUMMYFUNCTION("""COMPUTED_VALUE"""),"Customer Relation Management")</f>
        <v>Customer Relation Management</v>
      </c>
      <c r="G217" s="31" t="str">
        <f>IFERROR(__xludf.DUMMYFUNCTION("""COMPUTED_VALUE"""),"attarkaur349@gmail.com")</f>
        <v>attarkaur349@gmail.com</v>
      </c>
      <c r="H217" s="31" t="str">
        <f>IFERROR(__xludf.DUMMYFUNCTION("""COMPUTED_VALUE"""),"Shivam Bali")</f>
        <v>Shivam Bali</v>
      </c>
      <c r="I217" s="75"/>
      <c r="J217" s="31" t="str">
        <f>IFERROR(__xludf.DUMMYFUNCTION("""COMPUTED_VALUE"""),"Nidhi Khedekar")</f>
        <v>Nidhi Khedekar</v>
      </c>
      <c r="K217" s="31" t="str">
        <f>IFERROR(__xludf.DUMMYFUNCTION("""COMPUTED_VALUE"""),"Joined")</f>
        <v>Joined</v>
      </c>
      <c r="L217" s="31" t="str">
        <f>IFERROR(__xludf.DUMMYFUNCTION("""COMPUTED_VALUE"""),"In Office")</f>
        <v>In Office</v>
      </c>
      <c r="M217" s="31" t="str">
        <f>IFERROR(__xludf.DUMMYFUNCTION("""COMPUTED_VALUE"""),"attar.kaur@zupee.in")</f>
        <v>attar.kaur@zupee.in</v>
      </c>
      <c r="N217" s="31" t="str">
        <f>IFERROR(__xludf.DUMMYFUNCTION("""COMPUTED_VALUE"""),"PW03VMKN")</f>
        <v>PW03VMKN</v>
      </c>
    </row>
    <row r="218">
      <c r="A218" s="74"/>
      <c r="B218" s="31" t="str">
        <f>IFERROR(__xludf.DUMMYFUNCTION("""COMPUTED_VALUE"""),"Sunil Yadav")</f>
        <v>Sunil Yadav</v>
      </c>
      <c r="C218" s="31" t="str">
        <f>IFERROR(__xludf.DUMMYFUNCTION("""COMPUTED_VALUE"""),"Technology")</f>
        <v>Technology</v>
      </c>
      <c r="D218" s="31">
        <f>IFERROR(__xludf.DUMMYFUNCTION("""COMPUTED_VALUE"""),6.375357488E9)</f>
        <v>6375357488</v>
      </c>
      <c r="E218" s="31" t="str">
        <f>IFERROR(__xludf.DUMMYFUNCTION("""COMPUTED_VALUE"""),"Senior Software Engineer")</f>
        <v>Senior Software Engineer</v>
      </c>
      <c r="F218" s="31" t="str">
        <f>IFERROR(__xludf.DUMMYFUNCTION("""COMPUTED_VALUE"""),"Engineering")</f>
        <v>Engineering</v>
      </c>
      <c r="G218" s="31" t="str">
        <f>IFERROR(__xludf.DUMMYFUNCTION("""COMPUTED_VALUE"""),"yadav97sunil@gmail.com")</f>
        <v>yadav97sunil@gmail.com</v>
      </c>
      <c r="H218" s="31"/>
      <c r="I218" s="75"/>
      <c r="J218" s="31" t="str">
        <f>IFERROR(__xludf.DUMMYFUNCTION("""COMPUTED_VALUE"""),"Nidhi Khedekar")</f>
        <v>Nidhi Khedekar</v>
      </c>
      <c r="K218" s="31" t="str">
        <f>IFERROR(__xludf.DUMMYFUNCTION("""COMPUTED_VALUE"""),"Joined")</f>
        <v>Joined</v>
      </c>
      <c r="L218" s="31" t="str">
        <f>IFERROR(__xludf.DUMMYFUNCTION("""COMPUTED_VALUE"""),"In Office")</f>
        <v>In Office</v>
      </c>
      <c r="M218" s="31" t="str">
        <f>IFERROR(__xludf.DUMMYFUNCTION("""COMPUTED_VALUE"""),"sunil.yadav@zupee.in")</f>
        <v>sunil.yadav@zupee.in</v>
      </c>
      <c r="N218" s="31" t="str">
        <f>IFERROR(__xludf.DUMMYFUNCTION("""COMPUTED_VALUE"""),"C33NWCGYV1")</f>
        <v>C33NWCGYV1</v>
      </c>
    </row>
    <row r="219">
      <c r="A219" s="74">
        <f>IFERROR(__xludf.DUMMYFUNCTION("""COMPUTED_VALUE"""),45628.0)</f>
        <v>45628</v>
      </c>
      <c r="B219" s="31" t="str">
        <f>IFERROR(__xludf.DUMMYFUNCTION("""COMPUTED_VALUE"""),"Vikas Yadav")</f>
        <v>Vikas Yadav</v>
      </c>
      <c r="C219" s="31" t="str">
        <f>IFERROR(__xludf.DUMMYFUNCTION("""COMPUTED_VALUE"""),"Corporate")</f>
        <v>Corporate</v>
      </c>
      <c r="D219" s="31">
        <f>IFERROR(__xludf.DUMMYFUNCTION("""COMPUTED_VALUE"""),9.999195185E9)</f>
        <v>9999195185</v>
      </c>
      <c r="E219" s="31" t="str">
        <f>IFERROR(__xludf.DUMMYFUNCTION("""COMPUTED_VALUE"""),"National Nodal Officer")</f>
        <v>National Nodal Officer</v>
      </c>
      <c r="F219" s="31" t="str">
        <f>IFERROR(__xludf.DUMMYFUNCTION("""COMPUTED_VALUE"""),"Legal")</f>
        <v>Legal</v>
      </c>
      <c r="G219" s="31" t="str">
        <f>IFERROR(__xludf.DUMMYFUNCTION("""COMPUTED_VALUE"""),"20vikas10sf@gmail.com")</f>
        <v>20vikas10sf@gmail.com</v>
      </c>
      <c r="H219" s="31" t="str">
        <f>IFERROR(__xludf.DUMMYFUNCTION("""COMPUTED_VALUE"""),"Govind Mittal")</f>
        <v>Govind Mittal</v>
      </c>
      <c r="I219" s="75"/>
      <c r="J219" s="31" t="str">
        <f>IFERROR(__xludf.DUMMYFUNCTION("""COMPUTED_VALUE"""),"Rajneesh Yadav")</f>
        <v>Rajneesh Yadav</v>
      </c>
      <c r="K219" s="31" t="str">
        <f>IFERROR(__xludf.DUMMYFUNCTION("""COMPUTED_VALUE"""),"Offer Declined")</f>
        <v>Offer Declined</v>
      </c>
      <c r="L219" s="31" t="str">
        <f>IFERROR(__xludf.DUMMYFUNCTION("""COMPUTED_VALUE"""),"In Office")</f>
        <v>In Office</v>
      </c>
      <c r="M219" s="31"/>
      <c r="N219" s="31"/>
    </row>
    <row r="220">
      <c r="A220" s="74"/>
      <c r="B220" s="31" t="str">
        <f>IFERROR(__xludf.DUMMYFUNCTION("""COMPUTED_VALUE"""),"Sakshi Makkar")</f>
        <v>Sakshi Makkar</v>
      </c>
      <c r="C220" s="31" t="str">
        <f>IFERROR(__xludf.DUMMYFUNCTION("""COMPUTED_VALUE"""),"Product")</f>
        <v>Product</v>
      </c>
      <c r="D220" s="31"/>
      <c r="E220" s="31" t="str">
        <f>IFERROR(__xludf.DUMMYFUNCTION("""COMPUTED_VALUE"""),"Associate Director- Product Management")</f>
        <v>Associate Director- Product Management</v>
      </c>
      <c r="F220" s="31" t="str">
        <f>IFERROR(__xludf.DUMMYFUNCTION("""COMPUTED_VALUE"""),"Product")</f>
        <v>Product</v>
      </c>
      <c r="G220" s="31" t="str">
        <f>IFERROR(__xludf.DUMMYFUNCTION("""COMPUTED_VALUE"""),"saakshiemakkar@gmail.com")</f>
        <v>saakshiemakkar@gmail.com</v>
      </c>
      <c r="H220" s="31" t="str">
        <f>IFERROR(__xludf.DUMMYFUNCTION("""COMPUTED_VALUE"""),"Naveen Kadyan")</f>
        <v>Naveen Kadyan</v>
      </c>
      <c r="I220" s="75"/>
      <c r="J220" s="31" t="str">
        <f>IFERROR(__xludf.DUMMYFUNCTION("""COMPUTED_VALUE"""),"M Sangeetha")</f>
        <v>M Sangeetha</v>
      </c>
      <c r="K220" s="31" t="str">
        <f>IFERROR(__xludf.DUMMYFUNCTION("""COMPUTED_VALUE"""),"Joined")</f>
        <v>Joined</v>
      </c>
      <c r="L220" s="31" t="str">
        <f>IFERROR(__xludf.DUMMYFUNCTION("""COMPUTED_VALUE"""),"In Office")</f>
        <v>In Office</v>
      </c>
      <c r="M220" s="31"/>
      <c r="N220" s="31"/>
    </row>
    <row r="221">
      <c r="A221" s="74"/>
      <c r="B221" s="31" t="str">
        <f>IFERROR(__xludf.DUMMYFUNCTION("""COMPUTED_VALUE"""),"Ranu Gupta ")</f>
        <v>Ranu Gupta </v>
      </c>
      <c r="C221" s="31" t="str">
        <f>IFERROR(__xludf.DUMMYFUNCTION("""COMPUTED_VALUE"""),"Product")</f>
        <v>Product</v>
      </c>
      <c r="D221" s="31">
        <f>IFERROR(__xludf.DUMMYFUNCTION("""COMPUTED_VALUE"""),8.800398661E9)</f>
        <v>8800398661</v>
      </c>
      <c r="E221" s="31" t="str">
        <f>IFERROR(__xludf.DUMMYFUNCTION("""COMPUTED_VALUE"""),"Senior Product Manager")</f>
        <v>Senior Product Manager</v>
      </c>
      <c r="F221" s="31" t="str">
        <f>IFERROR(__xludf.DUMMYFUNCTION("""COMPUTED_VALUE"""),"Product")</f>
        <v>Product</v>
      </c>
      <c r="G221" s="31" t="str">
        <f>IFERROR(__xludf.DUMMYFUNCTION("""COMPUTED_VALUE"""),"ranugpt26@gmail.com")</f>
        <v>ranugpt26@gmail.com</v>
      </c>
      <c r="H221" s="31" t="str">
        <f>IFERROR(__xludf.DUMMYFUNCTION("""COMPUTED_VALUE"""),"Naveen Kadyan")</f>
        <v>Naveen Kadyan</v>
      </c>
      <c r="I221" s="75"/>
      <c r="J221" s="31" t="str">
        <f>IFERROR(__xludf.DUMMYFUNCTION("""COMPUTED_VALUE"""),"Naina")</f>
        <v>Naina</v>
      </c>
      <c r="K221" s="31" t="str">
        <f>IFERROR(__xludf.DUMMYFUNCTION("""COMPUTED_VALUE"""),"Joined")</f>
        <v>Joined</v>
      </c>
      <c r="L221" s="31" t="str">
        <f>IFERROR(__xludf.DUMMYFUNCTION("""COMPUTED_VALUE"""),"In Office")</f>
        <v>In Office</v>
      </c>
      <c r="M221" s="31"/>
      <c r="N221" s="31"/>
    </row>
    <row r="222">
      <c r="A222" s="74"/>
      <c r="B222" s="31" t="str">
        <f>IFERROR(__xludf.DUMMYFUNCTION("""COMPUTED_VALUE"""),"Saravana Kumar")</f>
        <v>Saravana Kumar</v>
      </c>
      <c r="C222" s="31" t="str">
        <f>IFERROR(__xludf.DUMMYFUNCTION("""COMPUTED_VALUE"""),"Product")</f>
        <v>Product</v>
      </c>
      <c r="D222" s="31">
        <f>IFERROR(__xludf.DUMMYFUNCTION("""COMPUTED_VALUE"""),6.383872742E9)</f>
        <v>6383872742</v>
      </c>
      <c r="E222" s="31" t="str">
        <f>IFERROR(__xludf.DUMMYFUNCTION("""COMPUTED_VALUE"""),"Associate Product Manager")</f>
        <v>Associate Product Manager</v>
      </c>
      <c r="F222" s="31" t="str">
        <f>IFERROR(__xludf.DUMMYFUNCTION("""COMPUTED_VALUE"""),"Product")</f>
        <v>Product</v>
      </c>
      <c r="G222" s="31" t="str">
        <f>IFERROR(__xludf.DUMMYFUNCTION("""COMPUTED_VALUE"""),"saravanakumarvenugopal@outlook.com")</f>
        <v>saravanakumarvenugopal@outlook.com</v>
      </c>
      <c r="H222" s="31" t="str">
        <f>IFERROR(__xludf.DUMMYFUNCTION("""COMPUTED_VALUE"""),"Akshay Gulati")</f>
        <v>Akshay Gulati</v>
      </c>
      <c r="I222" s="75"/>
      <c r="J222" s="31" t="str">
        <f>IFERROR(__xludf.DUMMYFUNCTION("""COMPUTED_VALUE"""),"Naina")</f>
        <v>Naina</v>
      </c>
      <c r="K222" s="31" t="str">
        <f>IFERROR(__xludf.DUMMYFUNCTION("""COMPUTED_VALUE"""),"Joined")</f>
        <v>Joined</v>
      </c>
      <c r="L222" s="31" t="str">
        <f>IFERROR(__xludf.DUMMYFUNCTION("""COMPUTED_VALUE"""),"Virtual")</f>
        <v>Virtual</v>
      </c>
      <c r="M222" s="31" t="str">
        <f>IFERROR(__xludf.DUMMYFUNCTION("""COMPUTED_VALUE"""),"saravana.kumar@zupee.in")</f>
        <v>saravana.kumar@zupee.in</v>
      </c>
      <c r="N222" s="31"/>
    </row>
    <row r="223">
      <c r="A223" s="74"/>
      <c r="B223" s="31" t="str">
        <f>IFERROR(__xludf.DUMMYFUNCTION("""COMPUTED_VALUE"""),"Aryan Gupta")</f>
        <v>Aryan Gupta</v>
      </c>
      <c r="C223" s="31" t="str">
        <f>IFERROR(__xludf.DUMMYFUNCTION("""COMPUTED_VALUE"""),"Data Science")</f>
        <v>Data Science</v>
      </c>
      <c r="D223" s="31">
        <f>IFERROR(__xludf.DUMMYFUNCTION("""COMPUTED_VALUE"""),8.877178428E9)</f>
        <v>8877178428</v>
      </c>
      <c r="E223" s="31" t="str">
        <f>IFERROR(__xludf.DUMMYFUNCTION("""COMPUTED_VALUE"""),"Machine Learning Trainee")</f>
        <v>Machine Learning Trainee</v>
      </c>
      <c r="F223" s="31" t="str">
        <f>IFERROR(__xludf.DUMMYFUNCTION("""COMPUTED_VALUE"""),"Data Science")</f>
        <v>Data Science</v>
      </c>
      <c r="G223" s="31" t="str">
        <f>IFERROR(__xludf.DUMMYFUNCTION("""COMPUTED_VALUE"""),"guptaaryan1010@gmail.com")</f>
        <v>guptaaryan1010@gmail.com</v>
      </c>
      <c r="H223" s="31" t="str">
        <f>IFERROR(__xludf.DUMMYFUNCTION("""COMPUTED_VALUE"""),"Nitesh Vijay")</f>
        <v>Nitesh Vijay</v>
      </c>
      <c r="I223" s="75"/>
      <c r="J223" s="31" t="str">
        <f>IFERROR(__xludf.DUMMYFUNCTION("""COMPUTED_VALUE"""),"Mamta Pandey")</f>
        <v>Mamta Pandey</v>
      </c>
      <c r="K223" s="31" t="str">
        <f>IFERROR(__xludf.DUMMYFUNCTION("""COMPUTED_VALUE"""),"Joined")</f>
        <v>Joined</v>
      </c>
      <c r="L223" s="31" t="str">
        <f>IFERROR(__xludf.DUMMYFUNCTION("""COMPUTED_VALUE"""),"In Office")</f>
        <v>In Office</v>
      </c>
      <c r="M223" s="31" t="str">
        <f>IFERROR(__xludf.DUMMYFUNCTION("""COMPUTED_VALUE"""),"aryan.gupta@zupee.in")</f>
        <v>aryan.gupta@zupee.in</v>
      </c>
      <c r="N223" s="31"/>
    </row>
    <row r="224">
      <c r="A224" s="74">
        <f>IFERROR(__xludf.DUMMYFUNCTION("""COMPUTED_VALUE"""),45588.0)</f>
        <v>45588</v>
      </c>
      <c r="B224" s="31" t="str">
        <f>IFERROR(__xludf.DUMMYFUNCTION("""COMPUTED_VALUE"""),"Himanshu Thakur")</f>
        <v>Himanshu Thakur</v>
      </c>
      <c r="C224" s="31" t="str">
        <f>IFERROR(__xludf.DUMMYFUNCTION("""COMPUTED_VALUE"""),"Marketing")</f>
        <v>Marketing</v>
      </c>
      <c r="D224" s="31">
        <f>IFERROR(__xludf.DUMMYFUNCTION("""COMPUTED_VALUE"""),8.285712264E9)</f>
        <v>8285712264</v>
      </c>
      <c r="E224" s="31" t="str">
        <f>IFERROR(__xludf.DUMMYFUNCTION("""COMPUTED_VALUE"""),"Senior Motion Graphic Designer")</f>
        <v>Senior Motion Graphic Designer</v>
      </c>
      <c r="F224" s="31" t="str">
        <f>IFERROR(__xludf.DUMMYFUNCTION("""COMPUTED_VALUE"""),"Brand Marketing")</f>
        <v>Brand Marketing</v>
      </c>
      <c r="G224" s="31" t="str">
        <f>IFERROR(__xludf.DUMMYFUNCTION("""COMPUTED_VALUE"""),"himanshuthakur19@gmail.com")</f>
        <v>himanshuthakur19@gmail.com</v>
      </c>
      <c r="H224" s="31" t="str">
        <f>IFERROR(__xludf.DUMMYFUNCTION("""COMPUTED_VALUE"""),"Katha Tara")</f>
        <v>Katha Tara</v>
      </c>
      <c r="I224" s="75"/>
      <c r="J224" s="31" t="str">
        <f>IFERROR(__xludf.DUMMYFUNCTION("""COMPUTED_VALUE"""),"Nidhi Khedekar")</f>
        <v>Nidhi Khedekar</v>
      </c>
      <c r="K224" s="31" t="str">
        <f>IFERROR(__xludf.DUMMYFUNCTION("""COMPUTED_VALUE"""),"Joined")</f>
        <v>Joined</v>
      </c>
      <c r="L224" s="31" t="str">
        <f>IFERROR(__xludf.DUMMYFUNCTION("""COMPUTED_VALUE"""),"In Office")</f>
        <v>In Office</v>
      </c>
      <c r="M224" s="31" t="str">
        <f>IFERROR(__xludf.DUMMYFUNCTION("""COMPUTED_VALUE"""),"himanshu.thakur@zupee.in")</f>
        <v>himanshu.thakur@zupee.in</v>
      </c>
      <c r="N224" s="31" t="str">
        <f>IFERROR(__xludf.DUMMYFUNCTION("""COMPUTED_VALUE"""),"JKW7591169")</f>
        <v>JKW7591169</v>
      </c>
    </row>
    <row r="225">
      <c r="A225" s="74"/>
      <c r="B225" s="31" t="str">
        <f>IFERROR(__xludf.DUMMYFUNCTION("""COMPUTED_VALUE"""),"Biswajit Dey")</f>
        <v>Biswajit Dey</v>
      </c>
      <c r="C225" s="31" t="str">
        <f>IFERROR(__xludf.DUMMYFUNCTION("""COMPUTED_VALUE"""),"Marketing")</f>
        <v>Marketing</v>
      </c>
      <c r="D225" s="31">
        <f>IFERROR(__xludf.DUMMYFUNCTION("""COMPUTED_VALUE"""),9.920370131E9)</f>
        <v>9920370131</v>
      </c>
      <c r="E225" s="31" t="str">
        <f>IFERROR(__xludf.DUMMYFUNCTION("""COMPUTED_VALUE"""),"Community Growth Manager")</f>
        <v>Community Growth Manager</v>
      </c>
      <c r="F225" s="31" t="str">
        <f>IFERROR(__xludf.DUMMYFUNCTION("""COMPUTED_VALUE"""),"Brand Marketing")</f>
        <v>Brand Marketing</v>
      </c>
      <c r="G225" s="31" t="str">
        <f>IFERROR(__xludf.DUMMYFUNCTION("""COMPUTED_VALUE"""),"bdofficial703@gmail.com")</f>
        <v>bdofficial703@gmail.com</v>
      </c>
      <c r="H225" s="31" t="str">
        <f>IFERROR(__xludf.DUMMYFUNCTION("""COMPUTED_VALUE"""),"Katha Tara")</f>
        <v>Katha Tara</v>
      </c>
      <c r="I225" s="75"/>
      <c r="J225" s="31" t="str">
        <f>IFERROR(__xludf.DUMMYFUNCTION("""COMPUTED_VALUE"""),"Nidhi Khedekar")</f>
        <v>Nidhi Khedekar</v>
      </c>
      <c r="K225" s="31" t="str">
        <f>IFERROR(__xludf.DUMMYFUNCTION("""COMPUTED_VALUE"""),"Joined")</f>
        <v>Joined</v>
      </c>
      <c r="L225" s="31" t="str">
        <f>IFERROR(__xludf.DUMMYFUNCTION("""COMPUTED_VALUE"""),"Virtual")</f>
        <v>Virtual</v>
      </c>
      <c r="M225" s="31" t="str">
        <f>IFERROR(__xludf.DUMMYFUNCTION("""COMPUTED_VALUE"""),"biswajit.dey@zupee.in")</f>
        <v>biswajit.dey@zupee.in</v>
      </c>
      <c r="N225" s="31"/>
    </row>
    <row r="226">
      <c r="A226" s="74"/>
      <c r="B226" s="31" t="str">
        <f>IFERROR(__xludf.DUMMYFUNCTION("""COMPUTED_VALUE"""),"Sourabh Kumar")</f>
        <v>Sourabh Kumar</v>
      </c>
      <c r="C226" s="31" t="str">
        <f>IFERROR(__xludf.DUMMYFUNCTION("""COMPUTED_VALUE"""),"Technology")</f>
        <v>Technology</v>
      </c>
      <c r="D226" s="31">
        <f>IFERROR(__xludf.DUMMYFUNCTION("""COMPUTED_VALUE"""),7.905173066E9)</f>
        <v>7905173066</v>
      </c>
      <c r="E226" s="31" t="str">
        <f>IFERROR(__xludf.DUMMYFUNCTION("""COMPUTED_VALUE"""),"Software Engineer")</f>
        <v>Software Engineer</v>
      </c>
      <c r="F226" s="31" t="str">
        <f>IFERROR(__xludf.DUMMYFUNCTION("""COMPUTED_VALUE"""),"Engineering")</f>
        <v>Engineering</v>
      </c>
      <c r="G226" s="31" t="str">
        <f>IFERROR(__xludf.DUMMYFUNCTION("""COMPUTED_VALUE"""),"sk462209@gmail.com")</f>
        <v>sk462209@gmail.com</v>
      </c>
      <c r="H226" s="31" t="str">
        <f>IFERROR(__xludf.DUMMYFUNCTION("""COMPUTED_VALUE"""),"Aman Gupta")</f>
        <v>Aman Gupta</v>
      </c>
      <c r="I226" s="75"/>
      <c r="J226" s="31" t="str">
        <f>IFERROR(__xludf.DUMMYFUNCTION("""COMPUTED_VALUE"""),"Nidhi Khedekar")</f>
        <v>Nidhi Khedekar</v>
      </c>
      <c r="K226" s="31" t="str">
        <f>IFERROR(__xludf.DUMMYFUNCTION("""COMPUTED_VALUE"""),"Joined")</f>
        <v>Joined</v>
      </c>
      <c r="L226" s="31" t="str">
        <f>IFERROR(__xludf.DUMMYFUNCTION("""COMPUTED_VALUE"""),"In Office")</f>
        <v>In Office</v>
      </c>
      <c r="M226" s="31" t="str">
        <f>IFERROR(__xludf.DUMMYFUNCTION("""COMPUTED_VALUE"""),"sourabh.kumar@zupee.in")</f>
        <v>sourabh.kumar@zupee.in</v>
      </c>
      <c r="N226" s="31"/>
    </row>
    <row r="227">
      <c r="A227" s="74">
        <f>IFERROR(__xludf.DUMMYFUNCTION("""COMPUTED_VALUE"""),45600.0)</f>
        <v>45600</v>
      </c>
      <c r="B227" s="31" t="str">
        <f>IFERROR(__xludf.DUMMYFUNCTION("""COMPUTED_VALUE"""),"Sameer Singh")</f>
        <v>Sameer Singh</v>
      </c>
      <c r="C227" s="31" t="str">
        <f>IFERROR(__xludf.DUMMYFUNCTION("""COMPUTED_VALUE"""),"Technology")</f>
        <v>Technology</v>
      </c>
      <c r="D227" s="31">
        <f>IFERROR(__xludf.DUMMYFUNCTION("""COMPUTED_VALUE"""),9.877368129E9)</f>
        <v>9877368129</v>
      </c>
      <c r="E227" s="31" t="str">
        <f>IFERROR(__xludf.DUMMYFUNCTION("""COMPUTED_VALUE"""),"Software Engineer")</f>
        <v>Software Engineer</v>
      </c>
      <c r="F227" s="31" t="str">
        <f>IFERROR(__xludf.DUMMYFUNCTION("""COMPUTED_VALUE"""),"Engineering")</f>
        <v>Engineering</v>
      </c>
      <c r="G227" s="31" t="str">
        <f>IFERROR(__xludf.DUMMYFUNCTION("""COMPUTED_VALUE"""),"sameerbisht2315@gmail.com ")</f>
        <v>sameerbisht2315@gmail.com </v>
      </c>
      <c r="H227" s="31" t="str">
        <f>IFERROR(__xludf.DUMMYFUNCTION("""COMPUTED_VALUE"""),"Rahul Sharma")</f>
        <v>Rahul Sharma</v>
      </c>
      <c r="I227" s="75"/>
      <c r="J227" s="31" t="str">
        <f>IFERROR(__xludf.DUMMYFUNCTION("""COMPUTED_VALUE"""),"Nidhi Khedekar")</f>
        <v>Nidhi Khedekar</v>
      </c>
      <c r="K227" s="31" t="str">
        <f>IFERROR(__xludf.DUMMYFUNCTION("""COMPUTED_VALUE"""),"Joined")</f>
        <v>Joined</v>
      </c>
      <c r="L227" s="31" t="str">
        <f>IFERROR(__xludf.DUMMYFUNCTION("""COMPUTED_VALUE"""),"In Office")</f>
        <v>In Office</v>
      </c>
      <c r="M227" s="31" t="str">
        <f>IFERROR(__xludf.DUMMYFUNCTION("""COMPUTED_VALUE"""),"sameer.singh@zupee.in")</f>
        <v>sameer.singh@zupee.in</v>
      </c>
      <c r="N227" s="31" t="str">
        <f>IFERROR(__xludf.DUMMYFUNCTION("""COMPUTED_VALUE"""),"K9F75PX74T")</f>
        <v>K9F75PX74T</v>
      </c>
    </row>
    <row r="228">
      <c r="A228" s="74">
        <f>IFERROR(__xludf.DUMMYFUNCTION("""COMPUTED_VALUE"""),45568.0)</f>
        <v>45568</v>
      </c>
      <c r="B228" s="31" t="str">
        <f>IFERROR(__xludf.DUMMYFUNCTION("""COMPUTED_VALUE"""),"Siddharth Saurav")</f>
        <v>Siddharth Saurav</v>
      </c>
      <c r="C228" s="31" t="str">
        <f>IFERROR(__xludf.DUMMYFUNCTION("""COMPUTED_VALUE"""),"Technology")</f>
        <v>Technology</v>
      </c>
      <c r="D228" s="31">
        <f>IFERROR(__xludf.DUMMYFUNCTION("""COMPUTED_VALUE"""),7.90334425E9)</f>
        <v>7903344250</v>
      </c>
      <c r="E228" s="31" t="str">
        <f>IFERROR(__xludf.DUMMYFUNCTION("""COMPUTED_VALUE"""),"Software Engineer")</f>
        <v>Software Engineer</v>
      </c>
      <c r="F228" s="31" t="str">
        <f>IFERROR(__xludf.DUMMYFUNCTION("""COMPUTED_VALUE"""),"Engineering")</f>
        <v>Engineering</v>
      </c>
      <c r="G228" s="31" t="str">
        <f>IFERROR(__xludf.DUMMYFUNCTION("""COMPUTED_VALUE"""),"siddharthsaurav15@gmail.com ")</f>
        <v>siddharthsaurav15@gmail.com </v>
      </c>
      <c r="H228" s="31" t="str">
        <f>IFERROR(__xludf.DUMMYFUNCTION("""COMPUTED_VALUE"""),"Aman Gupta")</f>
        <v>Aman Gupta</v>
      </c>
      <c r="I228" s="75"/>
      <c r="J228" s="31" t="str">
        <f>IFERROR(__xludf.DUMMYFUNCTION("""COMPUTED_VALUE"""),"Nidhi Khedekar")</f>
        <v>Nidhi Khedekar</v>
      </c>
      <c r="K228" s="31" t="str">
        <f>IFERROR(__xludf.DUMMYFUNCTION("""COMPUTED_VALUE"""),"Joined")</f>
        <v>Joined</v>
      </c>
      <c r="L228" s="31" t="str">
        <f>IFERROR(__xludf.DUMMYFUNCTION("""COMPUTED_VALUE"""),"In Office")</f>
        <v>In Office</v>
      </c>
      <c r="M228" s="31" t="str">
        <f>IFERROR(__xludf.DUMMYFUNCTION("""COMPUTED_VALUE"""),"siddharth.saurav@zupee.in")</f>
        <v>siddharth.saurav@zupee.in</v>
      </c>
      <c r="N228" s="31"/>
    </row>
    <row r="229">
      <c r="A229" s="74">
        <f>IFERROR(__xludf.DUMMYFUNCTION("""COMPUTED_VALUE"""),45568.0)</f>
        <v>45568</v>
      </c>
      <c r="B229" s="31" t="str">
        <f>IFERROR(__xludf.DUMMYFUNCTION("""COMPUTED_VALUE"""),"Ravi Kumar")</f>
        <v>Ravi Kumar</v>
      </c>
      <c r="C229" s="31" t="str">
        <f>IFERROR(__xludf.DUMMYFUNCTION("""COMPUTED_VALUE"""),"Technology")</f>
        <v>Technology</v>
      </c>
      <c r="D229" s="31">
        <f>IFERROR(__xludf.DUMMYFUNCTION("""COMPUTED_VALUE"""),9.798061393E9)</f>
        <v>9798061393</v>
      </c>
      <c r="E229" s="31" t="str">
        <f>IFERROR(__xludf.DUMMYFUNCTION("""COMPUTED_VALUE"""),"Software Engineer")</f>
        <v>Software Engineer</v>
      </c>
      <c r="F229" s="31" t="str">
        <f>IFERROR(__xludf.DUMMYFUNCTION("""COMPUTED_VALUE"""),"Engineering")</f>
        <v>Engineering</v>
      </c>
      <c r="G229" s="31" t="str">
        <f>IFERROR(__xludf.DUMMYFUNCTION("""COMPUTED_VALUE"""),"ravikumar.work.new@gmail.com")</f>
        <v>ravikumar.work.new@gmail.com</v>
      </c>
      <c r="H229" s="31" t="str">
        <f>IFERROR(__xludf.DUMMYFUNCTION("""COMPUTED_VALUE"""),"Piyush Shukla")</f>
        <v>Piyush Shukla</v>
      </c>
      <c r="I229" s="75"/>
      <c r="J229" s="31" t="str">
        <f>IFERROR(__xludf.DUMMYFUNCTION("""COMPUTED_VALUE"""),"Nidhi Khedekar")</f>
        <v>Nidhi Khedekar</v>
      </c>
      <c r="K229" s="31" t="str">
        <f>IFERROR(__xludf.DUMMYFUNCTION("""COMPUTED_VALUE"""),"Joined")</f>
        <v>Joined</v>
      </c>
      <c r="L229" s="31" t="str">
        <f>IFERROR(__xludf.DUMMYFUNCTION("""COMPUTED_VALUE"""),"In Office")</f>
        <v>In Office</v>
      </c>
      <c r="M229" s="31" t="str">
        <f>IFERROR(__xludf.DUMMYFUNCTION("""COMPUTED_VALUE"""),"ravi.kumar@zupee.in")</f>
        <v>ravi.kumar@zupee.in</v>
      </c>
      <c r="N229" s="31"/>
    </row>
    <row r="230">
      <c r="A230" s="74">
        <f>IFERROR(__xludf.DUMMYFUNCTION("""COMPUTED_VALUE"""),45586.0)</f>
        <v>45586</v>
      </c>
      <c r="B230" s="31" t="str">
        <f>IFERROR(__xludf.DUMMYFUNCTION("""COMPUTED_VALUE"""),"Shashank Verma")</f>
        <v>Shashank Verma</v>
      </c>
      <c r="C230" s="31" t="str">
        <f>IFERROR(__xludf.DUMMYFUNCTION("""COMPUTED_VALUE"""),"Technology")</f>
        <v>Technology</v>
      </c>
      <c r="D230" s="31">
        <f>IFERROR(__xludf.DUMMYFUNCTION("""COMPUTED_VALUE"""),9.76050336E9)</f>
        <v>9760503360</v>
      </c>
      <c r="E230" s="31" t="str">
        <f>IFERROR(__xludf.DUMMYFUNCTION("""COMPUTED_VALUE"""),"Software Development Engineer in Test")</f>
        <v>Software Development Engineer in Test</v>
      </c>
      <c r="F230" s="31" t="str">
        <f>IFERROR(__xludf.DUMMYFUNCTION("""COMPUTED_VALUE"""),"SDET")</f>
        <v>SDET</v>
      </c>
      <c r="G230" s="31" t="str">
        <f>IFERROR(__xludf.DUMMYFUNCTION("""COMPUTED_VALUE"""),"vshashank00@gmail.com")</f>
        <v>vshashank00@gmail.com</v>
      </c>
      <c r="H230" s="31" t="str">
        <f>IFERROR(__xludf.DUMMYFUNCTION("""COMPUTED_VALUE"""),"Sahil Puri")</f>
        <v>Sahil Puri</v>
      </c>
      <c r="I230" s="75"/>
      <c r="J230" s="31" t="str">
        <f>IFERROR(__xludf.DUMMYFUNCTION("""COMPUTED_VALUE"""),"Mamta Pandey")</f>
        <v>Mamta Pandey</v>
      </c>
      <c r="K230" s="31" t="str">
        <f>IFERROR(__xludf.DUMMYFUNCTION("""COMPUTED_VALUE"""),"Offer Declined")</f>
        <v>Offer Declined</v>
      </c>
      <c r="L230" s="31" t="str">
        <f>IFERROR(__xludf.DUMMYFUNCTION("""COMPUTED_VALUE"""),"In Office")</f>
        <v>In Office</v>
      </c>
      <c r="M230" s="31"/>
      <c r="N230" s="31"/>
    </row>
    <row r="231">
      <c r="A231" s="74">
        <f>IFERROR(__xludf.DUMMYFUNCTION("""COMPUTED_VALUE"""),45588.0)</f>
        <v>45588</v>
      </c>
      <c r="B231" s="31" t="str">
        <f>IFERROR(__xludf.DUMMYFUNCTION("""COMPUTED_VALUE"""),"Prateek Srivastav")</f>
        <v>Prateek Srivastav</v>
      </c>
      <c r="C231" s="31" t="str">
        <f>IFERROR(__xludf.DUMMYFUNCTION("""COMPUTED_VALUE"""),"Product")</f>
        <v>Product</v>
      </c>
      <c r="D231" s="31">
        <f>IFERROR(__xludf.DUMMYFUNCTION("""COMPUTED_VALUE"""),8.698568366E9)</f>
        <v>8698568366</v>
      </c>
      <c r="E231" s="31" t="str">
        <f>IFERROR(__xludf.DUMMYFUNCTION("""COMPUTED_VALUE"""),"Product Manager")</f>
        <v>Product Manager</v>
      </c>
      <c r="F231" s="31" t="str">
        <f>IFERROR(__xludf.DUMMYFUNCTION("""COMPUTED_VALUE"""),"Product")</f>
        <v>Product</v>
      </c>
      <c r="G231" s="31" t="str">
        <f>IFERROR(__xludf.DUMMYFUNCTION("""COMPUTED_VALUE"""),"prateik.ps@gmail.com")</f>
        <v>prateik.ps@gmail.com</v>
      </c>
      <c r="H231" s="31" t="str">
        <f>IFERROR(__xludf.DUMMYFUNCTION("""COMPUTED_VALUE"""),"Naveen Kadyan")</f>
        <v>Naveen Kadyan</v>
      </c>
      <c r="I231" s="75"/>
      <c r="J231" s="31" t="str">
        <f>IFERROR(__xludf.DUMMYFUNCTION("""COMPUTED_VALUE"""),"Naina")</f>
        <v>Naina</v>
      </c>
      <c r="K231" s="31" t="str">
        <f>IFERROR(__xludf.DUMMYFUNCTION("""COMPUTED_VALUE"""),"Offer Declined")</f>
        <v>Offer Declined</v>
      </c>
      <c r="L231" s="31" t="str">
        <f>IFERROR(__xludf.DUMMYFUNCTION("""COMPUTED_VALUE"""),"In Office")</f>
        <v>In Office</v>
      </c>
      <c r="M231" s="31"/>
      <c r="N231" s="31"/>
    </row>
    <row r="232">
      <c r="A232" s="74">
        <f>IFERROR(__xludf.DUMMYFUNCTION("""COMPUTED_VALUE"""),45572.0)</f>
        <v>45572</v>
      </c>
      <c r="B232" s="31" t="str">
        <f>IFERROR(__xludf.DUMMYFUNCTION("""COMPUTED_VALUE"""),"Ashwani Kumar Raja")</f>
        <v>Ashwani Kumar Raja</v>
      </c>
      <c r="C232" s="31" t="str">
        <f>IFERROR(__xludf.DUMMYFUNCTION("""COMPUTED_VALUE"""),"Technology")</f>
        <v>Technology</v>
      </c>
      <c r="D232" s="31">
        <f>IFERROR(__xludf.DUMMYFUNCTION("""COMPUTED_VALUE"""),7.982233588E9)</f>
        <v>7982233588</v>
      </c>
      <c r="E232" s="31" t="str">
        <f>IFERROR(__xludf.DUMMYFUNCTION("""COMPUTED_VALUE"""),"DevOps Trainee")</f>
        <v>DevOps Trainee</v>
      </c>
      <c r="F232" s="31" t="str">
        <f>IFERROR(__xludf.DUMMYFUNCTION("""COMPUTED_VALUE"""),"DevOps")</f>
        <v>DevOps</v>
      </c>
      <c r="G232" s="31" t="str">
        <f>IFERROR(__xludf.DUMMYFUNCTION("""COMPUTED_VALUE"""),"ashwani.ic19@nsut.ac.in")</f>
        <v>ashwani.ic19@nsut.ac.in</v>
      </c>
      <c r="H232" s="31" t="str">
        <f>IFERROR(__xludf.DUMMYFUNCTION("""COMPUTED_VALUE"""),"Puneet Dhiman")</f>
        <v>Puneet Dhiman</v>
      </c>
      <c r="I232" s="75">
        <f>IFERROR(__xludf.DUMMYFUNCTION("""COMPUTED_VALUE"""),45569.0)</f>
        <v>45569</v>
      </c>
      <c r="J232" s="31" t="str">
        <f>IFERROR(__xludf.DUMMYFUNCTION("""COMPUTED_VALUE"""),"Vipin Kumar")</f>
        <v>Vipin Kumar</v>
      </c>
      <c r="K232" s="31" t="str">
        <f>IFERROR(__xludf.DUMMYFUNCTION("""COMPUTED_VALUE"""),"Joined")</f>
        <v>Joined</v>
      </c>
      <c r="L232" s="31" t="str">
        <f>IFERROR(__xludf.DUMMYFUNCTION("""COMPUTED_VALUE"""),"In Office")</f>
        <v>In Office</v>
      </c>
      <c r="M232" s="31"/>
      <c r="N232" s="31"/>
    </row>
    <row r="233">
      <c r="A233" s="74">
        <f>IFERROR(__xludf.DUMMYFUNCTION("""COMPUTED_VALUE"""),45574.0)</f>
        <v>45574</v>
      </c>
      <c r="B233" s="31" t="str">
        <f>IFERROR(__xludf.DUMMYFUNCTION("""COMPUTED_VALUE"""),"Yash Anand")</f>
        <v>Yash Anand</v>
      </c>
      <c r="C233" s="31" t="str">
        <f>IFERROR(__xludf.DUMMYFUNCTION("""COMPUTED_VALUE"""),"Data Science")</f>
        <v>Data Science</v>
      </c>
      <c r="D233" s="31">
        <f>IFERROR(__xludf.DUMMYFUNCTION("""COMPUTED_VALUE"""),8.210602123E9)</f>
        <v>8210602123</v>
      </c>
      <c r="E233" s="31" t="str">
        <f>IFERROR(__xludf.DUMMYFUNCTION("""COMPUTED_VALUE"""),"Full Stack Trainee")</f>
        <v>Full Stack Trainee</v>
      </c>
      <c r="F233" s="31" t="str">
        <f>IFERROR(__xludf.DUMMYFUNCTION("""COMPUTED_VALUE"""),"Data Science")</f>
        <v>Data Science</v>
      </c>
      <c r="G233" s="31" t="str">
        <f>IFERROR(__xludf.DUMMYFUNCTION("""COMPUTED_VALUE"""),"yashanand1000@gmail.com")</f>
        <v>yashanand1000@gmail.com</v>
      </c>
      <c r="H233" s="31" t="str">
        <f>IFERROR(__xludf.DUMMYFUNCTION("""COMPUTED_VALUE"""),"Aman Bahl")</f>
        <v>Aman Bahl</v>
      </c>
      <c r="I233" s="75">
        <f>IFERROR(__xludf.DUMMYFUNCTION("""COMPUTED_VALUE"""),45569.0)</f>
        <v>45569</v>
      </c>
      <c r="J233" s="31" t="str">
        <f>IFERROR(__xludf.DUMMYFUNCTION("""COMPUTED_VALUE"""),"Shivam Sharma")</f>
        <v>Shivam Sharma</v>
      </c>
      <c r="K233" s="31" t="str">
        <f>IFERROR(__xludf.DUMMYFUNCTION("""COMPUTED_VALUE"""),"Joined")</f>
        <v>Joined</v>
      </c>
      <c r="L233" s="31" t="str">
        <f>IFERROR(__xludf.DUMMYFUNCTION("""COMPUTED_VALUE"""),"In Office")</f>
        <v>In Office</v>
      </c>
      <c r="M233" s="31" t="str">
        <f>IFERROR(__xludf.DUMMYFUNCTION("""COMPUTED_VALUE"""),"yash.anand@zupee.in")</f>
        <v>yash.anand@zupee.in</v>
      </c>
      <c r="N233" s="31"/>
    </row>
    <row r="234">
      <c r="A234" s="74">
        <f>IFERROR(__xludf.DUMMYFUNCTION("""COMPUTED_VALUE"""),45600.0)</f>
        <v>45600</v>
      </c>
      <c r="B234" s="31" t="str">
        <f>IFERROR(__xludf.DUMMYFUNCTION("""COMPUTED_VALUE"""),"Reema")</f>
        <v>Reema</v>
      </c>
      <c r="C234" s="31" t="str">
        <f>IFERROR(__xludf.DUMMYFUNCTION("""COMPUTED_VALUE"""),"Customer Experience")</f>
        <v>Customer Experience</v>
      </c>
      <c r="D234" s="31">
        <f>IFERROR(__xludf.DUMMYFUNCTION("""COMPUTED_VALUE"""),8.287111593E9)</f>
        <v>8287111593</v>
      </c>
      <c r="E234" s="31" t="str">
        <f>IFERROR(__xludf.DUMMYFUNCTION("""COMPUTED_VALUE"""),"Fraud Analyst")</f>
        <v>Fraud Analyst</v>
      </c>
      <c r="F234" s="31" t="str">
        <f>IFERROR(__xludf.DUMMYFUNCTION("""COMPUTED_VALUE"""),"Customer Relation Management")</f>
        <v>Customer Relation Management</v>
      </c>
      <c r="G234" s="31" t="str">
        <f>IFERROR(__xludf.DUMMYFUNCTION("""COMPUTED_VALUE"""),"	reema.gupta217376@gmail.com")</f>
        <v>	reema.gupta217376@gmail.com</v>
      </c>
      <c r="H234" s="31" t="str">
        <f>IFERROR(__xludf.DUMMYFUNCTION("""COMPUTED_VALUE"""),"Ishan Margamwar")</f>
        <v>Ishan Margamwar</v>
      </c>
      <c r="I234" s="75">
        <f>IFERROR(__xludf.DUMMYFUNCTION("""COMPUTED_VALUE"""),45573.0)</f>
        <v>45573</v>
      </c>
      <c r="J234" s="31" t="str">
        <f>IFERROR(__xludf.DUMMYFUNCTION("""COMPUTED_VALUE"""),"Nidhi Khedekar")</f>
        <v>Nidhi Khedekar</v>
      </c>
      <c r="K234" s="31" t="str">
        <f>IFERROR(__xludf.DUMMYFUNCTION("""COMPUTED_VALUE"""),"Joined")</f>
        <v>Joined</v>
      </c>
      <c r="L234" s="31" t="str">
        <f>IFERROR(__xludf.DUMMYFUNCTION("""COMPUTED_VALUE"""),"In Office")</f>
        <v>In Office</v>
      </c>
      <c r="M234" s="31"/>
      <c r="N234" s="31"/>
    </row>
    <row r="235">
      <c r="A235" s="74">
        <f>IFERROR(__xludf.DUMMYFUNCTION("""COMPUTED_VALUE"""),45574.0)</f>
        <v>45574</v>
      </c>
      <c r="B235" s="31" t="str">
        <f>IFERROR(__xludf.DUMMYFUNCTION("""COMPUTED_VALUE"""),"Simran Mukhia")</f>
        <v>Simran Mukhia</v>
      </c>
      <c r="C235" s="31" t="str">
        <f>IFERROR(__xludf.DUMMYFUNCTION("""COMPUTED_VALUE"""),"Customer Experience")</f>
        <v>Customer Experience</v>
      </c>
      <c r="D235" s="31">
        <f>IFERROR(__xludf.DUMMYFUNCTION("""COMPUTED_VALUE"""),8.130535376E9)</f>
        <v>8130535376</v>
      </c>
      <c r="E235" s="31" t="str">
        <f>IFERROR(__xludf.DUMMYFUNCTION("""COMPUTED_VALUE"""),"Relationship Manager")</f>
        <v>Relationship Manager</v>
      </c>
      <c r="F235" s="31" t="str">
        <f>IFERROR(__xludf.DUMMYFUNCTION("""COMPUTED_VALUE"""),"Customer Relation Management")</f>
        <v>Customer Relation Management</v>
      </c>
      <c r="G235" s="31" t="str">
        <f>IFERROR(__xludf.DUMMYFUNCTION("""COMPUTED_VALUE"""),"	simranmukhia20@gmail.com")</f>
        <v>	simranmukhia20@gmail.com</v>
      </c>
      <c r="H235" s="31" t="str">
        <f>IFERROR(__xludf.DUMMYFUNCTION("""COMPUTED_VALUE"""),"Shivam Bali")</f>
        <v>Shivam Bali</v>
      </c>
      <c r="I235" s="75">
        <f>IFERROR(__xludf.DUMMYFUNCTION("""COMPUTED_VALUE"""),45573.0)</f>
        <v>45573</v>
      </c>
      <c r="J235" s="31" t="str">
        <f>IFERROR(__xludf.DUMMYFUNCTION("""COMPUTED_VALUE"""),"Nidhi Khedekar")</f>
        <v>Nidhi Khedekar</v>
      </c>
      <c r="K235" s="31" t="str">
        <f>IFERROR(__xludf.DUMMYFUNCTION("""COMPUTED_VALUE"""),"Joined")</f>
        <v>Joined</v>
      </c>
      <c r="L235" s="31" t="str">
        <f>IFERROR(__xludf.DUMMYFUNCTION("""COMPUTED_VALUE"""),"In Office")</f>
        <v>In Office</v>
      </c>
      <c r="M235" s="31" t="str">
        <f>IFERROR(__xludf.DUMMYFUNCTION("""COMPUTED_VALUE"""),"simran.mukhia@zupee.in")</f>
        <v>simran.mukhia@zupee.in</v>
      </c>
      <c r="N235" s="31"/>
    </row>
    <row r="236">
      <c r="A236" s="74">
        <f>IFERROR(__xludf.DUMMYFUNCTION("""COMPUTED_VALUE"""),45581.0)</f>
        <v>45581</v>
      </c>
      <c r="B236" s="31" t="str">
        <f>IFERROR(__xludf.DUMMYFUNCTION("""COMPUTED_VALUE"""),"Shambhavi Khare")</f>
        <v>Shambhavi Khare</v>
      </c>
      <c r="C236" s="31" t="str">
        <f>IFERROR(__xludf.DUMMYFUNCTION("""COMPUTED_VALUE"""),"Technology")</f>
        <v>Technology</v>
      </c>
      <c r="D236" s="31">
        <f>IFERROR(__xludf.DUMMYFUNCTION("""COMPUTED_VALUE"""),9.625035201E9)</f>
        <v>9625035201</v>
      </c>
      <c r="E236" s="31" t="str">
        <f>IFERROR(__xludf.DUMMYFUNCTION("""COMPUTED_VALUE"""),"Software Engineer")</f>
        <v>Software Engineer</v>
      </c>
      <c r="F236" s="31" t="str">
        <f>IFERROR(__xludf.DUMMYFUNCTION("""COMPUTED_VALUE"""),"Engineering")</f>
        <v>Engineering</v>
      </c>
      <c r="G236" s="31" t="str">
        <f>IFERROR(__xludf.DUMMYFUNCTION("""COMPUTED_VALUE"""),"shambhavikhare.mahak@gmail.com")</f>
        <v>shambhavikhare.mahak@gmail.com</v>
      </c>
      <c r="H236" s="31" t="str">
        <f>IFERROR(__xludf.DUMMYFUNCTION("""COMPUTED_VALUE"""),"Aman Gupta")</f>
        <v>Aman Gupta</v>
      </c>
      <c r="I236" s="75">
        <f>IFERROR(__xludf.DUMMYFUNCTION("""COMPUTED_VALUE"""),45575.0)</f>
        <v>45575</v>
      </c>
      <c r="J236" s="31" t="str">
        <f>IFERROR(__xludf.DUMMYFUNCTION("""COMPUTED_VALUE"""),"Nidhi Khedekar")</f>
        <v>Nidhi Khedekar</v>
      </c>
      <c r="K236" s="31" t="str">
        <f>IFERROR(__xludf.DUMMYFUNCTION("""COMPUTED_VALUE"""),"Joined")</f>
        <v>Joined</v>
      </c>
      <c r="L236" s="31" t="str">
        <f>IFERROR(__xludf.DUMMYFUNCTION("""COMPUTED_VALUE"""),"In Office")</f>
        <v>In Office</v>
      </c>
      <c r="M236" s="31" t="str">
        <f>IFERROR(__xludf.DUMMYFUNCTION("""COMPUTED_VALUE"""),"shambhavi.khare@zupee.in")</f>
        <v>shambhavi.khare@zupee.in</v>
      </c>
      <c r="N236" s="31"/>
    </row>
    <row r="237">
      <c r="A237" s="74">
        <f>IFERROR(__xludf.DUMMYFUNCTION("""COMPUTED_VALUE"""),45580.0)</f>
        <v>45580</v>
      </c>
      <c r="B237" s="31" t="str">
        <f>IFERROR(__xludf.DUMMYFUNCTION("""COMPUTED_VALUE"""),"G.T. Thomas Phillippe")</f>
        <v>G.T. Thomas Phillippe</v>
      </c>
      <c r="C237" s="31" t="str">
        <f>IFERROR(__xludf.DUMMYFUNCTION("""COMPUTED_VALUE"""),"Corporate")</f>
        <v>Corporate</v>
      </c>
      <c r="D237" s="31">
        <f>IFERROR(__xludf.DUMMYFUNCTION("""COMPUTED_VALUE"""),9.310103192E9)</f>
        <v>9310103192</v>
      </c>
      <c r="E237" s="31" t="str">
        <f>IFERROR(__xludf.DUMMYFUNCTION("""COMPUTED_VALUE"""),"General Counsel")</f>
        <v>General Counsel</v>
      </c>
      <c r="F237" s="31" t="str">
        <f>IFERROR(__xludf.DUMMYFUNCTION("""COMPUTED_VALUE"""),"Legal")</f>
        <v>Legal</v>
      </c>
      <c r="G237" s="31" t="str">
        <f>IFERROR(__xludf.DUMMYFUNCTION("""COMPUTED_VALUE"""),"thomas.phillippe@gmail.com")</f>
        <v>thomas.phillippe@gmail.com</v>
      </c>
      <c r="H237" s="31" t="str">
        <f>IFERROR(__xludf.DUMMYFUNCTION("""COMPUTED_VALUE"""),"Dilsher Malhi")</f>
        <v>Dilsher Malhi</v>
      </c>
      <c r="I237" s="75">
        <f>IFERROR(__xludf.DUMMYFUNCTION("""COMPUTED_VALUE"""),45576.0)</f>
        <v>45576</v>
      </c>
      <c r="J237" s="31" t="str">
        <f>IFERROR(__xludf.DUMMYFUNCTION("""COMPUTED_VALUE"""),"M Sangeetha")</f>
        <v>M Sangeetha</v>
      </c>
      <c r="K237" s="31" t="str">
        <f>IFERROR(__xludf.DUMMYFUNCTION("""COMPUTED_VALUE"""),"Joined")</f>
        <v>Joined</v>
      </c>
      <c r="L237" s="31" t="str">
        <f>IFERROR(__xludf.DUMMYFUNCTION("""COMPUTED_VALUE"""),"In Office")</f>
        <v>In Office</v>
      </c>
      <c r="M237" s="31"/>
      <c r="N237" s="31"/>
    </row>
    <row r="238">
      <c r="A238" s="74">
        <f>IFERROR(__xludf.DUMMYFUNCTION("""COMPUTED_VALUE"""),45581.0)</f>
        <v>45581</v>
      </c>
      <c r="B238" s="31" t="str">
        <f>IFERROR(__xludf.DUMMYFUNCTION("""COMPUTED_VALUE"""),"Shivam Sharma")</f>
        <v>Shivam Sharma</v>
      </c>
      <c r="C238" s="31" t="str">
        <f>IFERROR(__xludf.DUMMYFUNCTION("""COMPUTED_VALUE"""),"Technology")</f>
        <v>Technology</v>
      </c>
      <c r="D238" s="31">
        <f>IFERROR(__xludf.DUMMYFUNCTION("""COMPUTED_VALUE"""),8.979486153E9)</f>
        <v>8979486153</v>
      </c>
      <c r="E238" s="31" t="str">
        <f>IFERROR(__xludf.DUMMYFUNCTION("""COMPUTED_VALUE"""),"Technical Lead")</f>
        <v>Technical Lead</v>
      </c>
      <c r="F238" s="31" t="str">
        <f>IFERROR(__xludf.DUMMYFUNCTION("""COMPUTED_VALUE"""),"Engineering")</f>
        <v>Engineering</v>
      </c>
      <c r="G238" s="31" t="str">
        <f>IFERROR(__xludf.DUMMYFUNCTION("""COMPUTED_VALUE"""),"shivamrvitcs@gmail.com")</f>
        <v>shivamrvitcs@gmail.com</v>
      </c>
      <c r="H238" s="31" t="str">
        <f>IFERROR(__xludf.DUMMYFUNCTION("""COMPUTED_VALUE"""),"Amit Garg")</f>
        <v>Amit Garg</v>
      </c>
      <c r="I238" s="75">
        <f>IFERROR(__xludf.DUMMYFUNCTION("""COMPUTED_VALUE"""),45579.0)</f>
        <v>45579</v>
      </c>
      <c r="J238" s="31" t="str">
        <f>IFERROR(__xludf.DUMMYFUNCTION("""COMPUTED_VALUE"""),"Shivam Sharma")</f>
        <v>Shivam Sharma</v>
      </c>
      <c r="K238" s="31" t="str">
        <f>IFERROR(__xludf.DUMMYFUNCTION("""COMPUTED_VALUE"""),"Joined")</f>
        <v>Joined</v>
      </c>
      <c r="L238" s="31" t="str">
        <f>IFERROR(__xludf.DUMMYFUNCTION("""COMPUTED_VALUE"""),"In Office")</f>
        <v>In Office</v>
      </c>
      <c r="M238" s="31" t="str">
        <f>IFERROR(__xludf.DUMMYFUNCTION("""COMPUTED_VALUE"""),"shivam.sharma@zupee.in")</f>
        <v>shivam.sharma@zupee.in</v>
      </c>
      <c r="N238" s="31"/>
    </row>
    <row r="239">
      <c r="A239" s="74">
        <f>IFERROR(__xludf.DUMMYFUNCTION("""COMPUTED_VALUE"""),45583.0)</f>
        <v>45583</v>
      </c>
      <c r="B239" s="31" t="str">
        <f>IFERROR(__xludf.DUMMYFUNCTION("""COMPUTED_VALUE"""),"Vivek Walecha")</f>
        <v>Vivek Walecha</v>
      </c>
      <c r="C239" s="31" t="str">
        <f>IFERROR(__xludf.DUMMYFUNCTION("""COMPUTED_VALUE"""),"Technology")</f>
        <v>Technology</v>
      </c>
      <c r="D239" s="31">
        <f>IFERROR(__xludf.DUMMYFUNCTION("""COMPUTED_VALUE"""),9.810201859E9)</f>
        <v>9810201859</v>
      </c>
      <c r="E239" s="31" t="str">
        <f>IFERROR(__xludf.DUMMYFUNCTION("""COMPUTED_VALUE"""),"Engineering Manager")</f>
        <v>Engineering Manager</v>
      </c>
      <c r="F239" s="31" t="str">
        <f>IFERROR(__xludf.DUMMYFUNCTION("""COMPUTED_VALUE"""),"Engineering")</f>
        <v>Engineering</v>
      </c>
      <c r="G239" s="31" t="str">
        <f>IFERROR(__xludf.DUMMYFUNCTION("""COMPUTED_VALUE"""),"vivekkumarwalecha@gmail.com")</f>
        <v>vivekkumarwalecha@gmail.com</v>
      </c>
      <c r="H239" s="31" t="str">
        <f>IFERROR(__xludf.DUMMYFUNCTION("""COMPUTED_VALUE"""),"Anshul Mittal")</f>
        <v>Anshul Mittal</v>
      </c>
      <c r="I239" s="75">
        <f>IFERROR(__xludf.DUMMYFUNCTION("""COMPUTED_VALUE"""),45579.0)</f>
        <v>45579</v>
      </c>
      <c r="J239" s="31" t="str">
        <f>IFERROR(__xludf.DUMMYFUNCTION("""COMPUTED_VALUE"""),"Rajneesh Yadav")</f>
        <v>Rajneesh Yadav</v>
      </c>
      <c r="K239" s="31" t="str">
        <f>IFERROR(__xludf.DUMMYFUNCTION("""COMPUTED_VALUE"""),"Joined")</f>
        <v>Joined</v>
      </c>
      <c r="L239" s="31" t="str">
        <f>IFERROR(__xludf.DUMMYFUNCTION("""COMPUTED_VALUE"""),"In Office")</f>
        <v>In Office</v>
      </c>
      <c r="M239" s="31" t="str">
        <f>IFERROR(__xludf.DUMMYFUNCTION("""COMPUTED_VALUE"""),"vivek.walecha@zupee.in")</f>
        <v>vivek.walecha@zupee.in</v>
      </c>
      <c r="N239" s="31"/>
    </row>
    <row r="240">
      <c r="A240" s="74">
        <f>IFERROR(__xludf.DUMMYFUNCTION("""COMPUTED_VALUE"""),45642.0)</f>
        <v>45642</v>
      </c>
      <c r="B240" s="31" t="str">
        <f>IFERROR(__xludf.DUMMYFUNCTION("""COMPUTED_VALUE"""),"Priyanshu Agrawal")</f>
        <v>Priyanshu Agrawal</v>
      </c>
      <c r="C240" s="31" t="str">
        <f>IFERROR(__xludf.DUMMYFUNCTION("""COMPUTED_VALUE"""),"Data Engineer")</f>
        <v>Data Engineer</v>
      </c>
      <c r="D240" s="31">
        <f>IFERROR(__xludf.DUMMYFUNCTION("""COMPUTED_VALUE"""),9.936428207E9)</f>
        <v>9936428207</v>
      </c>
      <c r="E240" s="31" t="str">
        <f>IFERROR(__xludf.DUMMYFUNCTION("""COMPUTED_VALUE"""),"Senior Data Engineer")</f>
        <v>Senior Data Engineer</v>
      </c>
      <c r="F240" s="31" t="str">
        <f>IFERROR(__xludf.DUMMYFUNCTION("""COMPUTED_VALUE"""),"Engineering")</f>
        <v>Engineering</v>
      </c>
      <c r="G240" s="31" t="str">
        <f>IFERROR(__xludf.DUMMYFUNCTION("""COMPUTED_VALUE"""),"priyanshuagrawal800@gmail.com")</f>
        <v>priyanshuagrawal800@gmail.com</v>
      </c>
      <c r="H240" s="31" t="str">
        <f>IFERROR(__xludf.DUMMYFUNCTION("""COMPUTED_VALUE"""),"Aman Kumar Bahl")</f>
        <v>Aman Kumar Bahl</v>
      </c>
      <c r="I240" s="75">
        <f>IFERROR(__xludf.DUMMYFUNCTION("""COMPUTED_VALUE"""),45579.0)</f>
        <v>45579</v>
      </c>
      <c r="J240" s="31" t="str">
        <f>IFERROR(__xludf.DUMMYFUNCTION("""COMPUTED_VALUE"""),"Naina")</f>
        <v>Naina</v>
      </c>
      <c r="K240" s="31" t="str">
        <f>IFERROR(__xludf.DUMMYFUNCTION("""COMPUTED_VALUE"""),"Joined")</f>
        <v>Joined</v>
      </c>
      <c r="L240" s="31" t="str">
        <f>IFERROR(__xludf.DUMMYFUNCTION("""COMPUTED_VALUE"""),"In Office")</f>
        <v>In Office</v>
      </c>
      <c r="M240" s="31" t="str">
        <f>IFERROR(__xludf.DUMMYFUNCTION("""COMPUTED_VALUE"""),"priyanshu.agrawal@zupee.in")</f>
        <v>priyanshu.agrawal@zupee.in</v>
      </c>
      <c r="N240" s="31" t="str">
        <f>IFERROR(__xludf.DUMMYFUNCTION("""COMPUTED_VALUE"""),"D679Y34HGC")</f>
        <v>D679Y34HGC</v>
      </c>
    </row>
    <row r="241">
      <c r="A241" s="74">
        <f>IFERROR(__xludf.DUMMYFUNCTION("""COMPUTED_VALUE"""),45586.0)</f>
        <v>45586</v>
      </c>
      <c r="B241" s="31" t="str">
        <f>IFERROR(__xludf.DUMMYFUNCTION("""COMPUTED_VALUE"""),"Sanjeev Bhardwaj")</f>
        <v>Sanjeev Bhardwaj</v>
      </c>
      <c r="C241" s="31" t="str">
        <f>IFERROR(__xludf.DUMMYFUNCTION("""COMPUTED_VALUE"""),"Customer Experience")</f>
        <v>Customer Experience</v>
      </c>
      <c r="D241" s="31">
        <f>IFERROR(__xludf.DUMMYFUNCTION("""COMPUTED_VALUE"""),9.81118899E9)</f>
        <v>9811188990</v>
      </c>
      <c r="E241" s="31" t="str">
        <f>IFERROR(__xludf.DUMMYFUNCTION("""COMPUTED_VALUE"""),"Relationship Manager")</f>
        <v>Relationship Manager</v>
      </c>
      <c r="F241" s="31" t="str">
        <f>IFERROR(__xludf.DUMMYFUNCTION("""COMPUTED_VALUE"""),"Customer Relation Management")</f>
        <v>Customer Relation Management</v>
      </c>
      <c r="G241" s="31" t="str">
        <f>IFERROR(__xludf.DUMMYFUNCTION("""COMPUTED_VALUE"""),"sanjeevbhardwaj022@gmail.com")</f>
        <v>sanjeevbhardwaj022@gmail.com</v>
      </c>
      <c r="H241" s="31" t="str">
        <f>IFERROR(__xludf.DUMMYFUNCTION("""COMPUTED_VALUE"""),"Sumit Yadav")</f>
        <v>Sumit Yadav</v>
      </c>
      <c r="I241" s="75">
        <f>IFERROR(__xludf.DUMMYFUNCTION("""COMPUTED_VALUE"""),45581.0)</f>
        <v>45581</v>
      </c>
      <c r="J241" s="31" t="str">
        <f>IFERROR(__xludf.DUMMYFUNCTION("""COMPUTED_VALUE"""),"Nidhi Khedekar")</f>
        <v>Nidhi Khedekar</v>
      </c>
      <c r="K241" s="31" t="str">
        <f>IFERROR(__xludf.DUMMYFUNCTION("""COMPUTED_VALUE"""),"Joined")</f>
        <v>Joined</v>
      </c>
      <c r="L241" s="31" t="str">
        <f>IFERROR(__xludf.DUMMYFUNCTION("""COMPUTED_VALUE"""),"In Office")</f>
        <v>In Office</v>
      </c>
      <c r="M241" s="31" t="str">
        <f>IFERROR(__xludf.DUMMYFUNCTION("""COMPUTED_VALUE"""),"sanjeev.bhardwaj@zupee.in")</f>
        <v>sanjeev.bhardwaj@zupee.in</v>
      </c>
      <c r="N241" s="31" t="str">
        <f>IFERROR(__xludf.DUMMYFUNCTION("""COMPUTED_VALUE"""),"PW03VMFS")</f>
        <v>PW03VMFS</v>
      </c>
    </row>
    <row r="242">
      <c r="A242" s="74">
        <f>IFERROR(__xludf.DUMMYFUNCTION("""COMPUTED_VALUE"""),45586.0)</f>
        <v>45586</v>
      </c>
      <c r="B242" s="31" t="str">
        <f>IFERROR(__xludf.DUMMYFUNCTION("""COMPUTED_VALUE"""),"Divang Singh")</f>
        <v>Divang Singh</v>
      </c>
      <c r="C242" s="31" t="str">
        <f>IFERROR(__xludf.DUMMYFUNCTION("""COMPUTED_VALUE"""),"Customer Experience")</f>
        <v>Customer Experience</v>
      </c>
      <c r="D242" s="31">
        <f>IFERROR(__xludf.DUMMYFUNCTION("""COMPUTED_VALUE"""),8.28747296E9)</f>
        <v>8287472960</v>
      </c>
      <c r="E242" s="31" t="str">
        <f>IFERROR(__xludf.DUMMYFUNCTION("""COMPUTED_VALUE"""),"Relationship Manager")</f>
        <v>Relationship Manager</v>
      </c>
      <c r="F242" s="31" t="str">
        <f>IFERROR(__xludf.DUMMYFUNCTION("""COMPUTED_VALUE"""),"Customer Relation Management")</f>
        <v>Customer Relation Management</v>
      </c>
      <c r="G242" s="31" t="str">
        <f>IFERROR(__xludf.DUMMYFUNCTION("""COMPUTED_VALUE"""),"divangsingh2002@gmail.com")</f>
        <v>divangsingh2002@gmail.com</v>
      </c>
      <c r="H242" s="31" t="str">
        <f>IFERROR(__xludf.DUMMYFUNCTION("""COMPUTED_VALUE"""),"Shivam Bali")</f>
        <v>Shivam Bali</v>
      </c>
      <c r="I242" s="75">
        <f>IFERROR(__xludf.DUMMYFUNCTION("""COMPUTED_VALUE"""),45581.0)</f>
        <v>45581</v>
      </c>
      <c r="J242" s="31" t="str">
        <f>IFERROR(__xludf.DUMMYFUNCTION("""COMPUTED_VALUE"""),"Nidhi Khedekar")</f>
        <v>Nidhi Khedekar</v>
      </c>
      <c r="K242" s="31" t="str">
        <f>IFERROR(__xludf.DUMMYFUNCTION("""COMPUTED_VALUE"""),"Joined")</f>
        <v>Joined</v>
      </c>
      <c r="L242" s="31" t="str">
        <f>IFERROR(__xludf.DUMMYFUNCTION("""COMPUTED_VALUE"""),"In Office")</f>
        <v>In Office</v>
      </c>
      <c r="M242" s="31" t="str">
        <f>IFERROR(__xludf.DUMMYFUNCTION("""COMPUTED_VALUE"""),"divang.singh@zupee.in")</f>
        <v>divang.singh@zupee.in</v>
      </c>
      <c r="N242" s="31"/>
    </row>
    <row r="243">
      <c r="A243" s="74">
        <f>IFERROR(__xludf.DUMMYFUNCTION("""COMPUTED_VALUE"""),45600.0)</f>
        <v>45600</v>
      </c>
      <c r="B243" s="31" t="str">
        <f>IFERROR(__xludf.DUMMYFUNCTION("""COMPUTED_VALUE"""),"Ashu Salmani")</f>
        <v>Ashu Salmani</v>
      </c>
      <c r="C243" s="31" t="str">
        <f>IFERROR(__xludf.DUMMYFUNCTION("""COMPUTED_VALUE"""),"Customer Experience")</f>
        <v>Customer Experience</v>
      </c>
      <c r="D243" s="31">
        <f>IFERROR(__xludf.DUMMYFUNCTION("""COMPUTED_VALUE"""),9.205808284E9)</f>
        <v>9205808284</v>
      </c>
      <c r="E243" s="31" t="str">
        <f>IFERROR(__xludf.DUMMYFUNCTION("""COMPUTED_VALUE"""),"Fraud Analyst")</f>
        <v>Fraud Analyst</v>
      </c>
      <c r="F243" s="31" t="str">
        <f>IFERROR(__xludf.DUMMYFUNCTION("""COMPUTED_VALUE"""),"Fraud Risk Management ")</f>
        <v>Fraud Risk Management </v>
      </c>
      <c r="G243" s="31" t="str">
        <f>IFERROR(__xludf.DUMMYFUNCTION("""COMPUTED_VALUE"""),"ashusalmani334@gmail.com")</f>
        <v>ashusalmani334@gmail.com</v>
      </c>
      <c r="H243" s="31" t="str">
        <f>IFERROR(__xludf.DUMMYFUNCTION("""COMPUTED_VALUE"""),"Ishan Margamwar")</f>
        <v>Ishan Margamwar</v>
      </c>
      <c r="I243" s="75">
        <f>IFERROR(__xludf.DUMMYFUNCTION("""COMPUTED_VALUE"""),45581.0)</f>
        <v>45581</v>
      </c>
      <c r="J243" s="31" t="str">
        <f>IFERROR(__xludf.DUMMYFUNCTION("""COMPUTED_VALUE"""),"Nidhi Khedekar")</f>
        <v>Nidhi Khedekar</v>
      </c>
      <c r="K243" s="31" t="str">
        <f>IFERROR(__xludf.DUMMYFUNCTION("""COMPUTED_VALUE"""),"Joined")</f>
        <v>Joined</v>
      </c>
      <c r="L243" s="31" t="str">
        <f>IFERROR(__xludf.DUMMYFUNCTION("""COMPUTED_VALUE"""),"In Office")</f>
        <v>In Office</v>
      </c>
      <c r="M243" s="31" t="str">
        <f>IFERROR(__xludf.DUMMYFUNCTION("""COMPUTED_VALUE"""),"ashu.salmani@zupee.in")</f>
        <v>ashu.salmani@zupee.in</v>
      </c>
      <c r="N243" s="31" t="str">
        <f>IFERROR(__xludf.DUMMYFUNCTION("""COMPUTED_VALUE"""),"PW03VMGT")</f>
        <v>PW03VMGT</v>
      </c>
    </row>
    <row r="244">
      <c r="A244" s="74">
        <f>IFERROR(__xludf.DUMMYFUNCTION("""COMPUTED_VALUE"""),45587.0)</f>
        <v>45587</v>
      </c>
      <c r="B244" s="31" t="str">
        <f>IFERROR(__xludf.DUMMYFUNCTION("""COMPUTED_VALUE"""),"Yash Lamba")</f>
        <v>Yash Lamba</v>
      </c>
      <c r="C244" s="31" t="str">
        <f>IFERROR(__xludf.DUMMYFUNCTION("""COMPUTED_VALUE"""),"HR")</f>
        <v>HR</v>
      </c>
      <c r="D244" s="31">
        <f>IFERROR(__xludf.DUMMYFUNCTION("""COMPUTED_VALUE"""),8.383040401E9)</f>
        <v>8383040401</v>
      </c>
      <c r="E244" s="31" t="str">
        <f>IFERROR(__xludf.DUMMYFUNCTION("""COMPUTED_VALUE"""),"Senior Executive-HR Operation")</f>
        <v>Senior Executive-HR Operation</v>
      </c>
      <c r="F244" s="31" t="str">
        <f>IFERROR(__xludf.DUMMYFUNCTION("""COMPUTED_VALUE"""),"Human Resource")</f>
        <v>Human Resource</v>
      </c>
      <c r="G244" s="31" t="str">
        <f>IFERROR(__xludf.DUMMYFUNCTION("""COMPUTED_VALUE"""),"adv.yash.lamba@gmail.com")</f>
        <v>adv.yash.lamba@gmail.com</v>
      </c>
      <c r="H244" s="31" t="str">
        <f>IFERROR(__xludf.DUMMYFUNCTION("""COMPUTED_VALUE"""),"Vivek Jain")</f>
        <v>Vivek Jain</v>
      </c>
      <c r="I244" s="75">
        <f>IFERROR(__xludf.DUMMYFUNCTION("""COMPUTED_VALUE"""),45581.0)</f>
        <v>45581</v>
      </c>
      <c r="J244" s="31" t="str">
        <f>IFERROR(__xludf.DUMMYFUNCTION("""COMPUTED_VALUE"""),"Nidhi Khedekar")</f>
        <v>Nidhi Khedekar</v>
      </c>
      <c r="K244" s="31" t="str">
        <f>IFERROR(__xludf.DUMMYFUNCTION("""COMPUTED_VALUE"""),"Joined")</f>
        <v>Joined</v>
      </c>
      <c r="L244" s="31" t="str">
        <f>IFERROR(__xludf.DUMMYFUNCTION("""COMPUTED_VALUE"""),"In Office")</f>
        <v>In Office</v>
      </c>
      <c r="M244" s="31" t="str">
        <f>IFERROR(__xludf.DUMMYFUNCTION("""COMPUTED_VALUE"""),"yash.lamba@zupee.in")</f>
        <v>yash.lamba@zupee.in</v>
      </c>
      <c r="N244" s="31"/>
    </row>
    <row r="245">
      <c r="A245" s="74">
        <f>IFERROR(__xludf.DUMMYFUNCTION("""COMPUTED_VALUE"""),45600.0)</f>
        <v>45600</v>
      </c>
      <c r="B245" s="31" t="str">
        <f>IFERROR(__xludf.DUMMYFUNCTION("""COMPUTED_VALUE"""),"Rahul Prasad Suman")</f>
        <v>Rahul Prasad Suman</v>
      </c>
      <c r="C245" s="31" t="str">
        <f>IFERROR(__xludf.DUMMYFUNCTION("""COMPUTED_VALUE"""),"Admin")</f>
        <v>Admin</v>
      </c>
      <c r="D245" s="31">
        <f>IFERROR(__xludf.DUMMYFUNCTION("""COMPUTED_VALUE"""),7.532923636E9)</f>
        <v>7532923636</v>
      </c>
      <c r="E245" s="31" t="str">
        <f>IFERROR(__xludf.DUMMYFUNCTION("""COMPUTED_VALUE"""),"	Assistant Manager- IT")</f>
        <v>	Assistant Manager- IT</v>
      </c>
      <c r="F245" s="31" t="str">
        <f>IFERROR(__xludf.DUMMYFUNCTION("""COMPUTED_VALUE"""),"IT Infra")</f>
        <v>IT Infra</v>
      </c>
      <c r="G245" s="31" t="str">
        <f>IFERROR(__xludf.DUMMYFUNCTION("""COMPUTED_VALUE"""),"rahulprasadsuman7311@gmail.com")</f>
        <v>rahulprasadsuman7311@gmail.com</v>
      </c>
      <c r="H245" s="31" t="str">
        <f>IFERROR(__xludf.DUMMYFUNCTION("""COMPUTED_VALUE"""),"Rajkumar Singh")</f>
        <v>Rajkumar Singh</v>
      </c>
      <c r="I245" s="75">
        <f>IFERROR(__xludf.DUMMYFUNCTION("""COMPUTED_VALUE"""),45583.0)</f>
        <v>45583</v>
      </c>
      <c r="J245" s="31" t="str">
        <f>IFERROR(__xludf.DUMMYFUNCTION("""COMPUTED_VALUE"""),"Nidhi Khedekar")</f>
        <v>Nidhi Khedekar</v>
      </c>
      <c r="K245" s="31" t="str">
        <f>IFERROR(__xludf.DUMMYFUNCTION("""COMPUTED_VALUE"""),"Joined")</f>
        <v>Joined</v>
      </c>
      <c r="L245" s="31" t="str">
        <f>IFERROR(__xludf.DUMMYFUNCTION("""COMPUTED_VALUE"""),"In Office")</f>
        <v>In Office</v>
      </c>
      <c r="M245" s="31" t="str">
        <f>IFERROR(__xludf.DUMMYFUNCTION("""COMPUTED_VALUE"""),"rahul.suman@zupee.in")</f>
        <v>rahul.suman@zupee.in</v>
      </c>
      <c r="N245" s="31"/>
    </row>
    <row r="246">
      <c r="A246" s="74">
        <f>IFERROR(__xludf.DUMMYFUNCTION("""COMPUTED_VALUE"""),45587.0)</f>
        <v>45587</v>
      </c>
      <c r="B246" s="31" t="str">
        <f>IFERROR(__xludf.DUMMYFUNCTION("""COMPUTED_VALUE"""),"Lokesh Gawande")</f>
        <v>Lokesh Gawande</v>
      </c>
      <c r="C246" s="31" t="str">
        <f>IFERROR(__xludf.DUMMYFUNCTION("""COMPUTED_VALUE"""),"Technology")</f>
        <v>Technology</v>
      </c>
      <c r="D246" s="31">
        <f>IFERROR(__xludf.DUMMYFUNCTION("""COMPUTED_VALUE"""),8.827467326E9)</f>
        <v>8827467326</v>
      </c>
      <c r="E246" s="31" t="str">
        <f>IFERROR(__xludf.DUMMYFUNCTION("""COMPUTED_VALUE"""),"Software Development Engineer in Test")</f>
        <v>Software Development Engineer in Test</v>
      </c>
      <c r="F246" s="31" t="str">
        <f>IFERROR(__xludf.DUMMYFUNCTION("""COMPUTED_VALUE"""),"SDET")</f>
        <v>SDET</v>
      </c>
      <c r="G246" s="31" t="str">
        <f>IFERROR(__xludf.DUMMYFUNCTION("""COMPUTED_VALUE"""),"gawandelokesh21@gmail.com")</f>
        <v>gawandelokesh21@gmail.com</v>
      </c>
      <c r="H246" s="31" t="str">
        <f>IFERROR(__xludf.DUMMYFUNCTION("""COMPUTED_VALUE"""),"Sahil Puri")</f>
        <v>Sahil Puri</v>
      </c>
      <c r="I246" s="75">
        <f>IFERROR(__xludf.DUMMYFUNCTION("""COMPUTED_VALUE"""),45586.0)</f>
        <v>45586</v>
      </c>
      <c r="J246" s="31" t="str">
        <f>IFERROR(__xludf.DUMMYFUNCTION("""COMPUTED_VALUE"""),"Mamta Pandey")</f>
        <v>Mamta Pandey</v>
      </c>
      <c r="K246" s="31" t="str">
        <f>IFERROR(__xludf.DUMMYFUNCTION("""COMPUTED_VALUE"""),"Joined")</f>
        <v>Joined</v>
      </c>
      <c r="L246" s="31" t="str">
        <f>IFERROR(__xludf.DUMMYFUNCTION("""COMPUTED_VALUE"""),"Virtual")</f>
        <v>Virtual</v>
      </c>
      <c r="M246" s="31" t="str">
        <f>IFERROR(__xludf.DUMMYFUNCTION("""COMPUTED_VALUE"""),"lokesh.gawande@zupee.in")</f>
        <v>lokesh.gawande@zupee.in</v>
      </c>
      <c r="N246" s="31"/>
    </row>
    <row r="247">
      <c r="A247" s="74">
        <f>IFERROR(__xludf.DUMMYFUNCTION("""COMPUTED_VALUE"""),45587.0)</f>
        <v>45587</v>
      </c>
      <c r="B247" s="31" t="str">
        <f>IFERROR(__xludf.DUMMYFUNCTION("""COMPUTED_VALUE"""),"Armaan Nayyar")</f>
        <v>Armaan Nayyar</v>
      </c>
      <c r="C247" s="31" t="str">
        <f>IFERROR(__xludf.DUMMYFUNCTION("""COMPUTED_VALUE"""),"Technology")</f>
        <v>Technology</v>
      </c>
      <c r="D247" s="31">
        <f>IFERROR(__xludf.DUMMYFUNCTION("""COMPUTED_VALUE"""),9.177727198E9)</f>
        <v>9177727198</v>
      </c>
      <c r="E247" s="31" t="str">
        <f>IFERROR(__xludf.DUMMYFUNCTION("""COMPUTED_VALUE"""),"Software Development Engineer in Test")</f>
        <v>Software Development Engineer in Test</v>
      </c>
      <c r="F247" s="31" t="str">
        <f>IFERROR(__xludf.DUMMYFUNCTION("""COMPUTED_VALUE"""),"SDET")</f>
        <v>SDET</v>
      </c>
      <c r="G247" s="31" t="str">
        <f>IFERROR(__xludf.DUMMYFUNCTION("""COMPUTED_VALUE"""),"armaan040902@gmail.com")</f>
        <v>armaan040902@gmail.com</v>
      </c>
      <c r="H247" s="31" t="str">
        <f>IFERROR(__xludf.DUMMYFUNCTION("""COMPUTED_VALUE"""),"Sahil Puri")</f>
        <v>Sahil Puri</v>
      </c>
      <c r="I247" s="75">
        <f>IFERROR(__xludf.DUMMYFUNCTION("""COMPUTED_VALUE"""),45586.0)</f>
        <v>45586</v>
      </c>
      <c r="J247" s="31" t="str">
        <f>IFERROR(__xludf.DUMMYFUNCTION("""COMPUTED_VALUE"""),"Vipin Kumar")</f>
        <v>Vipin Kumar</v>
      </c>
      <c r="K247" s="31" t="str">
        <f>IFERROR(__xludf.DUMMYFUNCTION("""COMPUTED_VALUE"""),"Joined")</f>
        <v>Joined</v>
      </c>
      <c r="L247" s="31" t="str">
        <f>IFERROR(__xludf.DUMMYFUNCTION("""COMPUTED_VALUE"""),"Virtual")</f>
        <v>Virtual</v>
      </c>
      <c r="M247" s="31" t="str">
        <f>IFERROR(__xludf.DUMMYFUNCTION("""COMPUTED_VALUE"""),"armaan.nayyar@zupee.in")</f>
        <v>armaan.nayyar@zupee.in</v>
      </c>
      <c r="N247" s="31" t="str">
        <f>IFERROR(__xludf.DUMMYFUNCTION("""COMPUTED_VALUE"""),"FWVX2QR9GH")</f>
        <v>FWVX2QR9GH</v>
      </c>
    </row>
    <row r="248">
      <c r="A248" s="74">
        <f>IFERROR(__xludf.DUMMYFUNCTION("""COMPUTED_VALUE"""),45600.0)</f>
        <v>45600</v>
      </c>
      <c r="B248" s="31" t="str">
        <f>IFERROR(__xludf.DUMMYFUNCTION("""COMPUTED_VALUE"""),"Manjot Juyal")</f>
        <v>Manjot Juyal</v>
      </c>
      <c r="C248" s="31" t="str">
        <f>IFERROR(__xludf.DUMMYFUNCTION("""COMPUTED_VALUE"""),"Marketing")</f>
        <v>Marketing</v>
      </c>
      <c r="D248" s="31">
        <f>IFERROR(__xludf.DUMMYFUNCTION("""COMPUTED_VALUE"""),8.130096788E9)</f>
        <v>8130096788</v>
      </c>
      <c r="E248" s="31" t="str">
        <f>IFERROR(__xludf.DUMMYFUNCTION("""COMPUTED_VALUE"""),"Associate Director- Brand Marketing")</f>
        <v>Associate Director- Brand Marketing</v>
      </c>
      <c r="F248" s="31" t="str">
        <f>IFERROR(__xludf.DUMMYFUNCTION("""COMPUTED_VALUE"""),"Brand Marketing")</f>
        <v>Brand Marketing</v>
      </c>
      <c r="G248" s="31" t="str">
        <f>IFERROR(__xludf.DUMMYFUNCTION("""COMPUTED_VALUE"""),"Bawa.Manjot@Gmail.com")</f>
        <v>Bawa.Manjot@Gmail.com</v>
      </c>
      <c r="H248" s="31" t="str">
        <f>IFERROR(__xludf.DUMMYFUNCTION("""COMPUTED_VALUE"""),"Katha Tara")</f>
        <v>Katha Tara</v>
      </c>
      <c r="I248" s="75">
        <f>IFERROR(__xludf.DUMMYFUNCTION("""COMPUTED_VALUE"""),45586.0)</f>
        <v>45586</v>
      </c>
      <c r="J248" s="31" t="str">
        <f>IFERROR(__xludf.DUMMYFUNCTION("""COMPUTED_VALUE"""),"Rajneesh Yadav")</f>
        <v>Rajneesh Yadav</v>
      </c>
      <c r="K248" s="31" t="str">
        <f>IFERROR(__xludf.DUMMYFUNCTION("""COMPUTED_VALUE"""),"Joined")</f>
        <v>Joined</v>
      </c>
      <c r="L248" s="31" t="str">
        <f>IFERROR(__xludf.DUMMYFUNCTION("""COMPUTED_VALUE"""),"In Office")</f>
        <v>In Office</v>
      </c>
      <c r="M248" s="31" t="str">
        <f>IFERROR(__xludf.DUMMYFUNCTION("""COMPUTED_VALUE"""),"manjot.juyal@zupee.in")</f>
        <v>manjot.juyal@zupee.in</v>
      </c>
      <c r="N248" s="31"/>
    </row>
    <row r="249">
      <c r="A249" s="74">
        <f>IFERROR(__xludf.DUMMYFUNCTION("""COMPUTED_VALUE"""),45659.0)</f>
        <v>45659</v>
      </c>
      <c r="B249" s="31" t="str">
        <f>IFERROR(__xludf.DUMMYFUNCTION("""COMPUTED_VALUE"""),"Vansh Kumar Dua")</f>
        <v>Vansh Kumar Dua</v>
      </c>
      <c r="C249" s="31" t="str">
        <f>IFERROR(__xludf.DUMMYFUNCTION("""COMPUTED_VALUE"""),"Technology")</f>
        <v>Technology</v>
      </c>
      <c r="D249" s="31">
        <f>IFERROR(__xludf.DUMMYFUNCTION("""COMPUTED_VALUE"""),8.126664705E9)</f>
        <v>8126664705</v>
      </c>
      <c r="E249" s="31" t="str">
        <f>IFERROR(__xludf.DUMMYFUNCTION("""COMPUTED_VALUE"""),"Senior Software Engineer")</f>
        <v>Senior Software Engineer</v>
      </c>
      <c r="F249" s="31" t="str">
        <f>IFERROR(__xludf.DUMMYFUNCTION("""COMPUTED_VALUE"""),"Backend")</f>
        <v>Backend</v>
      </c>
      <c r="G249" s="31" t="str">
        <f>IFERROR(__xludf.DUMMYFUNCTION("""COMPUTED_VALUE"""),"vansh.dua.101201230@gmail.com")</f>
        <v>vansh.dua.101201230@gmail.com</v>
      </c>
      <c r="H249" s="31"/>
      <c r="I249" s="75">
        <f>IFERROR(__xludf.DUMMYFUNCTION("""COMPUTED_VALUE"""),45586.0)</f>
        <v>45586</v>
      </c>
      <c r="J249" s="31" t="str">
        <f>IFERROR(__xludf.DUMMYFUNCTION("""COMPUTED_VALUE"""),"Vipin Kumar")</f>
        <v>Vipin Kumar</v>
      </c>
      <c r="K249" s="31" t="str">
        <f>IFERROR(__xludf.DUMMYFUNCTION("""COMPUTED_VALUE"""),"Joined")</f>
        <v>Joined</v>
      </c>
      <c r="L249" s="31" t="str">
        <f>IFERROR(__xludf.DUMMYFUNCTION("""COMPUTED_VALUE"""),"In Office")</f>
        <v>In Office</v>
      </c>
      <c r="M249" s="31" t="str">
        <f>IFERROR(__xludf.DUMMYFUNCTION("""COMPUTED_VALUE"""),"vansh.dua@zupee.in")</f>
        <v>vansh.dua@zupee.in</v>
      </c>
      <c r="N249" s="31"/>
    </row>
    <row r="250">
      <c r="A250" s="74">
        <f>IFERROR(__xludf.DUMMYFUNCTION("""COMPUTED_VALUE"""),45588.0)</f>
        <v>45588</v>
      </c>
      <c r="B250" s="31" t="str">
        <f>IFERROR(__xludf.DUMMYFUNCTION("""COMPUTED_VALUE"""),"Sanchit Mittal")</f>
        <v>Sanchit Mittal</v>
      </c>
      <c r="C250" s="31" t="str">
        <f>IFERROR(__xludf.DUMMYFUNCTION("""COMPUTED_VALUE"""),"Analytics")</f>
        <v>Analytics</v>
      </c>
      <c r="D250" s="31">
        <f>IFERROR(__xludf.DUMMYFUNCTION("""COMPUTED_VALUE"""),9.555096925E9)</f>
        <v>9555096925</v>
      </c>
      <c r="E250" s="31" t="str">
        <f>IFERROR(__xludf.DUMMYFUNCTION("""COMPUTED_VALUE"""),"Senior Data Analyst")</f>
        <v>Senior Data Analyst</v>
      </c>
      <c r="F250" s="31" t="str">
        <f>IFERROR(__xludf.DUMMYFUNCTION("""COMPUTED_VALUE"""),"Product Analytics")</f>
        <v>Product Analytics</v>
      </c>
      <c r="G250" s="31" t="str">
        <f>IFERROR(__xludf.DUMMYFUNCTION("""COMPUTED_VALUE"""),"sanchitmittal555@gmail.com")</f>
        <v>sanchitmittal555@gmail.com</v>
      </c>
      <c r="H250" s="31" t="str">
        <f>IFERROR(__xludf.DUMMYFUNCTION("""COMPUTED_VALUE"""),"Himanshu Grover")</f>
        <v>Himanshu Grover</v>
      </c>
      <c r="I250" s="75">
        <f>IFERROR(__xludf.DUMMYFUNCTION("""COMPUTED_VALUE"""),45587.0)</f>
        <v>45587</v>
      </c>
      <c r="J250" s="31" t="str">
        <f>IFERROR(__xludf.DUMMYFUNCTION("""COMPUTED_VALUE"""),"Shivam Sharma")</f>
        <v>Shivam Sharma</v>
      </c>
      <c r="K250" s="31" t="str">
        <f>IFERROR(__xludf.DUMMYFUNCTION("""COMPUTED_VALUE"""),"Joined")</f>
        <v>Joined</v>
      </c>
      <c r="L250" s="31" t="str">
        <f>IFERROR(__xludf.DUMMYFUNCTION("""COMPUTED_VALUE"""),"In Office")</f>
        <v>In Office</v>
      </c>
      <c r="M250" s="31" t="str">
        <f>IFERROR(__xludf.DUMMYFUNCTION("""COMPUTED_VALUE"""),"sanchit.mittal@zupee.in")</f>
        <v>sanchit.mittal@zupee.in</v>
      </c>
      <c r="N250" s="31"/>
    </row>
    <row r="251">
      <c r="A251" s="74">
        <f>IFERROR(__xludf.DUMMYFUNCTION("""COMPUTED_VALUE"""),45635.0)</f>
        <v>45635</v>
      </c>
      <c r="B251" s="31" t="str">
        <f>IFERROR(__xludf.DUMMYFUNCTION("""COMPUTED_VALUE"""),"Bipin Tiwari")</f>
        <v>Bipin Tiwari</v>
      </c>
      <c r="C251" s="31" t="str">
        <f>IFERROR(__xludf.DUMMYFUNCTION("""COMPUTED_VALUE"""),"Data Engineer")</f>
        <v>Data Engineer</v>
      </c>
      <c r="D251" s="31">
        <f>IFERROR(__xludf.DUMMYFUNCTION("""COMPUTED_VALUE"""),7.208240971E9)</f>
        <v>7208240971</v>
      </c>
      <c r="E251" s="31" t="str">
        <f>IFERROR(__xludf.DUMMYFUNCTION("""COMPUTED_VALUE"""),"Manager - DE")</f>
        <v>Manager - DE</v>
      </c>
      <c r="F251" s="31" t="str">
        <f>IFERROR(__xludf.DUMMYFUNCTION("""COMPUTED_VALUE"""),"Data Engineering")</f>
        <v>Data Engineering</v>
      </c>
      <c r="G251" s="31" t="str">
        <f>IFERROR(__xludf.DUMMYFUNCTION("""COMPUTED_VALUE"""),"tiwaribipin77@gmail.com")</f>
        <v>tiwaribipin77@gmail.com</v>
      </c>
      <c r="H251" s="31" t="str">
        <f>IFERROR(__xludf.DUMMYFUNCTION("""COMPUTED_VALUE"""),"Aman Kumar Bahl")</f>
        <v>Aman Kumar Bahl</v>
      </c>
      <c r="I251" s="75">
        <f>IFERROR(__xludf.DUMMYFUNCTION("""COMPUTED_VALUE"""),45587.0)</f>
        <v>45587</v>
      </c>
      <c r="J251" s="31" t="str">
        <f>IFERROR(__xludf.DUMMYFUNCTION("""COMPUTED_VALUE"""),"Naina")</f>
        <v>Naina</v>
      </c>
      <c r="K251" s="31" t="str">
        <f>IFERROR(__xludf.DUMMYFUNCTION("""COMPUTED_VALUE"""),"Offer Declined")</f>
        <v>Offer Declined</v>
      </c>
      <c r="L251" s="31" t="str">
        <f>IFERROR(__xludf.DUMMYFUNCTION("""COMPUTED_VALUE"""),"In Office")</f>
        <v>In Office</v>
      </c>
      <c r="M251" s="31"/>
      <c r="N251" s="31"/>
    </row>
    <row r="252">
      <c r="A252" s="74"/>
      <c r="B252" s="31" t="str">
        <f>IFERROR(__xludf.DUMMYFUNCTION("""COMPUTED_VALUE"""),"Himanshu Singh")</f>
        <v>Himanshu Singh</v>
      </c>
      <c r="C252" s="31" t="str">
        <f>IFERROR(__xludf.DUMMYFUNCTION("""COMPUTED_VALUE"""),"Technology")</f>
        <v>Technology</v>
      </c>
      <c r="D252" s="31">
        <f>IFERROR(__xludf.DUMMYFUNCTION("""COMPUTED_VALUE"""),7.06569757E9)</f>
        <v>7065697570</v>
      </c>
      <c r="E252" s="31" t="str">
        <f>IFERROR(__xludf.DUMMYFUNCTION("""COMPUTED_VALUE"""),"Software Development Engineer in Test")</f>
        <v>Software Development Engineer in Test</v>
      </c>
      <c r="F252" s="31" t="str">
        <f>IFERROR(__xludf.DUMMYFUNCTION("""COMPUTED_VALUE"""),"SDET")</f>
        <v>SDET</v>
      </c>
      <c r="G252" s="31" t="str">
        <f>IFERROR(__xludf.DUMMYFUNCTION("""COMPUTED_VALUE"""),"himanshusingh0512@gmail.com")</f>
        <v>himanshusingh0512@gmail.com</v>
      </c>
      <c r="H252" s="31" t="str">
        <f>IFERROR(__xludf.DUMMYFUNCTION("""COMPUTED_VALUE"""),"Sahil Puri")</f>
        <v>Sahil Puri</v>
      </c>
      <c r="I252" s="75">
        <f>IFERROR(__xludf.DUMMYFUNCTION("""COMPUTED_VALUE"""),45595.0)</f>
        <v>45595</v>
      </c>
      <c r="J252" s="31" t="str">
        <f>IFERROR(__xludf.DUMMYFUNCTION("""COMPUTED_VALUE"""),"Mamta Pandey")</f>
        <v>Mamta Pandey</v>
      </c>
      <c r="K252" s="31" t="str">
        <f>IFERROR(__xludf.DUMMYFUNCTION("""COMPUTED_VALUE"""),"Offer Declined")</f>
        <v>Offer Declined</v>
      </c>
      <c r="L252" s="31" t="str">
        <f>IFERROR(__xludf.DUMMYFUNCTION("""COMPUTED_VALUE"""),"In Office")</f>
        <v>In Office</v>
      </c>
      <c r="M252" s="31"/>
      <c r="N252" s="31"/>
    </row>
    <row r="253">
      <c r="A253" s="74">
        <f>IFERROR(__xludf.DUMMYFUNCTION("""COMPUTED_VALUE"""),45600.0)</f>
        <v>45600</v>
      </c>
      <c r="B253" s="31" t="str">
        <f>IFERROR(__xludf.DUMMYFUNCTION("""COMPUTED_VALUE"""),"	Shivam")</f>
        <v>	Shivam</v>
      </c>
      <c r="C253" s="31" t="str">
        <f>IFERROR(__xludf.DUMMYFUNCTION("""COMPUTED_VALUE"""),"Technology")</f>
        <v>Technology</v>
      </c>
      <c r="D253" s="31">
        <f>IFERROR(__xludf.DUMMYFUNCTION("""COMPUTED_VALUE"""),7.701891644E9)</f>
        <v>7701891644</v>
      </c>
      <c r="E253" s="31" t="str">
        <f>IFERROR(__xludf.DUMMYFUNCTION("""COMPUTED_VALUE"""),"	Software Engineer")</f>
        <v>	Software Engineer</v>
      </c>
      <c r="F253" s="31" t="str">
        <f>IFERROR(__xludf.DUMMYFUNCTION("""COMPUTED_VALUE"""),"Backend")</f>
        <v>Backend</v>
      </c>
      <c r="G253" s="31" t="str">
        <f>IFERROR(__xludf.DUMMYFUNCTION("""COMPUTED_VALUE"""),"11shivam00@gmail.com")</f>
        <v>11shivam00@gmail.com</v>
      </c>
      <c r="H253" s="31"/>
      <c r="I253" s="75">
        <f>IFERROR(__xludf.DUMMYFUNCTION("""COMPUTED_VALUE"""),45595.0)</f>
        <v>45595</v>
      </c>
      <c r="J253" s="31" t="str">
        <f>IFERROR(__xludf.DUMMYFUNCTION("""COMPUTED_VALUE"""),"Nidhi Khedekar")</f>
        <v>Nidhi Khedekar</v>
      </c>
      <c r="K253" s="31" t="str">
        <f>IFERROR(__xludf.DUMMYFUNCTION("""COMPUTED_VALUE"""),"Joined")</f>
        <v>Joined</v>
      </c>
      <c r="L253" s="31" t="str">
        <f>IFERROR(__xludf.DUMMYFUNCTION("""COMPUTED_VALUE"""),"In Office")</f>
        <v>In Office</v>
      </c>
      <c r="M253" s="31"/>
      <c r="N253" s="31"/>
    </row>
    <row r="254">
      <c r="A254" s="74">
        <f>IFERROR(__xludf.DUMMYFUNCTION("""COMPUTED_VALUE"""),45602.0)</f>
        <v>45602</v>
      </c>
      <c r="B254" s="31" t="str">
        <f>IFERROR(__xludf.DUMMYFUNCTION("""COMPUTED_VALUE""")," Pranav Gautam")</f>
        <v> Pranav Gautam</v>
      </c>
      <c r="C254" s="31" t="str">
        <f>IFERROR(__xludf.DUMMYFUNCTION("""COMPUTED_VALUE"""),"Data Science")</f>
        <v>Data Science</v>
      </c>
      <c r="D254" s="31">
        <f>IFERROR(__xludf.DUMMYFUNCTION("""COMPUTED_VALUE"""),9.289382902E9)</f>
        <v>9289382902</v>
      </c>
      <c r="E254" s="31" t="str">
        <f>IFERROR(__xludf.DUMMYFUNCTION("""COMPUTED_VALUE"""),"Data Science Trainee")</f>
        <v>Data Science Trainee</v>
      </c>
      <c r="F254" s="31" t="str">
        <f>IFERROR(__xludf.DUMMYFUNCTION("""COMPUTED_VALUE"""),"Data Science")</f>
        <v>Data Science</v>
      </c>
      <c r="G254" s="31" t="str">
        <f>IFERROR(__xludf.DUMMYFUNCTION("""COMPUTED_VALUE"""),"pranavgautam2902@gmail.com")</f>
        <v>pranavgautam2902@gmail.com</v>
      </c>
      <c r="H254" s="31" t="str">
        <f>IFERROR(__xludf.DUMMYFUNCTION("""COMPUTED_VALUE"""),"Nandeshwar Gupta")</f>
        <v>Nandeshwar Gupta</v>
      </c>
      <c r="I254" s="75">
        <f>IFERROR(__xludf.DUMMYFUNCTION("""COMPUTED_VALUE"""),45600.0)</f>
        <v>45600</v>
      </c>
      <c r="J254" s="31" t="str">
        <f>IFERROR(__xludf.DUMMYFUNCTION("""COMPUTED_VALUE"""),"Mamta Pandey")</f>
        <v>Mamta Pandey</v>
      </c>
      <c r="K254" s="31" t="str">
        <f>IFERROR(__xludf.DUMMYFUNCTION("""COMPUTED_VALUE"""),"Joined")</f>
        <v>Joined</v>
      </c>
      <c r="L254" s="31" t="str">
        <f>IFERROR(__xludf.DUMMYFUNCTION("""COMPUTED_VALUE"""),"In Office")</f>
        <v>In Office</v>
      </c>
      <c r="M254" s="31"/>
      <c r="N254" s="31"/>
    </row>
    <row r="255">
      <c r="A255" s="74">
        <f>IFERROR(__xludf.DUMMYFUNCTION("""COMPUTED_VALUE"""),45601.0)</f>
        <v>45601</v>
      </c>
      <c r="B255" s="31" t="str">
        <f>IFERROR(__xludf.DUMMYFUNCTION("""COMPUTED_VALUE"""),"Piyush Bansal")</f>
        <v>Piyush Bansal</v>
      </c>
      <c r="C255" s="31" t="str">
        <f>IFERROR(__xludf.DUMMYFUNCTION("""COMPUTED_VALUE"""),"Technology")</f>
        <v>Technology</v>
      </c>
      <c r="D255" s="31">
        <f>IFERROR(__xludf.DUMMYFUNCTION("""COMPUTED_VALUE"""),9.354933745E9)</f>
        <v>9354933745</v>
      </c>
      <c r="E255" s="31" t="str">
        <f>IFERROR(__xludf.DUMMYFUNCTION("""COMPUTED_VALUE"""),"Website Trainee")</f>
        <v>Website Trainee</v>
      </c>
      <c r="F255" s="31" t="str">
        <f>IFERROR(__xludf.DUMMYFUNCTION("""COMPUTED_VALUE"""),"Engineering")</f>
        <v>Engineering</v>
      </c>
      <c r="G255" s="31" t="str">
        <f>IFERROR(__xludf.DUMMYFUNCTION("""COMPUTED_VALUE"""),"77piyushbansal77@gmail.com")</f>
        <v>77piyushbansal77@gmail.com</v>
      </c>
      <c r="H255" s="31" t="str">
        <f>IFERROR(__xludf.DUMMYFUNCTION("""COMPUTED_VALUE"""),"Anshul Mittal")</f>
        <v>Anshul Mittal</v>
      </c>
      <c r="I255" s="75">
        <f>IFERROR(__xludf.DUMMYFUNCTION("""COMPUTED_VALUE"""),45600.0)</f>
        <v>45600</v>
      </c>
      <c r="J255" s="31" t="str">
        <f>IFERROR(__xludf.DUMMYFUNCTION("""COMPUTED_VALUE"""),"Vipin Kumar")</f>
        <v>Vipin Kumar</v>
      </c>
      <c r="K255" s="31" t="str">
        <f>IFERROR(__xludf.DUMMYFUNCTION("""COMPUTED_VALUE"""),"Joined")</f>
        <v>Joined</v>
      </c>
      <c r="L255" s="31" t="str">
        <f>IFERROR(__xludf.DUMMYFUNCTION("""COMPUTED_VALUE"""),"In Office")</f>
        <v>In Office</v>
      </c>
      <c r="M255" s="31" t="str">
        <f>IFERROR(__xludf.DUMMYFUNCTION("""COMPUTED_VALUE"""),"piyush.bansal@zupee.in")</f>
        <v>piyush.bansal@zupee.in</v>
      </c>
      <c r="N255" s="31"/>
    </row>
    <row r="256">
      <c r="A256" s="74">
        <f>IFERROR(__xludf.DUMMYFUNCTION("""COMPUTED_VALUE"""),45607.0)</f>
        <v>45607</v>
      </c>
      <c r="B256" s="31" t="str">
        <f>IFERROR(__xludf.DUMMYFUNCTION("""COMPUTED_VALUE"""),"Abhiroop Hora")</f>
        <v>Abhiroop Hora</v>
      </c>
      <c r="C256" s="31" t="str">
        <f>IFERROR(__xludf.DUMMYFUNCTION("""COMPUTED_VALUE"""),"Technology")</f>
        <v>Technology</v>
      </c>
      <c r="D256" s="31">
        <f>IFERROR(__xludf.DUMMYFUNCTION("""COMPUTED_VALUE"""),9.079301949E9)</f>
        <v>9079301949</v>
      </c>
      <c r="E256" s="31" t="str">
        <f>IFERROR(__xludf.DUMMYFUNCTION("""COMPUTED_VALUE"""),"Software Development Engineer in Test")</f>
        <v>Software Development Engineer in Test</v>
      </c>
      <c r="F256" s="31" t="str">
        <f>IFERROR(__xludf.DUMMYFUNCTION("""COMPUTED_VALUE"""),"SDET")</f>
        <v>SDET</v>
      </c>
      <c r="G256" s="31" t="str">
        <f>IFERROR(__xludf.DUMMYFUNCTION("""COMPUTED_VALUE"""),"hora.abhiroop@gmail.com")</f>
        <v>hora.abhiroop@gmail.com</v>
      </c>
      <c r="H256" s="31" t="str">
        <f>IFERROR(__xludf.DUMMYFUNCTION("""COMPUTED_VALUE"""),"Sahil Puri")</f>
        <v>Sahil Puri</v>
      </c>
      <c r="I256" s="75">
        <f>IFERROR(__xludf.DUMMYFUNCTION("""COMPUTED_VALUE"""),45600.0)</f>
        <v>45600</v>
      </c>
      <c r="J256" s="31" t="str">
        <f>IFERROR(__xludf.DUMMYFUNCTION("""COMPUTED_VALUE"""),"Vipin Kumar")</f>
        <v>Vipin Kumar</v>
      </c>
      <c r="K256" s="31" t="str">
        <f>IFERROR(__xludf.DUMMYFUNCTION("""COMPUTED_VALUE"""),"Joined")</f>
        <v>Joined</v>
      </c>
      <c r="L256" s="31" t="str">
        <f>IFERROR(__xludf.DUMMYFUNCTION("""COMPUTED_VALUE"""),"In Office")</f>
        <v>In Office</v>
      </c>
      <c r="M256" s="31" t="str">
        <f>IFERROR(__xludf.DUMMYFUNCTION("""COMPUTED_VALUE"""),"abhiroop.hora@zupee.in")</f>
        <v>abhiroop.hora@zupee.in</v>
      </c>
      <c r="N256" s="31" t="str">
        <f>IFERROR(__xludf.DUMMYFUNCTION("""COMPUTED_VALUE"""),"GCH97LNP9M")</f>
        <v>GCH97LNP9M</v>
      </c>
    </row>
    <row r="257">
      <c r="A257" s="74">
        <f>IFERROR(__xludf.DUMMYFUNCTION("""COMPUTED_VALUE"""),45602.0)</f>
        <v>45602</v>
      </c>
      <c r="B257" s="31" t="str">
        <f>IFERROR(__xludf.DUMMYFUNCTION("""COMPUTED_VALUE"""),"Sumant Kumar Choudhary")</f>
        <v>Sumant Kumar Choudhary</v>
      </c>
      <c r="C257" s="31" t="str">
        <f>IFERROR(__xludf.DUMMYFUNCTION("""COMPUTED_VALUE"""),"Technology")</f>
        <v>Technology</v>
      </c>
      <c r="D257" s="31">
        <f>IFERROR(__xludf.DUMMYFUNCTION("""COMPUTED_VALUE"""),7.017994314E9)</f>
        <v>7017994314</v>
      </c>
      <c r="E257" s="31" t="str">
        <f>IFERROR(__xludf.DUMMYFUNCTION("""COMPUTED_VALUE"""),"Software Development Engineer in Test")</f>
        <v>Software Development Engineer in Test</v>
      </c>
      <c r="F257" s="31" t="str">
        <f>IFERROR(__xludf.DUMMYFUNCTION("""COMPUTED_VALUE"""),"SDET")</f>
        <v>SDET</v>
      </c>
      <c r="G257" s="31" t="str">
        <f>IFERROR(__xludf.DUMMYFUNCTION("""COMPUTED_VALUE"""),"scschaudhary81@gmail.com")</f>
        <v>scschaudhary81@gmail.com</v>
      </c>
      <c r="H257" s="31" t="str">
        <f>IFERROR(__xludf.DUMMYFUNCTION("""COMPUTED_VALUE"""),"Sahil Puri")</f>
        <v>Sahil Puri</v>
      </c>
      <c r="I257" s="75">
        <f>IFERROR(__xludf.DUMMYFUNCTION("""COMPUTED_VALUE"""),45601.0)</f>
        <v>45601</v>
      </c>
      <c r="J257" s="31" t="str">
        <f>IFERROR(__xludf.DUMMYFUNCTION("""COMPUTED_VALUE"""),"Mamta Pandey")</f>
        <v>Mamta Pandey</v>
      </c>
      <c r="K257" s="31" t="str">
        <f>IFERROR(__xludf.DUMMYFUNCTION("""COMPUTED_VALUE"""),"Offer Declined")</f>
        <v>Offer Declined</v>
      </c>
      <c r="L257" s="31" t="str">
        <f>IFERROR(__xludf.DUMMYFUNCTION("""COMPUTED_VALUE"""),"In Office")</f>
        <v>In Office</v>
      </c>
      <c r="M257" s="31"/>
      <c r="N257" s="31"/>
    </row>
    <row r="258">
      <c r="A258" s="74">
        <f>IFERROR(__xludf.DUMMYFUNCTION("""COMPUTED_VALUE"""),45649.0)</f>
        <v>45649</v>
      </c>
      <c r="B258" s="31" t="str">
        <f>IFERROR(__xludf.DUMMYFUNCTION("""COMPUTED_VALUE"""),"Naveen Yadav")</f>
        <v>Naveen Yadav</v>
      </c>
      <c r="C258" s="31" t="str">
        <f>IFERROR(__xludf.DUMMYFUNCTION("""COMPUTED_VALUE"""),"Technology")</f>
        <v>Technology</v>
      </c>
      <c r="D258" s="31">
        <f>IFERROR(__xludf.DUMMYFUNCTION("""COMPUTED_VALUE"""),9.205568805E9)</f>
        <v>9205568805</v>
      </c>
      <c r="E258" s="31" t="str">
        <f>IFERROR(__xludf.DUMMYFUNCTION("""COMPUTED_VALUE"""),"Senior Data Analyst")</f>
        <v>Senior Data Analyst</v>
      </c>
      <c r="F258" s="31" t="str">
        <f>IFERROR(__xludf.DUMMYFUNCTION("""COMPUTED_VALUE"""),"Product Analytics")</f>
        <v>Product Analytics</v>
      </c>
      <c r="G258" s="31" t="str">
        <f>IFERROR(__xludf.DUMMYFUNCTION("""COMPUTED_VALUE"""),"naveenyadav.ny007@gmail.com")</f>
        <v>naveenyadav.ny007@gmail.com</v>
      </c>
      <c r="H258" s="31" t="str">
        <f>IFERROR(__xludf.DUMMYFUNCTION("""COMPUTED_VALUE"""),"Raman Malik")</f>
        <v>Raman Malik</v>
      </c>
      <c r="I258" s="75">
        <f>IFERROR(__xludf.DUMMYFUNCTION("""COMPUTED_VALUE"""),45601.0)</f>
        <v>45601</v>
      </c>
      <c r="J258" s="31" t="str">
        <f>IFERROR(__xludf.DUMMYFUNCTION("""COMPUTED_VALUE"""),"Nidhi Khedekar")</f>
        <v>Nidhi Khedekar</v>
      </c>
      <c r="K258" s="31" t="str">
        <f>IFERROR(__xludf.DUMMYFUNCTION("""COMPUTED_VALUE"""),"Joined")</f>
        <v>Joined</v>
      </c>
      <c r="L258" s="31" t="str">
        <f>IFERROR(__xludf.DUMMYFUNCTION("""COMPUTED_VALUE"""),"In Office")</f>
        <v>In Office</v>
      </c>
      <c r="M258" s="31" t="str">
        <f>IFERROR(__xludf.DUMMYFUNCTION("""COMPUTED_VALUE"""),"naveen.yadav@zupee.in")</f>
        <v>naveen.yadav@zupee.in</v>
      </c>
      <c r="N258" s="31"/>
    </row>
    <row r="259">
      <c r="A259" s="74">
        <f>IFERROR(__xludf.DUMMYFUNCTION("""COMPUTED_VALUE"""),45603.0)</f>
        <v>45603</v>
      </c>
      <c r="B259" s="31" t="str">
        <f>IFERROR(__xludf.DUMMYFUNCTION("""COMPUTED_VALUE"""),"Srijan Bhageria")</f>
        <v>Srijan Bhageria</v>
      </c>
      <c r="C259" s="31" t="str">
        <f>IFERROR(__xludf.DUMMYFUNCTION("""COMPUTED_VALUE"""),"Technology")</f>
        <v>Technology</v>
      </c>
      <c r="D259" s="31">
        <f>IFERROR(__xludf.DUMMYFUNCTION("""COMPUTED_VALUE"""),7.050421216E9)</f>
        <v>7050421216</v>
      </c>
      <c r="E259" s="31" t="str">
        <f>IFERROR(__xludf.DUMMYFUNCTION("""COMPUTED_VALUE"""),"Software Development Engineer in Test Trainee")</f>
        <v>Software Development Engineer in Test Trainee</v>
      </c>
      <c r="F259" s="31" t="str">
        <f>IFERROR(__xludf.DUMMYFUNCTION("""COMPUTED_VALUE"""),"SDET")</f>
        <v>SDET</v>
      </c>
      <c r="G259" s="31" t="str">
        <f>IFERROR(__xludf.DUMMYFUNCTION("""COMPUTED_VALUE"""),"bhageria.srijan@gmail.com ")</f>
        <v>bhageria.srijan@gmail.com </v>
      </c>
      <c r="H259" s="31" t="str">
        <f>IFERROR(__xludf.DUMMYFUNCTION("""COMPUTED_VALUE"""),"Sahil Puri")</f>
        <v>Sahil Puri</v>
      </c>
      <c r="I259" s="75">
        <f>IFERROR(__xludf.DUMMYFUNCTION("""COMPUTED_VALUE"""),45602.0)</f>
        <v>45602</v>
      </c>
      <c r="J259" s="31" t="str">
        <f>IFERROR(__xludf.DUMMYFUNCTION("""COMPUTED_VALUE"""),"Mamta Pandey")</f>
        <v>Mamta Pandey</v>
      </c>
      <c r="K259" s="31" t="str">
        <f>IFERROR(__xludf.DUMMYFUNCTION("""COMPUTED_VALUE"""),"Joined")</f>
        <v>Joined</v>
      </c>
      <c r="L259" s="31" t="str">
        <f>IFERROR(__xludf.DUMMYFUNCTION("""COMPUTED_VALUE"""),"In Office")</f>
        <v>In Office</v>
      </c>
      <c r="M259" s="31" t="str">
        <f>IFERROR(__xludf.DUMMYFUNCTION("""COMPUTED_VALUE"""),"srijan.bhageria@zupee.in")</f>
        <v>srijan.bhageria@zupee.in</v>
      </c>
      <c r="N259" s="31" t="str">
        <f>IFERROR(__xludf.DUMMYFUNCTION("""COMPUTED_VALUE"""),"JK74211FHQ")</f>
        <v>JK74211FHQ</v>
      </c>
    </row>
    <row r="260">
      <c r="A260" s="74">
        <f>IFERROR(__xludf.DUMMYFUNCTION("""COMPUTED_VALUE"""),45607.0)</f>
        <v>45607</v>
      </c>
      <c r="B260" s="31" t="str">
        <f>IFERROR(__xludf.DUMMYFUNCTION("""COMPUTED_VALUE"""),"Prakhar Srivastava")</f>
        <v>Prakhar Srivastava</v>
      </c>
      <c r="C260" s="31" t="str">
        <f>IFERROR(__xludf.DUMMYFUNCTION("""COMPUTED_VALUE"""),"Technology")</f>
        <v>Technology</v>
      </c>
      <c r="D260" s="31">
        <f>IFERROR(__xludf.DUMMYFUNCTION("""COMPUTED_VALUE"""),9.958029663E9)</f>
        <v>9958029663</v>
      </c>
      <c r="E260" s="31" t="str">
        <f>IFERROR(__xludf.DUMMYFUNCTION("""COMPUTED_VALUE"""),"Software Engineer Trainee")</f>
        <v>Software Engineer Trainee</v>
      </c>
      <c r="F260" s="31" t="str">
        <f>IFERROR(__xludf.DUMMYFUNCTION("""COMPUTED_VALUE"""),"Backend")</f>
        <v>Backend</v>
      </c>
      <c r="G260" s="31" t="str">
        <f>IFERROR(__xludf.DUMMYFUNCTION("""COMPUTED_VALUE"""),"prakharps2107@gmail.com")</f>
        <v>prakharps2107@gmail.com</v>
      </c>
      <c r="H260" s="31" t="str">
        <f>IFERROR(__xludf.DUMMYFUNCTION("""COMPUTED_VALUE"""),"Piyush Shukla")</f>
        <v>Piyush Shukla</v>
      </c>
      <c r="I260" s="75">
        <f>IFERROR(__xludf.DUMMYFUNCTION("""COMPUTED_VALUE"""),45603.0)</f>
        <v>45603</v>
      </c>
      <c r="J260" s="31" t="str">
        <f>IFERROR(__xludf.DUMMYFUNCTION("""COMPUTED_VALUE"""),"Nidhi Khedekar")</f>
        <v>Nidhi Khedekar</v>
      </c>
      <c r="K260" s="31" t="str">
        <f>IFERROR(__xludf.DUMMYFUNCTION("""COMPUTED_VALUE"""),"Joined")</f>
        <v>Joined</v>
      </c>
      <c r="L260" s="31" t="str">
        <f>IFERROR(__xludf.DUMMYFUNCTION("""COMPUTED_VALUE"""),"In Office")</f>
        <v>In Office</v>
      </c>
      <c r="M260" s="31" t="str">
        <f>IFERROR(__xludf.DUMMYFUNCTION("""COMPUTED_VALUE"""),"prakhar.srivastava@zupee.in")</f>
        <v>prakhar.srivastava@zupee.in</v>
      </c>
      <c r="N260" s="31" t="str">
        <f>IFERROR(__xludf.DUMMYFUNCTION("""COMPUTED_VALUE"""),"CLY95JFCQD")</f>
        <v>CLY95JFCQD</v>
      </c>
    </row>
    <row r="261">
      <c r="A261" s="74">
        <f>IFERROR(__xludf.DUMMYFUNCTION("""COMPUTED_VALUE"""),45663.0)</f>
        <v>45663</v>
      </c>
      <c r="B261" s="31" t="str">
        <f>IFERROR(__xludf.DUMMYFUNCTION("""COMPUTED_VALUE"""),"Piyush Kumar")</f>
        <v>Piyush Kumar</v>
      </c>
      <c r="C261" s="31" t="str">
        <f>IFERROR(__xludf.DUMMYFUNCTION("""COMPUTED_VALUE"""),"Technology")</f>
        <v>Technology</v>
      </c>
      <c r="D261" s="31">
        <f>IFERROR(__xludf.DUMMYFUNCTION("""COMPUTED_VALUE"""),6.299433475E9)</f>
        <v>6299433475</v>
      </c>
      <c r="E261" s="31" t="str">
        <f>IFERROR(__xludf.DUMMYFUNCTION("""COMPUTED_VALUE"""),"Software Engineer Trainee")</f>
        <v>Software Engineer Trainee</v>
      </c>
      <c r="F261" s="31" t="str">
        <f>IFERROR(__xludf.DUMMYFUNCTION("""COMPUTED_VALUE"""),"Backend")</f>
        <v>Backend</v>
      </c>
      <c r="G261" s="31" t="str">
        <f>IFERROR(__xludf.DUMMYFUNCTION("""COMPUTED_VALUE"""),"ayushpiyush419@gmail.com")</f>
        <v>ayushpiyush419@gmail.com</v>
      </c>
      <c r="H261" s="31"/>
      <c r="I261" s="75">
        <f>IFERROR(__xludf.DUMMYFUNCTION("""COMPUTED_VALUE"""),45603.0)</f>
        <v>45603</v>
      </c>
      <c r="J261" s="31" t="str">
        <f>IFERROR(__xludf.DUMMYFUNCTION("""COMPUTED_VALUE"""),"Naina")</f>
        <v>Naina</v>
      </c>
      <c r="K261" s="31" t="str">
        <f>IFERROR(__xludf.DUMMYFUNCTION("""COMPUTED_VALUE"""),"Joined")</f>
        <v>Joined</v>
      </c>
      <c r="L261" s="31" t="str">
        <f>IFERROR(__xludf.DUMMYFUNCTION("""COMPUTED_VALUE"""),"In Office")</f>
        <v>In Office</v>
      </c>
      <c r="M261" s="31" t="str">
        <f>IFERROR(__xludf.DUMMYFUNCTION("""COMPUTED_VALUE"""),"piyush.kumar@zupee.in")</f>
        <v>piyush.kumar@zupee.in</v>
      </c>
      <c r="N261" s="31"/>
    </row>
    <row r="262">
      <c r="A262" s="74">
        <f>IFERROR(__xludf.DUMMYFUNCTION("""COMPUTED_VALUE"""),45839.0)</f>
        <v>45839</v>
      </c>
      <c r="B262" s="31" t="str">
        <f>IFERROR(__xludf.DUMMYFUNCTION("""COMPUTED_VALUE"""),"Piyush Kumar")</f>
        <v>Piyush Kumar</v>
      </c>
      <c r="C262" s="31" t="str">
        <f>IFERROR(__xludf.DUMMYFUNCTION("""COMPUTED_VALUE"""),"Technology")</f>
        <v>Technology</v>
      </c>
      <c r="D262" s="31">
        <f>IFERROR(__xludf.DUMMYFUNCTION("""COMPUTED_VALUE"""),6.299433475E9)</f>
        <v>6299433475</v>
      </c>
      <c r="E262" s="31" t="str">
        <f>IFERROR(__xludf.DUMMYFUNCTION("""COMPUTED_VALUE"""),"Software Engineer")</f>
        <v>Software Engineer</v>
      </c>
      <c r="F262" s="31" t="str">
        <f>IFERROR(__xludf.DUMMYFUNCTION("""COMPUTED_VALUE"""),"Backend")</f>
        <v>Backend</v>
      </c>
      <c r="G262" s="31" t="str">
        <f>IFERROR(__xludf.DUMMYFUNCTION("""COMPUTED_VALUE"""),"ayushpiyush419@gmail.com")</f>
        <v>ayushpiyush419@gmail.com</v>
      </c>
      <c r="H262" s="31"/>
      <c r="I262" s="75">
        <f>IFERROR(__xludf.DUMMYFUNCTION("""COMPUTED_VALUE"""),45603.0)</f>
        <v>45603</v>
      </c>
      <c r="J262" s="31" t="str">
        <f>IFERROR(__xludf.DUMMYFUNCTION("""COMPUTED_VALUE"""),"Naina")</f>
        <v>Naina</v>
      </c>
      <c r="K262" s="31" t="str">
        <f>IFERROR(__xludf.DUMMYFUNCTION("""COMPUTED_VALUE"""),"Joined")</f>
        <v>Joined</v>
      </c>
      <c r="L262" s="31" t="str">
        <f>IFERROR(__xludf.DUMMYFUNCTION("""COMPUTED_VALUE"""),"In Office")</f>
        <v>In Office</v>
      </c>
      <c r="M262" s="31" t="str">
        <f>IFERROR(__xludf.DUMMYFUNCTION("""COMPUTED_VALUE"""),"piyush.kumar@zupee.in")</f>
        <v>piyush.kumar@zupee.in</v>
      </c>
      <c r="N262" s="31"/>
    </row>
    <row r="263">
      <c r="A263" s="74">
        <f>IFERROR(__xludf.DUMMYFUNCTION("""COMPUTED_VALUE"""),45663.0)</f>
        <v>45663</v>
      </c>
      <c r="B263" s="31" t="str">
        <f>IFERROR(__xludf.DUMMYFUNCTION("""COMPUTED_VALUE"""),"Vamsi Haridasu")</f>
        <v>Vamsi Haridasu</v>
      </c>
      <c r="C263" s="31" t="str">
        <f>IFERROR(__xludf.DUMMYFUNCTION("""COMPUTED_VALUE"""),"Technology")</f>
        <v>Technology</v>
      </c>
      <c r="D263" s="31">
        <f>IFERROR(__xludf.DUMMYFUNCTION("""COMPUTED_VALUE"""),9.030977729E9)</f>
        <v>9030977729</v>
      </c>
      <c r="E263" s="31" t="str">
        <f>IFERROR(__xludf.DUMMYFUNCTION("""COMPUTED_VALUE"""),"Software Engineer Trainee")</f>
        <v>Software Engineer Trainee</v>
      </c>
      <c r="F263" s="31" t="str">
        <f>IFERROR(__xludf.DUMMYFUNCTION("""COMPUTED_VALUE"""),"Backend")</f>
        <v>Backend</v>
      </c>
      <c r="G263" s="31" t="str">
        <f>IFERROR(__xludf.DUMMYFUNCTION("""COMPUTED_VALUE"""),"vamsiharidasu64@gmail.com")</f>
        <v>vamsiharidasu64@gmail.com</v>
      </c>
      <c r="H263" s="31"/>
      <c r="I263" s="75">
        <f>IFERROR(__xludf.DUMMYFUNCTION("""COMPUTED_VALUE"""),45603.0)</f>
        <v>45603</v>
      </c>
      <c r="J263" s="31" t="str">
        <f>IFERROR(__xludf.DUMMYFUNCTION("""COMPUTED_VALUE"""),"Naina")</f>
        <v>Naina</v>
      </c>
      <c r="K263" s="31" t="str">
        <f>IFERROR(__xludf.DUMMYFUNCTION("""COMPUTED_VALUE"""),"Joined")</f>
        <v>Joined</v>
      </c>
      <c r="L263" s="31" t="str">
        <f>IFERROR(__xludf.DUMMYFUNCTION("""COMPUTED_VALUE"""),"In Office")</f>
        <v>In Office</v>
      </c>
      <c r="M263" s="31" t="str">
        <f>IFERROR(__xludf.DUMMYFUNCTION("""COMPUTED_VALUE"""),"vamsi.haridasu@zupee.in")</f>
        <v>vamsi.haridasu@zupee.in</v>
      </c>
      <c r="N263" s="31" t="str">
        <f>IFERROR(__xludf.DUMMYFUNCTION("""COMPUTED_VALUE"""),"KKXYW6GXVC")</f>
        <v>KKXYW6GXVC</v>
      </c>
    </row>
    <row r="264">
      <c r="A264" s="74">
        <f>IFERROR(__xludf.DUMMYFUNCTION("""COMPUTED_VALUE"""),45839.0)</f>
        <v>45839</v>
      </c>
      <c r="B264" s="31" t="str">
        <f>IFERROR(__xludf.DUMMYFUNCTION("""COMPUTED_VALUE"""),"Vamsi Haridasu")</f>
        <v>Vamsi Haridasu</v>
      </c>
      <c r="C264" s="31" t="str">
        <f>IFERROR(__xludf.DUMMYFUNCTION("""COMPUTED_VALUE"""),"Technology")</f>
        <v>Technology</v>
      </c>
      <c r="D264" s="31">
        <f>IFERROR(__xludf.DUMMYFUNCTION("""COMPUTED_VALUE"""),9.030977729E9)</f>
        <v>9030977729</v>
      </c>
      <c r="E264" s="31" t="str">
        <f>IFERROR(__xludf.DUMMYFUNCTION("""COMPUTED_VALUE"""),"Software Engineer")</f>
        <v>Software Engineer</v>
      </c>
      <c r="F264" s="31" t="str">
        <f>IFERROR(__xludf.DUMMYFUNCTION("""COMPUTED_VALUE"""),"Backend")</f>
        <v>Backend</v>
      </c>
      <c r="G264" s="31" t="str">
        <f>IFERROR(__xludf.DUMMYFUNCTION("""COMPUTED_VALUE"""),"vamsiharidasu64@gmail.com")</f>
        <v>vamsiharidasu64@gmail.com</v>
      </c>
      <c r="H264" s="31"/>
      <c r="I264" s="75">
        <f>IFERROR(__xludf.DUMMYFUNCTION("""COMPUTED_VALUE"""),45603.0)</f>
        <v>45603</v>
      </c>
      <c r="J264" s="31" t="str">
        <f>IFERROR(__xludf.DUMMYFUNCTION("""COMPUTED_VALUE"""),"Naina")</f>
        <v>Naina</v>
      </c>
      <c r="K264" s="31" t="str">
        <f>IFERROR(__xludf.DUMMYFUNCTION("""COMPUTED_VALUE"""),"Joined")</f>
        <v>Joined</v>
      </c>
      <c r="L264" s="31" t="str">
        <f>IFERROR(__xludf.DUMMYFUNCTION("""COMPUTED_VALUE"""),"In Office")</f>
        <v>In Office</v>
      </c>
      <c r="M264" s="31" t="str">
        <f>IFERROR(__xludf.DUMMYFUNCTION("""COMPUTED_VALUE"""),"vamsi.haridasu@zupee.in")</f>
        <v>vamsi.haridasu@zupee.in</v>
      </c>
      <c r="N264" s="31" t="str">
        <f>IFERROR(__xludf.DUMMYFUNCTION("""COMPUTED_VALUE"""),"KKXYW6GXVC")</f>
        <v>KKXYW6GXVC</v>
      </c>
    </row>
    <row r="265">
      <c r="A265" s="74">
        <f>IFERROR(__xludf.DUMMYFUNCTION("""COMPUTED_VALUE"""),45663.0)</f>
        <v>45663</v>
      </c>
      <c r="B265" s="31" t="str">
        <f>IFERROR(__xludf.DUMMYFUNCTION("""COMPUTED_VALUE"""),"Upamdeep Buragohain")</f>
        <v>Upamdeep Buragohain</v>
      </c>
      <c r="C265" s="31" t="str">
        <f>IFERROR(__xludf.DUMMYFUNCTION("""COMPUTED_VALUE"""),"Technology")</f>
        <v>Technology</v>
      </c>
      <c r="D265" s="31">
        <f>IFERROR(__xludf.DUMMYFUNCTION("""COMPUTED_VALUE"""),9.8649405E9)</f>
        <v>9864940500</v>
      </c>
      <c r="E265" s="31" t="str">
        <f>IFERROR(__xludf.DUMMYFUNCTION("""COMPUTED_VALUE"""),"Software Engineer Trainee")</f>
        <v>Software Engineer Trainee</v>
      </c>
      <c r="F265" s="31" t="str">
        <f>IFERROR(__xludf.DUMMYFUNCTION("""COMPUTED_VALUE"""),"Backend")</f>
        <v>Backend</v>
      </c>
      <c r="G265" s="31" t="str">
        <f>IFERROR(__xludf.DUMMYFUNCTION("""COMPUTED_VALUE"""),"buragohainupam@gmail.com")</f>
        <v>buragohainupam@gmail.com</v>
      </c>
      <c r="H265" s="31"/>
      <c r="I265" s="75">
        <f>IFERROR(__xludf.DUMMYFUNCTION("""COMPUTED_VALUE"""),45603.0)</f>
        <v>45603</v>
      </c>
      <c r="J265" s="31" t="str">
        <f>IFERROR(__xludf.DUMMYFUNCTION("""COMPUTED_VALUE"""),"Naina")</f>
        <v>Naina</v>
      </c>
      <c r="K265" s="31" t="str">
        <f>IFERROR(__xludf.DUMMYFUNCTION("""COMPUTED_VALUE"""),"Joined")</f>
        <v>Joined</v>
      </c>
      <c r="L265" s="31" t="str">
        <f>IFERROR(__xludf.DUMMYFUNCTION("""COMPUTED_VALUE"""),"In Office")</f>
        <v>In Office</v>
      </c>
      <c r="M265" s="31" t="str">
        <f>IFERROR(__xludf.DUMMYFUNCTION("""COMPUTED_VALUE"""),"upamdeep.buragohain@zupee.in")</f>
        <v>upamdeep.buragohain@zupee.in</v>
      </c>
      <c r="N265" s="31" t="str">
        <f>IFERROR(__xludf.DUMMYFUNCTION("""COMPUTED_VALUE"""),"MQ01WLP23K")</f>
        <v>MQ01WLP23K</v>
      </c>
    </row>
    <row r="266">
      <c r="A266" s="74">
        <f>IFERROR(__xludf.DUMMYFUNCTION("""COMPUTED_VALUE"""),45839.0)</f>
        <v>45839</v>
      </c>
      <c r="B266" s="31" t="str">
        <f>IFERROR(__xludf.DUMMYFUNCTION("""COMPUTED_VALUE"""),"Upamdeep Buragohain")</f>
        <v>Upamdeep Buragohain</v>
      </c>
      <c r="C266" s="31" t="str">
        <f>IFERROR(__xludf.DUMMYFUNCTION("""COMPUTED_VALUE"""),"Technology")</f>
        <v>Technology</v>
      </c>
      <c r="D266" s="31">
        <f>IFERROR(__xludf.DUMMYFUNCTION("""COMPUTED_VALUE"""),9.8649405E9)</f>
        <v>9864940500</v>
      </c>
      <c r="E266" s="31" t="str">
        <f>IFERROR(__xludf.DUMMYFUNCTION("""COMPUTED_VALUE"""),"Software Engineer")</f>
        <v>Software Engineer</v>
      </c>
      <c r="F266" s="31" t="str">
        <f>IFERROR(__xludf.DUMMYFUNCTION("""COMPUTED_VALUE"""),"Backend")</f>
        <v>Backend</v>
      </c>
      <c r="G266" s="31" t="str">
        <f>IFERROR(__xludf.DUMMYFUNCTION("""COMPUTED_VALUE"""),"buragohainupam@gmail.com")</f>
        <v>buragohainupam@gmail.com</v>
      </c>
      <c r="H266" s="31"/>
      <c r="I266" s="75">
        <f>IFERROR(__xludf.DUMMYFUNCTION("""COMPUTED_VALUE"""),45603.0)</f>
        <v>45603</v>
      </c>
      <c r="J266" s="31" t="str">
        <f>IFERROR(__xludf.DUMMYFUNCTION("""COMPUTED_VALUE"""),"Naina")</f>
        <v>Naina</v>
      </c>
      <c r="K266" s="31" t="str">
        <f>IFERROR(__xludf.DUMMYFUNCTION("""COMPUTED_VALUE"""),"Joined")</f>
        <v>Joined</v>
      </c>
      <c r="L266" s="31" t="str">
        <f>IFERROR(__xludf.DUMMYFUNCTION("""COMPUTED_VALUE"""),"In Office")</f>
        <v>In Office</v>
      </c>
      <c r="M266" s="31" t="str">
        <f>IFERROR(__xludf.DUMMYFUNCTION("""COMPUTED_VALUE"""),"upamdeep.buragohain@zupee.in")</f>
        <v>upamdeep.buragohain@zupee.in</v>
      </c>
      <c r="N266" s="31" t="str">
        <f>IFERROR(__xludf.DUMMYFUNCTION("""COMPUTED_VALUE"""),"MQ01WLP23K")</f>
        <v>MQ01WLP23K</v>
      </c>
    </row>
    <row r="267">
      <c r="A267" s="74">
        <f>IFERROR(__xludf.DUMMYFUNCTION("""COMPUTED_VALUE"""),45663.0)</f>
        <v>45663</v>
      </c>
      <c r="B267" s="31" t="str">
        <f>IFERROR(__xludf.DUMMYFUNCTION("""COMPUTED_VALUE"""),"Amit Roy")</f>
        <v>Amit Roy</v>
      </c>
      <c r="C267" s="31" t="str">
        <f>IFERROR(__xludf.DUMMYFUNCTION("""COMPUTED_VALUE"""),"Technology")</f>
        <v>Technology</v>
      </c>
      <c r="D267" s="31">
        <f>IFERROR(__xludf.DUMMYFUNCTION("""COMPUTED_VALUE"""),6.000108469E9)</f>
        <v>6000108469</v>
      </c>
      <c r="E267" s="31" t="str">
        <f>IFERROR(__xludf.DUMMYFUNCTION("""COMPUTED_VALUE"""),"Software Engineer Trainee")</f>
        <v>Software Engineer Trainee</v>
      </c>
      <c r="F267" s="31" t="str">
        <f>IFERROR(__xludf.DUMMYFUNCTION("""COMPUTED_VALUE"""),"Backend")</f>
        <v>Backend</v>
      </c>
      <c r="G267" s="31" t="str">
        <f>IFERROR(__xludf.DUMMYFUNCTION("""COMPUTED_VALUE"""),"aroy104321@gmail.com")</f>
        <v>aroy104321@gmail.com</v>
      </c>
      <c r="H267" s="31"/>
      <c r="I267" s="75">
        <f>IFERROR(__xludf.DUMMYFUNCTION("""COMPUTED_VALUE"""),45603.0)</f>
        <v>45603</v>
      </c>
      <c r="J267" s="31" t="str">
        <f>IFERROR(__xludf.DUMMYFUNCTION("""COMPUTED_VALUE"""),"Naina")</f>
        <v>Naina</v>
      </c>
      <c r="K267" s="31" t="str">
        <f>IFERROR(__xludf.DUMMYFUNCTION("""COMPUTED_VALUE"""),"Joined")</f>
        <v>Joined</v>
      </c>
      <c r="L267" s="31" t="str">
        <f>IFERROR(__xludf.DUMMYFUNCTION("""COMPUTED_VALUE"""),"In Office")</f>
        <v>In Office</v>
      </c>
      <c r="M267" s="31" t="str">
        <f>IFERROR(__xludf.DUMMYFUNCTION("""COMPUTED_VALUE"""),"amit.roy@zupee.in")</f>
        <v>amit.roy@zupee.in</v>
      </c>
      <c r="N267" s="31" t="str">
        <f>IFERROR(__xludf.DUMMYFUNCTION("""COMPUTED_VALUE"""),"M9QJM6JPJ4")</f>
        <v>M9QJM6JPJ4</v>
      </c>
    </row>
    <row r="268">
      <c r="A268" s="74">
        <f>IFERROR(__xludf.DUMMYFUNCTION("""COMPUTED_VALUE"""),45839.0)</f>
        <v>45839</v>
      </c>
      <c r="B268" s="31" t="str">
        <f>IFERROR(__xludf.DUMMYFUNCTION("""COMPUTED_VALUE"""),"Amit Roy")</f>
        <v>Amit Roy</v>
      </c>
      <c r="C268" s="31" t="str">
        <f>IFERROR(__xludf.DUMMYFUNCTION("""COMPUTED_VALUE"""),"Technology")</f>
        <v>Technology</v>
      </c>
      <c r="D268" s="31">
        <f>IFERROR(__xludf.DUMMYFUNCTION("""COMPUTED_VALUE"""),6.000108469E9)</f>
        <v>6000108469</v>
      </c>
      <c r="E268" s="31" t="str">
        <f>IFERROR(__xludf.DUMMYFUNCTION("""COMPUTED_VALUE"""),"Software Engineer")</f>
        <v>Software Engineer</v>
      </c>
      <c r="F268" s="31" t="str">
        <f>IFERROR(__xludf.DUMMYFUNCTION("""COMPUTED_VALUE"""),"Backend")</f>
        <v>Backend</v>
      </c>
      <c r="G268" s="31" t="str">
        <f>IFERROR(__xludf.DUMMYFUNCTION("""COMPUTED_VALUE"""),"aroy104321@gmail.com")</f>
        <v>aroy104321@gmail.com</v>
      </c>
      <c r="H268" s="31"/>
      <c r="I268" s="75">
        <f>IFERROR(__xludf.DUMMYFUNCTION("""COMPUTED_VALUE"""),45603.0)</f>
        <v>45603</v>
      </c>
      <c r="J268" s="31" t="str">
        <f>IFERROR(__xludf.DUMMYFUNCTION("""COMPUTED_VALUE"""),"Naina")</f>
        <v>Naina</v>
      </c>
      <c r="K268" s="31" t="str">
        <f>IFERROR(__xludf.DUMMYFUNCTION("""COMPUTED_VALUE"""),"Joined")</f>
        <v>Joined</v>
      </c>
      <c r="L268" s="31" t="str">
        <f>IFERROR(__xludf.DUMMYFUNCTION("""COMPUTED_VALUE"""),"In Office")</f>
        <v>In Office</v>
      </c>
      <c r="M268" s="31" t="str">
        <f>IFERROR(__xludf.DUMMYFUNCTION("""COMPUTED_VALUE"""),"amit.roy@zupee.in")</f>
        <v>amit.roy@zupee.in</v>
      </c>
      <c r="N268" s="31" t="str">
        <f>IFERROR(__xludf.DUMMYFUNCTION("""COMPUTED_VALUE"""),"M9QJM6JPJ4")</f>
        <v>M9QJM6JPJ4</v>
      </c>
    </row>
    <row r="269">
      <c r="A269" s="74">
        <f>IFERROR(__xludf.DUMMYFUNCTION("""COMPUTED_VALUE"""),45663.0)</f>
        <v>45663</v>
      </c>
      <c r="B269" s="31" t="str">
        <f>IFERROR(__xludf.DUMMYFUNCTION("""COMPUTED_VALUE"""),"Priyanshu Jha")</f>
        <v>Priyanshu Jha</v>
      </c>
      <c r="C269" s="31" t="str">
        <f>IFERROR(__xludf.DUMMYFUNCTION("""COMPUTED_VALUE"""),"Technology")</f>
        <v>Technology</v>
      </c>
      <c r="D269" s="31">
        <f>IFERROR(__xludf.DUMMYFUNCTION("""COMPUTED_VALUE"""),7.63606226E9)</f>
        <v>7636062260</v>
      </c>
      <c r="E269" s="31" t="str">
        <f>IFERROR(__xludf.DUMMYFUNCTION("""COMPUTED_VALUE"""),"Software Engineer Trainee")</f>
        <v>Software Engineer Trainee</v>
      </c>
      <c r="F269" s="31" t="str">
        <f>IFERROR(__xludf.DUMMYFUNCTION("""COMPUTED_VALUE"""),"Backend")</f>
        <v>Backend</v>
      </c>
      <c r="G269" s="31" t="str">
        <f>IFERROR(__xludf.DUMMYFUNCTION("""COMPUTED_VALUE"""),"priyansujha6@gmail.com")</f>
        <v>priyansujha6@gmail.com</v>
      </c>
      <c r="H269" s="31"/>
      <c r="I269" s="75">
        <f>IFERROR(__xludf.DUMMYFUNCTION("""COMPUTED_VALUE"""),45603.0)</f>
        <v>45603</v>
      </c>
      <c r="J269" s="31" t="str">
        <f>IFERROR(__xludf.DUMMYFUNCTION("""COMPUTED_VALUE"""),"Naina")</f>
        <v>Naina</v>
      </c>
      <c r="K269" s="31" t="str">
        <f>IFERROR(__xludf.DUMMYFUNCTION("""COMPUTED_VALUE"""),"Joined")</f>
        <v>Joined</v>
      </c>
      <c r="L269" s="31" t="str">
        <f>IFERROR(__xludf.DUMMYFUNCTION("""COMPUTED_VALUE"""),"In Office")</f>
        <v>In Office</v>
      </c>
      <c r="M269" s="31" t="str">
        <f>IFERROR(__xludf.DUMMYFUNCTION("""COMPUTED_VALUE"""),"priyanshu.jha@zupee.in")</f>
        <v>priyanshu.jha@zupee.in</v>
      </c>
      <c r="N269" s="31" t="str">
        <f>IFERROR(__xludf.DUMMYFUNCTION("""COMPUTED_VALUE"""),"MYX005G2HC")</f>
        <v>MYX005G2HC</v>
      </c>
    </row>
    <row r="270">
      <c r="A270" s="74">
        <f>IFERROR(__xludf.DUMMYFUNCTION("""COMPUTED_VALUE"""),45839.0)</f>
        <v>45839</v>
      </c>
      <c r="B270" s="31" t="str">
        <f>IFERROR(__xludf.DUMMYFUNCTION("""COMPUTED_VALUE"""),"Priyanshu Jha")</f>
        <v>Priyanshu Jha</v>
      </c>
      <c r="C270" s="31" t="str">
        <f>IFERROR(__xludf.DUMMYFUNCTION("""COMPUTED_VALUE"""),"Technology")</f>
        <v>Technology</v>
      </c>
      <c r="D270" s="31">
        <f>IFERROR(__xludf.DUMMYFUNCTION("""COMPUTED_VALUE"""),7.63606226E9)</f>
        <v>7636062260</v>
      </c>
      <c r="E270" s="31" t="str">
        <f>IFERROR(__xludf.DUMMYFUNCTION("""COMPUTED_VALUE"""),"Software Engineer")</f>
        <v>Software Engineer</v>
      </c>
      <c r="F270" s="31" t="str">
        <f>IFERROR(__xludf.DUMMYFUNCTION("""COMPUTED_VALUE"""),"Backend")</f>
        <v>Backend</v>
      </c>
      <c r="G270" s="31" t="str">
        <f>IFERROR(__xludf.DUMMYFUNCTION("""COMPUTED_VALUE"""),"priyansujha6@gmail.com")</f>
        <v>priyansujha6@gmail.com</v>
      </c>
      <c r="H270" s="31"/>
      <c r="I270" s="75">
        <f>IFERROR(__xludf.DUMMYFUNCTION("""COMPUTED_VALUE"""),45603.0)</f>
        <v>45603</v>
      </c>
      <c r="J270" s="31" t="str">
        <f>IFERROR(__xludf.DUMMYFUNCTION("""COMPUTED_VALUE"""),"Naina")</f>
        <v>Naina</v>
      </c>
      <c r="K270" s="31" t="str">
        <f>IFERROR(__xludf.DUMMYFUNCTION("""COMPUTED_VALUE"""),"Joined")</f>
        <v>Joined</v>
      </c>
      <c r="L270" s="31" t="str">
        <f>IFERROR(__xludf.DUMMYFUNCTION("""COMPUTED_VALUE"""),"In Office")</f>
        <v>In Office</v>
      </c>
      <c r="M270" s="31" t="str">
        <f>IFERROR(__xludf.DUMMYFUNCTION("""COMPUTED_VALUE"""),"priyanshu.jha@zupee.in")</f>
        <v>priyanshu.jha@zupee.in</v>
      </c>
      <c r="N270" s="31" t="str">
        <f>IFERROR(__xludf.DUMMYFUNCTION("""COMPUTED_VALUE"""),"MYX005G2HC")</f>
        <v>MYX005G2HC</v>
      </c>
    </row>
    <row r="271">
      <c r="A271" s="74">
        <f>IFERROR(__xludf.DUMMYFUNCTION("""COMPUTED_VALUE"""),45642.0)</f>
        <v>45642</v>
      </c>
      <c r="B271" s="31" t="str">
        <f>IFERROR(__xludf.DUMMYFUNCTION("""COMPUTED_VALUE"""),"Arsh Jethi")</f>
        <v>Arsh Jethi</v>
      </c>
      <c r="C271" s="31" t="str">
        <f>IFERROR(__xludf.DUMMYFUNCTION("""COMPUTED_VALUE"""),"Analytics")</f>
        <v>Analytics</v>
      </c>
      <c r="D271" s="31">
        <f>IFERROR(__xludf.DUMMYFUNCTION("""COMPUTED_VALUE"""),7.71044003E9)</f>
        <v>7710440030</v>
      </c>
      <c r="E271" s="31" t="str">
        <f>IFERROR(__xludf.DUMMYFUNCTION("""COMPUTED_VALUE"""),"Lead Data Analyst")</f>
        <v>Lead Data Analyst</v>
      </c>
      <c r="F271" s="31" t="str">
        <f>IFERROR(__xludf.DUMMYFUNCTION("""COMPUTED_VALUE"""),"Product")</f>
        <v>Product</v>
      </c>
      <c r="G271" s="31" t="str">
        <f>IFERROR(__xludf.DUMMYFUNCTION("""COMPUTED_VALUE"""),"arshjethi777@gmail.com")</f>
        <v>arshjethi777@gmail.com</v>
      </c>
      <c r="H271" s="31" t="str">
        <f>IFERROR(__xludf.DUMMYFUNCTION("""COMPUTED_VALUE"""),"Raman Malik")</f>
        <v>Raman Malik</v>
      </c>
      <c r="I271" s="75">
        <f>IFERROR(__xludf.DUMMYFUNCTION("""COMPUTED_VALUE"""),45604.0)</f>
        <v>45604</v>
      </c>
      <c r="J271" s="31" t="str">
        <f>IFERROR(__xludf.DUMMYFUNCTION("""COMPUTED_VALUE"""),"Nidhi Khedekar")</f>
        <v>Nidhi Khedekar</v>
      </c>
      <c r="K271" s="31" t="str">
        <f>IFERROR(__xludf.DUMMYFUNCTION("""COMPUTED_VALUE"""),"Joined")</f>
        <v>Joined</v>
      </c>
      <c r="L271" s="31" t="str">
        <f>IFERROR(__xludf.DUMMYFUNCTION("""COMPUTED_VALUE"""),"In Office")</f>
        <v>In Office</v>
      </c>
      <c r="M271" s="31" t="str">
        <f>IFERROR(__xludf.DUMMYFUNCTION("""COMPUTED_VALUE"""),"arsh.jethi@zupee.in")</f>
        <v>arsh.jethi@zupee.in</v>
      </c>
      <c r="N271" s="31" t="str">
        <f>IFERROR(__xludf.DUMMYFUNCTION("""COMPUTED_VALUE"""),"L290P2JG3Q")</f>
        <v>L290P2JG3Q</v>
      </c>
    </row>
    <row r="272">
      <c r="A272" s="74">
        <f>IFERROR(__xludf.DUMMYFUNCTION("""COMPUTED_VALUE"""),45628.0)</f>
        <v>45628</v>
      </c>
      <c r="B272" s="31" t="str">
        <f>IFERROR(__xludf.DUMMYFUNCTION("""COMPUTED_VALUE"""),"Aditya Pareek")</f>
        <v>Aditya Pareek</v>
      </c>
      <c r="C272" s="31" t="str">
        <f>IFERROR(__xludf.DUMMYFUNCTION("""COMPUTED_VALUE"""),"Data Science")</f>
        <v>Data Science</v>
      </c>
      <c r="D272" s="31">
        <f>IFERROR(__xludf.DUMMYFUNCTION("""COMPUTED_VALUE"""),9.711763847E9)</f>
        <v>9711763847</v>
      </c>
      <c r="E272" s="31" t="str">
        <f>IFERROR(__xludf.DUMMYFUNCTION("""COMPUTED_VALUE"""),"Senior Data Scientist")</f>
        <v>Senior Data Scientist</v>
      </c>
      <c r="F272" s="31" t="str">
        <f>IFERROR(__xludf.DUMMYFUNCTION("""COMPUTED_VALUE"""),"Data Science")</f>
        <v>Data Science</v>
      </c>
      <c r="G272" s="31" t="str">
        <f>IFERROR(__xludf.DUMMYFUNCTION("""COMPUTED_VALUE"""),"aditya.p97@gmail.com")</f>
        <v>aditya.p97@gmail.com</v>
      </c>
      <c r="H272" s="31"/>
      <c r="I272" s="75">
        <f>IFERROR(__xludf.DUMMYFUNCTION("""COMPUTED_VALUE"""),45604.0)</f>
        <v>45604</v>
      </c>
      <c r="J272" s="31" t="str">
        <f>IFERROR(__xludf.DUMMYFUNCTION("""COMPUTED_VALUE"""),"Mamta Pandey")</f>
        <v>Mamta Pandey</v>
      </c>
      <c r="K272" s="31" t="str">
        <f>IFERROR(__xludf.DUMMYFUNCTION("""COMPUTED_VALUE"""),"Offer Declined")</f>
        <v>Offer Declined</v>
      </c>
      <c r="L272" s="31" t="str">
        <f>IFERROR(__xludf.DUMMYFUNCTION("""COMPUTED_VALUE"""),"In Office")</f>
        <v>In Office</v>
      </c>
      <c r="M272" s="31"/>
      <c r="N272" s="31"/>
    </row>
    <row r="273">
      <c r="A273" s="74">
        <f>IFERROR(__xludf.DUMMYFUNCTION("""COMPUTED_VALUE"""),45609.0)</f>
        <v>45609</v>
      </c>
      <c r="B273" s="31" t="str">
        <f>IFERROR(__xludf.DUMMYFUNCTION("""COMPUTED_VALUE"""),"Prashant Pundir")</f>
        <v>Prashant Pundir</v>
      </c>
      <c r="C273" s="31" t="str">
        <f>IFERROR(__xludf.DUMMYFUNCTION("""COMPUTED_VALUE"""),"Technology")</f>
        <v>Technology</v>
      </c>
      <c r="D273" s="31">
        <f>IFERROR(__xludf.DUMMYFUNCTION("""COMPUTED_VALUE"""),7.252089545E9)</f>
        <v>7252089545</v>
      </c>
      <c r="E273" s="31" t="str">
        <f>IFERROR(__xludf.DUMMYFUNCTION("""COMPUTED_VALUE"""),"Software Development Engineer in Test")</f>
        <v>Software Development Engineer in Test</v>
      </c>
      <c r="F273" s="31" t="str">
        <f>IFERROR(__xludf.DUMMYFUNCTION("""COMPUTED_VALUE"""),"SDET")</f>
        <v>SDET</v>
      </c>
      <c r="G273" s="31" t="str">
        <f>IFERROR(__xludf.DUMMYFUNCTION("""COMPUTED_VALUE"""),"pundirprashant545@gmail.com")</f>
        <v>pundirprashant545@gmail.com</v>
      </c>
      <c r="H273" s="31" t="str">
        <f>IFERROR(__xludf.DUMMYFUNCTION("""COMPUTED_VALUE"""),"Sahil Puri")</f>
        <v>Sahil Puri</v>
      </c>
      <c r="I273" s="75">
        <f>IFERROR(__xludf.DUMMYFUNCTION("""COMPUTED_VALUE"""),45607.0)</f>
        <v>45607</v>
      </c>
      <c r="J273" s="31" t="str">
        <f>IFERROR(__xludf.DUMMYFUNCTION("""COMPUTED_VALUE"""),"Vipin Kumar")</f>
        <v>Vipin Kumar</v>
      </c>
      <c r="K273" s="31" t="str">
        <f>IFERROR(__xludf.DUMMYFUNCTION("""COMPUTED_VALUE"""),"Joined")</f>
        <v>Joined</v>
      </c>
      <c r="L273" s="31" t="str">
        <f>IFERROR(__xludf.DUMMYFUNCTION("""COMPUTED_VALUE"""),"In Office")</f>
        <v>In Office</v>
      </c>
      <c r="M273" s="31" t="str">
        <f>IFERROR(__xludf.DUMMYFUNCTION("""COMPUTED_VALUE"""),"prashant.pundir@zupee.in")</f>
        <v>prashant.pundir@zupee.in</v>
      </c>
      <c r="N273" s="31"/>
    </row>
    <row r="274">
      <c r="A274" s="74">
        <f>IFERROR(__xludf.DUMMYFUNCTION("""COMPUTED_VALUE"""),45642.0)</f>
        <v>45642</v>
      </c>
      <c r="B274" s="31" t="str">
        <f>IFERROR(__xludf.DUMMYFUNCTION("""COMPUTED_VALUE"""),"Awadhesh Patel")</f>
        <v>Awadhesh Patel</v>
      </c>
      <c r="C274" s="31" t="str">
        <f>IFERROR(__xludf.DUMMYFUNCTION("""COMPUTED_VALUE"""),"Technology")</f>
        <v>Technology</v>
      </c>
      <c r="D274" s="31">
        <f>IFERROR(__xludf.DUMMYFUNCTION("""COMPUTED_VALUE"""),8.770821591E9)</f>
        <v>8770821591</v>
      </c>
      <c r="E274" s="31" t="str">
        <f>IFERROR(__xludf.DUMMYFUNCTION("""COMPUTED_VALUE"""),"Senior Software Engineer-Website")</f>
        <v>Senior Software Engineer-Website</v>
      </c>
      <c r="F274" s="31" t="str">
        <f>IFERROR(__xludf.DUMMYFUNCTION("""COMPUTED_VALUE"""),"Engineering")</f>
        <v>Engineering</v>
      </c>
      <c r="G274" s="31" t="str">
        <f>IFERROR(__xludf.DUMMYFUNCTION("""COMPUTED_VALUE"""),"aavadheshpatel123@gmail.com")</f>
        <v>aavadheshpatel123@gmail.com</v>
      </c>
      <c r="H274" s="31" t="str">
        <f>IFERROR(__xludf.DUMMYFUNCTION("""COMPUTED_VALUE"""),"Anshul Mittal")</f>
        <v>Anshul Mittal</v>
      </c>
      <c r="I274" s="75">
        <f>IFERROR(__xludf.DUMMYFUNCTION("""COMPUTED_VALUE"""),45608.0)</f>
        <v>45608</v>
      </c>
      <c r="J274" s="31" t="str">
        <f>IFERROR(__xludf.DUMMYFUNCTION("""COMPUTED_VALUE"""),"Shivam Sharma")</f>
        <v>Shivam Sharma</v>
      </c>
      <c r="K274" s="31" t="str">
        <f>IFERROR(__xludf.DUMMYFUNCTION("""COMPUTED_VALUE"""),"Offer Declined")</f>
        <v>Offer Declined</v>
      </c>
      <c r="L274" s="31" t="str">
        <f>IFERROR(__xludf.DUMMYFUNCTION("""COMPUTED_VALUE"""),"In Office")</f>
        <v>In Office</v>
      </c>
      <c r="M274" s="31"/>
      <c r="N274" s="31"/>
    </row>
    <row r="275">
      <c r="A275" s="74">
        <f>IFERROR(__xludf.DUMMYFUNCTION("""COMPUTED_VALUE"""),45677.0)</f>
        <v>45677</v>
      </c>
      <c r="B275" s="31" t="str">
        <f>IFERROR(__xludf.DUMMYFUNCTION("""COMPUTED_VALUE"""),"Arushi Patni")</f>
        <v>Arushi Patni</v>
      </c>
      <c r="C275" s="31" t="str">
        <f>IFERROR(__xludf.DUMMYFUNCTION("""COMPUTED_VALUE"""),"Finance")</f>
        <v>Finance</v>
      </c>
      <c r="D275" s="31">
        <f>IFERROR(__xludf.DUMMYFUNCTION("""COMPUTED_VALUE"""),8.05865647E9)</f>
        <v>8058656470</v>
      </c>
      <c r="E275" s="31" t="str">
        <f>IFERROR(__xludf.DUMMYFUNCTION("""COMPUTED_VALUE"""),"AM-Business Finance")</f>
        <v>AM-Business Finance</v>
      </c>
      <c r="F275" s="31" t="str">
        <f>IFERROR(__xludf.DUMMYFUNCTION("""COMPUTED_VALUE"""),"Finance")</f>
        <v>Finance</v>
      </c>
      <c r="G275" s="31" t="str">
        <f>IFERROR(__xludf.DUMMYFUNCTION("""COMPUTED_VALUE"""),"patniarushi@gmail.com")</f>
        <v>patniarushi@gmail.com</v>
      </c>
      <c r="H275" s="31" t="str">
        <f>IFERROR(__xludf.DUMMYFUNCTION("""COMPUTED_VALUE"""),"Shashank Gupta")</f>
        <v>Shashank Gupta</v>
      </c>
      <c r="I275" s="75">
        <f>IFERROR(__xludf.DUMMYFUNCTION("""COMPUTED_VALUE"""),45610.0)</f>
        <v>45610</v>
      </c>
      <c r="J275" s="31" t="str">
        <f>IFERROR(__xludf.DUMMYFUNCTION("""COMPUTED_VALUE"""),"Nidhi Khedekar")</f>
        <v>Nidhi Khedekar</v>
      </c>
      <c r="K275" s="31" t="str">
        <f>IFERROR(__xludf.DUMMYFUNCTION("""COMPUTED_VALUE"""),"Joined")</f>
        <v>Joined</v>
      </c>
      <c r="L275" s="31" t="str">
        <f>IFERROR(__xludf.DUMMYFUNCTION("""COMPUTED_VALUE"""),"In Office")</f>
        <v>In Office</v>
      </c>
      <c r="M275" s="31" t="str">
        <f>IFERROR(__xludf.DUMMYFUNCTION("""COMPUTED_VALUE"""),"arushi.patni@zupee.in")</f>
        <v>arushi.patni@zupee.in</v>
      </c>
      <c r="N275" s="31"/>
    </row>
    <row r="276">
      <c r="A276" s="74">
        <f>IFERROR(__xludf.DUMMYFUNCTION("""COMPUTED_VALUE"""),45650.0)</f>
        <v>45650</v>
      </c>
      <c r="B276" s="31" t="str">
        <f>IFERROR(__xludf.DUMMYFUNCTION("""COMPUTED_VALUE"""),"Ankit Maheshwari")</f>
        <v>Ankit Maheshwari</v>
      </c>
      <c r="C276" s="31" t="str">
        <f>IFERROR(__xludf.DUMMYFUNCTION("""COMPUTED_VALUE"""),"Finance")</f>
        <v>Finance</v>
      </c>
      <c r="D276" s="31"/>
      <c r="E276" s="31" t="str">
        <f>IFERROR(__xludf.DUMMYFUNCTION("""COMPUTED_VALUE"""),"Head of Finance")</f>
        <v>Head of Finance</v>
      </c>
      <c r="F276" s="31" t="str">
        <f>IFERROR(__xludf.DUMMYFUNCTION("""COMPUTED_VALUE"""),"Finance")</f>
        <v>Finance</v>
      </c>
      <c r="G276" s="31" t="str">
        <f>IFERROR(__xludf.DUMMYFUNCTION("""COMPUTED_VALUE"""),"caankit.1437@gmail.com")</f>
        <v>caankit.1437@gmail.com</v>
      </c>
      <c r="H276" s="31" t="str">
        <f>IFERROR(__xludf.DUMMYFUNCTION("""COMPUTED_VALUE"""),"Dilsher Malhi")</f>
        <v>Dilsher Malhi</v>
      </c>
      <c r="I276" s="75">
        <f>IFERROR(__xludf.DUMMYFUNCTION("""COMPUTED_VALUE"""),45612.0)</f>
        <v>45612</v>
      </c>
      <c r="J276" s="31" t="str">
        <f>IFERROR(__xludf.DUMMYFUNCTION("""COMPUTED_VALUE"""),"M Sangeetha")</f>
        <v>M Sangeetha</v>
      </c>
      <c r="K276" s="31" t="str">
        <f>IFERROR(__xludf.DUMMYFUNCTION("""COMPUTED_VALUE"""),"Joined")</f>
        <v>Joined</v>
      </c>
      <c r="L276" s="31" t="str">
        <f>IFERROR(__xludf.DUMMYFUNCTION("""COMPUTED_VALUE"""),"In Office")</f>
        <v>In Office</v>
      </c>
      <c r="M276" s="31" t="str">
        <f>IFERROR(__xludf.DUMMYFUNCTION("""COMPUTED_VALUE"""),"ankit.maheshwari@zupee.in")</f>
        <v>ankit.maheshwari@zupee.in</v>
      </c>
      <c r="N276" s="31" t="str">
        <f>IFERROR(__xludf.DUMMYFUNCTION("""COMPUTED_VALUE"""),"5CG4241FWP")</f>
        <v>5CG4241FWP</v>
      </c>
    </row>
    <row r="277">
      <c r="A277" s="74">
        <f>IFERROR(__xludf.DUMMYFUNCTION("""COMPUTED_VALUE"""),45644.0)</f>
        <v>45644</v>
      </c>
      <c r="B277" s="31" t="str">
        <f>IFERROR(__xludf.DUMMYFUNCTION("""COMPUTED_VALUE"""),"Mukesh Singh")</f>
        <v>Mukesh Singh</v>
      </c>
      <c r="C277" s="31" t="str">
        <f>IFERROR(__xludf.DUMMYFUNCTION("""COMPUTED_VALUE"""),"Customer Experience")</f>
        <v>Customer Experience</v>
      </c>
      <c r="D277" s="31">
        <f>IFERROR(__xludf.DUMMYFUNCTION("""COMPUTED_VALUE"""),8.920300524E9)</f>
        <v>8920300524</v>
      </c>
      <c r="E277" s="31" t="str">
        <f>IFERROR(__xludf.DUMMYFUNCTION("""COMPUTED_VALUE"""),"Relationship Manager")</f>
        <v>Relationship Manager</v>
      </c>
      <c r="F277" s="31" t="str">
        <f>IFERROR(__xludf.DUMMYFUNCTION("""COMPUTED_VALUE"""),"Customer Relation Management")</f>
        <v>Customer Relation Management</v>
      </c>
      <c r="G277" s="31" t="str">
        <f>IFERROR(__xludf.DUMMYFUNCTION("""COMPUTED_VALUE"""),"mk526121@gmail.com")</f>
        <v>mk526121@gmail.com</v>
      </c>
      <c r="H277" s="31" t="str">
        <f>IFERROR(__xludf.DUMMYFUNCTION("""COMPUTED_VALUE"""),"Shivam Bali")</f>
        <v>Shivam Bali</v>
      </c>
      <c r="I277" s="75">
        <f>IFERROR(__xludf.DUMMYFUNCTION("""COMPUTED_VALUE"""),45614.0)</f>
        <v>45614</v>
      </c>
      <c r="J277" s="31" t="str">
        <f>IFERROR(__xludf.DUMMYFUNCTION("""COMPUTED_VALUE"""),"Nidhi Khedekar")</f>
        <v>Nidhi Khedekar</v>
      </c>
      <c r="K277" s="31" t="str">
        <f>IFERROR(__xludf.DUMMYFUNCTION("""COMPUTED_VALUE"""),"Joined")</f>
        <v>Joined</v>
      </c>
      <c r="L277" s="31" t="str">
        <f>IFERROR(__xludf.DUMMYFUNCTION("""COMPUTED_VALUE"""),"In Office")</f>
        <v>In Office</v>
      </c>
      <c r="M277" s="31" t="str">
        <f>IFERROR(__xludf.DUMMYFUNCTION("""COMPUTED_VALUE"""),"mukesh.singh@zupee.in")</f>
        <v>mukesh.singh@zupee.in</v>
      </c>
      <c r="N277" s="31" t="str">
        <f>IFERROR(__xludf.DUMMYFUNCTION("""COMPUTED_VALUE"""),"PW03VMEN")</f>
        <v>PW03VMEN</v>
      </c>
    </row>
    <row r="278">
      <c r="A278" s="74">
        <f>IFERROR(__xludf.DUMMYFUNCTION("""COMPUTED_VALUE"""),45628.0)</f>
        <v>45628</v>
      </c>
      <c r="B278" s="31" t="str">
        <f>IFERROR(__xludf.DUMMYFUNCTION("""COMPUTED_VALUE"""),"Robin Achankunju")</f>
        <v>Robin Achankunju</v>
      </c>
      <c r="C278" s="31" t="str">
        <f>IFERROR(__xludf.DUMMYFUNCTION("""COMPUTED_VALUE"""),"Customer Experience")</f>
        <v>Customer Experience</v>
      </c>
      <c r="D278" s="31">
        <f>IFERROR(__xludf.DUMMYFUNCTION("""COMPUTED_VALUE"""),9.71812169E9)</f>
        <v>9718121690</v>
      </c>
      <c r="E278" s="31" t="str">
        <f>IFERROR(__xludf.DUMMYFUNCTION("""COMPUTED_VALUE"""),"Relationship Manager")</f>
        <v>Relationship Manager</v>
      </c>
      <c r="F278" s="31" t="str">
        <f>IFERROR(__xludf.DUMMYFUNCTION("""COMPUTED_VALUE"""),"Customer Relation Management")</f>
        <v>Customer Relation Management</v>
      </c>
      <c r="G278" s="31" t="str">
        <f>IFERROR(__xludf.DUMMYFUNCTION("""COMPUTED_VALUE"""),"robinjc2000@gmail.com")</f>
        <v>robinjc2000@gmail.com</v>
      </c>
      <c r="H278" s="31" t="str">
        <f>IFERROR(__xludf.DUMMYFUNCTION("""COMPUTED_VALUE"""),"Shivam Bali")</f>
        <v>Shivam Bali</v>
      </c>
      <c r="I278" s="75">
        <f>IFERROR(__xludf.DUMMYFUNCTION("""COMPUTED_VALUE"""),45614.0)</f>
        <v>45614</v>
      </c>
      <c r="J278" s="31" t="str">
        <f>IFERROR(__xludf.DUMMYFUNCTION("""COMPUTED_VALUE"""),"Nidhi Khedekar")</f>
        <v>Nidhi Khedekar</v>
      </c>
      <c r="K278" s="31" t="str">
        <f>IFERROR(__xludf.DUMMYFUNCTION("""COMPUTED_VALUE"""),"Joined")</f>
        <v>Joined</v>
      </c>
      <c r="L278" s="31" t="str">
        <f>IFERROR(__xludf.DUMMYFUNCTION("""COMPUTED_VALUE"""),"In Office")</f>
        <v>In Office</v>
      </c>
      <c r="M278" s="31" t="str">
        <f>IFERROR(__xludf.DUMMYFUNCTION("""COMPUTED_VALUE"""),"robin.achankunju@zupee.in")</f>
        <v>robin.achankunju@zupee.in</v>
      </c>
      <c r="N278" s="31"/>
    </row>
    <row r="279">
      <c r="A279" s="74">
        <f>IFERROR(__xludf.DUMMYFUNCTION("""COMPUTED_VALUE"""),45616.0)</f>
        <v>45616</v>
      </c>
      <c r="B279" s="31" t="str">
        <f>IFERROR(__xludf.DUMMYFUNCTION("""COMPUTED_VALUE"""),"Rajat Saurav")</f>
        <v>Rajat Saurav</v>
      </c>
      <c r="C279" s="31" t="str">
        <f>IFERROR(__xludf.DUMMYFUNCTION("""COMPUTED_VALUE"""),"Analytics")</f>
        <v>Analytics</v>
      </c>
      <c r="D279" s="31">
        <f>IFERROR(__xludf.DUMMYFUNCTION("""COMPUTED_VALUE"""),9.304075831E9)</f>
        <v>9304075831</v>
      </c>
      <c r="E279" s="31" t="str">
        <f>IFERROR(__xludf.DUMMYFUNCTION("""COMPUTED_VALUE"""),"Senior Data Analyst")</f>
        <v>Senior Data Analyst</v>
      </c>
      <c r="F279" s="31" t="str">
        <f>IFERROR(__xludf.DUMMYFUNCTION("""COMPUTED_VALUE"""),"Product Analytics")</f>
        <v>Product Analytics</v>
      </c>
      <c r="G279" s="31" t="str">
        <f>IFERROR(__xludf.DUMMYFUNCTION("""COMPUTED_VALUE"""),"rajatsaurav79@gmail.com")</f>
        <v>rajatsaurav79@gmail.com</v>
      </c>
      <c r="H279" s="31" t="str">
        <f>IFERROR(__xludf.DUMMYFUNCTION("""COMPUTED_VALUE"""),"Raman Malik")</f>
        <v>Raman Malik</v>
      </c>
      <c r="I279" s="75">
        <f>IFERROR(__xludf.DUMMYFUNCTION("""COMPUTED_VALUE"""),45614.0)</f>
        <v>45614</v>
      </c>
      <c r="J279" s="31" t="str">
        <f>IFERROR(__xludf.DUMMYFUNCTION("""COMPUTED_VALUE"""),"Mamta Pandey")</f>
        <v>Mamta Pandey</v>
      </c>
      <c r="K279" s="31" t="str">
        <f>IFERROR(__xludf.DUMMYFUNCTION("""COMPUTED_VALUE"""),"Joined")</f>
        <v>Joined</v>
      </c>
      <c r="L279" s="31" t="str">
        <f>IFERROR(__xludf.DUMMYFUNCTION("""COMPUTED_VALUE"""),"In Office")</f>
        <v>In Office</v>
      </c>
      <c r="M279" s="31" t="str">
        <f>IFERROR(__xludf.DUMMYFUNCTION("""COMPUTED_VALUE"""),"rajat.saurav@zupee.in")</f>
        <v>rajat.saurav@zupee.in</v>
      </c>
      <c r="N279" s="31" t="str">
        <f>IFERROR(__xludf.DUMMYFUNCTION("""COMPUTED_VALUE"""),"J4CL4NJ51Q")</f>
        <v>J4CL4NJ51Q</v>
      </c>
    </row>
    <row r="280">
      <c r="A280" s="74">
        <f>IFERROR(__xludf.DUMMYFUNCTION("""COMPUTED_VALUE"""),45663.0)</f>
        <v>45663</v>
      </c>
      <c r="B280" s="31" t="str">
        <f>IFERROR(__xludf.DUMMYFUNCTION("""COMPUTED_VALUE"""),"Shubham Verma")</f>
        <v>Shubham Verma</v>
      </c>
      <c r="C280" s="31" t="str">
        <f>IFERROR(__xludf.DUMMYFUNCTION("""COMPUTED_VALUE"""),"Technology")</f>
        <v>Technology</v>
      </c>
      <c r="D280" s="31">
        <f>IFERROR(__xludf.DUMMYFUNCTION("""COMPUTED_VALUE"""),9.311880111E9)</f>
        <v>9311880111</v>
      </c>
      <c r="E280" s="31" t="str">
        <f>IFERROR(__xludf.DUMMYFUNCTION("""COMPUTED_VALUE"""),"Software Engineer Trainee")</f>
        <v>Software Engineer Trainee</v>
      </c>
      <c r="F280" s="31" t="str">
        <f>IFERROR(__xludf.DUMMYFUNCTION("""COMPUTED_VALUE"""),"Backend")</f>
        <v>Backend</v>
      </c>
      <c r="G280" s="31" t="str">
        <f>IFERROR(__xludf.DUMMYFUNCTION("""COMPUTED_VALUE"""),"shubham.verma.ug21@nsut.ac.in")</f>
        <v>shubham.verma.ug21@nsut.ac.in</v>
      </c>
      <c r="H280" s="31"/>
      <c r="I280" s="75">
        <f>IFERROR(__xludf.DUMMYFUNCTION("""COMPUTED_VALUE"""),45614.0)</f>
        <v>45614</v>
      </c>
      <c r="J280" s="31" t="str">
        <f>IFERROR(__xludf.DUMMYFUNCTION("""COMPUTED_VALUE"""),"Naina")</f>
        <v>Naina</v>
      </c>
      <c r="K280" s="31" t="str">
        <f>IFERROR(__xludf.DUMMYFUNCTION("""COMPUTED_VALUE"""),"Joined")</f>
        <v>Joined</v>
      </c>
      <c r="L280" s="31" t="str">
        <f>IFERROR(__xludf.DUMMYFUNCTION("""COMPUTED_VALUE"""),"In Office")</f>
        <v>In Office</v>
      </c>
      <c r="M280" s="31" t="str">
        <f>IFERROR(__xludf.DUMMYFUNCTION("""COMPUTED_VALUE"""),"shubham.v@zupee.in")</f>
        <v>shubham.v@zupee.in</v>
      </c>
      <c r="N280" s="31"/>
    </row>
    <row r="281">
      <c r="A281" s="74">
        <f>IFERROR(__xludf.DUMMYFUNCTION("""COMPUTED_VALUE"""),45839.0)</f>
        <v>45839</v>
      </c>
      <c r="B281" s="31" t="str">
        <f>IFERROR(__xludf.DUMMYFUNCTION("""COMPUTED_VALUE"""),"Shubham Verma")</f>
        <v>Shubham Verma</v>
      </c>
      <c r="C281" s="31" t="str">
        <f>IFERROR(__xludf.DUMMYFUNCTION("""COMPUTED_VALUE"""),"Technology")</f>
        <v>Technology</v>
      </c>
      <c r="D281" s="31">
        <f>IFERROR(__xludf.DUMMYFUNCTION("""COMPUTED_VALUE"""),9.311880111E9)</f>
        <v>9311880111</v>
      </c>
      <c r="E281" s="31" t="str">
        <f>IFERROR(__xludf.DUMMYFUNCTION("""COMPUTED_VALUE"""),"Software Engineer")</f>
        <v>Software Engineer</v>
      </c>
      <c r="F281" s="31" t="str">
        <f>IFERROR(__xludf.DUMMYFUNCTION("""COMPUTED_VALUE"""),"Backend")</f>
        <v>Backend</v>
      </c>
      <c r="G281" s="31" t="str">
        <f>IFERROR(__xludf.DUMMYFUNCTION("""COMPUTED_VALUE"""),"shubham.verma.ug21@nsut.ac.in")</f>
        <v>shubham.verma.ug21@nsut.ac.in</v>
      </c>
      <c r="H281" s="31"/>
      <c r="I281" s="75">
        <f>IFERROR(__xludf.DUMMYFUNCTION("""COMPUTED_VALUE"""),45614.0)</f>
        <v>45614</v>
      </c>
      <c r="J281" s="31" t="str">
        <f>IFERROR(__xludf.DUMMYFUNCTION("""COMPUTED_VALUE"""),"Naina")</f>
        <v>Naina</v>
      </c>
      <c r="K281" s="31" t="str">
        <f>IFERROR(__xludf.DUMMYFUNCTION("""COMPUTED_VALUE"""),"Joined")</f>
        <v>Joined</v>
      </c>
      <c r="L281" s="31" t="str">
        <f>IFERROR(__xludf.DUMMYFUNCTION("""COMPUTED_VALUE"""),"In Office")</f>
        <v>In Office</v>
      </c>
      <c r="M281" s="31" t="str">
        <f>IFERROR(__xludf.DUMMYFUNCTION("""COMPUTED_VALUE"""),"shubham.v@zupee.in")</f>
        <v>shubham.v@zupee.in</v>
      </c>
      <c r="N281" s="31"/>
    </row>
    <row r="282">
      <c r="A282" s="74">
        <f>IFERROR(__xludf.DUMMYFUNCTION("""COMPUTED_VALUE"""),45663.0)</f>
        <v>45663</v>
      </c>
      <c r="B282" s="31" t="str">
        <f>IFERROR(__xludf.DUMMYFUNCTION("""COMPUTED_VALUE"""),"Shrujai Gupta")</f>
        <v>Shrujai Gupta</v>
      </c>
      <c r="C282" s="31" t="str">
        <f>IFERROR(__xludf.DUMMYFUNCTION("""COMPUTED_VALUE"""),"Technology")</f>
        <v>Technology</v>
      </c>
      <c r="D282" s="31">
        <f>IFERROR(__xludf.DUMMYFUNCTION("""COMPUTED_VALUE"""),7.982283253E9)</f>
        <v>7982283253</v>
      </c>
      <c r="E282" s="31" t="str">
        <f>IFERROR(__xludf.DUMMYFUNCTION("""COMPUTED_VALUE"""),"Software Engineer Trainee")</f>
        <v>Software Engineer Trainee</v>
      </c>
      <c r="F282" s="31" t="str">
        <f>IFERROR(__xludf.DUMMYFUNCTION("""COMPUTED_VALUE"""),"Backend")</f>
        <v>Backend</v>
      </c>
      <c r="G282" s="31" t="str">
        <f>IFERROR(__xludf.DUMMYFUNCTION("""COMPUTED_VALUE"""),"shrujai.gupta.ug21@nsut.ac.in")</f>
        <v>shrujai.gupta.ug21@nsut.ac.in</v>
      </c>
      <c r="H282" s="31"/>
      <c r="I282" s="75">
        <f>IFERROR(__xludf.DUMMYFUNCTION("""COMPUTED_VALUE"""),45614.0)</f>
        <v>45614</v>
      </c>
      <c r="J282" s="31" t="str">
        <f>IFERROR(__xludf.DUMMYFUNCTION("""COMPUTED_VALUE"""),"Naina")</f>
        <v>Naina</v>
      </c>
      <c r="K282" s="31" t="str">
        <f>IFERROR(__xludf.DUMMYFUNCTION("""COMPUTED_VALUE"""),"Joined")</f>
        <v>Joined</v>
      </c>
      <c r="L282" s="31" t="str">
        <f>IFERROR(__xludf.DUMMYFUNCTION("""COMPUTED_VALUE"""),"In Office")</f>
        <v>In Office</v>
      </c>
      <c r="M282" s="31" t="str">
        <f>IFERROR(__xludf.DUMMYFUNCTION("""COMPUTED_VALUE"""),"shrujai.gupta@zupee.in")</f>
        <v>shrujai.gupta@zupee.in</v>
      </c>
      <c r="N282" s="31" t="str">
        <f>IFERROR(__xludf.DUMMYFUNCTION("""COMPUTED_VALUE"""),"JF9Y2XJK4H")</f>
        <v>JF9Y2XJK4H</v>
      </c>
    </row>
    <row r="283">
      <c r="A283" s="74">
        <f>IFERROR(__xludf.DUMMYFUNCTION("""COMPUTED_VALUE"""),45839.0)</f>
        <v>45839</v>
      </c>
      <c r="B283" s="31" t="str">
        <f>IFERROR(__xludf.DUMMYFUNCTION("""COMPUTED_VALUE"""),"Shrujai Gupta")</f>
        <v>Shrujai Gupta</v>
      </c>
      <c r="C283" s="31" t="str">
        <f>IFERROR(__xludf.DUMMYFUNCTION("""COMPUTED_VALUE"""),"Technology")</f>
        <v>Technology</v>
      </c>
      <c r="D283" s="31">
        <f>IFERROR(__xludf.DUMMYFUNCTION("""COMPUTED_VALUE"""),7.982283253E9)</f>
        <v>7982283253</v>
      </c>
      <c r="E283" s="31" t="str">
        <f>IFERROR(__xludf.DUMMYFUNCTION("""COMPUTED_VALUE"""),"Software Engineer")</f>
        <v>Software Engineer</v>
      </c>
      <c r="F283" s="31" t="str">
        <f>IFERROR(__xludf.DUMMYFUNCTION("""COMPUTED_VALUE"""),"Backend")</f>
        <v>Backend</v>
      </c>
      <c r="G283" s="31" t="str">
        <f>IFERROR(__xludf.DUMMYFUNCTION("""COMPUTED_VALUE"""),"shrujai.gupta.ug21@nsut.ac.in")</f>
        <v>shrujai.gupta.ug21@nsut.ac.in</v>
      </c>
      <c r="H283" s="31"/>
      <c r="I283" s="75">
        <f>IFERROR(__xludf.DUMMYFUNCTION("""COMPUTED_VALUE"""),45614.0)</f>
        <v>45614</v>
      </c>
      <c r="J283" s="31" t="str">
        <f>IFERROR(__xludf.DUMMYFUNCTION("""COMPUTED_VALUE"""),"Naina")</f>
        <v>Naina</v>
      </c>
      <c r="K283" s="31" t="str">
        <f>IFERROR(__xludf.DUMMYFUNCTION("""COMPUTED_VALUE"""),"Joined")</f>
        <v>Joined</v>
      </c>
      <c r="L283" s="31" t="str">
        <f>IFERROR(__xludf.DUMMYFUNCTION("""COMPUTED_VALUE"""),"In Office")</f>
        <v>In Office</v>
      </c>
      <c r="M283" s="31" t="str">
        <f>IFERROR(__xludf.DUMMYFUNCTION("""COMPUTED_VALUE"""),"shrujai.gupta@zupee.in")</f>
        <v>shrujai.gupta@zupee.in</v>
      </c>
      <c r="N283" s="31" t="str">
        <f>IFERROR(__xludf.DUMMYFUNCTION("""COMPUTED_VALUE"""),"JF9Y2XJK4H")</f>
        <v>JF9Y2XJK4H</v>
      </c>
    </row>
    <row r="284">
      <c r="A284" s="74">
        <f>IFERROR(__xludf.DUMMYFUNCTION("""COMPUTED_VALUE"""),45663.0)</f>
        <v>45663</v>
      </c>
      <c r="B284" s="31" t="str">
        <f>IFERROR(__xludf.DUMMYFUNCTION("""COMPUTED_VALUE"""),"Aditya Nath Jha")</f>
        <v>Aditya Nath Jha</v>
      </c>
      <c r="C284" s="31" t="str">
        <f>IFERROR(__xludf.DUMMYFUNCTION("""COMPUTED_VALUE"""),"Technology")</f>
        <v>Technology</v>
      </c>
      <c r="D284" s="31">
        <f>IFERROR(__xludf.DUMMYFUNCTION("""COMPUTED_VALUE"""),9.717825689E9)</f>
        <v>9717825689</v>
      </c>
      <c r="E284" s="31" t="str">
        <f>IFERROR(__xludf.DUMMYFUNCTION("""COMPUTED_VALUE"""),"Software Engineer Trainee")</f>
        <v>Software Engineer Trainee</v>
      </c>
      <c r="F284" s="31" t="str">
        <f>IFERROR(__xludf.DUMMYFUNCTION("""COMPUTED_VALUE"""),"Backend")</f>
        <v>Backend</v>
      </c>
      <c r="G284" s="31" t="str">
        <f>IFERROR(__xludf.DUMMYFUNCTION("""COMPUTED_VALUE"""),"aditya.jha.ug21@nsut.ac.in")</f>
        <v>aditya.jha.ug21@nsut.ac.in</v>
      </c>
      <c r="H284" s="31"/>
      <c r="I284" s="75">
        <f>IFERROR(__xludf.DUMMYFUNCTION("""COMPUTED_VALUE"""),45614.0)</f>
        <v>45614</v>
      </c>
      <c r="J284" s="31" t="str">
        <f>IFERROR(__xludf.DUMMYFUNCTION("""COMPUTED_VALUE"""),"Naina")</f>
        <v>Naina</v>
      </c>
      <c r="K284" s="31" t="str">
        <f>IFERROR(__xludf.DUMMYFUNCTION("""COMPUTED_VALUE"""),"Joined")</f>
        <v>Joined</v>
      </c>
      <c r="L284" s="31" t="str">
        <f>IFERROR(__xludf.DUMMYFUNCTION("""COMPUTED_VALUE"""),"In Office")</f>
        <v>In Office</v>
      </c>
      <c r="M284" s="31"/>
      <c r="N284" s="31"/>
    </row>
    <row r="285">
      <c r="A285" s="74">
        <f>IFERROR(__xludf.DUMMYFUNCTION("""COMPUTED_VALUE"""),45839.0)</f>
        <v>45839</v>
      </c>
      <c r="B285" s="31" t="str">
        <f>IFERROR(__xludf.DUMMYFUNCTION("""COMPUTED_VALUE"""),"Aditya Nath Jha")</f>
        <v>Aditya Nath Jha</v>
      </c>
      <c r="C285" s="31" t="str">
        <f>IFERROR(__xludf.DUMMYFUNCTION("""COMPUTED_VALUE"""),"Technology")</f>
        <v>Technology</v>
      </c>
      <c r="D285" s="31">
        <f>IFERROR(__xludf.DUMMYFUNCTION("""COMPUTED_VALUE"""),9.717825689E9)</f>
        <v>9717825689</v>
      </c>
      <c r="E285" s="31" t="str">
        <f>IFERROR(__xludf.DUMMYFUNCTION("""COMPUTED_VALUE"""),"Software Engineer")</f>
        <v>Software Engineer</v>
      </c>
      <c r="F285" s="31" t="str">
        <f>IFERROR(__xludf.DUMMYFUNCTION("""COMPUTED_VALUE"""),"Backend")</f>
        <v>Backend</v>
      </c>
      <c r="G285" s="31" t="str">
        <f>IFERROR(__xludf.DUMMYFUNCTION("""COMPUTED_VALUE"""),"aditya.jha.ug21@nsut.ac.in")</f>
        <v>aditya.jha.ug21@nsut.ac.in</v>
      </c>
      <c r="H285" s="31"/>
      <c r="I285" s="75">
        <f>IFERROR(__xludf.DUMMYFUNCTION("""COMPUTED_VALUE"""),45614.0)</f>
        <v>45614</v>
      </c>
      <c r="J285" s="31" t="str">
        <f>IFERROR(__xludf.DUMMYFUNCTION("""COMPUTED_VALUE"""),"Naina")</f>
        <v>Naina</v>
      </c>
      <c r="K285" s="31" t="str">
        <f>IFERROR(__xludf.DUMMYFUNCTION("""COMPUTED_VALUE"""),"Joined")</f>
        <v>Joined</v>
      </c>
      <c r="L285" s="31" t="str">
        <f>IFERROR(__xludf.DUMMYFUNCTION("""COMPUTED_VALUE"""),"In Office")</f>
        <v>In Office</v>
      </c>
      <c r="M285" s="31"/>
      <c r="N285" s="31"/>
    </row>
    <row r="286">
      <c r="A286" s="74">
        <f>IFERROR(__xludf.DUMMYFUNCTION("""COMPUTED_VALUE"""),45663.0)</f>
        <v>45663</v>
      </c>
      <c r="B286" s="31" t="str">
        <f>IFERROR(__xludf.DUMMYFUNCTION("""COMPUTED_VALUE"""),"Rudraksh Sharma")</f>
        <v>Rudraksh Sharma</v>
      </c>
      <c r="C286" s="31" t="str">
        <f>IFERROR(__xludf.DUMMYFUNCTION("""COMPUTED_VALUE"""),"Technology")</f>
        <v>Technology</v>
      </c>
      <c r="D286" s="31">
        <f>IFERROR(__xludf.DUMMYFUNCTION("""COMPUTED_VALUE"""),7.509795114E9)</f>
        <v>7509795114</v>
      </c>
      <c r="E286" s="31" t="str">
        <f>IFERROR(__xludf.DUMMYFUNCTION("""COMPUTED_VALUE"""),"Software Engineer Trainee")</f>
        <v>Software Engineer Trainee</v>
      </c>
      <c r="F286" s="31" t="str">
        <f>IFERROR(__xludf.DUMMYFUNCTION("""COMPUTED_VALUE"""),"Backend")</f>
        <v>Backend</v>
      </c>
      <c r="G286" s="31" t="str">
        <f>IFERROR(__xludf.DUMMYFUNCTION("""COMPUTED_VALUE"""),"rudraksh.sharma.ug21@nsut.ac.in")</f>
        <v>rudraksh.sharma.ug21@nsut.ac.in</v>
      </c>
      <c r="H286" s="31"/>
      <c r="I286" s="75">
        <f>IFERROR(__xludf.DUMMYFUNCTION("""COMPUTED_VALUE"""),45614.0)</f>
        <v>45614</v>
      </c>
      <c r="J286" s="31" t="str">
        <f>IFERROR(__xludf.DUMMYFUNCTION("""COMPUTED_VALUE"""),"Naina")</f>
        <v>Naina</v>
      </c>
      <c r="K286" s="31" t="str">
        <f>IFERROR(__xludf.DUMMYFUNCTION("""COMPUTED_VALUE"""),"Joined")</f>
        <v>Joined</v>
      </c>
      <c r="L286" s="31" t="str">
        <f>IFERROR(__xludf.DUMMYFUNCTION("""COMPUTED_VALUE"""),"In Office")</f>
        <v>In Office</v>
      </c>
      <c r="M286" s="31" t="str">
        <f>IFERROR(__xludf.DUMMYFUNCTION("""COMPUTED_VALUE"""),"rudraksh.sharma@zupee.in")</f>
        <v>rudraksh.sharma@zupee.in</v>
      </c>
      <c r="N286" s="31" t="str">
        <f>IFERROR(__xludf.DUMMYFUNCTION("""COMPUTED_VALUE"""),"DC9DQV46J0")</f>
        <v>DC9DQV46J0</v>
      </c>
    </row>
    <row r="287">
      <c r="A287" s="74">
        <f>IFERROR(__xludf.DUMMYFUNCTION("""COMPUTED_VALUE"""),45839.0)</f>
        <v>45839</v>
      </c>
      <c r="B287" s="31" t="str">
        <f>IFERROR(__xludf.DUMMYFUNCTION("""COMPUTED_VALUE"""),"Rudraksh Sharma")</f>
        <v>Rudraksh Sharma</v>
      </c>
      <c r="C287" s="31" t="str">
        <f>IFERROR(__xludf.DUMMYFUNCTION("""COMPUTED_VALUE"""),"Technology")</f>
        <v>Technology</v>
      </c>
      <c r="D287" s="31">
        <f>IFERROR(__xludf.DUMMYFUNCTION("""COMPUTED_VALUE"""),7.509795114E9)</f>
        <v>7509795114</v>
      </c>
      <c r="E287" s="31" t="str">
        <f>IFERROR(__xludf.DUMMYFUNCTION("""COMPUTED_VALUE"""),"Software Engineer")</f>
        <v>Software Engineer</v>
      </c>
      <c r="F287" s="31" t="str">
        <f>IFERROR(__xludf.DUMMYFUNCTION("""COMPUTED_VALUE"""),"Backend")</f>
        <v>Backend</v>
      </c>
      <c r="G287" s="31" t="str">
        <f>IFERROR(__xludf.DUMMYFUNCTION("""COMPUTED_VALUE"""),"rudraksh.sharma.ug21@nsut.ac.in")</f>
        <v>rudraksh.sharma.ug21@nsut.ac.in</v>
      </c>
      <c r="H287" s="31"/>
      <c r="I287" s="75">
        <f>IFERROR(__xludf.DUMMYFUNCTION("""COMPUTED_VALUE"""),45614.0)</f>
        <v>45614</v>
      </c>
      <c r="J287" s="31" t="str">
        <f>IFERROR(__xludf.DUMMYFUNCTION("""COMPUTED_VALUE"""),"Naina")</f>
        <v>Naina</v>
      </c>
      <c r="K287" s="31" t="str">
        <f>IFERROR(__xludf.DUMMYFUNCTION("""COMPUTED_VALUE"""),"Joined")</f>
        <v>Joined</v>
      </c>
      <c r="L287" s="31" t="str">
        <f>IFERROR(__xludf.DUMMYFUNCTION("""COMPUTED_VALUE"""),"In Office")</f>
        <v>In Office</v>
      </c>
      <c r="M287" s="31" t="str">
        <f>IFERROR(__xludf.DUMMYFUNCTION("""COMPUTED_VALUE"""),"rudraksh.sharma@zupee.in")</f>
        <v>rudraksh.sharma@zupee.in</v>
      </c>
      <c r="N287" s="31" t="str">
        <f>IFERROR(__xludf.DUMMYFUNCTION("""COMPUTED_VALUE"""),"DC9DQV46J0")</f>
        <v>DC9DQV46J0</v>
      </c>
    </row>
    <row r="288">
      <c r="A288" s="74">
        <f>IFERROR(__xludf.DUMMYFUNCTION("""COMPUTED_VALUE"""),45635.0)</f>
        <v>45635</v>
      </c>
      <c r="B288" s="31" t="str">
        <f>IFERROR(__xludf.DUMMYFUNCTION("""COMPUTED_VALUE"""),"Rahul Shivani")</f>
        <v>Rahul Shivani</v>
      </c>
      <c r="C288" s="31" t="str">
        <f>IFERROR(__xludf.DUMMYFUNCTION("""COMPUTED_VALUE"""),"Data Science")</f>
        <v>Data Science</v>
      </c>
      <c r="D288" s="31">
        <f>IFERROR(__xludf.DUMMYFUNCTION("""COMPUTED_VALUE"""),8.126857914E9)</f>
        <v>8126857914</v>
      </c>
      <c r="E288" s="31" t="str">
        <f>IFERROR(__xludf.DUMMYFUNCTION("""COMPUTED_VALUE"""),"Senior Machine Learning Engineer")</f>
        <v>Senior Machine Learning Engineer</v>
      </c>
      <c r="F288" s="31" t="str">
        <f>IFERROR(__xludf.DUMMYFUNCTION("""COMPUTED_VALUE"""),"Data Science")</f>
        <v>Data Science</v>
      </c>
      <c r="G288" s="31" t="str">
        <f>IFERROR(__xludf.DUMMYFUNCTION("""COMPUTED_VALUE"""),"er.rahulshivani@gmail.com")</f>
        <v>er.rahulshivani@gmail.com</v>
      </c>
      <c r="H288" s="31" t="str">
        <f>IFERROR(__xludf.DUMMYFUNCTION("""COMPUTED_VALUE"""),"Sairam Mushyam")</f>
        <v>Sairam Mushyam</v>
      </c>
      <c r="I288" s="75">
        <f>IFERROR(__xludf.DUMMYFUNCTION("""COMPUTED_VALUE"""),45617.0)</f>
        <v>45617</v>
      </c>
      <c r="J288" s="31" t="str">
        <f>IFERROR(__xludf.DUMMYFUNCTION("""COMPUTED_VALUE"""),"Mamta Pandey")</f>
        <v>Mamta Pandey</v>
      </c>
      <c r="K288" s="31" t="str">
        <f>IFERROR(__xludf.DUMMYFUNCTION("""COMPUTED_VALUE"""),"Joined")</f>
        <v>Joined</v>
      </c>
      <c r="L288" s="31" t="str">
        <f>IFERROR(__xludf.DUMMYFUNCTION("""COMPUTED_VALUE"""),"In Office")</f>
        <v>In Office</v>
      </c>
      <c r="M288" s="31" t="str">
        <f>IFERROR(__xludf.DUMMYFUNCTION("""COMPUTED_VALUE"""),"rahul.shivani@zupee.in")</f>
        <v>rahul.shivani@zupee.in</v>
      </c>
      <c r="N288" s="31" t="str">
        <f>IFERROR(__xludf.DUMMYFUNCTION("""COMPUTED_VALUE"""),"Y0R3W0577F")</f>
        <v>Y0R3W0577F</v>
      </c>
    </row>
    <row r="289">
      <c r="A289" s="74">
        <f>IFERROR(__xludf.DUMMYFUNCTION("""COMPUTED_VALUE"""),45643.0)</f>
        <v>45643</v>
      </c>
      <c r="B289" s="31" t="str">
        <f>IFERROR(__xludf.DUMMYFUNCTION("""COMPUTED_VALUE"""),"Pankaj Gautam")</f>
        <v>Pankaj Gautam</v>
      </c>
      <c r="C289" s="31" t="str">
        <f>IFERROR(__xludf.DUMMYFUNCTION("""COMPUTED_VALUE"""),"Analytics")</f>
        <v>Analytics</v>
      </c>
      <c r="D289" s="31">
        <f>IFERROR(__xludf.DUMMYFUNCTION("""COMPUTED_VALUE"""),7.259032047E9)</f>
        <v>7259032047</v>
      </c>
      <c r="E289" s="31" t="str">
        <f>IFERROR(__xludf.DUMMYFUNCTION("""COMPUTED_VALUE"""),"Manager- Data Analytics")</f>
        <v>Manager- Data Analytics</v>
      </c>
      <c r="F289" s="31" t="str">
        <f>IFERROR(__xludf.DUMMYFUNCTION("""COMPUTED_VALUE"""),"Product")</f>
        <v>Product</v>
      </c>
      <c r="G289" s="31" t="str">
        <f>IFERROR(__xludf.DUMMYFUNCTION("""COMPUTED_VALUE"""),"pankaj10478@gmail.com")</f>
        <v>pankaj10478@gmail.com</v>
      </c>
      <c r="H289" s="31" t="str">
        <f>IFERROR(__xludf.DUMMYFUNCTION("""COMPUTED_VALUE"""),"Raman Malik")</f>
        <v>Raman Malik</v>
      </c>
      <c r="I289" s="75">
        <f>IFERROR(__xludf.DUMMYFUNCTION("""COMPUTED_VALUE"""),45618.0)</f>
        <v>45618</v>
      </c>
      <c r="J289" s="31" t="str">
        <f>IFERROR(__xludf.DUMMYFUNCTION("""COMPUTED_VALUE"""),"Mamta Pandey")</f>
        <v>Mamta Pandey</v>
      </c>
      <c r="K289" s="31" t="str">
        <f>IFERROR(__xludf.DUMMYFUNCTION("""COMPUTED_VALUE"""),"Joined")</f>
        <v>Joined</v>
      </c>
      <c r="L289" s="31" t="str">
        <f>IFERROR(__xludf.DUMMYFUNCTION("""COMPUTED_VALUE"""),"In Office")</f>
        <v>In Office</v>
      </c>
      <c r="M289" s="31" t="str">
        <f>IFERROR(__xludf.DUMMYFUNCTION("""COMPUTED_VALUE"""),"pankaj.gautam@zupee.in")</f>
        <v>pankaj.gautam@zupee.in</v>
      </c>
      <c r="N289" s="31" t="str">
        <f>IFERROR(__xludf.DUMMYFUNCTION("""COMPUTED_VALUE"""),"MY9HW3T4CF")</f>
        <v>MY9HW3T4CF</v>
      </c>
    </row>
    <row r="290">
      <c r="A290" s="74">
        <f>IFERROR(__xludf.DUMMYFUNCTION("""COMPUTED_VALUE"""),45621.0)</f>
        <v>45621</v>
      </c>
      <c r="B290" s="31" t="str">
        <f>IFERROR(__xludf.DUMMYFUNCTION("""COMPUTED_VALUE"""),"Aryan Chopra")</f>
        <v>Aryan Chopra</v>
      </c>
      <c r="C290" s="31" t="str">
        <f>IFERROR(__xludf.DUMMYFUNCTION("""COMPUTED_VALUE"""),"Technology")</f>
        <v>Technology</v>
      </c>
      <c r="D290" s="31">
        <f>IFERROR(__xludf.DUMMYFUNCTION("""COMPUTED_VALUE"""),9.899362052E9)</f>
        <v>9899362052</v>
      </c>
      <c r="E290" s="31" t="str">
        <f>IFERROR(__xludf.DUMMYFUNCTION("""COMPUTED_VALUE"""),"Senior Software Engineer-Website")</f>
        <v>Senior Software Engineer-Website</v>
      </c>
      <c r="F290" s="31" t="str">
        <f>IFERROR(__xludf.DUMMYFUNCTION("""COMPUTED_VALUE"""),"Engineering")</f>
        <v>Engineering</v>
      </c>
      <c r="G290" s="31" t="str">
        <f>IFERROR(__xludf.DUMMYFUNCTION("""COMPUTED_VALUE"""),"chopraryan@gmail.com")</f>
        <v>chopraryan@gmail.com</v>
      </c>
      <c r="H290" s="31" t="str">
        <f>IFERROR(__xludf.DUMMYFUNCTION("""COMPUTED_VALUE"""),"Anshul Mittal")</f>
        <v>Anshul Mittal</v>
      </c>
      <c r="I290" s="75">
        <f>IFERROR(__xludf.DUMMYFUNCTION("""COMPUTED_VALUE"""),45618.0)</f>
        <v>45618</v>
      </c>
      <c r="J290" s="31" t="str">
        <f>IFERROR(__xludf.DUMMYFUNCTION("""COMPUTED_VALUE"""),"Shivam Sharma")</f>
        <v>Shivam Sharma</v>
      </c>
      <c r="K290" s="31" t="str">
        <f>IFERROR(__xludf.DUMMYFUNCTION("""COMPUTED_VALUE"""),"Joined")</f>
        <v>Joined</v>
      </c>
      <c r="L290" s="31" t="str">
        <f>IFERROR(__xludf.DUMMYFUNCTION("""COMPUTED_VALUE"""),"In Office")</f>
        <v>In Office</v>
      </c>
      <c r="M290" s="31" t="str">
        <f>IFERROR(__xludf.DUMMYFUNCTION("""COMPUTED_VALUE"""),"aryan.chopra@zupee.in")</f>
        <v>aryan.chopra@zupee.in</v>
      </c>
      <c r="N290" s="31" t="str">
        <f>IFERROR(__xludf.DUMMYFUNCTION("""COMPUTED_VALUE"""),"J4XV20HXQV")</f>
        <v>J4XV20HXQV</v>
      </c>
    </row>
    <row r="291">
      <c r="A291" s="74">
        <f>IFERROR(__xludf.DUMMYFUNCTION("""COMPUTED_VALUE"""),45644.0)</f>
        <v>45644</v>
      </c>
      <c r="B291" s="31" t="str">
        <f>IFERROR(__xludf.DUMMYFUNCTION("""COMPUTED_VALUE"""),"Deepak Mishra")</f>
        <v>Deepak Mishra</v>
      </c>
      <c r="C291" s="31" t="str">
        <f>IFERROR(__xludf.DUMMYFUNCTION("""COMPUTED_VALUE"""),"Technology")</f>
        <v>Technology</v>
      </c>
      <c r="D291" s="31">
        <f>IFERROR(__xludf.DUMMYFUNCTION("""COMPUTED_VALUE"""),7.042106086E9)</f>
        <v>7042106086</v>
      </c>
      <c r="E291" s="31" t="str">
        <f>IFERROR(__xludf.DUMMYFUNCTION("""COMPUTED_VALUE"""),"Manager-Site Reliability Engineering")</f>
        <v>Manager-Site Reliability Engineering</v>
      </c>
      <c r="F291" s="31" t="str">
        <f>IFERROR(__xludf.DUMMYFUNCTION("""COMPUTED_VALUE"""),"DevOps")</f>
        <v>DevOps</v>
      </c>
      <c r="G291" s="31" t="str">
        <f>IFERROR(__xludf.DUMMYFUNCTION("""COMPUTED_VALUE"""),"purab0484@gmail.com")</f>
        <v>purab0484@gmail.com</v>
      </c>
      <c r="H291" s="31" t="str">
        <f>IFERROR(__xludf.DUMMYFUNCTION("""COMPUTED_VALUE"""),"Saurav Yadav")</f>
        <v>Saurav Yadav</v>
      </c>
      <c r="I291" s="75">
        <f>IFERROR(__xludf.DUMMYFUNCTION("""COMPUTED_VALUE"""),45617.0)</f>
        <v>45617</v>
      </c>
      <c r="J291" s="31" t="str">
        <f>IFERROR(__xludf.DUMMYFUNCTION("""COMPUTED_VALUE"""),"Shivam Sharma")</f>
        <v>Shivam Sharma</v>
      </c>
      <c r="K291" s="31" t="str">
        <f>IFERROR(__xludf.DUMMYFUNCTION("""COMPUTED_VALUE"""),"Offer Declined")</f>
        <v>Offer Declined</v>
      </c>
      <c r="L291" s="31" t="str">
        <f>IFERROR(__xludf.DUMMYFUNCTION("""COMPUTED_VALUE"""),"In Office")</f>
        <v>In Office</v>
      </c>
      <c r="M291" s="31"/>
      <c r="N291" s="31"/>
    </row>
    <row r="292">
      <c r="A292" s="74">
        <f>IFERROR(__xludf.DUMMYFUNCTION("""COMPUTED_VALUE"""),45628.0)</f>
        <v>45628</v>
      </c>
      <c r="B292" s="31" t="str">
        <f>IFERROR(__xludf.DUMMYFUNCTION("""COMPUTED_VALUE"""),"Supriya Chauhan")</f>
        <v>Supriya Chauhan</v>
      </c>
      <c r="C292" s="31" t="str">
        <f>IFERROR(__xludf.DUMMYFUNCTION("""COMPUTED_VALUE"""),"Technology")</f>
        <v>Technology</v>
      </c>
      <c r="D292" s="31">
        <f>IFERROR(__xludf.DUMMYFUNCTION("""COMPUTED_VALUE"""),9.690275262E9)</f>
        <v>9690275262</v>
      </c>
      <c r="E292" s="31" t="str">
        <f>IFERROR(__xludf.DUMMYFUNCTION("""COMPUTED_VALUE"""),"	Database Administrator")</f>
        <v>	Database Administrator</v>
      </c>
      <c r="F292" s="31" t="str">
        <f>IFERROR(__xludf.DUMMYFUNCTION("""COMPUTED_VALUE"""),"Database Admin")</f>
        <v>Database Admin</v>
      </c>
      <c r="G292" s="31" t="str">
        <f>IFERROR(__xludf.DUMMYFUNCTION("""COMPUTED_VALUE"""),"tomailsupriya@gmail.com.")</f>
        <v>tomailsupriya@gmail.com.</v>
      </c>
      <c r="H292" s="31" t="str">
        <f>IFERROR(__xludf.DUMMYFUNCTION("""COMPUTED_VALUE"""),"Saurav Yadav")</f>
        <v>Saurav Yadav</v>
      </c>
      <c r="I292" s="75">
        <f>IFERROR(__xludf.DUMMYFUNCTION("""COMPUTED_VALUE"""),45621.0)</f>
        <v>45621</v>
      </c>
      <c r="J292" s="31" t="str">
        <f>IFERROR(__xludf.DUMMYFUNCTION("""COMPUTED_VALUE"""),"Nidhi Khedekar")</f>
        <v>Nidhi Khedekar</v>
      </c>
      <c r="K292" s="31" t="str">
        <f>IFERROR(__xludf.DUMMYFUNCTION("""COMPUTED_VALUE"""),"Joined")</f>
        <v>Joined</v>
      </c>
      <c r="L292" s="31" t="str">
        <f>IFERROR(__xludf.DUMMYFUNCTION("""COMPUTED_VALUE"""),"In Office")</f>
        <v>In Office</v>
      </c>
      <c r="M292" s="31" t="str">
        <f>IFERROR(__xludf.DUMMYFUNCTION("""COMPUTED_VALUE"""),"supriya.chauhan@zupee.in")</f>
        <v>supriya.chauhan@zupee.in</v>
      </c>
      <c r="N292" s="31"/>
    </row>
    <row r="293">
      <c r="A293" s="74">
        <f>IFERROR(__xludf.DUMMYFUNCTION("""COMPUTED_VALUE"""),45628.0)</f>
        <v>45628</v>
      </c>
      <c r="B293" s="31" t="str">
        <f>IFERROR(__xludf.DUMMYFUNCTION("""COMPUTED_VALUE"""),"Ishpreet Singh")</f>
        <v>Ishpreet Singh</v>
      </c>
      <c r="C293" s="31" t="str">
        <f>IFERROR(__xludf.DUMMYFUNCTION("""COMPUTED_VALUE"""),"Customer Experience")</f>
        <v>Customer Experience</v>
      </c>
      <c r="D293" s="31">
        <f>IFERROR(__xludf.DUMMYFUNCTION("""COMPUTED_VALUE"""),8.44796537E8)</f>
        <v>844796537</v>
      </c>
      <c r="E293" s="31" t="str">
        <f>IFERROR(__xludf.DUMMYFUNCTION("""COMPUTED_VALUE"""),"Relationship Manager")</f>
        <v>Relationship Manager</v>
      </c>
      <c r="F293" s="31" t="str">
        <f>IFERROR(__xludf.DUMMYFUNCTION("""COMPUTED_VALUE"""),"Customer Relation Management")</f>
        <v>Customer Relation Management</v>
      </c>
      <c r="G293" s="31" t="str">
        <f>IFERROR(__xludf.DUMMYFUNCTION("""COMPUTED_VALUE"""),"ishpreet.singh8800@gmail.com")</f>
        <v>ishpreet.singh8800@gmail.com</v>
      </c>
      <c r="H293" s="31" t="str">
        <f>IFERROR(__xludf.DUMMYFUNCTION("""COMPUTED_VALUE"""),"Shivam Bali")</f>
        <v>Shivam Bali</v>
      </c>
      <c r="I293" s="75">
        <f>IFERROR(__xludf.DUMMYFUNCTION("""COMPUTED_VALUE"""),45624.0)</f>
        <v>45624</v>
      </c>
      <c r="J293" s="31" t="str">
        <f>IFERROR(__xludf.DUMMYFUNCTION("""COMPUTED_VALUE"""),"Nidhi Khedekar")</f>
        <v>Nidhi Khedekar</v>
      </c>
      <c r="K293" s="31" t="str">
        <f>IFERROR(__xludf.DUMMYFUNCTION("""COMPUTED_VALUE"""),"Joined")</f>
        <v>Joined</v>
      </c>
      <c r="L293" s="31" t="str">
        <f>IFERROR(__xludf.DUMMYFUNCTION("""COMPUTED_VALUE"""),"In Office")</f>
        <v>In Office</v>
      </c>
      <c r="M293" s="31" t="str">
        <f>IFERROR(__xludf.DUMMYFUNCTION("""COMPUTED_VALUE"""),"ishpreet.singh@zupee.in")</f>
        <v>ishpreet.singh@zupee.in</v>
      </c>
      <c r="N293" s="31"/>
    </row>
    <row r="294">
      <c r="A294" s="74">
        <f>IFERROR(__xludf.DUMMYFUNCTION("""COMPUTED_VALUE"""),45677.0)</f>
        <v>45677</v>
      </c>
      <c r="B294" s="31" t="str">
        <f>IFERROR(__xludf.DUMMYFUNCTION("""COMPUTED_VALUE"""),"Karan Aggarwal")</f>
        <v>Karan Aggarwal</v>
      </c>
      <c r="C294" s="31" t="str">
        <f>IFERROR(__xludf.DUMMYFUNCTION("""COMPUTED_VALUE"""),"Corporate")</f>
        <v>Corporate</v>
      </c>
      <c r="D294" s="31">
        <f>IFERROR(__xludf.DUMMYFUNCTION("""COMPUTED_VALUE"""),9.871356021E9)</f>
        <v>9871356021</v>
      </c>
      <c r="E294" s="31" t="str">
        <f>IFERROR(__xludf.DUMMYFUNCTION("""COMPUTED_VALUE"""),"Director- Revenue and Growth")</f>
        <v>Director- Revenue and Growth</v>
      </c>
      <c r="F294" s="31" t="str">
        <f>IFERROR(__xludf.DUMMYFUNCTION("""COMPUTED_VALUE"""),"Growth")</f>
        <v>Growth</v>
      </c>
      <c r="G294" s="31" t="str">
        <f>IFERROR(__xludf.DUMMYFUNCTION("""COMPUTED_VALUE"""),"karana2016@email.iimcal.ac.in")</f>
        <v>karana2016@email.iimcal.ac.in</v>
      </c>
      <c r="H294" s="31" t="str">
        <f>IFERROR(__xludf.DUMMYFUNCTION("""COMPUTED_VALUE"""),"Akanksha Dhamija")</f>
        <v>Akanksha Dhamija</v>
      </c>
      <c r="I294" s="75">
        <f>IFERROR(__xludf.DUMMYFUNCTION("""COMPUTED_VALUE"""),45626.0)</f>
        <v>45626</v>
      </c>
      <c r="J294" s="31" t="str">
        <f>IFERROR(__xludf.DUMMYFUNCTION("""COMPUTED_VALUE"""),"M Sangeetha")</f>
        <v>M Sangeetha</v>
      </c>
      <c r="K294" s="31" t="str">
        <f>IFERROR(__xludf.DUMMYFUNCTION("""COMPUTED_VALUE"""),"Joined")</f>
        <v>Joined</v>
      </c>
      <c r="L294" s="31" t="str">
        <f>IFERROR(__xludf.DUMMYFUNCTION("""COMPUTED_VALUE"""),"In Office")</f>
        <v>In Office</v>
      </c>
      <c r="M294" s="31" t="str">
        <f>IFERROR(__xludf.DUMMYFUNCTION("""COMPUTED_VALUE"""),"karan.aggarwal@zupee.in")</f>
        <v>karan.aggarwal@zupee.in</v>
      </c>
      <c r="N294" s="31"/>
    </row>
    <row r="295">
      <c r="A295" s="74">
        <f>IFERROR(__xludf.DUMMYFUNCTION("""COMPUTED_VALUE"""),45691.0)</f>
        <v>45691</v>
      </c>
      <c r="B295" s="31" t="str">
        <f>IFERROR(__xludf.DUMMYFUNCTION("""COMPUTED_VALUE"""),"Prateek Mittal")</f>
        <v>Prateek Mittal</v>
      </c>
      <c r="C295" s="31" t="str">
        <f>IFERROR(__xludf.DUMMYFUNCTION("""COMPUTED_VALUE"""),"Technology")</f>
        <v>Technology</v>
      </c>
      <c r="D295" s="31">
        <f>IFERROR(__xludf.DUMMYFUNCTION("""COMPUTED_VALUE"""),9.521423095E9)</f>
        <v>9521423095</v>
      </c>
      <c r="E295" s="31" t="str">
        <f>IFERROR(__xludf.DUMMYFUNCTION("""COMPUTED_VALUE"""),"Senior Software Development Engineer in Test")</f>
        <v>Senior Software Development Engineer in Test</v>
      </c>
      <c r="F295" s="31" t="str">
        <f>IFERROR(__xludf.DUMMYFUNCTION("""COMPUTED_VALUE"""),"SDET")</f>
        <v>SDET</v>
      </c>
      <c r="G295" s="31" t="str">
        <f>IFERROR(__xludf.DUMMYFUNCTION("""COMPUTED_VALUE"""),"prateekmittal0097@gmail.com")</f>
        <v>prateekmittal0097@gmail.com</v>
      </c>
      <c r="H295" s="31" t="str">
        <f>IFERROR(__xludf.DUMMYFUNCTION("""COMPUTED_VALUE"""),"Sahil Puri")</f>
        <v>Sahil Puri</v>
      </c>
      <c r="I295" s="75">
        <f>IFERROR(__xludf.DUMMYFUNCTION("""COMPUTED_VALUE"""),45628.0)</f>
        <v>45628</v>
      </c>
      <c r="J295" s="31" t="str">
        <f>IFERROR(__xludf.DUMMYFUNCTION("""COMPUTED_VALUE"""),"Vipin Kumar")</f>
        <v>Vipin Kumar</v>
      </c>
      <c r="K295" s="31" t="str">
        <f>IFERROR(__xludf.DUMMYFUNCTION("""COMPUTED_VALUE"""),"Joined")</f>
        <v>Joined</v>
      </c>
      <c r="L295" s="31" t="str">
        <f>IFERROR(__xludf.DUMMYFUNCTION("""COMPUTED_VALUE"""),"In Office")</f>
        <v>In Office</v>
      </c>
      <c r="M295" s="31" t="str">
        <f>IFERROR(__xludf.DUMMYFUNCTION("""COMPUTED_VALUE"""),"prateek.mittal@zupee.in")</f>
        <v>prateek.mittal@zupee.in</v>
      </c>
      <c r="N295" s="31" t="str">
        <f>IFERROR(__xludf.DUMMYFUNCTION("""COMPUTED_VALUE"""),"J7F9Q1VJ9G")</f>
        <v>J7F9Q1VJ9G</v>
      </c>
    </row>
    <row r="296">
      <c r="A296" s="74">
        <f>IFERROR(__xludf.DUMMYFUNCTION("""COMPUTED_VALUE"""),45630.0)</f>
        <v>45630</v>
      </c>
      <c r="B296" s="31" t="str">
        <f>IFERROR(__xludf.DUMMYFUNCTION("""COMPUTED_VALUE"""),"Rahul Saini")</f>
        <v>Rahul Saini</v>
      </c>
      <c r="C296" s="31" t="str">
        <f>IFERROR(__xludf.DUMMYFUNCTION("""COMPUTED_VALUE"""),"Customer Experience")</f>
        <v>Customer Experience</v>
      </c>
      <c r="D296" s="31">
        <f>IFERROR(__xludf.DUMMYFUNCTION("""COMPUTED_VALUE"""),9.716916992E9)</f>
        <v>9716916992</v>
      </c>
      <c r="E296" s="31" t="str">
        <f>IFERROR(__xludf.DUMMYFUNCTION("""COMPUTED_VALUE"""),"Senior Executive-Quality Auditor")</f>
        <v>Senior Executive-Quality Auditor</v>
      </c>
      <c r="F296" s="31" t="str">
        <f>IFERROR(__xludf.DUMMYFUNCTION("""COMPUTED_VALUE"""),"Customer Relation Management")</f>
        <v>Customer Relation Management</v>
      </c>
      <c r="G296" s="31" t="str">
        <f>IFERROR(__xludf.DUMMYFUNCTION("""COMPUTED_VALUE"""),"rsthakur271@gmail.com")</f>
        <v>rsthakur271@gmail.com</v>
      </c>
      <c r="H296" s="31" t="str">
        <f>IFERROR(__xludf.DUMMYFUNCTION("""COMPUTED_VALUE"""),"Sumit Yadav")</f>
        <v>Sumit Yadav</v>
      </c>
      <c r="I296" s="75">
        <f>IFERROR(__xludf.DUMMYFUNCTION("""COMPUTED_VALUE"""),45629.0)</f>
        <v>45629</v>
      </c>
      <c r="J296" s="31" t="str">
        <f>IFERROR(__xludf.DUMMYFUNCTION("""COMPUTED_VALUE"""),"Nidhi Khedekar")</f>
        <v>Nidhi Khedekar</v>
      </c>
      <c r="K296" s="31" t="str">
        <f>IFERROR(__xludf.DUMMYFUNCTION("""COMPUTED_VALUE"""),"Joined")</f>
        <v>Joined</v>
      </c>
      <c r="L296" s="31" t="str">
        <f>IFERROR(__xludf.DUMMYFUNCTION("""COMPUTED_VALUE"""),"In Office")</f>
        <v>In Office</v>
      </c>
      <c r="M296" s="31" t="str">
        <f>IFERROR(__xludf.DUMMYFUNCTION("""COMPUTED_VALUE"""),"rahul.saini@zupee.in")</f>
        <v>rahul.saini@zupee.in</v>
      </c>
      <c r="N296" s="31"/>
    </row>
    <row r="297">
      <c r="A297" s="74">
        <f>IFERROR(__xludf.DUMMYFUNCTION("""COMPUTED_VALUE"""),45630.0)</f>
        <v>45630</v>
      </c>
      <c r="B297" s="31" t="str">
        <f>IFERROR(__xludf.DUMMYFUNCTION("""COMPUTED_VALUE"""),"Ravneet Kaur")</f>
        <v>Ravneet Kaur</v>
      </c>
      <c r="C297" s="31" t="str">
        <f>IFERROR(__xludf.DUMMYFUNCTION("""COMPUTED_VALUE"""),"Customer Experience")</f>
        <v>Customer Experience</v>
      </c>
      <c r="D297" s="31">
        <f>IFERROR(__xludf.DUMMYFUNCTION("""COMPUTED_VALUE"""),7.82791179E9)</f>
        <v>7827911790</v>
      </c>
      <c r="E297" s="31" t="str">
        <f>IFERROR(__xludf.DUMMYFUNCTION("""COMPUTED_VALUE"""),"Executive-Quality Auditor")</f>
        <v>Executive-Quality Auditor</v>
      </c>
      <c r="F297" s="31" t="str">
        <f>IFERROR(__xludf.DUMMYFUNCTION("""COMPUTED_VALUE"""),"Customer Relation Management")</f>
        <v>Customer Relation Management</v>
      </c>
      <c r="G297" s="31" t="str">
        <f>IFERROR(__xludf.DUMMYFUNCTION("""COMPUTED_VALUE"""),"kaur.neet0805@gmail.com")</f>
        <v>kaur.neet0805@gmail.com</v>
      </c>
      <c r="H297" s="31" t="str">
        <f>IFERROR(__xludf.DUMMYFUNCTION("""COMPUTED_VALUE"""),"Sumit Yadav")</f>
        <v>Sumit Yadav</v>
      </c>
      <c r="I297" s="75">
        <f>IFERROR(__xludf.DUMMYFUNCTION("""COMPUTED_VALUE"""),45629.0)</f>
        <v>45629</v>
      </c>
      <c r="J297" s="31" t="str">
        <f>IFERROR(__xludf.DUMMYFUNCTION("""COMPUTED_VALUE"""),"Nidhi Khedekar")</f>
        <v>Nidhi Khedekar</v>
      </c>
      <c r="K297" s="31" t="str">
        <f>IFERROR(__xludf.DUMMYFUNCTION("""COMPUTED_VALUE"""),"Joined")</f>
        <v>Joined</v>
      </c>
      <c r="L297" s="31" t="str">
        <f>IFERROR(__xludf.DUMMYFUNCTION("""COMPUTED_VALUE"""),"In Office")</f>
        <v>In Office</v>
      </c>
      <c r="M297" s="31" t="str">
        <f>IFERROR(__xludf.DUMMYFUNCTION("""COMPUTED_VALUE"""),"ravneet.kaur@zupee.in")</f>
        <v>ravneet.kaur@zupee.in</v>
      </c>
      <c r="N297" s="31"/>
    </row>
    <row r="298">
      <c r="A298" s="74">
        <f>IFERROR(__xludf.DUMMYFUNCTION("""COMPUTED_VALUE"""),45635.0)</f>
        <v>45635</v>
      </c>
      <c r="B298" s="31" t="str">
        <f>IFERROR(__xludf.DUMMYFUNCTION("""COMPUTED_VALUE"""),"Mohd Nadeem Ansari")</f>
        <v>Mohd Nadeem Ansari</v>
      </c>
      <c r="C298" s="31" t="str">
        <f>IFERROR(__xludf.DUMMYFUNCTION("""COMPUTED_VALUE"""),"Customer Experience")</f>
        <v>Customer Experience</v>
      </c>
      <c r="D298" s="31">
        <f>IFERROR(__xludf.DUMMYFUNCTION("""COMPUTED_VALUE"""),7.379563325E9)</f>
        <v>7379563325</v>
      </c>
      <c r="E298" s="31" t="str">
        <f>IFERROR(__xludf.DUMMYFUNCTION("""COMPUTED_VALUE"""),"Relationship Manager")</f>
        <v>Relationship Manager</v>
      </c>
      <c r="F298" s="31" t="str">
        <f>IFERROR(__xludf.DUMMYFUNCTION("""COMPUTED_VALUE"""),"Customer Relation Management")</f>
        <v>Customer Relation Management</v>
      </c>
      <c r="G298" s="31" t="str">
        <f>IFERROR(__xludf.DUMMYFUNCTION("""COMPUTED_VALUE"""),"nadeem7379563325@gmail.com ")</f>
        <v>nadeem7379563325@gmail.com </v>
      </c>
      <c r="H298" s="31" t="str">
        <f>IFERROR(__xludf.DUMMYFUNCTION("""COMPUTED_VALUE"""),"Shivam Bali")</f>
        <v>Shivam Bali</v>
      </c>
      <c r="I298" s="75">
        <f>IFERROR(__xludf.DUMMYFUNCTION("""COMPUTED_VALUE"""),45631.0)</f>
        <v>45631</v>
      </c>
      <c r="J298" s="31" t="str">
        <f>IFERROR(__xludf.DUMMYFUNCTION("""COMPUTED_VALUE"""),"Nidhi Khedekar")</f>
        <v>Nidhi Khedekar</v>
      </c>
      <c r="K298" s="31" t="str">
        <f>IFERROR(__xludf.DUMMYFUNCTION("""COMPUTED_VALUE"""),"Joined")</f>
        <v>Joined</v>
      </c>
      <c r="L298" s="31" t="str">
        <f>IFERROR(__xludf.DUMMYFUNCTION("""COMPUTED_VALUE"""),"In Office")</f>
        <v>In Office</v>
      </c>
      <c r="M298" s="31" t="str">
        <f>IFERROR(__xludf.DUMMYFUNCTION("""COMPUTED_VALUE"""),"mohd.ansari@zupee.in")</f>
        <v>mohd.ansari@zupee.in</v>
      </c>
      <c r="N298" s="31"/>
    </row>
    <row r="299">
      <c r="A299" s="74">
        <f>IFERROR(__xludf.DUMMYFUNCTION("""COMPUTED_VALUE"""),45635.0)</f>
        <v>45635</v>
      </c>
      <c r="B299" s="31" t="str">
        <f>IFERROR(__xludf.DUMMYFUNCTION("""COMPUTED_VALUE"""),"Shiwani Pokhriyal")</f>
        <v>Shiwani Pokhriyal</v>
      </c>
      <c r="C299" s="31" t="str">
        <f>IFERROR(__xludf.DUMMYFUNCTION("""COMPUTED_VALUE"""),"Customer Experience")</f>
        <v>Customer Experience</v>
      </c>
      <c r="D299" s="31">
        <f>IFERROR(__xludf.DUMMYFUNCTION("""COMPUTED_VALUE"""),9.634477354E9)</f>
        <v>9634477354</v>
      </c>
      <c r="E299" s="31" t="str">
        <f>IFERROR(__xludf.DUMMYFUNCTION("""COMPUTED_VALUE"""),"Senior Quality Team Lead
")</f>
        <v>Senior Quality Team Lead
</v>
      </c>
      <c r="F299" s="31" t="str">
        <f>IFERROR(__xludf.DUMMYFUNCTION("""COMPUTED_VALUE"""),"Customer Relation Management")</f>
        <v>Customer Relation Management</v>
      </c>
      <c r="G299" s="31" t="str">
        <f>IFERROR(__xludf.DUMMYFUNCTION("""COMPUTED_VALUE"""),"shiwanipokhriyal9634@gmail.com ")</f>
        <v>shiwanipokhriyal9634@gmail.com </v>
      </c>
      <c r="H299" s="31" t="str">
        <f>IFERROR(__xludf.DUMMYFUNCTION("""COMPUTED_VALUE"""),"Sumit Yadav")</f>
        <v>Sumit Yadav</v>
      </c>
      <c r="I299" s="75">
        <f>IFERROR(__xludf.DUMMYFUNCTION("""COMPUTED_VALUE"""),45631.0)</f>
        <v>45631</v>
      </c>
      <c r="J299" s="31" t="str">
        <f>IFERROR(__xludf.DUMMYFUNCTION("""COMPUTED_VALUE"""),"Nidhi Khedekar")</f>
        <v>Nidhi Khedekar</v>
      </c>
      <c r="K299" s="31" t="str">
        <f>IFERROR(__xludf.DUMMYFUNCTION("""COMPUTED_VALUE"""),"Joined")</f>
        <v>Joined</v>
      </c>
      <c r="L299" s="31" t="str">
        <f>IFERROR(__xludf.DUMMYFUNCTION("""COMPUTED_VALUE"""),"In Office")</f>
        <v>In Office</v>
      </c>
      <c r="M299" s="31" t="str">
        <f>IFERROR(__xludf.DUMMYFUNCTION("""COMPUTED_VALUE"""),"shiwani.pokhriyal@zupee.in")</f>
        <v>shiwani.pokhriyal@zupee.in</v>
      </c>
      <c r="N299" s="31" t="str">
        <f>IFERROR(__xludf.DUMMYFUNCTION("""COMPUTED_VALUE"""),"PF4BME6Y")</f>
        <v>PF4BME6Y</v>
      </c>
    </row>
    <row r="300">
      <c r="A300" s="74">
        <f>IFERROR(__xludf.DUMMYFUNCTION("""COMPUTED_VALUE"""),45635.0)</f>
        <v>45635</v>
      </c>
      <c r="B300" s="31" t="str">
        <f>IFERROR(__xludf.DUMMYFUNCTION("""COMPUTED_VALUE"""),"Abhishek Srivastava")</f>
        <v>Abhishek Srivastava</v>
      </c>
      <c r="C300" s="31" t="str">
        <f>IFERROR(__xludf.DUMMYFUNCTION("""COMPUTED_VALUE"""),"Design")</f>
        <v>Design</v>
      </c>
      <c r="D300" s="31">
        <f>IFERROR(__xludf.DUMMYFUNCTION("""COMPUTED_VALUE"""),9.899264235E9)</f>
        <v>9899264235</v>
      </c>
      <c r="E300" s="31" t="str">
        <f>IFERROR(__xludf.DUMMYFUNCTION("""COMPUTED_VALUE"""),"Lead-Product Designer")</f>
        <v>Lead-Product Designer</v>
      </c>
      <c r="F300" s="31" t="str">
        <f>IFERROR(__xludf.DUMMYFUNCTION("""COMPUTED_VALUE"""),"Design")</f>
        <v>Design</v>
      </c>
      <c r="G300" s="31" t="str">
        <f>IFERROR(__xludf.DUMMYFUNCTION("""COMPUTED_VALUE"""),"abhicfg1511@gmail.com")</f>
        <v>abhicfg1511@gmail.com</v>
      </c>
      <c r="H300" s="31" t="str">
        <f>IFERROR(__xludf.DUMMYFUNCTION("""COMPUTED_VALUE"""),"Anish Abraham")</f>
        <v>Anish Abraham</v>
      </c>
      <c r="I300" s="75">
        <f>IFERROR(__xludf.DUMMYFUNCTION("""COMPUTED_VALUE"""),45631.0)</f>
        <v>45631</v>
      </c>
      <c r="J300" s="31" t="str">
        <f>IFERROR(__xludf.DUMMYFUNCTION("""COMPUTED_VALUE"""),"Shivam Sharma")</f>
        <v>Shivam Sharma</v>
      </c>
      <c r="K300" s="31" t="str">
        <f>IFERROR(__xludf.DUMMYFUNCTION("""COMPUTED_VALUE"""),"Joined")</f>
        <v>Joined</v>
      </c>
      <c r="L300" s="31" t="str">
        <f>IFERROR(__xludf.DUMMYFUNCTION("""COMPUTED_VALUE"""),"In Office")</f>
        <v>In Office</v>
      </c>
      <c r="M300" s="31" t="str">
        <f>IFERROR(__xludf.DUMMYFUNCTION("""COMPUTED_VALUE"""),"abhishek.srivastava@zupee.in")</f>
        <v>abhishek.srivastava@zupee.in</v>
      </c>
      <c r="N300" s="31" t="str">
        <f>IFERROR(__xludf.DUMMYFUNCTION("""COMPUTED_VALUE"""),"GF3Q7N17F4")</f>
        <v>GF3Q7N17F4</v>
      </c>
    </row>
    <row r="301">
      <c r="A301" s="74">
        <f>IFERROR(__xludf.DUMMYFUNCTION("""COMPUTED_VALUE"""),45671.0)</f>
        <v>45671</v>
      </c>
      <c r="B301" s="31" t="str">
        <f>IFERROR(__xludf.DUMMYFUNCTION("""COMPUTED_VALUE"""),"Deep Dwivedi")</f>
        <v>Deep Dwivedi</v>
      </c>
      <c r="C301" s="31" t="str">
        <f>IFERROR(__xludf.DUMMYFUNCTION("""COMPUTED_VALUE"""),"Data Science")</f>
        <v>Data Science</v>
      </c>
      <c r="D301" s="31">
        <f>IFERROR(__xludf.DUMMYFUNCTION("""COMPUTED_VALUE"""),8.971800272E9)</f>
        <v>8971800272</v>
      </c>
      <c r="E301" s="31" t="str">
        <f>IFERROR(__xludf.DUMMYFUNCTION("""COMPUTED_VALUE"""),"Director- Data Science")</f>
        <v>Director- Data Science</v>
      </c>
      <c r="F301" s="31" t="str">
        <f>IFERROR(__xludf.DUMMYFUNCTION("""COMPUTED_VALUE"""),"Data Science")</f>
        <v>Data Science</v>
      </c>
      <c r="G301" s="31" t="str">
        <f>IFERROR(__xludf.DUMMYFUNCTION("""COMPUTED_VALUE"""),"dddwivedi@gmail.com")</f>
        <v>dddwivedi@gmail.com</v>
      </c>
      <c r="H301" s="31" t="str">
        <f>IFERROR(__xludf.DUMMYFUNCTION("""COMPUTED_VALUE"""),"Sairam Mushyam")</f>
        <v>Sairam Mushyam</v>
      </c>
      <c r="I301" s="75">
        <f>IFERROR(__xludf.DUMMYFUNCTION("""COMPUTED_VALUE"""),45635.0)</f>
        <v>45635</v>
      </c>
      <c r="J301" s="31" t="str">
        <f>IFERROR(__xludf.DUMMYFUNCTION("""COMPUTED_VALUE"""),"Rajneesh Yadav")</f>
        <v>Rajneesh Yadav</v>
      </c>
      <c r="K301" s="31" t="str">
        <f>IFERROR(__xludf.DUMMYFUNCTION("""COMPUTED_VALUE"""),"Joined")</f>
        <v>Joined</v>
      </c>
      <c r="L301" s="31" t="str">
        <f>IFERROR(__xludf.DUMMYFUNCTION("""COMPUTED_VALUE"""),"In Office")</f>
        <v>In Office</v>
      </c>
      <c r="M301" s="31" t="str">
        <f>IFERROR(__xludf.DUMMYFUNCTION("""COMPUTED_VALUE"""),"deep.dwivedi@zupee.in")</f>
        <v>deep.dwivedi@zupee.in</v>
      </c>
      <c r="N301" s="31"/>
    </row>
    <row r="302">
      <c r="A302" s="74">
        <f>IFERROR(__xludf.DUMMYFUNCTION("""COMPUTED_VALUE"""),45644.0)</f>
        <v>45644</v>
      </c>
      <c r="B302" s="31" t="str">
        <f>IFERROR(__xludf.DUMMYFUNCTION("""COMPUTED_VALUE"""),"Tarun Sharma")</f>
        <v>Tarun Sharma</v>
      </c>
      <c r="C302" s="31" t="str">
        <f>IFERROR(__xludf.DUMMYFUNCTION("""COMPUTED_VALUE"""),"Customer Experience")</f>
        <v>Customer Experience</v>
      </c>
      <c r="D302" s="31">
        <f>IFERROR(__xludf.DUMMYFUNCTION("""COMPUTED_VALUE"""),9.958488676E9)</f>
        <v>9958488676</v>
      </c>
      <c r="E302" s="31" t="str">
        <f>IFERROR(__xludf.DUMMYFUNCTION("""COMPUTED_VALUE"""),"Manager-Quality")</f>
        <v>Manager-Quality</v>
      </c>
      <c r="F302" s="31" t="str">
        <f>IFERROR(__xludf.DUMMYFUNCTION("""COMPUTED_VALUE"""),"Customer Relation Management")</f>
        <v>Customer Relation Management</v>
      </c>
      <c r="G302" s="31" t="str">
        <f>IFERROR(__xludf.DUMMYFUNCTION("""COMPUTED_VALUE"""),"tarun812005@gmail.com")</f>
        <v>tarun812005@gmail.com</v>
      </c>
      <c r="H302" s="31" t="str">
        <f>IFERROR(__xludf.DUMMYFUNCTION("""COMPUTED_VALUE"""),"Sumit Yadav")</f>
        <v>Sumit Yadav</v>
      </c>
      <c r="I302" s="75">
        <f>IFERROR(__xludf.DUMMYFUNCTION("""COMPUTED_VALUE"""),45643.0)</f>
        <v>45643</v>
      </c>
      <c r="J302" s="31" t="str">
        <f>IFERROR(__xludf.DUMMYFUNCTION("""COMPUTED_VALUE"""),"Nidhi Khedekar")</f>
        <v>Nidhi Khedekar</v>
      </c>
      <c r="K302" s="31" t="str">
        <f>IFERROR(__xludf.DUMMYFUNCTION("""COMPUTED_VALUE"""),"Joined")</f>
        <v>Joined</v>
      </c>
      <c r="L302" s="31" t="str">
        <f>IFERROR(__xludf.DUMMYFUNCTION("""COMPUTED_VALUE"""),"In Office")</f>
        <v>In Office</v>
      </c>
      <c r="M302" s="31" t="str">
        <f>IFERROR(__xludf.DUMMYFUNCTION("""COMPUTED_VALUE"""),"tarun.sharma@zupee.in")</f>
        <v>tarun.sharma@zupee.in</v>
      </c>
      <c r="N302" s="31"/>
    </row>
    <row r="303">
      <c r="A303" s="74">
        <f>IFERROR(__xludf.DUMMYFUNCTION("""COMPUTED_VALUE"""),45691.0)</f>
        <v>45691</v>
      </c>
      <c r="B303" s="31" t="str">
        <f>IFERROR(__xludf.DUMMYFUNCTION("""COMPUTED_VALUE"""),"Vikas Gupta")</f>
        <v>Vikas Gupta</v>
      </c>
      <c r="C303" s="31" t="str">
        <f>IFERROR(__xludf.DUMMYFUNCTION("""COMPUTED_VALUE"""),"Finance")</f>
        <v>Finance</v>
      </c>
      <c r="D303" s="31">
        <f>IFERROR(__xludf.DUMMYFUNCTION("""COMPUTED_VALUE"""),9.958867636E9)</f>
        <v>9958867636</v>
      </c>
      <c r="E303" s="31" t="str">
        <f>IFERROR(__xludf.DUMMYFUNCTION("""COMPUTED_VALUE"""),"Manager - FinOps")</f>
        <v>Manager - FinOps</v>
      </c>
      <c r="F303" s="31" t="str">
        <f>IFERROR(__xludf.DUMMYFUNCTION("""COMPUTED_VALUE"""),"Finance")</f>
        <v>Finance</v>
      </c>
      <c r="G303" s="31" t="str">
        <f>IFERROR(__xludf.DUMMYFUNCTION("""COMPUTED_VALUE"""),"Vikasonway143@gmail.com")</f>
        <v>Vikasonway143@gmail.com</v>
      </c>
      <c r="H303" s="31" t="str">
        <f>IFERROR(__xludf.DUMMYFUNCTION("""COMPUTED_VALUE"""),"Hitesh Vats")</f>
        <v>Hitesh Vats</v>
      </c>
      <c r="I303" s="75">
        <f>IFERROR(__xludf.DUMMYFUNCTION("""COMPUTED_VALUE"""),45644.0)</f>
        <v>45644</v>
      </c>
      <c r="J303" s="31" t="str">
        <f>IFERROR(__xludf.DUMMYFUNCTION("""COMPUTED_VALUE"""),"Naina")</f>
        <v>Naina</v>
      </c>
      <c r="K303" s="31" t="str">
        <f>IFERROR(__xludf.DUMMYFUNCTION("""COMPUTED_VALUE"""),"Joined")</f>
        <v>Joined</v>
      </c>
      <c r="L303" s="31" t="str">
        <f>IFERROR(__xludf.DUMMYFUNCTION("""COMPUTED_VALUE"""),"In Office")</f>
        <v>In Office</v>
      </c>
      <c r="M303" s="31" t="str">
        <f>IFERROR(__xludf.DUMMYFUNCTION("""COMPUTED_VALUE"""),"vikas.gupta@zupee.in")</f>
        <v>vikas.gupta@zupee.in</v>
      </c>
      <c r="N303" s="31"/>
    </row>
    <row r="304">
      <c r="A304" s="74">
        <f>IFERROR(__xludf.DUMMYFUNCTION("""COMPUTED_VALUE"""),45649.0)</f>
        <v>45649</v>
      </c>
      <c r="B304" s="31" t="str">
        <f>IFERROR(__xludf.DUMMYFUNCTION("""COMPUTED_VALUE"""),"Suraj Yadav")</f>
        <v>Suraj Yadav</v>
      </c>
      <c r="C304" s="31" t="str">
        <f>IFERROR(__xludf.DUMMYFUNCTION("""COMPUTED_VALUE"""),"Customer Experience")</f>
        <v>Customer Experience</v>
      </c>
      <c r="D304" s="31">
        <f>IFERROR(__xludf.DUMMYFUNCTION("""COMPUTED_VALUE"""),9.044879914E9)</f>
        <v>9044879914</v>
      </c>
      <c r="E304" s="31" t="str">
        <f>IFERROR(__xludf.DUMMYFUNCTION("""COMPUTED_VALUE"""),"Relationship Manager")</f>
        <v>Relationship Manager</v>
      </c>
      <c r="F304" s="31" t="str">
        <f>IFERROR(__xludf.DUMMYFUNCTION("""COMPUTED_VALUE"""),"Customer Relation Management")</f>
        <v>Customer Relation Management</v>
      </c>
      <c r="G304" s="31" t="str">
        <f>IFERROR(__xludf.DUMMYFUNCTION("""COMPUTED_VALUE"""),"yadavsuraj1230@gmail.com")</f>
        <v>yadavsuraj1230@gmail.com</v>
      </c>
      <c r="H304" s="31" t="str">
        <f>IFERROR(__xludf.DUMMYFUNCTION("""COMPUTED_VALUE"""),"Shivam Bali")</f>
        <v>Shivam Bali</v>
      </c>
      <c r="I304" s="75">
        <f>IFERROR(__xludf.DUMMYFUNCTION("""COMPUTED_VALUE"""),45645.0)</f>
        <v>45645</v>
      </c>
      <c r="J304" s="31" t="str">
        <f>IFERROR(__xludf.DUMMYFUNCTION("""COMPUTED_VALUE"""),"Nidhi Khedekar")</f>
        <v>Nidhi Khedekar</v>
      </c>
      <c r="K304" s="31" t="str">
        <f>IFERROR(__xludf.DUMMYFUNCTION("""COMPUTED_VALUE"""),"Joined")</f>
        <v>Joined</v>
      </c>
      <c r="L304" s="31" t="str">
        <f>IFERROR(__xludf.DUMMYFUNCTION("""COMPUTED_VALUE"""),"In Office")</f>
        <v>In Office</v>
      </c>
      <c r="M304" s="31" t="str">
        <f>IFERROR(__xludf.DUMMYFUNCTION("""COMPUTED_VALUE"""),"suraj.yadav@zupee.in")</f>
        <v>suraj.yadav@zupee.in</v>
      </c>
      <c r="N304" s="31" t="str">
        <f>IFERROR(__xludf.DUMMYFUNCTION("""COMPUTED_VALUE"""),"PG04E621")</f>
        <v>PG04E621</v>
      </c>
    </row>
    <row r="305">
      <c r="A305" s="74">
        <f>IFERROR(__xludf.DUMMYFUNCTION("""COMPUTED_VALUE"""),45663.0)</f>
        <v>45663</v>
      </c>
      <c r="B305" s="31" t="str">
        <f>IFERROR(__xludf.DUMMYFUNCTION("""COMPUTED_VALUE"""),"Aditya")</f>
        <v>Aditya</v>
      </c>
      <c r="C305" s="31" t="str">
        <f>IFERROR(__xludf.DUMMYFUNCTION("""COMPUTED_VALUE"""),"Technology")</f>
        <v>Technology</v>
      </c>
      <c r="D305" s="31">
        <f>IFERROR(__xludf.DUMMYFUNCTION("""COMPUTED_VALUE"""),8.168836952E9)</f>
        <v>8168836952</v>
      </c>
      <c r="E305" s="31" t="str">
        <f>IFERROR(__xludf.DUMMYFUNCTION("""COMPUTED_VALUE"""),"Software Engineer Trainee")</f>
        <v>Software Engineer Trainee</v>
      </c>
      <c r="F305" s="31" t="str">
        <f>IFERROR(__xludf.DUMMYFUNCTION("""COMPUTED_VALUE"""),"Backend")</f>
        <v>Backend</v>
      </c>
      <c r="G305" s="31" t="str">
        <f>IFERROR(__xludf.DUMMYFUNCTION("""COMPUTED_VALUE"""),"adityarao991@gmail.com")</f>
        <v>adityarao991@gmail.com</v>
      </c>
      <c r="H305" s="31" t="str">
        <f>IFERROR(__xludf.DUMMYFUNCTION("""COMPUTED_VALUE"""),"Atique firoz")</f>
        <v>Atique firoz</v>
      </c>
      <c r="I305" s="75">
        <f>IFERROR(__xludf.DUMMYFUNCTION("""COMPUTED_VALUE"""),45645.0)</f>
        <v>45645</v>
      </c>
      <c r="J305" s="31" t="str">
        <f>IFERROR(__xludf.DUMMYFUNCTION("""COMPUTED_VALUE"""),"Nidhi Khedekar")</f>
        <v>Nidhi Khedekar</v>
      </c>
      <c r="K305" s="31" t="str">
        <f>IFERROR(__xludf.DUMMYFUNCTION("""COMPUTED_VALUE"""),"Joined")</f>
        <v>Joined</v>
      </c>
      <c r="L305" s="31" t="str">
        <f>IFERROR(__xludf.DUMMYFUNCTION("""COMPUTED_VALUE"""),"In Office")</f>
        <v>In Office</v>
      </c>
      <c r="M305" s="31"/>
      <c r="N305" s="31"/>
    </row>
    <row r="306">
      <c r="A306" s="74">
        <f>IFERROR(__xludf.DUMMYFUNCTION("""COMPUTED_VALUE"""),45659.0)</f>
        <v>45659</v>
      </c>
      <c r="B306" s="31" t="str">
        <f>IFERROR(__xludf.DUMMYFUNCTION("""COMPUTED_VALUE"""),"Samarth Udasin ")</f>
        <v>Samarth Udasin </v>
      </c>
      <c r="C306" s="31" t="str">
        <f>IFERROR(__xludf.DUMMYFUNCTION("""COMPUTED_VALUE"""),"Corporate")</f>
        <v>Corporate</v>
      </c>
      <c r="D306" s="31">
        <f>IFERROR(__xludf.DUMMYFUNCTION("""COMPUTED_VALUE"""),8.989605103E9)</f>
        <v>8989605103</v>
      </c>
      <c r="E306" s="31" t="str">
        <f>IFERROR(__xludf.DUMMYFUNCTION("""COMPUTED_VALUE"""),"Legal Intern")</f>
        <v>Legal Intern</v>
      </c>
      <c r="F306" s="31" t="str">
        <f>IFERROR(__xludf.DUMMYFUNCTION("""COMPUTED_VALUE"""),"Legal")</f>
        <v>Legal</v>
      </c>
      <c r="G306" s="31" t="str">
        <f>IFERROR(__xludf.DUMMYFUNCTION("""COMPUTED_VALUE"""),"samarthudasin@gmail.com")</f>
        <v>samarthudasin@gmail.com</v>
      </c>
      <c r="H306" s="31" t="str">
        <f>IFERROR(__xludf.DUMMYFUNCTION("""COMPUTED_VALUE"""),"Arpita Latta")</f>
        <v>Arpita Latta</v>
      </c>
      <c r="I306" s="75">
        <f>IFERROR(__xludf.DUMMYFUNCTION("""COMPUTED_VALUE"""),45645.0)</f>
        <v>45645</v>
      </c>
      <c r="J306" s="31" t="str">
        <f>IFERROR(__xludf.DUMMYFUNCTION("""COMPUTED_VALUE"""),"Nidhi Khedekar")</f>
        <v>Nidhi Khedekar</v>
      </c>
      <c r="K306" s="31" t="str">
        <f>IFERROR(__xludf.DUMMYFUNCTION("""COMPUTED_VALUE"""),"Joined")</f>
        <v>Joined</v>
      </c>
      <c r="L306" s="31" t="str">
        <f>IFERROR(__xludf.DUMMYFUNCTION("""COMPUTED_VALUE"""),"In Office")</f>
        <v>In Office</v>
      </c>
      <c r="M306" s="31"/>
      <c r="N306" s="31"/>
    </row>
    <row r="307">
      <c r="A307" s="74">
        <f>IFERROR(__xludf.DUMMYFUNCTION("""COMPUTED_VALUE"""),45659.0)</f>
        <v>45659</v>
      </c>
      <c r="B307" s="31" t="str">
        <f>IFERROR(__xludf.DUMMYFUNCTION("""COMPUTED_VALUE"""),"Russell Dreisenstock")</f>
        <v>Russell Dreisenstock</v>
      </c>
      <c r="C307" s="31" t="str">
        <f>IFERROR(__xludf.DUMMYFUNCTION("""COMPUTED_VALUE"""),"Corporate")</f>
        <v>Corporate</v>
      </c>
      <c r="D307" s="31"/>
      <c r="E307" s="31" t="str">
        <f>IFERROR(__xludf.DUMMYFUNCTION("""COMPUTED_VALUE"""),"Head of Corporate Development")</f>
        <v>Head of Corporate Development</v>
      </c>
      <c r="F307" s="31" t="str">
        <f>IFERROR(__xludf.DUMMYFUNCTION("""COMPUTED_VALUE"""),"Corporate")</f>
        <v>Corporate</v>
      </c>
      <c r="G307" s="31" t="str">
        <f>IFERROR(__xludf.DUMMYFUNCTION("""COMPUTED_VALUE"""),"rdreisenstock@gmail.com")</f>
        <v>rdreisenstock@gmail.com</v>
      </c>
      <c r="H307" s="31" t="str">
        <f>IFERROR(__xludf.DUMMYFUNCTION("""COMPUTED_VALUE"""),"Dilsher Malhi")</f>
        <v>Dilsher Malhi</v>
      </c>
      <c r="I307" s="75">
        <f>IFERROR(__xludf.DUMMYFUNCTION("""COMPUTED_VALUE"""),45652.0)</f>
        <v>45652</v>
      </c>
      <c r="J307" s="31" t="str">
        <f>IFERROR(__xludf.DUMMYFUNCTION("""COMPUTED_VALUE"""),"M Sangeetha")</f>
        <v>M Sangeetha</v>
      </c>
      <c r="K307" s="31" t="str">
        <f>IFERROR(__xludf.DUMMYFUNCTION("""COMPUTED_VALUE"""),"Joined")</f>
        <v>Joined</v>
      </c>
      <c r="L307" s="31" t="str">
        <f>IFERROR(__xludf.DUMMYFUNCTION("""COMPUTED_VALUE"""),"Virtual")</f>
        <v>Virtual</v>
      </c>
      <c r="M307" s="31" t="str">
        <f>IFERROR(__xludf.DUMMYFUNCTION("""COMPUTED_VALUE"""),"rad@zupee.in")</f>
        <v>rad@zupee.in</v>
      </c>
      <c r="N307" s="31"/>
    </row>
    <row r="308">
      <c r="A308" s="74">
        <f>IFERROR(__xludf.DUMMYFUNCTION("""COMPUTED_VALUE"""),45663.0)</f>
        <v>45663</v>
      </c>
      <c r="B308" s="31" t="str">
        <f>IFERROR(__xludf.DUMMYFUNCTION("""COMPUTED_VALUE"""),"Daksh Tyagi")</f>
        <v>Daksh Tyagi</v>
      </c>
      <c r="C308" s="31" t="str">
        <f>IFERROR(__xludf.DUMMYFUNCTION("""COMPUTED_VALUE"""),"Corporate")</f>
        <v>Corporate</v>
      </c>
      <c r="D308" s="31">
        <f>IFERROR(__xludf.DUMMYFUNCTION("""COMPUTED_VALUE"""),9.711182121E9)</f>
        <v>9711182121</v>
      </c>
      <c r="E308" s="31" t="str">
        <f>IFERROR(__xludf.DUMMYFUNCTION("""COMPUTED_VALUE"""),"Head of Government Relations")</f>
        <v>Head of Government Relations</v>
      </c>
      <c r="F308" s="31" t="str">
        <f>IFERROR(__xludf.DUMMYFUNCTION("""COMPUTED_VALUE"""),"Legal")</f>
        <v>Legal</v>
      </c>
      <c r="G308" s="31" t="str">
        <f>IFERROR(__xludf.DUMMYFUNCTION("""COMPUTED_VALUE"""),"dakshtyagi21@gmail.com ")</f>
        <v>dakshtyagi21@gmail.com </v>
      </c>
      <c r="H308" s="31" t="str">
        <f>IFERROR(__xludf.DUMMYFUNCTION("""COMPUTED_VALUE"""),"Thomas Phillippe")</f>
        <v>Thomas Phillippe</v>
      </c>
      <c r="I308" s="75">
        <f>IFERROR(__xludf.DUMMYFUNCTION("""COMPUTED_VALUE"""),45653.0)</f>
        <v>45653</v>
      </c>
      <c r="J308" s="31" t="str">
        <f>IFERROR(__xludf.DUMMYFUNCTION("""COMPUTED_VALUE"""),"Shivam Sharma")</f>
        <v>Shivam Sharma</v>
      </c>
      <c r="K308" s="31" t="str">
        <f>IFERROR(__xludf.DUMMYFUNCTION("""COMPUTED_VALUE"""),"Joined")</f>
        <v>Joined</v>
      </c>
      <c r="L308" s="31" t="str">
        <f>IFERROR(__xludf.DUMMYFUNCTION("""COMPUTED_VALUE"""),"In Office")</f>
        <v>In Office</v>
      </c>
      <c r="M308" s="31" t="str">
        <f>IFERROR(__xludf.DUMMYFUNCTION("""COMPUTED_VALUE"""),"daksh.tyagi@zupee.in")</f>
        <v>daksh.tyagi@zupee.in</v>
      </c>
      <c r="N308" s="31"/>
    </row>
    <row r="309">
      <c r="A309" s="74">
        <f>IFERROR(__xludf.DUMMYFUNCTION("""COMPUTED_VALUE"""),45663.0)</f>
        <v>45663</v>
      </c>
      <c r="B309" s="31" t="str">
        <f>IFERROR(__xludf.DUMMYFUNCTION("""COMPUTED_VALUE"""),"Aryan Duhan")</f>
        <v>Aryan Duhan</v>
      </c>
      <c r="C309" s="31" t="str">
        <f>IFERROR(__xludf.DUMMYFUNCTION("""COMPUTED_VALUE"""),"Technology")</f>
        <v>Technology</v>
      </c>
      <c r="D309" s="31">
        <f>IFERROR(__xludf.DUMMYFUNCTION("""COMPUTED_VALUE"""),8.700174108E9)</f>
        <v>8700174108</v>
      </c>
      <c r="E309" s="31" t="str">
        <f>IFERROR(__xludf.DUMMYFUNCTION("""COMPUTED_VALUE"""),"Software Engineer Intern ")</f>
        <v>Software Engineer Intern </v>
      </c>
      <c r="F309" s="31" t="str">
        <f>IFERROR(__xludf.DUMMYFUNCTION("""COMPUTED_VALUE"""),"Backend")</f>
        <v>Backend</v>
      </c>
      <c r="G309" s="31" t="str">
        <f>IFERROR(__xludf.DUMMYFUNCTION("""COMPUTED_VALUE"""),"aryandoon04@gmail.com")</f>
        <v>aryandoon04@gmail.com</v>
      </c>
      <c r="H309" s="31" t="str">
        <f>IFERROR(__xludf.DUMMYFUNCTION("""COMPUTED_VALUE"""),"Rahul Sharma")</f>
        <v>Rahul Sharma</v>
      </c>
      <c r="I309" s="75">
        <f>IFERROR(__xludf.DUMMYFUNCTION("""COMPUTED_VALUE"""),45657.0)</f>
        <v>45657</v>
      </c>
      <c r="J309" s="31" t="str">
        <f>IFERROR(__xludf.DUMMYFUNCTION("""COMPUTED_VALUE"""),"Nidhi Khedekar")</f>
        <v>Nidhi Khedekar</v>
      </c>
      <c r="K309" s="31" t="str">
        <f>IFERROR(__xludf.DUMMYFUNCTION("""COMPUTED_VALUE"""),"Joined")</f>
        <v>Joined</v>
      </c>
      <c r="L309" s="31" t="str">
        <f>IFERROR(__xludf.DUMMYFUNCTION("""COMPUTED_VALUE"""),"In Office")</f>
        <v>In Office</v>
      </c>
      <c r="M309" s="31" t="str">
        <f>IFERROR(__xludf.DUMMYFUNCTION("""COMPUTED_VALUE"""),"aryan.duhan@zupee.in")</f>
        <v>aryan.duhan@zupee.in</v>
      </c>
      <c r="N309" s="31" t="str">
        <f>IFERROR(__xludf.DUMMYFUNCTION("""COMPUTED_VALUE"""),"C7VM3XP3FV")</f>
        <v>C7VM3XP3FV</v>
      </c>
    </row>
    <row r="310">
      <c r="A310" s="74">
        <f>IFERROR(__xludf.DUMMYFUNCTION("""COMPUTED_VALUE"""),45670.0)</f>
        <v>45670</v>
      </c>
      <c r="B310" s="31" t="str">
        <f>IFERROR(__xludf.DUMMYFUNCTION("""COMPUTED_VALUE"""),"Naveen Sangepu")</f>
        <v>Naveen Sangepu</v>
      </c>
      <c r="C310" s="31" t="str">
        <f>IFERROR(__xludf.DUMMYFUNCTION("""COMPUTED_VALUE"""),"Technology")</f>
        <v>Technology</v>
      </c>
      <c r="D310" s="31">
        <f>IFERROR(__xludf.DUMMYFUNCTION("""COMPUTED_VALUE"""),8.688998064E9)</f>
        <v>8688998064</v>
      </c>
      <c r="E310" s="31" t="str">
        <f>IFERROR(__xludf.DUMMYFUNCTION("""COMPUTED_VALUE"""),"Software Engineer ")</f>
        <v>Software Engineer </v>
      </c>
      <c r="F310" s="31" t="str">
        <f>IFERROR(__xludf.DUMMYFUNCTION("""COMPUTED_VALUE"""),"Backend")</f>
        <v>Backend</v>
      </c>
      <c r="G310" s="31" t="str">
        <f>IFERROR(__xludf.DUMMYFUNCTION("""COMPUTED_VALUE"""),"sangepunaveen5@gmail.com")</f>
        <v>sangepunaveen5@gmail.com</v>
      </c>
      <c r="H310" s="31" t="str">
        <f>IFERROR(__xludf.DUMMYFUNCTION("""COMPUTED_VALUE"""),"Piyush Shukla")</f>
        <v>Piyush Shukla</v>
      </c>
      <c r="I310" s="75">
        <f>IFERROR(__xludf.DUMMYFUNCTION("""COMPUTED_VALUE"""),45657.0)</f>
        <v>45657</v>
      </c>
      <c r="J310" s="31" t="str">
        <f>IFERROR(__xludf.DUMMYFUNCTION("""COMPUTED_VALUE"""),"Nidhi Khedekar")</f>
        <v>Nidhi Khedekar</v>
      </c>
      <c r="K310" s="31" t="str">
        <f>IFERROR(__xludf.DUMMYFUNCTION("""COMPUTED_VALUE"""),"Joined")</f>
        <v>Joined</v>
      </c>
      <c r="L310" s="31" t="str">
        <f>IFERROR(__xludf.DUMMYFUNCTION("""COMPUTED_VALUE"""),"Virtual")</f>
        <v>Virtual</v>
      </c>
      <c r="M310" s="31" t="str">
        <f>IFERROR(__xludf.DUMMYFUNCTION("""COMPUTED_VALUE"""),"naveen.sangepu@zupee.in")</f>
        <v>naveen.sangepu@zupee.in</v>
      </c>
      <c r="N310" s="31"/>
    </row>
    <row r="311">
      <c r="A311" s="74">
        <f>IFERROR(__xludf.DUMMYFUNCTION("""COMPUTED_VALUE"""),45691.0)</f>
        <v>45691</v>
      </c>
      <c r="B311" s="31" t="str">
        <f>IFERROR(__xludf.DUMMYFUNCTION("""COMPUTED_VALUE"""),"Prachi Kanthiyal")</f>
        <v>Prachi Kanthiyal</v>
      </c>
      <c r="C311" s="31" t="str">
        <f>IFERROR(__xludf.DUMMYFUNCTION("""COMPUTED_VALUE"""),"PR")</f>
        <v>PR</v>
      </c>
      <c r="D311" s="31">
        <f>IFERROR(__xludf.DUMMYFUNCTION("""COMPUTED_VALUE"""),9.890179987E9)</f>
        <v>9890179987</v>
      </c>
      <c r="E311" s="31" t="str">
        <f>IFERROR(__xludf.DUMMYFUNCTION("""COMPUTED_VALUE"""),"Manager - Public Relations")</f>
        <v>Manager - Public Relations</v>
      </c>
      <c r="F311" s="31" t="str">
        <f>IFERROR(__xludf.DUMMYFUNCTION("""COMPUTED_VALUE"""),"PR")</f>
        <v>PR</v>
      </c>
      <c r="G311" s="31" t="str">
        <f>IFERROR(__xludf.DUMMYFUNCTION("""COMPUTED_VALUE"""),"prachikabthiyal@gmail.com")</f>
        <v>prachikabthiyal@gmail.com</v>
      </c>
      <c r="H311" s="31" t="str">
        <f>IFERROR(__xludf.DUMMYFUNCTION("""COMPUTED_VALUE"""),"Amrit Anand")</f>
        <v>Amrit Anand</v>
      </c>
      <c r="I311" s="75">
        <f>IFERROR(__xludf.DUMMYFUNCTION("""COMPUTED_VALUE"""),45657.0)</f>
        <v>45657</v>
      </c>
      <c r="J311" s="31" t="str">
        <f>IFERROR(__xludf.DUMMYFUNCTION("""COMPUTED_VALUE"""),"Naina")</f>
        <v>Naina</v>
      </c>
      <c r="K311" s="31" t="str">
        <f>IFERROR(__xludf.DUMMYFUNCTION("""COMPUTED_VALUE"""),"Joined")</f>
        <v>Joined</v>
      </c>
      <c r="L311" s="31" t="str">
        <f>IFERROR(__xludf.DUMMYFUNCTION("""COMPUTED_VALUE"""),"In Office")</f>
        <v>In Office</v>
      </c>
      <c r="M311" s="31" t="str">
        <f>IFERROR(__xludf.DUMMYFUNCTION("""COMPUTED_VALUE"""),"prachi.Kanthiyal@zupee.in")</f>
        <v>prachi.Kanthiyal@zupee.in</v>
      </c>
      <c r="N311" s="31"/>
    </row>
    <row r="312">
      <c r="A312" s="74">
        <f>IFERROR(__xludf.DUMMYFUNCTION("""COMPUTED_VALUE"""),45691.0)</f>
        <v>45691</v>
      </c>
      <c r="B312" s="31" t="str">
        <f>IFERROR(__xludf.DUMMYFUNCTION("""COMPUTED_VALUE"""),"Dev Gargeshya")</f>
        <v>Dev Gargeshya</v>
      </c>
      <c r="C312" s="31" t="str">
        <f>IFERROR(__xludf.DUMMYFUNCTION("""COMPUTED_VALUE"""),"Customer Experience")</f>
        <v>Customer Experience</v>
      </c>
      <c r="D312" s="31">
        <f>IFERROR(__xludf.DUMMYFUNCTION("""COMPUTED_VALUE"""),7.409767709E9)</f>
        <v>7409767709</v>
      </c>
      <c r="E312" s="31" t="str">
        <f>IFERROR(__xludf.DUMMYFUNCTION("""COMPUTED_VALUE"""),"	Fraud Analyst")</f>
        <v>	Fraud Analyst</v>
      </c>
      <c r="F312" s="31" t="str">
        <f>IFERROR(__xludf.DUMMYFUNCTION("""COMPUTED_VALUE"""),"Fraud Risk Management ")</f>
        <v>Fraud Risk Management </v>
      </c>
      <c r="G312" s="31" t="str">
        <f>IFERROR(__xludf.DUMMYFUNCTION("""COMPUTED_VALUE"""),"devgargeshya@gmail.com")</f>
        <v>devgargeshya@gmail.com</v>
      </c>
      <c r="H312" s="31" t="str">
        <f>IFERROR(__xludf.DUMMYFUNCTION("""COMPUTED_VALUE"""),"Aman Khare")</f>
        <v>Aman Khare</v>
      </c>
      <c r="I312" s="75">
        <f>IFERROR(__xludf.DUMMYFUNCTION("""COMPUTED_VALUE"""),45659.0)</f>
        <v>45659</v>
      </c>
      <c r="J312" s="31" t="str">
        <f>IFERROR(__xludf.DUMMYFUNCTION("""COMPUTED_VALUE"""),"Nidhi Khedekar")</f>
        <v>Nidhi Khedekar</v>
      </c>
      <c r="K312" s="31" t="str">
        <f>IFERROR(__xludf.DUMMYFUNCTION("""COMPUTED_VALUE"""),"Offer Declined")</f>
        <v>Offer Declined</v>
      </c>
      <c r="L312" s="31" t="str">
        <f>IFERROR(__xludf.DUMMYFUNCTION("""COMPUTED_VALUE"""),"In Office")</f>
        <v>In Office</v>
      </c>
      <c r="M312" s="31"/>
      <c r="N312" s="31"/>
    </row>
    <row r="313">
      <c r="A313" s="74">
        <f>IFERROR(__xludf.DUMMYFUNCTION("""COMPUTED_VALUE"""),45663.0)</f>
        <v>45663</v>
      </c>
      <c r="B313" s="31" t="str">
        <f>IFERROR(__xludf.DUMMYFUNCTION("""COMPUTED_VALUE"""),"Ramendra Singh")</f>
        <v>Ramendra Singh</v>
      </c>
      <c r="C313" s="31" t="str">
        <f>IFERROR(__xludf.DUMMYFUNCTION("""COMPUTED_VALUE"""),"Customer Experience")</f>
        <v>Customer Experience</v>
      </c>
      <c r="D313" s="31">
        <f>IFERROR(__xludf.DUMMYFUNCTION("""COMPUTED_VALUE"""),8.287738829E9)</f>
        <v>8287738829</v>
      </c>
      <c r="E313" s="31" t="str">
        <f>IFERROR(__xludf.DUMMYFUNCTION("""COMPUTED_VALUE"""),"Relationship Manager")</f>
        <v>Relationship Manager</v>
      </c>
      <c r="F313" s="31" t="str">
        <f>IFERROR(__xludf.DUMMYFUNCTION("""COMPUTED_VALUE"""),"Customer Relation Management")</f>
        <v>Customer Relation Management</v>
      </c>
      <c r="G313" s="31" t="str">
        <f>IFERROR(__xludf.DUMMYFUNCTION("""COMPUTED_VALUE"""),"ramendr.pratap@gmail.com")</f>
        <v>ramendr.pratap@gmail.com</v>
      </c>
      <c r="H313" s="31" t="str">
        <f>IFERROR(__xludf.DUMMYFUNCTION("""COMPUTED_VALUE"""),"Shivam Bali")</f>
        <v>Shivam Bali</v>
      </c>
      <c r="I313" s="75">
        <f>IFERROR(__xludf.DUMMYFUNCTION("""COMPUTED_VALUE"""),45659.0)</f>
        <v>45659</v>
      </c>
      <c r="J313" s="31" t="str">
        <f>IFERROR(__xludf.DUMMYFUNCTION("""COMPUTED_VALUE"""),"Nidhi Khedekar")</f>
        <v>Nidhi Khedekar</v>
      </c>
      <c r="K313" s="31" t="str">
        <f>IFERROR(__xludf.DUMMYFUNCTION("""COMPUTED_VALUE"""),"Joined")</f>
        <v>Joined</v>
      </c>
      <c r="L313" s="31" t="str">
        <f>IFERROR(__xludf.DUMMYFUNCTION("""COMPUTED_VALUE"""),"In Office")</f>
        <v>In Office</v>
      </c>
      <c r="M313" s="31" t="str">
        <f>IFERROR(__xludf.DUMMYFUNCTION("""COMPUTED_VALUE"""),"ramendra.singh@zupee.in")</f>
        <v>ramendra.singh@zupee.in</v>
      </c>
      <c r="N313" s="31"/>
    </row>
    <row r="314">
      <c r="A314" s="74">
        <f>IFERROR(__xludf.DUMMYFUNCTION("""COMPUTED_VALUE"""),45663.0)</f>
        <v>45663</v>
      </c>
      <c r="B314" s="31" t="str">
        <f>IFERROR(__xludf.DUMMYFUNCTION("""COMPUTED_VALUE"""),"Amit Arora")</f>
        <v>Amit Arora</v>
      </c>
      <c r="C314" s="31" t="str">
        <f>IFERROR(__xludf.DUMMYFUNCTION("""COMPUTED_VALUE"""),"Customer Experience")</f>
        <v>Customer Experience</v>
      </c>
      <c r="D314" s="31">
        <f>IFERROR(__xludf.DUMMYFUNCTION("""COMPUTED_VALUE"""),8.448908215E9)</f>
        <v>8448908215</v>
      </c>
      <c r="E314" s="31" t="str">
        <f>IFERROR(__xludf.DUMMYFUNCTION("""COMPUTED_VALUE"""),"Relationship Manager")</f>
        <v>Relationship Manager</v>
      </c>
      <c r="F314" s="31" t="str">
        <f>IFERROR(__xludf.DUMMYFUNCTION("""COMPUTED_VALUE"""),"Customer Relation Management")</f>
        <v>Customer Relation Management</v>
      </c>
      <c r="G314" s="31" t="str">
        <f>IFERROR(__xludf.DUMMYFUNCTION("""COMPUTED_VALUE"""),"amit.arora09july@gmail.com")</f>
        <v>amit.arora09july@gmail.com</v>
      </c>
      <c r="H314" s="31" t="str">
        <f>IFERROR(__xludf.DUMMYFUNCTION("""COMPUTED_VALUE"""),"Shivam Bali")</f>
        <v>Shivam Bali</v>
      </c>
      <c r="I314" s="75">
        <f>IFERROR(__xludf.DUMMYFUNCTION("""COMPUTED_VALUE"""),45659.0)</f>
        <v>45659</v>
      </c>
      <c r="J314" s="31" t="str">
        <f>IFERROR(__xludf.DUMMYFUNCTION("""COMPUTED_VALUE"""),"Nidhi Khedekar")</f>
        <v>Nidhi Khedekar</v>
      </c>
      <c r="K314" s="31" t="str">
        <f>IFERROR(__xludf.DUMMYFUNCTION("""COMPUTED_VALUE"""),"Joined")</f>
        <v>Joined</v>
      </c>
      <c r="L314" s="31" t="str">
        <f>IFERROR(__xludf.DUMMYFUNCTION("""COMPUTED_VALUE"""),"In Office")</f>
        <v>In Office</v>
      </c>
      <c r="M314" s="31" t="str">
        <f>IFERROR(__xludf.DUMMYFUNCTION("""COMPUTED_VALUE"""),"amit.arora@zupee.in")</f>
        <v>amit.arora@zupee.in</v>
      </c>
      <c r="N314" s="31"/>
    </row>
    <row r="315">
      <c r="A315" s="74">
        <f>IFERROR(__xludf.DUMMYFUNCTION("""COMPUTED_VALUE"""),45665.0)</f>
        <v>45665</v>
      </c>
      <c r="B315" s="31" t="str">
        <f>IFERROR(__xludf.DUMMYFUNCTION("""COMPUTED_VALUE"""),"Dhruv Gupta")</f>
        <v>Dhruv Gupta</v>
      </c>
      <c r="C315" s="31" t="str">
        <f>IFERROR(__xludf.DUMMYFUNCTION("""COMPUTED_VALUE"""),"Data Science")</f>
        <v>Data Science</v>
      </c>
      <c r="D315" s="31">
        <f>IFERROR(__xludf.DUMMYFUNCTION("""COMPUTED_VALUE"""),8.178059447E9)</f>
        <v>8178059447</v>
      </c>
      <c r="E315" s="31" t="str">
        <f>IFERROR(__xludf.DUMMYFUNCTION("""COMPUTED_VALUE"""),"Machine Learning Intern")</f>
        <v>Machine Learning Intern</v>
      </c>
      <c r="F315" s="31" t="str">
        <f>IFERROR(__xludf.DUMMYFUNCTION("""COMPUTED_VALUE"""),"Data Science")</f>
        <v>Data Science</v>
      </c>
      <c r="G315" s="31" t="str">
        <f>IFERROR(__xludf.DUMMYFUNCTION("""COMPUTED_VALUE"""),"guptadhruv643@gmail.com")</f>
        <v>guptadhruv643@gmail.com</v>
      </c>
      <c r="H315" s="31" t="str">
        <f>IFERROR(__xludf.DUMMYFUNCTION("""COMPUTED_VALUE"""),"Nandeshwar Gupta")</f>
        <v>Nandeshwar Gupta</v>
      </c>
      <c r="I315" s="75">
        <f>IFERROR(__xludf.DUMMYFUNCTION("""COMPUTED_VALUE"""),45664.0)</f>
        <v>45664</v>
      </c>
      <c r="J315" s="31" t="str">
        <f>IFERROR(__xludf.DUMMYFUNCTION("""COMPUTED_VALUE"""),"Mamta Pandey")</f>
        <v>Mamta Pandey</v>
      </c>
      <c r="K315" s="31" t="str">
        <f>IFERROR(__xludf.DUMMYFUNCTION("""COMPUTED_VALUE"""),"Joined")</f>
        <v>Joined</v>
      </c>
      <c r="L315" s="31" t="str">
        <f>IFERROR(__xludf.DUMMYFUNCTION("""COMPUTED_VALUE"""),"In Office")</f>
        <v>In Office</v>
      </c>
      <c r="M315" s="31" t="str">
        <f>IFERROR(__xludf.DUMMYFUNCTION("""COMPUTED_VALUE"""),"dhruv.gupta@zupee.in")</f>
        <v>dhruv.gupta@zupee.in</v>
      </c>
      <c r="N315" s="31" t="str">
        <f>IFERROR(__xludf.DUMMYFUNCTION("""COMPUTED_VALUE"""),"JH07F2R6K5")</f>
        <v>JH07F2R6K5</v>
      </c>
    </row>
    <row r="316">
      <c r="A316" s="74">
        <f>IFERROR(__xludf.DUMMYFUNCTION("""COMPUTED_VALUE"""),45707.0)</f>
        <v>45707</v>
      </c>
      <c r="B316" s="31" t="str">
        <f>IFERROR(__xludf.DUMMYFUNCTION("""COMPUTED_VALUE"""),"Nikhil Jha")</f>
        <v>Nikhil Jha</v>
      </c>
      <c r="C316" s="31" t="str">
        <f>IFERROR(__xludf.DUMMYFUNCTION("""COMPUTED_VALUE"""),"Data Science")</f>
        <v>Data Science</v>
      </c>
      <c r="D316" s="31">
        <f>IFERROR(__xludf.DUMMYFUNCTION("""COMPUTED_VALUE"""),9.311233392E9)</f>
        <v>9311233392</v>
      </c>
      <c r="E316" s="31" t="str">
        <f>IFERROR(__xludf.DUMMYFUNCTION("""COMPUTED_VALUE"""),"Machine Learning Engineer")</f>
        <v>Machine Learning Engineer</v>
      </c>
      <c r="F316" s="31" t="str">
        <f>IFERROR(__xludf.DUMMYFUNCTION("""COMPUTED_VALUE"""),"Data Science")</f>
        <v>Data Science</v>
      </c>
      <c r="G316" s="31" t="str">
        <f>IFERROR(__xludf.DUMMYFUNCTION("""COMPUTED_VALUE"""),"nikhiljhaa506@gmail.com")</f>
        <v>nikhiljhaa506@gmail.com</v>
      </c>
      <c r="H316" s="31" t="str">
        <f>IFERROR(__xludf.DUMMYFUNCTION("""COMPUTED_VALUE"""),"Deep Dwivedi")</f>
        <v>Deep Dwivedi</v>
      </c>
      <c r="I316" s="75">
        <f>IFERROR(__xludf.DUMMYFUNCTION("""COMPUTED_VALUE"""),45665.0)</f>
        <v>45665</v>
      </c>
      <c r="J316" s="31" t="str">
        <f>IFERROR(__xludf.DUMMYFUNCTION("""COMPUTED_VALUE"""),"Mamta Pandey")</f>
        <v>Mamta Pandey</v>
      </c>
      <c r="K316" s="31" t="str">
        <f>IFERROR(__xludf.DUMMYFUNCTION("""COMPUTED_VALUE"""),"Joined")</f>
        <v>Joined</v>
      </c>
      <c r="L316" s="31" t="str">
        <f>IFERROR(__xludf.DUMMYFUNCTION("""COMPUTED_VALUE"""),"In Office")</f>
        <v>In Office</v>
      </c>
      <c r="M316" s="31" t="str">
        <f>IFERROR(__xludf.DUMMYFUNCTION("""COMPUTED_VALUE"""),"nikhil.jha@zupee.in")</f>
        <v>nikhil.jha@zupee.in</v>
      </c>
      <c r="N316" s="31"/>
    </row>
    <row r="317">
      <c r="A317" s="74">
        <f>IFERROR(__xludf.DUMMYFUNCTION("""COMPUTED_VALUE"""),45670.0)</f>
        <v>45670</v>
      </c>
      <c r="B317" s="31" t="str">
        <f>IFERROR(__xludf.DUMMYFUNCTION("""COMPUTED_VALUE"""),"Dakshita Sharma")</f>
        <v>Dakshita Sharma</v>
      </c>
      <c r="C317" s="31" t="str">
        <f>IFERROR(__xludf.DUMMYFUNCTION("""COMPUTED_VALUE"""),"Product")</f>
        <v>Product</v>
      </c>
      <c r="D317" s="31">
        <f>IFERROR(__xludf.DUMMYFUNCTION("""COMPUTED_VALUE"""),8.373971019E9)</f>
        <v>8373971019</v>
      </c>
      <c r="E317" s="31" t="str">
        <f>IFERROR(__xludf.DUMMYFUNCTION("""COMPUTED_VALUE"""),"Graphic Design Intern")</f>
        <v>Graphic Design Intern</v>
      </c>
      <c r="F317" s="31" t="str">
        <f>IFERROR(__xludf.DUMMYFUNCTION("""COMPUTED_VALUE"""),"Design")</f>
        <v>Design</v>
      </c>
      <c r="G317" s="31" t="str">
        <f>IFERROR(__xludf.DUMMYFUNCTION("""COMPUTED_VALUE"""),"sharmadakshita98@gmail.com")</f>
        <v>sharmadakshita98@gmail.com</v>
      </c>
      <c r="H317" s="31" t="str">
        <f>IFERROR(__xludf.DUMMYFUNCTION("""COMPUTED_VALUE"""),"Ishu Sharma")</f>
        <v>Ishu Sharma</v>
      </c>
      <c r="I317" s="75">
        <f>IFERROR(__xludf.DUMMYFUNCTION("""COMPUTED_VALUE"""),45667.0)</f>
        <v>45667</v>
      </c>
      <c r="J317" s="31" t="str">
        <f>IFERROR(__xludf.DUMMYFUNCTION("""COMPUTED_VALUE"""),"Naina")</f>
        <v>Naina</v>
      </c>
      <c r="K317" s="31" t="str">
        <f>IFERROR(__xludf.DUMMYFUNCTION("""COMPUTED_VALUE"""),"Joined")</f>
        <v>Joined</v>
      </c>
      <c r="L317" s="31" t="str">
        <f>IFERROR(__xludf.DUMMYFUNCTION("""COMPUTED_VALUE"""),"In Office")</f>
        <v>In Office</v>
      </c>
      <c r="M317" s="31" t="str">
        <f>IFERROR(__xludf.DUMMYFUNCTION("""COMPUTED_VALUE"""),"dakshita.sharma@zupee.in")</f>
        <v>dakshita.sharma@zupee.in</v>
      </c>
      <c r="N317" s="31"/>
    </row>
    <row r="318">
      <c r="A318" s="74">
        <f>IFERROR(__xludf.DUMMYFUNCTION("""COMPUTED_VALUE"""),45733.0)</f>
        <v>45733</v>
      </c>
      <c r="B318" s="31" t="str">
        <f>IFERROR(__xludf.DUMMYFUNCTION("""COMPUTED_VALUE"""),"Shubham Kashyap")</f>
        <v>Shubham Kashyap</v>
      </c>
      <c r="C318" s="31" t="str">
        <f>IFERROR(__xludf.DUMMYFUNCTION("""COMPUTED_VALUE"""),"Strategy")</f>
        <v>Strategy</v>
      </c>
      <c r="D318" s="31">
        <f>IFERROR(__xludf.DUMMYFUNCTION("""COMPUTED_VALUE"""),8.527747688E9)</f>
        <v>8527747688</v>
      </c>
      <c r="E318" s="31" t="str">
        <f>IFERROR(__xludf.DUMMYFUNCTION("""COMPUTED_VALUE"""),"Product Marketing Executive")</f>
        <v>Product Marketing Executive</v>
      </c>
      <c r="F318" s="31" t="str">
        <f>IFERROR(__xludf.DUMMYFUNCTION("""COMPUTED_VALUE"""),"Strategy")</f>
        <v>Strategy</v>
      </c>
      <c r="G318" s="31" t="str">
        <f>IFERROR(__xludf.DUMMYFUNCTION("""COMPUTED_VALUE"""),"shubham82.sk@gmail.com")</f>
        <v>shubham82.sk@gmail.com</v>
      </c>
      <c r="H318" s="31" t="str">
        <f>IFERROR(__xludf.DUMMYFUNCTION("""COMPUTED_VALUE"""),"Aditya Jha")</f>
        <v>Aditya Jha</v>
      </c>
      <c r="I318" s="75">
        <f>IFERROR(__xludf.DUMMYFUNCTION("""COMPUTED_VALUE"""),45667.0)</f>
        <v>45667</v>
      </c>
      <c r="J318" s="31" t="str">
        <f>IFERROR(__xludf.DUMMYFUNCTION("""COMPUTED_VALUE"""),"Nidhi Khedekar")</f>
        <v>Nidhi Khedekar</v>
      </c>
      <c r="K318" s="31" t="str">
        <f>IFERROR(__xludf.DUMMYFUNCTION("""COMPUTED_VALUE"""),"Joined")</f>
        <v>Joined</v>
      </c>
      <c r="L318" s="31" t="str">
        <f>IFERROR(__xludf.DUMMYFUNCTION("""COMPUTED_VALUE"""),"In Office")</f>
        <v>In Office</v>
      </c>
      <c r="M318" s="31" t="str">
        <f>IFERROR(__xludf.DUMMYFUNCTION("""COMPUTED_VALUE"""),"shubham.kashyap@zupee.in")</f>
        <v>shubham.kashyap@zupee.in</v>
      </c>
      <c r="N318" s="31" t="str">
        <f>IFERROR(__xludf.DUMMYFUNCTION("""COMPUTED_VALUE"""),"DQJL470399")</f>
        <v>DQJL470399</v>
      </c>
    </row>
    <row r="319">
      <c r="A319" s="74">
        <f>IFERROR(__xludf.DUMMYFUNCTION("""COMPUTED_VALUE"""),45670.0)</f>
        <v>45670</v>
      </c>
      <c r="B319" s="31" t="str">
        <f>IFERROR(__xludf.DUMMYFUNCTION("""COMPUTED_VALUE"""),"Ankit Kumar")</f>
        <v>Ankit Kumar</v>
      </c>
      <c r="C319" s="31" t="str">
        <f>IFERROR(__xludf.DUMMYFUNCTION("""COMPUTED_VALUE"""),"Technology")</f>
        <v>Technology</v>
      </c>
      <c r="D319" s="31">
        <f>IFERROR(__xludf.DUMMYFUNCTION("""COMPUTED_VALUE"""),7.424960674E9)</f>
        <v>7424960674</v>
      </c>
      <c r="E319" s="31" t="str">
        <f>IFERROR(__xludf.DUMMYFUNCTION("""COMPUTED_VALUE"""),"Software Engineer- DevOps")</f>
        <v>Software Engineer- DevOps</v>
      </c>
      <c r="F319" s="31" t="str">
        <f>IFERROR(__xludf.DUMMYFUNCTION("""COMPUTED_VALUE"""),"DevOps")</f>
        <v>DevOps</v>
      </c>
      <c r="G319" s="31" t="str">
        <f>IFERROR(__xludf.DUMMYFUNCTION("""COMPUTED_VALUE"""),"ankitkumarak7424@gmail.com")</f>
        <v>ankitkumarak7424@gmail.com</v>
      </c>
      <c r="H319" s="31" t="str">
        <f>IFERROR(__xludf.DUMMYFUNCTION("""COMPUTED_VALUE"""),"Saurav Yadav")</f>
        <v>Saurav Yadav</v>
      </c>
      <c r="I319" s="75">
        <f>IFERROR(__xludf.DUMMYFUNCTION("""COMPUTED_VALUE"""),45667.0)</f>
        <v>45667</v>
      </c>
      <c r="J319" s="31" t="str">
        <f>IFERROR(__xludf.DUMMYFUNCTION("""COMPUTED_VALUE"""),"Vipin Kumar")</f>
        <v>Vipin Kumar</v>
      </c>
      <c r="K319" s="31" t="str">
        <f>IFERROR(__xludf.DUMMYFUNCTION("""COMPUTED_VALUE"""),"Joined")</f>
        <v>Joined</v>
      </c>
      <c r="L319" s="31" t="str">
        <f>IFERROR(__xludf.DUMMYFUNCTION("""COMPUTED_VALUE"""),"In Office")</f>
        <v>In Office</v>
      </c>
      <c r="M319" s="31" t="str">
        <f>IFERROR(__xludf.DUMMYFUNCTION("""COMPUTED_VALUE"""),"ankit.kumar@zupee.in")</f>
        <v>ankit.kumar@zupee.in</v>
      </c>
      <c r="N319" s="31"/>
    </row>
    <row r="320">
      <c r="A320" s="74">
        <f>IFERROR(__xludf.DUMMYFUNCTION("""COMPUTED_VALUE"""),45672.0)</f>
        <v>45672</v>
      </c>
      <c r="B320" s="31" t="str">
        <f>IFERROR(__xludf.DUMMYFUNCTION("""COMPUTED_VALUE"""),"Mirza Azhar Beg")</f>
        <v>Mirza Azhar Beg</v>
      </c>
      <c r="C320" s="31" t="str">
        <f>IFERROR(__xludf.DUMMYFUNCTION("""COMPUTED_VALUE"""),"Customer Experience")</f>
        <v>Customer Experience</v>
      </c>
      <c r="D320" s="31">
        <f>IFERROR(__xludf.DUMMYFUNCTION("""COMPUTED_VALUE"""),9.336448098E9)</f>
        <v>9336448098</v>
      </c>
      <c r="E320" s="31" t="str">
        <f>IFERROR(__xludf.DUMMYFUNCTION("""COMPUTED_VALUE"""),"Relationship Manager")</f>
        <v>Relationship Manager</v>
      </c>
      <c r="F320" s="31" t="str">
        <f>IFERROR(__xludf.DUMMYFUNCTION("""COMPUTED_VALUE"""),"Customer Relation Management")</f>
        <v>Customer Relation Management</v>
      </c>
      <c r="G320" s="31" t="str">
        <f>IFERROR(__xludf.DUMMYFUNCTION("""COMPUTED_VALUE"""),"mirzaazharbeg9@gmail.com")</f>
        <v>mirzaazharbeg9@gmail.com</v>
      </c>
      <c r="H320" s="31" t="str">
        <f>IFERROR(__xludf.DUMMYFUNCTION("""COMPUTED_VALUE"""),"Shivam Bali")</f>
        <v>Shivam Bali</v>
      </c>
      <c r="I320" s="75">
        <f>IFERROR(__xludf.DUMMYFUNCTION("""COMPUTED_VALUE"""),45671.0)</f>
        <v>45671</v>
      </c>
      <c r="J320" s="31" t="str">
        <f>IFERROR(__xludf.DUMMYFUNCTION("""COMPUTED_VALUE"""),"Nidhi Khedekar")</f>
        <v>Nidhi Khedekar</v>
      </c>
      <c r="K320" s="31" t="str">
        <f>IFERROR(__xludf.DUMMYFUNCTION("""COMPUTED_VALUE"""),"Joined")</f>
        <v>Joined</v>
      </c>
      <c r="L320" s="31" t="str">
        <f>IFERROR(__xludf.DUMMYFUNCTION("""COMPUTED_VALUE"""),"In Office")</f>
        <v>In Office</v>
      </c>
      <c r="M320" s="31"/>
      <c r="N320" s="31"/>
    </row>
    <row r="321">
      <c r="A321" s="74">
        <f>IFERROR(__xludf.DUMMYFUNCTION("""COMPUTED_VALUE"""),45712.0)</f>
        <v>45712</v>
      </c>
      <c r="B321" s="31" t="str">
        <f>IFERROR(__xludf.DUMMYFUNCTION("""COMPUTED_VALUE"""),"Vivek Sharma")</f>
        <v>Vivek Sharma</v>
      </c>
      <c r="C321" s="31" t="str">
        <f>IFERROR(__xludf.DUMMYFUNCTION("""COMPUTED_VALUE"""),"Technology")</f>
        <v>Technology</v>
      </c>
      <c r="D321" s="31">
        <f>IFERROR(__xludf.DUMMYFUNCTION("""COMPUTED_VALUE"""),9.5820949E9)</f>
        <v>9582094900</v>
      </c>
      <c r="E321" s="31" t="str">
        <f>IFERROR(__xludf.DUMMYFUNCTION("""COMPUTED_VALUE"""),"Senior Software Engineer - Unity")</f>
        <v>Senior Software Engineer - Unity</v>
      </c>
      <c r="F321" s="31" t="str">
        <f>IFERROR(__xludf.DUMMYFUNCTION("""COMPUTED_VALUE"""),"Engineering")</f>
        <v>Engineering</v>
      </c>
      <c r="G321" s="31" t="str">
        <f>IFERROR(__xludf.DUMMYFUNCTION("""COMPUTED_VALUE"""),"animany0000@gmail.com")</f>
        <v>animany0000@gmail.com</v>
      </c>
      <c r="H321" s="31" t="str">
        <f>IFERROR(__xludf.DUMMYFUNCTION("""COMPUTED_VALUE"""),"Rahul Sharma")</f>
        <v>Rahul Sharma</v>
      </c>
      <c r="I321" s="75">
        <f>IFERROR(__xludf.DUMMYFUNCTION("""COMPUTED_VALUE"""),45673.0)</f>
        <v>45673</v>
      </c>
      <c r="J321" s="31" t="str">
        <f>IFERROR(__xludf.DUMMYFUNCTION("""COMPUTED_VALUE"""),"Naina")</f>
        <v>Naina</v>
      </c>
      <c r="K321" s="31" t="str">
        <f>IFERROR(__xludf.DUMMYFUNCTION("""COMPUTED_VALUE"""),"Joined")</f>
        <v>Joined</v>
      </c>
      <c r="L321" s="31" t="str">
        <f>IFERROR(__xludf.DUMMYFUNCTION("""COMPUTED_VALUE"""),"In Office")</f>
        <v>In Office</v>
      </c>
      <c r="M321" s="31" t="str">
        <f>IFERROR(__xludf.DUMMYFUNCTION("""COMPUTED_VALUE"""),"vivek.sharma@zupee.in")</f>
        <v>vivek.sharma@zupee.in</v>
      </c>
      <c r="N321" s="31"/>
    </row>
    <row r="322">
      <c r="A322" s="74">
        <f>IFERROR(__xludf.DUMMYFUNCTION("""COMPUTED_VALUE"""),45733.0)</f>
        <v>45733</v>
      </c>
      <c r="B322" s="31" t="str">
        <f>IFERROR(__xludf.DUMMYFUNCTION("""COMPUTED_VALUE"""),"Aman Ludhwani")</f>
        <v>Aman Ludhwani</v>
      </c>
      <c r="C322" s="31" t="str">
        <f>IFERROR(__xludf.DUMMYFUNCTION("""COMPUTED_VALUE"""),"Technology")</f>
        <v>Technology</v>
      </c>
      <c r="D322" s="31">
        <f>IFERROR(__xludf.DUMMYFUNCTION("""COMPUTED_VALUE"""),9.696404013E9)</f>
        <v>9696404013</v>
      </c>
      <c r="E322" s="31" t="str">
        <f>IFERROR(__xludf.DUMMYFUNCTION("""COMPUTED_VALUE"""),"Senior Software Engineer- DevOps")</f>
        <v>Senior Software Engineer- DevOps</v>
      </c>
      <c r="F322" s="31" t="str">
        <f>IFERROR(__xludf.DUMMYFUNCTION("""COMPUTED_VALUE"""),"DevOps")</f>
        <v>DevOps</v>
      </c>
      <c r="G322" s="31" t="str">
        <f>IFERROR(__xludf.DUMMYFUNCTION("""COMPUTED_VALUE"""),"aman.ludhwani9@gmail.com")</f>
        <v>aman.ludhwani9@gmail.com</v>
      </c>
      <c r="H322" s="31" t="str">
        <f>IFERROR(__xludf.DUMMYFUNCTION("""COMPUTED_VALUE"""),"Saurav Yadav")</f>
        <v>Saurav Yadav</v>
      </c>
      <c r="I322" s="75">
        <f>IFERROR(__xludf.DUMMYFUNCTION("""COMPUTED_VALUE"""),45673.0)</f>
        <v>45673</v>
      </c>
      <c r="J322" s="31" t="str">
        <f>IFERROR(__xludf.DUMMYFUNCTION("""COMPUTED_VALUE"""),"Vipin Kumar")</f>
        <v>Vipin Kumar</v>
      </c>
      <c r="K322" s="31" t="str">
        <f>IFERROR(__xludf.DUMMYFUNCTION("""COMPUTED_VALUE"""),"Joined")</f>
        <v>Joined</v>
      </c>
      <c r="L322" s="31" t="str">
        <f>IFERROR(__xludf.DUMMYFUNCTION("""COMPUTED_VALUE"""),"In Office")</f>
        <v>In Office</v>
      </c>
      <c r="M322" s="31" t="str">
        <f>IFERROR(__xludf.DUMMYFUNCTION("""COMPUTED_VALUE"""),"aman.ludhwani@zupee.in")</f>
        <v>aman.ludhwani@zupee.in</v>
      </c>
      <c r="N322" s="31"/>
    </row>
    <row r="323">
      <c r="A323" s="74">
        <f>IFERROR(__xludf.DUMMYFUNCTION("""COMPUTED_VALUE"""),45719.0)</f>
        <v>45719</v>
      </c>
      <c r="B323" s="31" t="str">
        <f>IFERROR(__xludf.DUMMYFUNCTION("""COMPUTED_VALUE"""),"Sumit Kumar")</f>
        <v>Sumit Kumar</v>
      </c>
      <c r="C323" s="31" t="str">
        <f>IFERROR(__xludf.DUMMYFUNCTION("""COMPUTED_VALUE"""),"Technology")</f>
        <v>Technology</v>
      </c>
      <c r="D323" s="31">
        <f>IFERROR(__xludf.DUMMYFUNCTION("""COMPUTED_VALUE"""),9.119311292E9)</f>
        <v>9119311292</v>
      </c>
      <c r="E323" s="31" t="str">
        <f>IFERROR(__xludf.DUMMYFUNCTION("""COMPUTED_VALUE"""),"Software Development Engineer in Test")</f>
        <v>Software Development Engineer in Test</v>
      </c>
      <c r="F323" s="31" t="str">
        <f>IFERROR(__xludf.DUMMYFUNCTION("""COMPUTED_VALUE"""),"SDET")</f>
        <v>SDET</v>
      </c>
      <c r="G323" s="31" t="str">
        <f>IFERROR(__xludf.DUMMYFUNCTION("""COMPUTED_VALUE"""),"sk2551999@gmail.com")</f>
        <v>sk2551999@gmail.com</v>
      </c>
      <c r="H323" s="31" t="str">
        <f>IFERROR(__xludf.DUMMYFUNCTION("""COMPUTED_VALUE"""),"Vipul Gupta")</f>
        <v>Vipul Gupta</v>
      </c>
      <c r="I323" s="75">
        <f>IFERROR(__xludf.DUMMYFUNCTION("""COMPUTED_VALUE"""),45680.0)</f>
        <v>45680</v>
      </c>
      <c r="J323" s="31" t="str">
        <f>IFERROR(__xludf.DUMMYFUNCTION("""COMPUTED_VALUE"""),"Vipin Kumar")</f>
        <v>Vipin Kumar</v>
      </c>
      <c r="K323" s="31" t="str">
        <f>IFERROR(__xludf.DUMMYFUNCTION("""COMPUTED_VALUE"""),"Joined")</f>
        <v>Joined</v>
      </c>
      <c r="L323" s="31" t="str">
        <f>IFERROR(__xludf.DUMMYFUNCTION("""COMPUTED_VALUE"""),"In Office")</f>
        <v>In Office</v>
      </c>
      <c r="M323" s="31" t="str">
        <f>IFERROR(__xludf.DUMMYFUNCTION("""COMPUTED_VALUE"""),"sumit.k@zupee.in")</f>
        <v>sumit.k@zupee.in</v>
      </c>
      <c r="N323" s="31"/>
    </row>
    <row r="324">
      <c r="A324" s="74">
        <f>IFERROR(__xludf.DUMMYFUNCTION("""COMPUTED_VALUE"""),45698.0)</f>
        <v>45698</v>
      </c>
      <c r="B324" s="31" t="str">
        <f>IFERROR(__xludf.DUMMYFUNCTION("""COMPUTED_VALUE"""),"Rochak kumar Ritam")</f>
        <v>Rochak kumar Ritam</v>
      </c>
      <c r="C324" s="31" t="str">
        <f>IFERROR(__xludf.DUMMYFUNCTION("""COMPUTED_VALUE"""),"User Research")</f>
        <v>User Research</v>
      </c>
      <c r="D324" s="31"/>
      <c r="E324" s="31" t="str">
        <f>IFERROR(__xludf.DUMMYFUNCTION("""COMPUTED_VALUE"""),"User Experience Researcher")</f>
        <v>User Experience Researcher</v>
      </c>
      <c r="F324" s="31" t="str">
        <f>IFERROR(__xludf.DUMMYFUNCTION("""COMPUTED_VALUE"""),"Product")</f>
        <v>Product</v>
      </c>
      <c r="G324" s="31" t="str">
        <f>IFERROR(__xludf.DUMMYFUNCTION("""COMPUTED_VALUE"""),"rochakpratyoosh2222@gmail.com")</f>
        <v>rochakpratyoosh2222@gmail.com</v>
      </c>
      <c r="H324" s="31" t="str">
        <f>IFERROR(__xludf.DUMMYFUNCTION("""COMPUTED_VALUE"""),"Pareena Singh")</f>
        <v>Pareena Singh</v>
      </c>
      <c r="I324" s="75">
        <f>IFERROR(__xludf.DUMMYFUNCTION("""COMPUTED_VALUE"""),45686.0)</f>
        <v>45686</v>
      </c>
      <c r="J324" s="31" t="str">
        <f>IFERROR(__xludf.DUMMYFUNCTION("""COMPUTED_VALUE"""),"Naina")</f>
        <v>Naina</v>
      </c>
      <c r="K324" s="31" t="str">
        <f>IFERROR(__xludf.DUMMYFUNCTION("""COMPUTED_VALUE"""),"Joined")</f>
        <v>Joined</v>
      </c>
      <c r="L324" s="31" t="str">
        <f>IFERROR(__xludf.DUMMYFUNCTION("""COMPUTED_VALUE"""),"In Office")</f>
        <v>In Office</v>
      </c>
      <c r="M324" s="31" t="str">
        <f>IFERROR(__xludf.DUMMYFUNCTION("""COMPUTED_VALUE"""),"rochak.ritam@zupee.in")</f>
        <v>rochak.ritam@zupee.in</v>
      </c>
      <c r="N324" s="31" t="str">
        <f>IFERROR(__xludf.DUMMYFUNCTION("""COMPUTED_VALUE"""),"L0QWQYTQ7Y")</f>
        <v>L0QWQYTQ7Y</v>
      </c>
    </row>
    <row r="325">
      <c r="A325" s="74">
        <f>IFERROR(__xludf.DUMMYFUNCTION("""COMPUTED_VALUE"""),45719.0)</f>
        <v>45719</v>
      </c>
      <c r="B325" s="31" t="str">
        <f>IFERROR(__xludf.DUMMYFUNCTION("""COMPUTED_VALUE"""),"Anupama Sharma")</f>
        <v>Anupama Sharma</v>
      </c>
      <c r="C325" s="31" t="str">
        <f>IFERROR(__xludf.DUMMYFUNCTION("""COMPUTED_VALUE"""),"User Research")</f>
        <v>User Research</v>
      </c>
      <c r="D325" s="31">
        <f>IFERROR(__xludf.DUMMYFUNCTION("""COMPUTED_VALUE"""),9.462990139E9)</f>
        <v>9462990139</v>
      </c>
      <c r="E325" s="31" t="str">
        <f>IFERROR(__xludf.DUMMYFUNCTION("""COMPUTED_VALUE"""),"User Experience Researcher")</f>
        <v>User Experience Researcher</v>
      </c>
      <c r="F325" s="31" t="str">
        <f>IFERROR(__xludf.DUMMYFUNCTION("""COMPUTED_VALUE"""),"Product")</f>
        <v>Product</v>
      </c>
      <c r="G325" s="31" t="str">
        <f>IFERROR(__xludf.DUMMYFUNCTION("""COMPUTED_VALUE"""),"sharmaanupama2806@gmail.com")</f>
        <v>sharmaanupama2806@gmail.com</v>
      </c>
      <c r="H325" s="31" t="str">
        <f>IFERROR(__xludf.DUMMYFUNCTION("""COMPUTED_VALUE"""),"Pareena Singh")</f>
        <v>Pareena Singh</v>
      </c>
      <c r="I325" s="75">
        <f>IFERROR(__xludf.DUMMYFUNCTION("""COMPUTED_VALUE"""),45687.0)</f>
        <v>45687</v>
      </c>
      <c r="J325" s="31" t="str">
        <f>IFERROR(__xludf.DUMMYFUNCTION("""COMPUTED_VALUE"""),"Naina")</f>
        <v>Naina</v>
      </c>
      <c r="K325" s="31" t="str">
        <f>IFERROR(__xludf.DUMMYFUNCTION("""COMPUTED_VALUE"""),"Offer Declined")</f>
        <v>Offer Declined</v>
      </c>
      <c r="L325" s="31" t="str">
        <f>IFERROR(__xludf.DUMMYFUNCTION("""COMPUTED_VALUE"""),"In Office")</f>
        <v>In Office</v>
      </c>
      <c r="M325" s="31"/>
      <c r="N325" s="31"/>
    </row>
    <row r="326">
      <c r="A326" s="74">
        <f>IFERROR(__xludf.DUMMYFUNCTION("""COMPUTED_VALUE"""),45719.0)</f>
        <v>45719</v>
      </c>
      <c r="B326" s="31" t="str">
        <f>IFERROR(__xludf.DUMMYFUNCTION("""COMPUTED_VALUE"""),"Ravi Jain")</f>
        <v>Ravi Jain</v>
      </c>
      <c r="C326" s="31" t="str">
        <f>IFERROR(__xludf.DUMMYFUNCTION("""COMPUTED_VALUE"""),"Strategy")</f>
        <v>Strategy</v>
      </c>
      <c r="D326" s="31">
        <f>IFERROR(__xludf.DUMMYFUNCTION("""COMPUTED_VALUE"""),9.987082751E9)</f>
        <v>9987082751</v>
      </c>
      <c r="E326" s="31" t="str">
        <f>IFERROR(__xludf.DUMMYFUNCTION("""COMPUTED_VALUE"""),"Strategy Associate")</f>
        <v>Strategy Associate</v>
      </c>
      <c r="F326" s="31" t="str">
        <f>IFERROR(__xludf.DUMMYFUNCTION("""COMPUTED_VALUE"""),"Strategy")</f>
        <v>Strategy</v>
      </c>
      <c r="G326" s="31" t="str">
        <f>IFERROR(__xludf.DUMMYFUNCTION("""COMPUTED_VALUE"""),"ravijainglobal@gmail.com")</f>
        <v>ravijainglobal@gmail.com</v>
      </c>
      <c r="H326" s="31" t="str">
        <f>IFERROR(__xludf.DUMMYFUNCTION("""COMPUTED_VALUE"""),"Ishank Mehta")</f>
        <v>Ishank Mehta</v>
      </c>
      <c r="I326" s="75">
        <f>IFERROR(__xludf.DUMMYFUNCTION("""COMPUTED_VALUE"""),45688.0)</f>
        <v>45688</v>
      </c>
      <c r="J326" s="31" t="str">
        <f>IFERROR(__xludf.DUMMYFUNCTION("""COMPUTED_VALUE"""),"Naina")</f>
        <v>Naina</v>
      </c>
      <c r="K326" s="31" t="str">
        <f>IFERROR(__xludf.DUMMYFUNCTION("""COMPUTED_VALUE"""),"Offer Declined")</f>
        <v>Offer Declined</v>
      </c>
      <c r="L326" s="31" t="str">
        <f>IFERROR(__xludf.DUMMYFUNCTION("""COMPUTED_VALUE"""),"In Office")</f>
        <v>In Office</v>
      </c>
      <c r="M326" s="31"/>
      <c r="N326" s="31"/>
    </row>
    <row r="327">
      <c r="A327" s="74">
        <f>IFERROR(__xludf.DUMMYFUNCTION("""COMPUTED_VALUE"""),45754.0)</f>
        <v>45754</v>
      </c>
      <c r="B327" s="31" t="str">
        <f>IFERROR(__xludf.DUMMYFUNCTION("""COMPUTED_VALUE"""),"Abhishek Swami")</f>
        <v>Abhishek Swami</v>
      </c>
      <c r="C327" s="31" t="str">
        <f>IFERROR(__xludf.DUMMYFUNCTION("""COMPUTED_VALUE"""),"Marketing")</f>
        <v>Marketing</v>
      </c>
      <c r="D327" s="31">
        <f>IFERROR(__xludf.DUMMYFUNCTION("""COMPUTED_VALUE"""),8.459636549E9)</f>
        <v>8459636549</v>
      </c>
      <c r="E327" s="31" t="str">
        <f>IFERROR(__xludf.DUMMYFUNCTION("""COMPUTED_VALUE"""),"	Senior Associate-Digital Marketing")</f>
        <v>	Senior Associate-Digital Marketing</v>
      </c>
      <c r="F327" s="31" t="str">
        <f>IFERROR(__xludf.DUMMYFUNCTION("""COMPUTED_VALUE"""),"Digital Marketing")</f>
        <v>Digital Marketing</v>
      </c>
      <c r="G327" s="31" t="str">
        <f>IFERROR(__xludf.DUMMYFUNCTION("""COMPUTED_VALUE"""),"abhishekswami30@gmail.com")</f>
        <v>abhishekswami30@gmail.com</v>
      </c>
      <c r="H327" s="31" t="str">
        <f>IFERROR(__xludf.DUMMYFUNCTION("""COMPUTED_VALUE"""),"Ritwika Maitra")</f>
        <v>Ritwika Maitra</v>
      </c>
      <c r="I327" s="75">
        <f>IFERROR(__xludf.DUMMYFUNCTION("""COMPUTED_VALUE"""),45691.0)</f>
        <v>45691</v>
      </c>
      <c r="J327" s="31" t="str">
        <f>IFERROR(__xludf.DUMMYFUNCTION("""COMPUTED_VALUE"""),"Nidhi Khedekar")</f>
        <v>Nidhi Khedekar</v>
      </c>
      <c r="K327" s="31" t="str">
        <f>IFERROR(__xludf.DUMMYFUNCTION("""COMPUTED_VALUE"""),"Joined")</f>
        <v>Joined</v>
      </c>
      <c r="L327" s="31" t="str">
        <f>IFERROR(__xludf.DUMMYFUNCTION("""COMPUTED_VALUE"""),"In Office")</f>
        <v>In Office</v>
      </c>
      <c r="M327" s="31" t="str">
        <f>IFERROR(__xludf.DUMMYFUNCTION("""COMPUTED_VALUE"""),"abhishek.swami@zupee.in")</f>
        <v>abhishek.swami@zupee.in</v>
      </c>
      <c r="N327" s="31"/>
    </row>
    <row r="328">
      <c r="A328" s="74">
        <f>IFERROR(__xludf.DUMMYFUNCTION("""COMPUTED_VALUE"""),45743.0)</f>
        <v>45743</v>
      </c>
      <c r="B328" s="31" t="str">
        <f>IFERROR(__xludf.DUMMYFUNCTION("""COMPUTED_VALUE"""),"Purodha Singh")</f>
        <v>Purodha Singh</v>
      </c>
      <c r="C328" s="31" t="str">
        <f>IFERROR(__xludf.DUMMYFUNCTION("""COMPUTED_VALUE"""),"Finance")</f>
        <v>Finance</v>
      </c>
      <c r="D328" s="31">
        <f>IFERROR(__xludf.DUMMYFUNCTION("""COMPUTED_VALUE"""),7.8275596E9)</f>
        <v>7827559600</v>
      </c>
      <c r="E328" s="31" t="str">
        <f>IFERROR(__xludf.DUMMYFUNCTION("""COMPUTED_VALUE"""),"Senior Manager-Business Finance")</f>
        <v>Senior Manager-Business Finance</v>
      </c>
      <c r="F328" s="31" t="str">
        <f>IFERROR(__xludf.DUMMYFUNCTION("""COMPUTED_VALUE"""),"Finance")</f>
        <v>Finance</v>
      </c>
      <c r="G328" s="31" t="str">
        <f>IFERROR(__xludf.DUMMYFUNCTION("""COMPUTED_VALUE"""),"singh.purodha@gmail.com")</f>
        <v>singh.purodha@gmail.com</v>
      </c>
      <c r="H328" s="31" t="str">
        <f>IFERROR(__xludf.DUMMYFUNCTION("""COMPUTED_VALUE"""),"Shashank Gupta")</f>
        <v>Shashank Gupta</v>
      </c>
      <c r="I328" s="75">
        <f>IFERROR(__xludf.DUMMYFUNCTION("""COMPUTED_VALUE"""),45691.0)</f>
        <v>45691</v>
      </c>
      <c r="J328" s="31" t="str">
        <f>IFERROR(__xludf.DUMMYFUNCTION("""COMPUTED_VALUE"""),"Nidhi Khedekar")</f>
        <v>Nidhi Khedekar</v>
      </c>
      <c r="K328" s="31" t="str">
        <f>IFERROR(__xludf.DUMMYFUNCTION("""COMPUTED_VALUE"""),"Joined")</f>
        <v>Joined</v>
      </c>
      <c r="L328" s="31" t="str">
        <f>IFERROR(__xludf.DUMMYFUNCTION("""COMPUTED_VALUE"""),"In Office")</f>
        <v>In Office</v>
      </c>
      <c r="M328" s="31" t="str">
        <f>IFERROR(__xludf.DUMMYFUNCTION("""COMPUTED_VALUE"""),"purodha.singh@zupee.in")</f>
        <v>purodha.singh@zupee.in</v>
      </c>
      <c r="N328" s="31" t="str">
        <f>IFERROR(__xludf.DUMMYFUNCTION("""COMPUTED_VALUE"""),"PG04FPHM")</f>
        <v>PG04FPHM</v>
      </c>
    </row>
    <row r="329">
      <c r="A329" s="74">
        <f>IFERROR(__xludf.DUMMYFUNCTION("""COMPUTED_VALUE"""),45721.0)</f>
        <v>45721</v>
      </c>
      <c r="B329" s="31" t="str">
        <f>IFERROR(__xludf.DUMMYFUNCTION("""COMPUTED_VALUE"""),"Rachit Agrawal")</f>
        <v>Rachit Agrawal</v>
      </c>
      <c r="C329" s="31" t="str">
        <f>IFERROR(__xludf.DUMMYFUNCTION("""COMPUTED_VALUE"""),"Finance")</f>
        <v>Finance</v>
      </c>
      <c r="D329" s="31">
        <f>IFERROR(__xludf.DUMMYFUNCTION("""COMPUTED_VALUE"""),9.893946078E9)</f>
        <v>9893946078</v>
      </c>
      <c r="E329" s="31" t="str">
        <f>IFERROR(__xludf.DUMMYFUNCTION("""COMPUTED_VALUE"""),"Procurement Executive")</f>
        <v>Procurement Executive</v>
      </c>
      <c r="F329" s="31" t="str">
        <f>IFERROR(__xludf.DUMMYFUNCTION("""COMPUTED_VALUE"""),"Finance")</f>
        <v>Finance</v>
      </c>
      <c r="G329" s="31" t="str">
        <f>IFERROR(__xludf.DUMMYFUNCTION("""COMPUTED_VALUE""")," rachitgarg3012@gmail.com")</f>
        <v> rachitgarg3012@gmail.com</v>
      </c>
      <c r="H329" s="31" t="str">
        <f>IFERROR(__xludf.DUMMYFUNCTION("""COMPUTED_VALUE"""),"Siddharth Monga")</f>
        <v>Siddharth Monga</v>
      </c>
      <c r="I329" s="75">
        <f>IFERROR(__xludf.DUMMYFUNCTION("""COMPUTED_VALUE"""),45691.0)</f>
        <v>45691</v>
      </c>
      <c r="J329" s="31" t="str">
        <f>IFERROR(__xludf.DUMMYFUNCTION("""COMPUTED_VALUE"""),"Shivam Sharma")</f>
        <v>Shivam Sharma</v>
      </c>
      <c r="K329" s="31" t="str">
        <f>IFERROR(__xludf.DUMMYFUNCTION("""COMPUTED_VALUE"""),"Joined")</f>
        <v>Joined</v>
      </c>
      <c r="L329" s="31" t="str">
        <f>IFERROR(__xludf.DUMMYFUNCTION("""COMPUTED_VALUE"""),"In Office")</f>
        <v>In Office</v>
      </c>
      <c r="M329" s="31" t="str">
        <f>IFERROR(__xludf.DUMMYFUNCTION("""COMPUTED_VALUE"""),"rachit.agrawal@zupee.in")</f>
        <v>rachit.agrawal@zupee.in</v>
      </c>
      <c r="N329" s="31"/>
    </row>
    <row r="330">
      <c r="A330" s="74">
        <f>IFERROR(__xludf.DUMMYFUNCTION("""COMPUTED_VALUE"""),45693.0)</f>
        <v>45693</v>
      </c>
      <c r="B330" s="31" t="str">
        <f>IFERROR(__xludf.DUMMYFUNCTION("""COMPUTED_VALUE"""),"Dipankar Yadav")</f>
        <v>Dipankar Yadav</v>
      </c>
      <c r="C330" s="31" t="str">
        <f>IFERROR(__xludf.DUMMYFUNCTION("""COMPUTED_VALUE"""),"Technology")</f>
        <v>Technology</v>
      </c>
      <c r="D330" s="31">
        <f>IFERROR(__xludf.DUMMYFUNCTION("""COMPUTED_VALUE"""),9.996553546E9)</f>
        <v>9996553546</v>
      </c>
      <c r="E330" s="31" t="str">
        <f>IFERROR(__xludf.DUMMYFUNCTION("""COMPUTED_VALUE"""),"Software Engineer Intern ")</f>
        <v>Software Engineer Intern </v>
      </c>
      <c r="F330" s="31" t="str">
        <f>IFERROR(__xludf.DUMMYFUNCTION("""COMPUTED_VALUE"""),"Backend")</f>
        <v>Backend</v>
      </c>
      <c r="G330" s="31" t="str">
        <f>IFERROR(__xludf.DUMMYFUNCTION("""COMPUTED_VALUE"""),"dipankaryadav1234@gmail.com")</f>
        <v>dipankaryadav1234@gmail.com</v>
      </c>
      <c r="H330" s="31" t="str">
        <f>IFERROR(__xludf.DUMMYFUNCTION("""COMPUTED_VALUE"""),"Aman Gupta")</f>
        <v>Aman Gupta</v>
      </c>
      <c r="I330" s="75">
        <f>IFERROR(__xludf.DUMMYFUNCTION("""COMPUTED_VALUE"""),45692.0)</f>
        <v>45692</v>
      </c>
      <c r="J330" s="31" t="str">
        <f>IFERROR(__xludf.DUMMYFUNCTION("""COMPUTED_VALUE"""),"Nidhi Khedekar")</f>
        <v>Nidhi Khedekar</v>
      </c>
      <c r="K330" s="31" t="str">
        <f>IFERROR(__xludf.DUMMYFUNCTION("""COMPUTED_VALUE"""),"Joined")</f>
        <v>Joined</v>
      </c>
      <c r="L330" s="31" t="str">
        <f>IFERROR(__xludf.DUMMYFUNCTION("""COMPUTED_VALUE"""),"In Office")</f>
        <v>In Office</v>
      </c>
      <c r="M330" s="31"/>
      <c r="N330" s="31"/>
    </row>
    <row r="331">
      <c r="A331" s="74">
        <f>IFERROR(__xludf.DUMMYFUNCTION("""COMPUTED_VALUE"""),45726.0)</f>
        <v>45726</v>
      </c>
      <c r="B331" s="31" t="str">
        <f>IFERROR(__xludf.DUMMYFUNCTION("""COMPUTED_VALUE"""),"Aditya Upadhyay")</f>
        <v>Aditya Upadhyay</v>
      </c>
      <c r="C331" s="31" t="str">
        <f>IFERROR(__xludf.DUMMYFUNCTION("""COMPUTED_VALUE"""),"Technology")</f>
        <v>Technology</v>
      </c>
      <c r="D331" s="31">
        <f>IFERROR(__xludf.DUMMYFUNCTION("""COMPUTED_VALUE"""),9.711795766E9)</f>
        <v>9711795766</v>
      </c>
      <c r="E331" s="31" t="str">
        <f>IFERROR(__xludf.DUMMYFUNCTION("""COMPUTED_VALUE"""),"Senior Software Engineer- DevOps")</f>
        <v>Senior Software Engineer- DevOps</v>
      </c>
      <c r="F331" s="31" t="str">
        <f>IFERROR(__xludf.DUMMYFUNCTION("""COMPUTED_VALUE"""),"DevOps")</f>
        <v>DevOps</v>
      </c>
      <c r="G331" s="31" t="str">
        <f>IFERROR(__xludf.DUMMYFUNCTION("""COMPUTED_VALUE"""),"aditya.upadhyay110@gmail.com")</f>
        <v>aditya.upadhyay110@gmail.com</v>
      </c>
      <c r="H331" s="31" t="str">
        <f>IFERROR(__xludf.DUMMYFUNCTION("""COMPUTED_VALUE"""),"Saurav Yadav")</f>
        <v>Saurav Yadav</v>
      </c>
      <c r="I331" s="75">
        <f>IFERROR(__xludf.DUMMYFUNCTION("""COMPUTED_VALUE"""),45692.0)</f>
        <v>45692</v>
      </c>
      <c r="J331" s="31" t="str">
        <f>IFERROR(__xludf.DUMMYFUNCTION("""COMPUTED_VALUE"""),"Vipin Kumar")</f>
        <v>Vipin Kumar</v>
      </c>
      <c r="K331" s="31" t="str">
        <f>IFERROR(__xludf.DUMMYFUNCTION("""COMPUTED_VALUE"""),"Offer Declined")</f>
        <v>Offer Declined</v>
      </c>
      <c r="L331" s="31" t="str">
        <f>IFERROR(__xludf.DUMMYFUNCTION("""COMPUTED_VALUE"""),"In Office")</f>
        <v>In Office</v>
      </c>
      <c r="M331" s="31"/>
      <c r="N331" s="31"/>
    </row>
    <row r="332">
      <c r="A332" s="74">
        <f>IFERROR(__xludf.DUMMYFUNCTION("""COMPUTED_VALUE"""),45719.0)</f>
        <v>45719</v>
      </c>
      <c r="B332" s="31" t="str">
        <f>IFERROR(__xludf.DUMMYFUNCTION("""COMPUTED_VALUE"""),"Tejas Anilkumar Mittal")</f>
        <v>Tejas Anilkumar Mittal</v>
      </c>
      <c r="C332" s="31" t="str">
        <f>IFERROR(__xludf.DUMMYFUNCTION("""COMPUTED_VALUE"""),"Finance")</f>
        <v>Finance</v>
      </c>
      <c r="D332" s="31">
        <f>IFERROR(__xludf.DUMMYFUNCTION("""COMPUTED_VALUE"""),9.322212726E9)</f>
        <v>9322212726</v>
      </c>
      <c r="E332" s="31" t="str">
        <f>IFERROR(__xludf.DUMMYFUNCTION("""COMPUTED_VALUE"""),"CA Intern")</f>
        <v>CA Intern</v>
      </c>
      <c r="F332" s="31" t="str">
        <f>IFERROR(__xludf.DUMMYFUNCTION("""COMPUTED_VALUE"""),"Finance")</f>
        <v>Finance</v>
      </c>
      <c r="G332" s="31" t="str">
        <f>IFERROR(__xludf.DUMMYFUNCTION("""COMPUTED_VALUE"""),"Tejasmittal605@gmail.com")</f>
        <v>Tejasmittal605@gmail.com</v>
      </c>
      <c r="H332" s="31" t="str">
        <f>IFERROR(__xludf.DUMMYFUNCTION("""COMPUTED_VALUE"""),"Aman Patni")</f>
        <v>Aman Patni</v>
      </c>
      <c r="I332" s="75">
        <f>IFERROR(__xludf.DUMMYFUNCTION("""COMPUTED_VALUE"""),45693.0)</f>
        <v>45693</v>
      </c>
      <c r="J332" s="31" t="str">
        <f>IFERROR(__xludf.DUMMYFUNCTION("""COMPUTED_VALUE"""),"Mamta Pandey")</f>
        <v>Mamta Pandey</v>
      </c>
      <c r="K332" s="31" t="str">
        <f>IFERROR(__xludf.DUMMYFUNCTION("""COMPUTED_VALUE"""),"Offer Declined")</f>
        <v>Offer Declined</v>
      </c>
      <c r="L332" s="31" t="str">
        <f>IFERROR(__xludf.DUMMYFUNCTION("""COMPUTED_VALUE"""),"In Office")</f>
        <v>In Office</v>
      </c>
      <c r="M332" s="31"/>
      <c r="N332" s="31"/>
    </row>
    <row r="333">
      <c r="A333" s="74">
        <f>IFERROR(__xludf.DUMMYFUNCTION("""COMPUTED_VALUE"""),45712.0)</f>
        <v>45712</v>
      </c>
      <c r="B333" s="31" t="str">
        <f>IFERROR(__xludf.DUMMYFUNCTION("""COMPUTED_VALUE"""),"Kartik Warandani")</f>
        <v>Kartik Warandani</v>
      </c>
      <c r="C333" s="31" t="str">
        <f>IFERROR(__xludf.DUMMYFUNCTION("""COMPUTED_VALUE"""),"Finance")</f>
        <v>Finance</v>
      </c>
      <c r="D333" s="31">
        <f>IFERROR(__xludf.DUMMYFUNCTION("""COMPUTED_VALUE"""),9.7521644E9)</f>
        <v>9752164400</v>
      </c>
      <c r="E333" s="31" t="str">
        <f>IFERROR(__xludf.DUMMYFUNCTION("""COMPUTED_VALUE"""),"CA Intern")</f>
        <v>CA Intern</v>
      </c>
      <c r="F333" s="31" t="str">
        <f>IFERROR(__xludf.DUMMYFUNCTION("""COMPUTED_VALUE"""),"Finance")</f>
        <v>Finance</v>
      </c>
      <c r="G333" s="31" t="str">
        <f>IFERROR(__xludf.DUMMYFUNCTION("""COMPUTED_VALUE"""),"Kartikwarandani8718@gmail.com")</f>
        <v>Kartikwarandani8718@gmail.com</v>
      </c>
      <c r="H333" s="31" t="str">
        <f>IFERROR(__xludf.DUMMYFUNCTION("""COMPUTED_VALUE"""),"Pulkit Sehgal")</f>
        <v>Pulkit Sehgal</v>
      </c>
      <c r="I333" s="75">
        <f>IFERROR(__xludf.DUMMYFUNCTION("""COMPUTED_VALUE"""),45693.0)</f>
        <v>45693</v>
      </c>
      <c r="J333" s="31" t="str">
        <f>IFERROR(__xludf.DUMMYFUNCTION("""COMPUTED_VALUE"""),"Mamta Pandey")</f>
        <v>Mamta Pandey</v>
      </c>
      <c r="K333" s="31" t="str">
        <f>IFERROR(__xludf.DUMMYFUNCTION("""COMPUTED_VALUE"""),"Offer Declined")</f>
        <v>Offer Declined</v>
      </c>
      <c r="L333" s="31" t="str">
        <f>IFERROR(__xludf.DUMMYFUNCTION("""COMPUTED_VALUE"""),"In Office")</f>
        <v>In Office</v>
      </c>
      <c r="M333" s="31"/>
      <c r="N333" s="31"/>
    </row>
    <row r="334">
      <c r="A334" s="74">
        <f>IFERROR(__xludf.DUMMYFUNCTION("""COMPUTED_VALUE"""),45778.0)</f>
        <v>45778</v>
      </c>
      <c r="B334" s="31" t="str">
        <f>IFERROR(__xludf.DUMMYFUNCTION("""COMPUTED_VALUE"""),"Raunak Jain")</f>
        <v>Raunak Jain</v>
      </c>
      <c r="C334" s="31" t="str">
        <f>IFERROR(__xludf.DUMMYFUNCTION("""COMPUTED_VALUE"""),"Finance")</f>
        <v>Finance</v>
      </c>
      <c r="D334" s="31">
        <f>IFERROR(__xludf.DUMMYFUNCTION("""COMPUTED_VALUE"""),7.683089909E9)</f>
        <v>7683089909</v>
      </c>
      <c r="E334" s="31" t="str">
        <f>IFERROR(__xludf.DUMMYFUNCTION("""COMPUTED_VALUE"""),"CA Intern")</f>
        <v>CA Intern</v>
      </c>
      <c r="F334" s="31" t="str">
        <f>IFERROR(__xludf.DUMMYFUNCTION("""COMPUTED_VALUE"""),"Finance")</f>
        <v>Finance</v>
      </c>
      <c r="G334" s="31" t="str">
        <f>IFERROR(__xludf.DUMMYFUNCTION("""COMPUTED_VALUE"""),"jainraunak434@gmail.com")</f>
        <v>jainraunak434@gmail.com</v>
      </c>
      <c r="H334" s="31" t="str">
        <f>IFERROR(__xludf.DUMMYFUNCTION("""COMPUTED_VALUE"""),"Ankit Maheshwari")</f>
        <v>Ankit Maheshwari</v>
      </c>
      <c r="I334" s="75">
        <f>IFERROR(__xludf.DUMMYFUNCTION("""COMPUTED_VALUE"""),45693.0)</f>
        <v>45693</v>
      </c>
      <c r="J334" s="31" t="str">
        <f>IFERROR(__xludf.DUMMYFUNCTION("""COMPUTED_VALUE"""),"Mamta Pandey")</f>
        <v>Mamta Pandey</v>
      </c>
      <c r="K334" s="31" t="str">
        <f>IFERROR(__xludf.DUMMYFUNCTION("""COMPUTED_VALUE"""),"Offer Declined")</f>
        <v>Offer Declined</v>
      </c>
      <c r="L334" s="31" t="str">
        <f>IFERROR(__xludf.DUMMYFUNCTION("""COMPUTED_VALUE"""),"In Office")</f>
        <v>In Office</v>
      </c>
      <c r="M334" s="31"/>
      <c r="N334" s="31"/>
    </row>
    <row r="335">
      <c r="A335" s="74">
        <f>IFERROR(__xludf.DUMMYFUNCTION("""COMPUTED_VALUE"""),45719.0)</f>
        <v>45719</v>
      </c>
      <c r="B335" s="31" t="str">
        <f>IFERROR(__xludf.DUMMYFUNCTION("""COMPUTED_VALUE"""),"Krishnika Khemka")</f>
        <v>Krishnika Khemka</v>
      </c>
      <c r="C335" s="31" t="str">
        <f>IFERROR(__xludf.DUMMYFUNCTION("""COMPUTED_VALUE"""),"Finance")</f>
        <v>Finance</v>
      </c>
      <c r="D335" s="31">
        <f>IFERROR(__xludf.DUMMYFUNCTION("""COMPUTED_VALUE"""),8.949167387E9)</f>
        <v>8949167387</v>
      </c>
      <c r="E335" s="31" t="str">
        <f>IFERROR(__xludf.DUMMYFUNCTION("""COMPUTED_VALUE"""),"CA Intern")</f>
        <v>CA Intern</v>
      </c>
      <c r="F335" s="31" t="str">
        <f>IFERROR(__xludf.DUMMYFUNCTION("""COMPUTED_VALUE"""),"Finance")</f>
        <v>Finance</v>
      </c>
      <c r="G335" s="31" t="str">
        <f>IFERROR(__xludf.DUMMYFUNCTION("""COMPUTED_VALUE"""),"krishnika.khemka02@gmail.com")</f>
        <v>krishnika.khemka02@gmail.com</v>
      </c>
      <c r="H335" s="31" t="str">
        <f>IFERROR(__xludf.DUMMYFUNCTION("""COMPUTED_VALUE"""),"Siddharth Monga")</f>
        <v>Siddharth Monga</v>
      </c>
      <c r="I335" s="75">
        <f>IFERROR(__xludf.DUMMYFUNCTION("""COMPUTED_VALUE"""),45693.0)</f>
        <v>45693</v>
      </c>
      <c r="J335" s="31" t="str">
        <f>IFERROR(__xludf.DUMMYFUNCTION("""COMPUTED_VALUE"""),"Mamta Pandey")</f>
        <v>Mamta Pandey</v>
      </c>
      <c r="K335" s="31" t="str">
        <f>IFERROR(__xludf.DUMMYFUNCTION("""COMPUTED_VALUE"""),"Offer Declined")</f>
        <v>Offer Declined</v>
      </c>
      <c r="L335" s="31" t="str">
        <f>IFERROR(__xludf.DUMMYFUNCTION("""COMPUTED_VALUE"""),"In Office")</f>
        <v>In Office</v>
      </c>
      <c r="M335" s="31"/>
      <c r="N335" s="31"/>
    </row>
    <row r="336">
      <c r="A336" s="74">
        <f>IFERROR(__xludf.DUMMYFUNCTION("""COMPUTED_VALUE"""),45707.0)</f>
        <v>45707</v>
      </c>
      <c r="B336" s="31" t="str">
        <f>IFERROR(__xludf.DUMMYFUNCTION("""COMPUTED_VALUE"""),"Sparsh Agarwal")</f>
        <v>Sparsh Agarwal</v>
      </c>
      <c r="C336" s="31" t="str">
        <f>IFERROR(__xludf.DUMMYFUNCTION("""COMPUTED_VALUE"""),"Finance")</f>
        <v>Finance</v>
      </c>
      <c r="D336" s="31">
        <f>IFERROR(__xludf.DUMMYFUNCTION("""COMPUTED_VALUE"""),7.302537303E9)</f>
        <v>7302537303</v>
      </c>
      <c r="E336" s="31" t="str">
        <f>IFERROR(__xludf.DUMMYFUNCTION("""COMPUTED_VALUE"""),"CA Intern")</f>
        <v>CA Intern</v>
      </c>
      <c r="F336" s="31" t="str">
        <f>IFERROR(__xludf.DUMMYFUNCTION("""COMPUTED_VALUE"""),"Finance")</f>
        <v>Finance</v>
      </c>
      <c r="G336" s="31" t="str">
        <f>IFERROR(__xludf.DUMMYFUNCTION("""COMPUTED_VALUE"""),"agarwal.1234.sparsh@gmail.com")</f>
        <v>agarwal.1234.sparsh@gmail.com</v>
      </c>
      <c r="H336" s="31" t="str">
        <f>IFERROR(__xludf.DUMMYFUNCTION("""COMPUTED_VALUE"""),"Shashank Gupta")</f>
        <v>Shashank Gupta</v>
      </c>
      <c r="I336" s="75">
        <f>IFERROR(__xludf.DUMMYFUNCTION("""COMPUTED_VALUE"""),45693.0)</f>
        <v>45693</v>
      </c>
      <c r="J336" s="31" t="str">
        <f>IFERROR(__xludf.DUMMYFUNCTION("""COMPUTED_VALUE"""),"Nidhi Khedekar")</f>
        <v>Nidhi Khedekar</v>
      </c>
      <c r="K336" s="31" t="str">
        <f>IFERROR(__xludf.DUMMYFUNCTION("""COMPUTED_VALUE"""),"Joined")</f>
        <v>Joined</v>
      </c>
      <c r="L336" s="31" t="str">
        <f>IFERROR(__xludf.DUMMYFUNCTION("""COMPUTED_VALUE"""),"In Office")</f>
        <v>In Office</v>
      </c>
      <c r="M336" s="31" t="str">
        <f>IFERROR(__xludf.DUMMYFUNCTION("""COMPUTED_VALUE"""),"sparsh.agarwal@zupee.in")</f>
        <v>sparsh.agarwal@zupee.in</v>
      </c>
      <c r="N336" s="31" t="str">
        <f>IFERROR(__xludf.DUMMYFUNCTION("""COMPUTED_VALUE"""),"PG0487B3")</f>
        <v>PG0487B3</v>
      </c>
    </row>
    <row r="337">
      <c r="A337" s="74">
        <f>IFERROR(__xludf.DUMMYFUNCTION("""COMPUTED_VALUE"""),45698.0)</f>
        <v>45698</v>
      </c>
      <c r="B337" s="31" t="str">
        <f>IFERROR(__xludf.DUMMYFUNCTION("""COMPUTED_VALUE"""),"Naman Goyal")</f>
        <v>Naman Goyal</v>
      </c>
      <c r="C337" s="31" t="str">
        <f>IFERROR(__xludf.DUMMYFUNCTION("""COMPUTED_VALUE"""),"Technology")</f>
        <v>Technology</v>
      </c>
      <c r="D337" s="31">
        <f>IFERROR(__xludf.DUMMYFUNCTION("""COMPUTED_VALUE"""),9.912269793E9)</f>
        <v>9912269793</v>
      </c>
      <c r="E337" s="31" t="str">
        <f>IFERROR(__xludf.DUMMYFUNCTION("""COMPUTED_VALUE"""),"Senior Software Engineer")</f>
        <v>Senior Software Engineer</v>
      </c>
      <c r="F337" s="31" t="str">
        <f>IFERROR(__xludf.DUMMYFUNCTION("""COMPUTED_VALUE"""),"Backend")</f>
        <v>Backend</v>
      </c>
      <c r="G337" s="31" t="str">
        <f>IFERROR(__xludf.DUMMYFUNCTION("""COMPUTED_VALUE"""),"namangoyal1996@gmail.com")</f>
        <v>namangoyal1996@gmail.com</v>
      </c>
      <c r="H337" s="31" t="str">
        <f>IFERROR(__xludf.DUMMYFUNCTION("""COMPUTED_VALUE"""),"Rahul Sharma")</f>
        <v>Rahul Sharma</v>
      </c>
      <c r="I337" s="75">
        <f>IFERROR(__xludf.DUMMYFUNCTION("""COMPUTED_VALUE"""),45693.0)</f>
        <v>45693</v>
      </c>
      <c r="J337" s="31" t="str">
        <f>IFERROR(__xludf.DUMMYFUNCTION("""COMPUTED_VALUE"""),"Nidhi Khedekar")</f>
        <v>Nidhi Khedekar</v>
      </c>
      <c r="K337" s="31" t="str">
        <f>IFERROR(__xludf.DUMMYFUNCTION("""COMPUTED_VALUE"""),"Offer Declined")</f>
        <v>Offer Declined</v>
      </c>
      <c r="L337" s="31" t="str">
        <f>IFERROR(__xludf.DUMMYFUNCTION("""COMPUTED_VALUE"""),"In Office")</f>
        <v>In Office</v>
      </c>
      <c r="M337" s="31"/>
      <c r="N337" s="31"/>
    </row>
    <row r="338">
      <c r="A338" s="74">
        <f>IFERROR(__xludf.DUMMYFUNCTION("""COMPUTED_VALUE"""),45705.0)</f>
        <v>45705</v>
      </c>
      <c r="B338" s="31" t="str">
        <f>IFERROR(__xludf.DUMMYFUNCTION("""COMPUTED_VALUE"""),"Sayak Chakraborty")</f>
        <v>Sayak Chakraborty</v>
      </c>
      <c r="C338" s="31" t="str">
        <f>IFERROR(__xludf.DUMMYFUNCTION("""COMPUTED_VALUE"""),"Strategy")</f>
        <v>Strategy</v>
      </c>
      <c r="D338" s="31">
        <f>IFERROR(__xludf.DUMMYFUNCTION("""COMPUTED_VALUE"""),9.19874128471E11)</f>
        <v>919874128471</v>
      </c>
      <c r="E338" s="31" t="str">
        <f>IFERROR(__xludf.DUMMYFUNCTION("""COMPUTED_VALUE"""),"Strategy Associate")</f>
        <v>Strategy Associate</v>
      </c>
      <c r="F338" s="31" t="str">
        <f>IFERROR(__xludf.DUMMYFUNCTION("""COMPUTED_VALUE"""),"Strategy")</f>
        <v>Strategy</v>
      </c>
      <c r="G338" s="31" t="str">
        <f>IFERROR(__xludf.DUMMYFUNCTION("""COMPUTED_VALUE"""),"p20sayakc@iimidr.ac.in")</f>
        <v>p20sayakc@iimidr.ac.in</v>
      </c>
      <c r="H338" s="31" t="str">
        <f>IFERROR(__xludf.DUMMYFUNCTION("""COMPUTED_VALUE"""),"Ishank Mehta")</f>
        <v>Ishank Mehta</v>
      </c>
      <c r="I338" s="75">
        <f>IFERROR(__xludf.DUMMYFUNCTION("""COMPUTED_VALUE"""),45695.0)</f>
        <v>45695</v>
      </c>
      <c r="J338" s="31" t="str">
        <f>IFERROR(__xludf.DUMMYFUNCTION("""COMPUTED_VALUE"""),"Naina")</f>
        <v>Naina</v>
      </c>
      <c r="K338" s="31" t="str">
        <f>IFERROR(__xludf.DUMMYFUNCTION("""COMPUTED_VALUE"""),"Offer Declined")</f>
        <v>Offer Declined</v>
      </c>
      <c r="L338" s="31" t="str">
        <f>IFERROR(__xludf.DUMMYFUNCTION("""COMPUTED_VALUE"""),"In Office")</f>
        <v>In Office</v>
      </c>
      <c r="M338" s="31"/>
      <c r="N338" s="31"/>
    </row>
    <row r="339">
      <c r="A339" s="74">
        <f>IFERROR(__xludf.DUMMYFUNCTION("""COMPUTED_VALUE"""),45700.0)</f>
        <v>45700</v>
      </c>
      <c r="B339" s="31" t="str">
        <f>IFERROR(__xludf.DUMMYFUNCTION("""COMPUTED_VALUE"""),"Nidhi Kashyap")</f>
        <v>Nidhi Kashyap</v>
      </c>
      <c r="C339" s="31" t="str">
        <f>IFERROR(__xludf.DUMMYFUNCTION("""COMPUTED_VALUE"""),"Customer Experience")</f>
        <v>Customer Experience</v>
      </c>
      <c r="D339" s="31">
        <f>IFERROR(__xludf.DUMMYFUNCTION("""COMPUTED_VALUE"""),8.076189324E9)</f>
        <v>8076189324</v>
      </c>
      <c r="E339" s="31" t="str">
        <f>IFERROR(__xludf.DUMMYFUNCTION("""COMPUTED_VALUE"""),"Relationship Manager")</f>
        <v>Relationship Manager</v>
      </c>
      <c r="F339" s="31" t="str">
        <f>IFERROR(__xludf.DUMMYFUNCTION("""COMPUTED_VALUE"""),"Customer Relation Management")</f>
        <v>Customer Relation Management</v>
      </c>
      <c r="G339" s="31" t="str">
        <f>IFERROR(__xludf.DUMMYFUNCTION("""COMPUTED_VALUE"""),"nidhikashyap9560@gmail.com")</f>
        <v>nidhikashyap9560@gmail.com</v>
      </c>
      <c r="H339" s="31" t="str">
        <f>IFERROR(__xludf.DUMMYFUNCTION("""COMPUTED_VALUE"""),"Shivam Bali")</f>
        <v>Shivam Bali</v>
      </c>
      <c r="I339" s="75">
        <f>IFERROR(__xludf.DUMMYFUNCTION("""COMPUTED_VALUE"""),45698.0)</f>
        <v>45698</v>
      </c>
      <c r="J339" s="31" t="str">
        <f>IFERROR(__xludf.DUMMYFUNCTION("""COMPUTED_VALUE"""),"Nidhi Khedekar")</f>
        <v>Nidhi Khedekar</v>
      </c>
      <c r="K339" s="31" t="str">
        <f>IFERROR(__xludf.DUMMYFUNCTION("""COMPUTED_VALUE"""),"Joined")</f>
        <v>Joined</v>
      </c>
      <c r="L339" s="31" t="str">
        <f>IFERROR(__xludf.DUMMYFUNCTION("""COMPUTED_VALUE"""),"In Office")</f>
        <v>In Office</v>
      </c>
      <c r="M339" s="31" t="str">
        <f>IFERROR(__xludf.DUMMYFUNCTION("""COMPUTED_VALUE"""),"nidhi.kashyap@zupee.in")</f>
        <v>nidhi.kashyap@zupee.in</v>
      </c>
      <c r="N339" s="31" t="str">
        <f>IFERROR(__xludf.DUMMYFUNCTION("""COMPUTED_VALUE"""),"PG04E7NW")</f>
        <v>PG04E7NW</v>
      </c>
    </row>
    <row r="340">
      <c r="A340" s="74">
        <f>IFERROR(__xludf.DUMMYFUNCTION("""COMPUTED_VALUE"""),45700.0)</f>
        <v>45700</v>
      </c>
      <c r="B340" s="31" t="str">
        <f>IFERROR(__xludf.DUMMYFUNCTION("""COMPUTED_VALUE"""),"Om Hari Mishra")</f>
        <v>Om Hari Mishra</v>
      </c>
      <c r="C340" s="31" t="str">
        <f>IFERROR(__xludf.DUMMYFUNCTION("""COMPUTED_VALUE"""),"Customer Experience")</f>
        <v>Customer Experience</v>
      </c>
      <c r="D340" s="31">
        <f>IFERROR(__xludf.DUMMYFUNCTION("""COMPUTED_VALUE"""),9.289251608E9)</f>
        <v>9289251608</v>
      </c>
      <c r="E340" s="31" t="str">
        <f>IFERROR(__xludf.DUMMYFUNCTION("""COMPUTED_VALUE"""),"Relationship Manager")</f>
        <v>Relationship Manager</v>
      </c>
      <c r="F340" s="31" t="str">
        <f>IFERROR(__xludf.DUMMYFUNCTION("""COMPUTED_VALUE"""),"Customer Relation Management")</f>
        <v>Customer Relation Management</v>
      </c>
      <c r="G340" s="31" t="str">
        <f>IFERROR(__xludf.DUMMYFUNCTION("""COMPUTED_VALUE"""),"omharimishra8@gmail.com")</f>
        <v>omharimishra8@gmail.com</v>
      </c>
      <c r="H340" s="31" t="str">
        <f>IFERROR(__xludf.DUMMYFUNCTION("""COMPUTED_VALUE"""),"Shivam Bali")</f>
        <v>Shivam Bali</v>
      </c>
      <c r="I340" s="75">
        <f>IFERROR(__xludf.DUMMYFUNCTION("""COMPUTED_VALUE"""),45698.0)</f>
        <v>45698</v>
      </c>
      <c r="J340" s="31" t="str">
        <f>IFERROR(__xludf.DUMMYFUNCTION("""COMPUTED_VALUE"""),"Nidhi Khedekar")</f>
        <v>Nidhi Khedekar</v>
      </c>
      <c r="K340" s="31" t="str">
        <f>IFERROR(__xludf.DUMMYFUNCTION("""COMPUTED_VALUE"""),"Joined")</f>
        <v>Joined</v>
      </c>
      <c r="L340" s="31" t="str">
        <f>IFERROR(__xludf.DUMMYFUNCTION("""COMPUTED_VALUE"""),"In Office")</f>
        <v>In Office</v>
      </c>
      <c r="M340" s="31" t="str">
        <f>IFERROR(__xludf.DUMMYFUNCTION("""COMPUTED_VALUE"""),"om.mishra@zupee.in")</f>
        <v>om.mishra@zupee.in</v>
      </c>
      <c r="N340" s="31" t="str">
        <f>IFERROR(__xludf.DUMMYFUNCTION("""COMPUTED_VALUE"""),"PG04E5RW")</f>
        <v>PG04E5RW</v>
      </c>
    </row>
    <row r="341">
      <c r="A341" s="74">
        <f>IFERROR(__xludf.DUMMYFUNCTION("""COMPUTED_VALUE"""),45719.0)</f>
        <v>45719</v>
      </c>
      <c r="B341" s="31" t="str">
        <f>IFERROR(__xludf.DUMMYFUNCTION("""COMPUTED_VALUE"""),"Abhishek Bhatia")</f>
        <v>Abhishek Bhatia</v>
      </c>
      <c r="C341" s="31" t="str">
        <f>IFERROR(__xludf.DUMMYFUNCTION("""COMPUTED_VALUE"""),"Finance")</f>
        <v>Finance</v>
      </c>
      <c r="D341" s="31">
        <f>IFERROR(__xludf.DUMMYFUNCTION("""COMPUTED_VALUE"""),7.428045506E9)</f>
        <v>7428045506</v>
      </c>
      <c r="E341" s="31" t="str">
        <f>IFERROR(__xludf.DUMMYFUNCTION("""COMPUTED_VALUE"""),"CA Intern")</f>
        <v>CA Intern</v>
      </c>
      <c r="F341" s="31" t="str">
        <f>IFERROR(__xludf.DUMMYFUNCTION("""COMPUTED_VALUE"""),"Finance")</f>
        <v>Finance</v>
      </c>
      <c r="G341" s="31" t="str">
        <f>IFERROR(__xludf.DUMMYFUNCTION("""COMPUTED_VALUE"""),"abhibhatia2404@gmail.com")</f>
        <v>abhibhatia2404@gmail.com</v>
      </c>
      <c r="H341" s="31" t="str">
        <f>IFERROR(__xludf.DUMMYFUNCTION("""COMPUTED_VALUE"""),"Aman Patni")</f>
        <v>Aman Patni</v>
      </c>
      <c r="I341" s="75">
        <f>IFERROR(__xludf.DUMMYFUNCTION("""COMPUTED_VALUE"""),45698.0)</f>
        <v>45698</v>
      </c>
      <c r="J341" s="31" t="str">
        <f>IFERROR(__xludf.DUMMYFUNCTION("""COMPUTED_VALUE"""),"Nidhi Khedekar")</f>
        <v>Nidhi Khedekar</v>
      </c>
      <c r="K341" s="31" t="str">
        <f>IFERROR(__xludf.DUMMYFUNCTION("""COMPUTED_VALUE"""),"Offer Declined")</f>
        <v>Offer Declined</v>
      </c>
      <c r="L341" s="31" t="str">
        <f>IFERROR(__xludf.DUMMYFUNCTION("""COMPUTED_VALUE"""),"In Office")</f>
        <v>In Office</v>
      </c>
      <c r="M341" s="31"/>
      <c r="N341" s="31"/>
    </row>
    <row r="342">
      <c r="A342" s="74">
        <f>IFERROR(__xludf.DUMMYFUNCTION("""COMPUTED_VALUE"""),45707.0)</f>
        <v>45707</v>
      </c>
      <c r="B342" s="31" t="str">
        <f>IFERROR(__xludf.DUMMYFUNCTION("""COMPUTED_VALUE"""),"Priyanshu Singh")</f>
        <v>Priyanshu Singh</v>
      </c>
      <c r="C342" s="31" t="str">
        <f>IFERROR(__xludf.DUMMYFUNCTION("""COMPUTED_VALUE"""),"Finance")</f>
        <v>Finance</v>
      </c>
      <c r="D342" s="31">
        <f>IFERROR(__xludf.DUMMYFUNCTION("""COMPUTED_VALUE"""),8.427139228E9)</f>
        <v>8427139228</v>
      </c>
      <c r="E342" s="31" t="str">
        <f>IFERROR(__xludf.DUMMYFUNCTION("""COMPUTED_VALUE"""),"CA Intern")</f>
        <v>CA Intern</v>
      </c>
      <c r="F342" s="31" t="str">
        <f>IFERROR(__xludf.DUMMYFUNCTION("""COMPUTED_VALUE"""),"Finance")</f>
        <v>Finance</v>
      </c>
      <c r="G342" s="31" t="str">
        <f>IFERROR(__xludf.DUMMYFUNCTION("""COMPUTED_VALUE"""),"singhPriyanshu@gmail.com")</f>
        <v>singhPriyanshu@gmail.com</v>
      </c>
      <c r="H342" s="31" t="str">
        <f>IFERROR(__xludf.DUMMYFUNCTION("""COMPUTED_VALUE"""),"Siddharth Monga")</f>
        <v>Siddharth Monga</v>
      </c>
      <c r="I342" s="75">
        <f>IFERROR(__xludf.DUMMYFUNCTION("""COMPUTED_VALUE"""),45698.0)</f>
        <v>45698</v>
      </c>
      <c r="J342" s="31" t="str">
        <f>IFERROR(__xludf.DUMMYFUNCTION("""COMPUTED_VALUE"""),"Mamta Pandey")</f>
        <v>Mamta Pandey</v>
      </c>
      <c r="K342" s="31" t="str">
        <f>IFERROR(__xludf.DUMMYFUNCTION("""COMPUTED_VALUE"""),"Offer Declined")</f>
        <v>Offer Declined</v>
      </c>
      <c r="L342" s="31" t="str">
        <f>IFERROR(__xludf.DUMMYFUNCTION("""COMPUTED_VALUE"""),"In Office")</f>
        <v>In Office</v>
      </c>
      <c r="M342" s="31"/>
      <c r="N342" s="31"/>
    </row>
    <row r="343">
      <c r="A343" s="74">
        <f>IFERROR(__xludf.DUMMYFUNCTION("""COMPUTED_VALUE"""),45707.0)</f>
        <v>45707</v>
      </c>
      <c r="B343" s="31" t="str">
        <f>IFERROR(__xludf.DUMMYFUNCTION("""COMPUTED_VALUE"""),"Suryansh Singh")</f>
        <v>Suryansh Singh</v>
      </c>
      <c r="C343" s="31" t="str">
        <f>IFERROR(__xludf.DUMMYFUNCTION("""COMPUTED_VALUE"""),"Data Engineer")</f>
        <v>Data Engineer</v>
      </c>
      <c r="D343" s="31">
        <f>IFERROR(__xludf.DUMMYFUNCTION("""COMPUTED_VALUE"""),9.335179235E9)</f>
        <v>9335179235</v>
      </c>
      <c r="E343" s="31" t="str">
        <f>IFERROR(__xludf.DUMMYFUNCTION("""COMPUTED_VALUE"""),"Data Engineer")</f>
        <v>Data Engineer</v>
      </c>
      <c r="F343" s="31" t="str">
        <f>IFERROR(__xludf.DUMMYFUNCTION("""COMPUTED_VALUE"""),"Data Engineering")</f>
        <v>Data Engineering</v>
      </c>
      <c r="G343" s="31" t="str">
        <f>IFERROR(__xludf.DUMMYFUNCTION("""COMPUTED_VALUE"""),"suryansh314159@gmail.com")</f>
        <v>suryansh314159@gmail.com</v>
      </c>
      <c r="H343" s="31" t="str">
        <f>IFERROR(__xludf.DUMMYFUNCTION("""COMPUTED_VALUE"""),"Aman Kumar Bahl")</f>
        <v>Aman Kumar Bahl</v>
      </c>
      <c r="I343" s="75">
        <f>IFERROR(__xludf.DUMMYFUNCTION("""COMPUTED_VALUE"""),45698.0)</f>
        <v>45698</v>
      </c>
      <c r="J343" s="31" t="str">
        <f>IFERROR(__xludf.DUMMYFUNCTION("""COMPUTED_VALUE"""),"Naina")</f>
        <v>Naina</v>
      </c>
      <c r="K343" s="31" t="str">
        <f>IFERROR(__xludf.DUMMYFUNCTION("""COMPUTED_VALUE"""),"Offer Declined")</f>
        <v>Offer Declined</v>
      </c>
      <c r="L343" s="31" t="str">
        <f>IFERROR(__xludf.DUMMYFUNCTION("""COMPUTED_VALUE"""),"In Office")</f>
        <v>In Office</v>
      </c>
      <c r="M343" s="31"/>
      <c r="N343" s="31"/>
    </row>
    <row r="344">
      <c r="A344" s="74">
        <f>IFERROR(__xludf.DUMMYFUNCTION("""COMPUTED_VALUE"""),45719.0)</f>
        <v>45719</v>
      </c>
      <c r="B344" s="31" t="str">
        <f>IFERROR(__xludf.DUMMYFUNCTION("""COMPUTED_VALUE"""),"Harjeet Singh")</f>
        <v>Harjeet Singh</v>
      </c>
      <c r="C344" s="31" t="str">
        <f>IFERROR(__xludf.DUMMYFUNCTION("""COMPUTED_VALUE"""),"Data Engineer")</f>
        <v>Data Engineer</v>
      </c>
      <c r="D344" s="31">
        <f>IFERROR(__xludf.DUMMYFUNCTION("""COMPUTED_VALUE"""),8.968088356E9)</f>
        <v>8968088356</v>
      </c>
      <c r="E344" s="31" t="str">
        <f>IFERROR(__xludf.DUMMYFUNCTION("""COMPUTED_VALUE"""),"Manager -  Data Engineering")</f>
        <v>Manager -  Data Engineering</v>
      </c>
      <c r="F344" s="31" t="str">
        <f>IFERROR(__xludf.DUMMYFUNCTION("""COMPUTED_VALUE"""),"Data Engineering")</f>
        <v>Data Engineering</v>
      </c>
      <c r="G344" s="31" t="str">
        <f>IFERROR(__xludf.DUMMYFUNCTION("""COMPUTED_VALUE"""),"harrysingh.nitj@gmail.com")</f>
        <v>harrysingh.nitj@gmail.com</v>
      </c>
      <c r="H344" s="31" t="str">
        <f>IFERROR(__xludf.DUMMYFUNCTION("""COMPUTED_VALUE"""),"Aman Kumar Bahl")</f>
        <v>Aman Kumar Bahl</v>
      </c>
      <c r="I344" s="75">
        <f>IFERROR(__xludf.DUMMYFUNCTION("""COMPUTED_VALUE"""),45698.0)</f>
        <v>45698</v>
      </c>
      <c r="J344" s="31" t="str">
        <f>IFERROR(__xludf.DUMMYFUNCTION("""COMPUTED_VALUE"""),"Naina")</f>
        <v>Naina</v>
      </c>
      <c r="K344" s="31" t="str">
        <f>IFERROR(__xludf.DUMMYFUNCTION("""COMPUTED_VALUE"""),"Offer Declined")</f>
        <v>Offer Declined</v>
      </c>
      <c r="L344" s="31" t="str">
        <f>IFERROR(__xludf.DUMMYFUNCTION("""COMPUTED_VALUE"""),"In Office")</f>
        <v>In Office</v>
      </c>
      <c r="M344" s="31"/>
      <c r="N344" s="31"/>
    </row>
    <row r="345">
      <c r="A345" s="74">
        <f>IFERROR(__xludf.DUMMYFUNCTION("""COMPUTED_VALUE"""),45749.0)</f>
        <v>45749</v>
      </c>
      <c r="B345" s="31" t="str">
        <f>IFERROR(__xludf.DUMMYFUNCTION("""COMPUTED_VALUE"""),"Akshita Gupta")</f>
        <v>Akshita Gupta</v>
      </c>
      <c r="C345" s="31" t="str">
        <f>IFERROR(__xludf.DUMMYFUNCTION("""COMPUTED_VALUE"""),"Finance")</f>
        <v>Finance</v>
      </c>
      <c r="D345" s="31">
        <f>IFERROR(__xludf.DUMMYFUNCTION("""COMPUTED_VALUE"""),8.949439149E9)</f>
        <v>8949439149</v>
      </c>
      <c r="E345" s="31" t="str">
        <f>IFERROR(__xludf.DUMMYFUNCTION("""COMPUTED_VALUE"""),"CA Intern")</f>
        <v>CA Intern</v>
      </c>
      <c r="F345" s="31" t="str">
        <f>IFERROR(__xludf.DUMMYFUNCTION("""COMPUTED_VALUE"""),"Finance")</f>
        <v>Finance</v>
      </c>
      <c r="G345" s="31" t="str">
        <f>IFERROR(__xludf.DUMMYFUNCTION("""COMPUTED_VALUE"""),"gupta.akshita203@gmail.com")</f>
        <v>gupta.akshita203@gmail.com</v>
      </c>
      <c r="H345" s="31" t="str">
        <f>IFERROR(__xludf.DUMMYFUNCTION("""COMPUTED_VALUE"""),"Pulkit Sehgal")</f>
        <v>Pulkit Sehgal</v>
      </c>
      <c r="I345" s="75">
        <f>IFERROR(__xludf.DUMMYFUNCTION("""COMPUTED_VALUE"""),45700.0)</f>
        <v>45700</v>
      </c>
      <c r="J345" s="31" t="str">
        <f>IFERROR(__xludf.DUMMYFUNCTION("""COMPUTED_VALUE"""),"Nidhi Khedekar")</f>
        <v>Nidhi Khedekar</v>
      </c>
      <c r="K345" s="31" t="str">
        <f>IFERROR(__xludf.DUMMYFUNCTION("""COMPUTED_VALUE"""),"Offer Declined")</f>
        <v>Offer Declined</v>
      </c>
      <c r="L345" s="31" t="str">
        <f>IFERROR(__xludf.DUMMYFUNCTION("""COMPUTED_VALUE"""),"In Office")</f>
        <v>In Office</v>
      </c>
      <c r="M345" s="31"/>
      <c r="N345" s="31"/>
    </row>
    <row r="346">
      <c r="A346" s="74">
        <f>IFERROR(__xludf.DUMMYFUNCTION("""COMPUTED_VALUE"""),45705.0)</f>
        <v>45705</v>
      </c>
      <c r="B346" s="31" t="str">
        <f>IFERROR(__xludf.DUMMYFUNCTION("""COMPUTED_VALUE"""),"Ronak Garg")</f>
        <v>Ronak Garg</v>
      </c>
      <c r="C346" s="31" t="str">
        <f>IFERROR(__xludf.DUMMYFUNCTION("""COMPUTED_VALUE"""),"Technology")</f>
        <v>Technology</v>
      </c>
      <c r="D346" s="31">
        <f>IFERROR(__xludf.DUMMYFUNCTION("""COMPUTED_VALUE"""),8.527147779E9)</f>
        <v>8527147779</v>
      </c>
      <c r="E346" s="31" t="str">
        <f>IFERROR(__xludf.DUMMYFUNCTION("""COMPUTED_VALUE"""),"Engineering Manager- Software Development in Testing")</f>
        <v>Engineering Manager- Software Development in Testing</v>
      </c>
      <c r="F346" s="31" t="str">
        <f>IFERROR(__xludf.DUMMYFUNCTION("""COMPUTED_VALUE"""),"SDET")</f>
        <v>SDET</v>
      </c>
      <c r="G346" s="31" t="str">
        <f>IFERROR(__xludf.DUMMYFUNCTION("""COMPUTED_VALUE"""),"arch.garg1@gmail.com")</f>
        <v>arch.garg1@gmail.com</v>
      </c>
      <c r="H346" s="31" t="str">
        <f>IFERROR(__xludf.DUMMYFUNCTION("""COMPUTED_VALUE"""),"Sahil Puri")</f>
        <v>Sahil Puri</v>
      </c>
      <c r="I346" s="75">
        <f>IFERROR(__xludf.DUMMYFUNCTION("""COMPUTED_VALUE"""),45700.0)</f>
        <v>45700</v>
      </c>
      <c r="J346" s="31" t="str">
        <f>IFERROR(__xludf.DUMMYFUNCTION("""COMPUTED_VALUE"""),"Vipin Kumar")</f>
        <v>Vipin Kumar</v>
      </c>
      <c r="K346" s="31" t="str">
        <f>IFERROR(__xludf.DUMMYFUNCTION("""COMPUTED_VALUE"""),"Offer Declined")</f>
        <v>Offer Declined</v>
      </c>
      <c r="L346" s="31" t="str">
        <f>IFERROR(__xludf.DUMMYFUNCTION("""COMPUTED_VALUE"""),"In Office")</f>
        <v>In Office</v>
      </c>
      <c r="M346" s="31"/>
      <c r="N346" s="31"/>
    </row>
    <row r="347">
      <c r="A347" s="74">
        <f>IFERROR(__xludf.DUMMYFUNCTION("""COMPUTED_VALUE"""),45749.0)</f>
        <v>45749</v>
      </c>
      <c r="B347" s="31" t="str">
        <f>IFERROR(__xludf.DUMMYFUNCTION("""COMPUTED_VALUE"""),"Saumil Shah")</f>
        <v>Saumil Shah</v>
      </c>
      <c r="C347" s="31" t="str">
        <f>IFERROR(__xludf.DUMMYFUNCTION("""COMPUTED_VALUE"""),"Marketing")</f>
        <v>Marketing</v>
      </c>
      <c r="D347" s="31"/>
      <c r="E347" s="31" t="str">
        <f>IFERROR(__xludf.DUMMYFUNCTION("""COMPUTED_VALUE"""),"Senior Manager SEO")</f>
        <v>Senior Manager SEO</v>
      </c>
      <c r="F347" s="31" t="str">
        <f>IFERROR(__xludf.DUMMYFUNCTION("""COMPUTED_VALUE"""),"Digital Marketing")</f>
        <v>Digital Marketing</v>
      </c>
      <c r="G347" s="31" t="str">
        <f>IFERROR(__xludf.DUMMYFUNCTION("""COMPUTED_VALUE"""),"saumil555@gmail.com")</f>
        <v>saumil555@gmail.com</v>
      </c>
      <c r="H347" s="31" t="str">
        <f>IFERROR(__xludf.DUMMYFUNCTION("""COMPUTED_VALUE"""),"Nishant jaiswal")</f>
        <v>Nishant jaiswal</v>
      </c>
      <c r="I347" s="75">
        <f>IFERROR(__xludf.DUMMYFUNCTION("""COMPUTED_VALUE"""),45706.0)</f>
        <v>45706</v>
      </c>
      <c r="J347" s="31" t="str">
        <f>IFERROR(__xludf.DUMMYFUNCTION("""COMPUTED_VALUE"""),"Naina")</f>
        <v>Naina</v>
      </c>
      <c r="K347" s="31" t="str">
        <f>IFERROR(__xludf.DUMMYFUNCTION("""COMPUTED_VALUE"""),"Joined")</f>
        <v>Joined</v>
      </c>
      <c r="L347" s="31" t="str">
        <f>IFERROR(__xludf.DUMMYFUNCTION("""COMPUTED_VALUE"""),"In Office")</f>
        <v>In Office</v>
      </c>
      <c r="M347" s="31" t="str">
        <f>IFERROR(__xludf.DUMMYFUNCTION("""COMPUTED_VALUE"""),"saumil.shah@zupee.in")</f>
        <v>saumil.shah@zupee.in</v>
      </c>
      <c r="N347" s="31" t="str">
        <f>IFERROR(__xludf.DUMMYFUNCTION("""COMPUTED_VALUE"""),"CFDFMPPH90")</f>
        <v>CFDFMPPH90</v>
      </c>
    </row>
    <row r="348">
      <c r="A348" s="74">
        <f>IFERROR(__xludf.DUMMYFUNCTION("""COMPUTED_VALUE"""),45707.0)</f>
        <v>45707</v>
      </c>
      <c r="B348" s="31" t="str">
        <f>IFERROR(__xludf.DUMMYFUNCTION("""COMPUTED_VALUE"""),"Abhishek Choudhary")</f>
        <v>Abhishek Choudhary</v>
      </c>
      <c r="C348" s="31" t="str">
        <f>IFERROR(__xludf.DUMMYFUNCTION("""COMPUTED_VALUE"""),"Data Engineer")</f>
        <v>Data Engineer</v>
      </c>
      <c r="D348" s="31">
        <f>IFERROR(__xludf.DUMMYFUNCTION("""COMPUTED_VALUE"""),9.354265087E9)</f>
        <v>9354265087</v>
      </c>
      <c r="E348" s="31" t="str">
        <f>IFERROR(__xludf.DUMMYFUNCTION("""COMPUTED_VALUE"""),"Data Engineering Intern")</f>
        <v>Data Engineering Intern</v>
      </c>
      <c r="F348" s="31" t="str">
        <f>IFERROR(__xludf.DUMMYFUNCTION("""COMPUTED_VALUE"""),"Data Engineering")</f>
        <v>Data Engineering</v>
      </c>
      <c r="G348" s="31" t="str">
        <f>IFERROR(__xludf.DUMMYFUNCTION("""COMPUTED_VALUE"""),"abhichoudhary25042002@gmail.com")</f>
        <v>abhichoudhary25042002@gmail.com</v>
      </c>
      <c r="H348" s="31" t="str">
        <f>IFERROR(__xludf.DUMMYFUNCTION("""COMPUTED_VALUE"""),"Aman Kumar Bahl")</f>
        <v>Aman Kumar Bahl</v>
      </c>
      <c r="I348" s="75">
        <f>IFERROR(__xludf.DUMMYFUNCTION("""COMPUTED_VALUE"""),45706.0)</f>
        <v>45706</v>
      </c>
      <c r="J348" s="31" t="str">
        <f>IFERROR(__xludf.DUMMYFUNCTION("""COMPUTED_VALUE"""),"Vipin Kumar")</f>
        <v>Vipin Kumar</v>
      </c>
      <c r="K348" s="31" t="str">
        <f>IFERROR(__xludf.DUMMYFUNCTION("""COMPUTED_VALUE"""),"Joined")</f>
        <v>Joined</v>
      </c>
      <c r="L348" s="31" t="str">
        <f>IFERROR(__xludf.DUMMYFUNCTION("""COMPUTED_VALUE"""),"In Office")</f>
        <v>In Office</v>
      </c>
      <c r="M348" s="31" t="str">
        <f>IFERROR(__xludf.DUMMYFUNCTION("""COMPUTED_VALUE"""),"abhishek.choudhary@zupee.in")</f>
        <v>abhishek.choudhary@zupee.in</v>
      </c>
      <c r="N348" s="31" t="str">
        <f>IFERROR(__xludf.DUMMYFUNCTION("""COMPUTED_VALUE"""),"J4GH2LV16F")</f>
        <v>J4GH2LV16F</v>
      </c>
    </row>
    <row r="349">
      <c r="A349" s="74">
        <f>IFERROR(__xludf.DUMMYFUNCTION("""COMPUTED_VALUE"""),45735.0)</f>
        <v>45735</v>
      </c>
      <c r="B349" s="31" t="str">
        <f>IFERROR(__xludf.DUMMYFUNCTION("""COMPUTED_VALUE"""),"Shobhit Sharma")</f>
        <v>Shobhit Sharma</v>
      </c>
      <c r="C349" s="31" t="str">
        <f>IFERROR(__xludf.DUMMYFUNCTION("""COMPUTED_VALUE"""),"Customer Experience")</f>
        <v>Customer Experience</v>
      </c>
      <c r="D349" s="31">
        <f>IFERROR(__xludf.DUMMYFUNCTION("""COMPUTED_VALUE"""),7.8170769E9)</f>
        <v>7817076900</v>
      </c>
      <c r="E349" s="31" t="str">
        <f>IFERROR(__xludf.DUMMYFUNCTION("""COMPUTED_VALUE"""),"Fraud Analyst")</f>
        <v>Fraud Analyst</v>
      </c>
      <c r="F349" s="31" t="str">
        <f>IFERROR(__xludf.DUMMYFUNCTION("""COMPUTED_VALUE"""),"Fraud Risk Management ")</f>
        <v>Fraud Risk Management </v>
      </c>
      <c r="G349" s="31" t="str">
        <f>IFERROR(__xludf.DUMMYFUNCTION("""COMPUTED_VALUE"""),"shobhitsharma2180@gmail.com")</f>
        <v>shobhitsharma2180@gmail.com</v>
      </c>
      <c r="H349" s="31" t="str">
        <f>IFERROR(__xludf.DUMMYFUNCTION("""COMPUTED_VALUE"""),"Ishan Margamwar")</f>
        <v>Ishan Margamwar</v>
      </c>
      <c r="I349" s="75">
        <f>IFERROR(__xludf.DUMMYFUNCTION("""COMPUTED_VALUE"""),45709.0)</f>
        <v>45709</v>
      </c>
      <c r="J349" s="31" t="str">
        <f>IFERROR(__xludf.DUMMYFUNCTION("""COMPUTED_VALUE"""),"Nidhi Khedekar")</f>
        <v>Nidhi Khedekar</v>
      </c>
      <c r="K349" s="31" t="str">
        <f>IFERROR(__xludf.DUMMYFUNCTION("""COMPUTED_VALUE"""),"Joined")</f>
        <v>Joined</v>
      </c>
      <c r="L349" s="31" t="str">
        <f>IFERROR(__xludf.DUMMYFUNCTION("""COMPUTED_VALUE"""),"In Office")</f>
        <v>In Office</v>
      </c>
      <c r="M349" s="31" t="str">
        <f>IFERROR(__xludf.DUMMYFUNCTION("""COMPUTED_VALUE"""),"shobhit.sharma@zupee.in")</f>
        <v>shobhit.sharma@zupee.in</v>
      </c>
      <c r="N349" s="31"/>
    </row>
    <row r="350">
      <c r="A350" s="74">
        <f>IFERROR(__xludf.DUMMYFUNCTION("""COMPUTED_VALUE"""),45761.0)</f>
        <v>45761</v>
      </c>
      <c r="B350" s="31" t="str">
        <f>IFERROR(__xludf.DUMMYFUNCTION("""COMPUTED_VALUE"""),"Pankaj Kumar Pandey")</f>
        <v>Pankaj Kumar Pandey</v>
      </c>
      <c r="C350" s="31" t="str">
        <f>IFERROR(__xludf.DUMMYFUNCTION("""COMPUTED_VALUE"""),"Technology")</f>
        <v>Technology</v>
      </c>
      <c r="D350" s="31">
        <f>IFERROR(__xludf.DUMMYFUNCTION("""COMPUTED_VALUE"""),9.972898948E9)</f>
        <v>9972898948</v>
      </c>
      <c r="E350" s="31" t="str">
        <f>IFERROR(__xludf.DUMMYFUNCTION("""COMPUTED_VALUE"""),"Engineering Manager- DevOps")</f>
        <v>Engineering Manager- DevOps</v>
      </c>
      <c r="F350" s="31" t="str">
        <f>IFERROR(__xludf.DUMMYFUNCTION("""COMPUTED_VALUE"""),"DevOps")</f>
        <v>DevOps</v>
      </c>
      <c r="G350" s="31" t="str">
        <f>IFERROR(__xludf.DUMMYFUNCTION("""COMPUTED_VALUE"""),"pankaj.ever4@gmail.com")</f>
        <v>pankaj.ever4@gmail.com</v>
      </c>
      <c r="H350" s="31" t="str">
        <f>IFERROR(__xludf.DUMMYFUNCTION("""COMPUTED_VALUE"""),"Saurav Yadav")</f>
        <v>Saurav Yadav</v>
      </c>
      <c r="I350" s="75">
        <f>IFERROR(__xludf.DUMMYFUNCTION("""COMPUTED_VALUE"""),45709.0)</f>
        <v>45709</v>
      </c>
      <c r="J350" s="31" t="str">
        <f>IFERROR(__xludf.DUMMYFUNCTION("""COMPUTED_VALUE"""),"Rajneesh Yadav")</f>
        <v>Rajneesh Yadav</v>
      </c>
      <c r="K350" s="31" t="str">
        <f>IFERROR(__xludf.DUMMYFUNCTION("""COMPUTED_VALUE"""),"Offer Declined")</f>
        <v>Offer Declined</v>
      </c>
      <c r="L350" s="31" t="str">
        <f>IFERROR(__xludf.DUMMYFUNCTION("""COMPUTED_VALUE"""),"In Office")</f>
        <v>In Office</v>
      </c>
      <c r="M350" s="31"/>
      <c r="N350" s="31"/>
    </row>
    <row r="351">
      <c r="A351" s="74">
        <f>IFERROR(__xludf.DUMMYFUNCTION("""COMPUTED_VALUE"""),45810.0)</f>
        <v>45810</v>
      </c>
      <c r="B351" s="31" t="str">
        <f>IFERROR(__xludf.DUMMYFUNCTION("""COMPUTED_VALUE"""),"Gunika Goyal")</f>
        <v>Gunika Goyal</v>
      </c>
      <c r="C351" s="31" t="str">
        <f>IFERROR(__xludf.DUMMYFUNCTION("""COMPUTED_VALUE"""),"Data Engineer")</f>
        <v>Data Engineer</v>
      </c>
      <c r="D351" s="31">
        <f>IFERROR(__xludf.DUMMYFUNCTION("""COMPUTED_VALUE"""),7.428755285E9)</f>
        <v>7428755285</v>
      </c>
      <c r="E351" s="31" t="str">
        <f>IFERROR(__xludf.DUMMYFUNCTION("""COMPUTED_VALUE"""),"Data Engineering Intern")</f>
        <v>Data Engineering Intern</v>
      </c>
      <c r="F351" s="31" t="str">
        <f>IFERROR(__xludf.DUMMYFUNCTION("""COMPUTED_VALUE"""),"Data Engineering")</f>
        <v>Data Engineering</v>
      </c>
      <c r="G351" s="31" t="str">
        <f>IFERROR(__xludf.DUMMYFUNCTION("""COMPUTED_VALUE"""),"gunikagoyal04@gmail.com")</f>
        <v>gunikagoyal04@gmail.com</v>
      </c>
      <c r="H351" s="31" t="str">
        <f>IFERROR(__xludf.DUMMYFUNCTION("""COMPUTED_VALUE"""),"Aman Kumar Bahl")</f>
        <v>Aman Kumar Bahl</v>
      </c>
      <c r="I351" s="75">
        <f>IFERROR(__xludf.DUMMYFUNCTION("""COMPUTED_VALUE"""),45712.0)</f>
        <v>45712</v>
      </c>
      <c r="J351" s="31" t="str">
        <f>IFERROR(__xludf.DUMMYFUNCTION("""COMPUTED_VALUE"""),"Vipin Kumar")</f>
        <v>Vipin Kumar</v>
      </c>
      <c r="K351" s="31" t="str">
        <f>IFERROR(__xludf.DUMMYFUNCTION("""COMPUTED_VALUE"""),"Offer Declined")</f>
        <v>Offer Declined</v>
      </c>
      <c r="L351" s="31" t="str">
        <f>IFERROR(__xludf.DUMMYFUNCTION("""COMPUTED_VALUE"""),"In Office")</f>
        <v>In Office</v>
      </c>
      <c r="M351" s="31"/>
      <c r="N351" s="31"/>
    </row>
    <row r="352">
      <c r="A352" s="74">
        <f>IFERROR(__xludf.DUMMYFUNCTION("""COMPUTED_VALUE"""),45761.0)</f>
        <v>45761</v>
      </c>
      <c r="B352" s="31" t="str">
        <f>IFERROR(__xludf.DUMMYFUNCTION("""COMPUTED_VALUE"""),"Mayank Goyal")</f>
        <v>Mayank Goyal</v>
      </c>
      <c r="C352" s="31" t="str">
        <f>IFERROR(__xludf.DUMMYFUNCTION("""COMPUTED_VALUE"""),"Analytics")</f>
        <v>Analytics</v>
      </c>
      <c r="D352" s="31">
        <f>IFERROR(__xludf.DUMMYFUNCTION("""COMPUTED_VALUE"""),7.814259187E9)</f>
        <v>7814259187</v>
      </c>
      <c r="E352" s="31" t="str">
        <f>IFERROR(__xludf.DUMMYFUNCTION("""COMPUTED_VALUE"""),"Finance Analyst")</f>
        <v>Finance Analyst</v>
      </c>
      <c r="F352" s="31" t="str">
        <f>IFERROR(__xludf.DUMMYFUNCTION("""COMPUTED_VALUE"""),"Finance")</f>
        <v>Finance</v>
      </c>
      <c r="G352" s="31" t="str">
        <f>IFERROR(__xludf.DUMMYFUNCTION("""COMPUTED_VALUE"""),"mayankgoyal068@gmail.com")</f>
        <v>mayankgoyal068@gmail.com</v>
      </c>
      <c r="H352" s="31" t="str">
        <f>IFERROR(__xludf.DUMMYFUNCTION("""COMPUTED_VALUE"""),"Shashank Gupta")</f>
        <v>Shashank Gupta</v>
      </c>
      <c r="I352" s="75">
        <f>IFERROR(__xludf.DUMMYFUNCTION("""COMPUTED_VALUE"""),45715.0)</f>
        <v>45715</v>
      </c>
      <c r="J352" s="31" t="str">
        <f>IFERROR(__xludf.DUMMYFUNCTION("""COMPUTED_VALUE"""),"Nidhi Khedekar")</f>
        <v>Nidhi Khedekar</v>
      </c>
      <c r="K352" s="31" t="str">
        <f>IFERROR(__xludf.DUMMYFUNCTION("""COMPUTED_VALUE"""),"Joined")</f>
        <v>Joined</v>
      </c>
      <c r="L352" s="31" t="str">
        <f>IFERROR(__xludf.DUMMYFUNCTION("""COMPUTED_VALUE"""),"In Office")</f>
        <v>In Office</v>
      </c>
      <c r="M352" s="31" t="str">
        <f>IFERROR(__xludf.DUMMYFUNCTION("""COMPUTED_VALUE"""),"mayank.goyal@zupee.in")</f>
        <v>mayank.goyal@zupee.in</v>
      </c>
      <c r="N352" s="31"/>
    </row>
    <row r="353">
      <c r="A353" s="74">
        <f>IFERROR(__xludf.DUMMYFUNCTION("""COMPUTED_VALUE"""),45721.0)</f>
        <v>45721</v>
      </c>
      <c r="B353" s="31" t="str">
        <f>IFERROR(__xludf.DUMMYFUNCTION("""COMPUTED_VALUE"""),"Adesh Sharma")</f>
        <v>Adesh Sharma</v>
      </c>
      <c r="C353" s="31" t="str">
        <f>IFERROR(__xludf.DUMMYFUNCTION("""COMPUTED_VALUE"""),"Technology")</f>
        <v>Technology</v>
      </c>
      <c r="D353" s="31">
        <f>IFERROR(__xludf.DUMMYFUNCTION("""COMPUTED_VALUE"""),9.354198257E9)</f>
        <v>9354198257</v>
      </c>
      <c r="E353" s="31" t="str">
        <f>IFERROR(__xludf.DUMMYFUNCTION("""COMPUTED_VALUE"""),"Full Stack Intern")</f>
        <v>Full Stack Intern</v>
      </c>
      <c r="F353" s="31" t="str">
        <f>IFERROR(__xludf.DUMMYFUNCTION("""COMPUTED_VALUE"""),"Engineering")</f>
        <v>Engineering</v>
      </c>
      <c r="G353" s="31" t="str">
        <f>IFERROR(__xludf.DUMMYFUNCTION("""COMPUTED_VALUE"""),"sharmaadesh004@gmail.com ")</f>
        <v>sharmaadesh004@gmail.com </v>
      </c>
      <c r="H353" s="31" t="str">
        <f>IFERROR(__xludf.DUMMYFUNCTION("""COMPUTED_VALUE"""),"Aman Bahl")</f>
        <v>Aman Bahl</v>
      </c>
      <c r="I353" s="75">
        <f>IFERROR(__xludf.DUMMYFUNCTION("""COMPUTED_VALUE"""),45715.0)</f>
        <v>45715</v>
      </c>
      <c r="J353" s="31" t="str">
        <f>IFERROR(__xludf.DUMMYFUNCTION("""COMPUTED_VALUE"""),"Nidhi Khedekar")</f>
        <v>Nidhi Khedekar</v>
      </c>
      <c r="K353" s="31" t="str">
        <f>IFERROR(__xludf.DUMMYFUNCTION("""COMPUTED_VALUE"""),"Joined")</f>
        <v>Joined</v>
      </c>
      <c r="L353" s="31" t="str">
        <f>IFERROR(__xludf.DUMMYFUNCTION("""COMPUTED_VALUE"""),"In Office")</f>
        <v>In Office</v>
      </c>
      <c r="M353" s="31" t="str">
        <f>IFERROR(__xludf.DUMMYFUNCTION("""COMPUTED_VALUE"""),"adesh.sharma@zupee.in")</f>
        <v>adesh.sharma@zupee.in</v>
      </c>
      <c r="N353" s="31"/>
    </row>
    <row r="354">
      <c r="A354" s="74">
        <f>IFERROR(__xludf.DUMMYFUNCTION("""COMPUTED_VALUE"""),45721.0)</f>
        <v>45721</v>
      </c>
      <c r="B354" s="31" t="str">
        <f>IFERROR(__xludf.DUMMYFUNCTION("""COMPUTED_VALUE"""),"Ashutosh Garg")</f>
        <v>Ashutosh Garg</v>
      </c>
      <c r="C354" s="31" t="str">
        <f>IFERROR(__xludf.DUMMYFUNCTION("""COMPUTED_VALUE"""),"Data Engineer")</f>
        <v>Data Engineer</v>
      </c>
      <c r="D354" s="31">
        <f>IFERROR(__xludf.DUMMYFUNCTION("""COMPUTED_VALUE"""),8.168468346E9)</f>
        <v>8168468346</v>
      </c>
      <c r="E354" s="31" t="str">
        <f>IFERROR(__xludf.DUMMYFUNCTION("""COMPUTED_VALUE"""),"Data Engineering Intern")</f>
        <v>Data Engineering Intern</v>
      </c>
      <c r="F354" s="31" t="str">
        <f>IFERROR(__xludf.DUMMYFUNCTION("""COMPUTED_VALUE"""),"Data Engineering")</f>
        <v>Data Engineering</v>
      </c>
      <c r="G354" s="31" t="str">
        <f>IFERROR(__xludf.DUMMYFUNCTION("""COMPUTED_VALUE"""),"gashu3609@gmail.com")</f>
        <v>gashu3609@gmail.com</v>
      </c>
      <c r="H354" s="31" t="str">
        <f>IFERROR(__xludf.DUMMYFUNCTION("""COMPUTED_VALUE"""),"Aman Bahl")</f>
        <v>Aman Bahl</v>
      </c>
      <c r="I354" s="75">
        <f>IFERROR(__xludf.DUMMYFUNCTION("""COMPUTED_VALUE"""),45715.0)</f>
        <v>45715</v>
      </c>
      <c r="J354" s="31" t="str">
        <f>IFERROR(__xludf.DUMMYFUNCTION("""COMPUTED_VALUE"""),"Vipin Kumar")</f>
        <v>Vipin Kumar</v>
      </c>
      <c r="K354" s="31" t="str">
        <f>IFERROR(__xludf.DUMMYFUNCTION("""COMPUTED_VALUE"""),"Joined")</f>
        <v>Joined</v>
      </c>
      <c r="L354" s="31" t="str">
        <f>IFERROR(__xludf.DUMMYFUNCTION("""COMPUTED_VALUE"""),"In Office")</f>
        <v>In Office</v>
      </c>
      <c r="M354" s="31"/>
      <c r="N354" s="31"/>
    </row>
    <row r="355">
      <c r="A355" s="74">
        <f>IFERROR(__xludf.DUMMYFUNCTION("""COMPUTED_VALUE"""),45719.0)</f>
        <v>45719</v>
      </c>
      <c r="B355" s="31" t="str">
        <f>IFERROR(__xludf.DUMMYFUNCTION("""COMPUTED_VALUE"""),"Agrim Panwar")</f>
        <v>Agrim Panwar</v>
      </c>
      <c r="C355" s="31" t="str">
        <f>IFERROR(__xludf.DUMMYFUNCTION("""COMPUTED_VALUE"""),"Strategy")</f>
        <v>Strategy</v>
      </c>
      <c r="D355" s="31">
        <f>IFERROR(__xludf.DUMMYFUNCTION("""COMPUTED_VALUE"""),9.871947526E9)</f>
        <v>9871947526</v>
      </c>
      <c r="E355" s="31" t="str">
        <f>IFERROR(__xludf.DUMMYFUNCTION("""COMPUTED_VALUE"""),"Strategy Associate")</f>
        <v>Strategy Associate</v>
      </c>
      <c r="F355" s="31" t="str">
        <f>IFERROR(__xludf.DUMMYFUNCTION("""COMPUTED_VALUE"""),"Strategy")</f>
        <v>Strategy</v>
      </c>
      <c r="G355" s="31" t="str">
        <f>IFERROR(__xludf.DUMMYFUNCTION("""COMPUTED_VALUE"""),"agrimpanwar@gmail.com")</f>
        <v>agrimpanwar@gmail.com</v>
      </c>
      <c r="H355" s="31" t="str">
        <f>IFERROR(__xludf.DUMMYFUNCTION("""COMPUTED_VALUE"""),"Abhishek Goyal")</f>
        <v>Abhishek Goyal</v>
      </c>
      <c r="I355" s="75">
        <f>IFERROR(__xludf.DUMMYFUNCTION("""COMPUTED_VALUE"""),45716.0)</f>
        <v>45716</v>
      </c>
      <c r="J355" s="31" t="str">
        <f>IFERROR(__xludf.DUMMYFUNCTION("""COMPUTED_VALUE"""),"Naina")</f>
        <v>Naina</v>
      </c>
      <c r="K355" s="31" t="str">
        <f>IFERROR(__xludf.DUMMYFUNCTION("""COMPUTED_VALUE"""),"Joined")</f>
        <v>Joined</v>
      </c>
      <c r="L355" s="31" t="str">
        <f>IFERROR(__xludf.DUMMYFUNCTION("""COMPUTED_VALUE"""),"In Office")</f>
        <v>In Office</v>
      </c>
      <c r="M355" s="31" t="str">
        <f>IFERROR(__xludf.DUMMYFUNCTION("""COMPUTED_VALUE"""),"agrim.panwar@zupee.in")</f>
        <v>agrim.panwar@zupee.in</v>
      </c>
      <c r="N355" s="31"/>
    </row>
    <row r="356">
      <c r="A356" s="74">
        <f>IFERROR(__xludf.DUMMYFUNCTION("""COMPUTED_VALUE"""),45719.0)</f>
        <v>45719</v>
      </c>
      <c r="B356" s="31" t="str">
        <f>IFERROR(__xludf.DUMMYFUNCTION("""COMPUTED_VALUE"""),"Pranav Arora")</f>
        <v>Pranav Arora</v>
      </c>
      <c r="C356" s="31" t="str">
        <f>IFERROR(__xludf.DUMMYFUNCTION("""COMPUTED_VALUE"""),"Product")</f>
        <v>Product</v>
      </c>
      <c r="D356" s="31">
        <f>IFERROR(__xludf.DUMMYFUNCTION("""COMPUTED_VALUE"""),7.704074077E9)</f>
        <v>7704074077</v>
      </c>
      <c r="E356" s="31" t="str">
        <f>IFERROR(__xludf.DUMMYFUNCTION("""COMPUTED_VALUE"""),"Product manager")</f>
        <v>Product manager</v>
      </c>
      <c r="F356" s="31" t="str">
        <f>IFERROR(__xludf.DUMMYFUNCTION("""COMPUTED_VALUE"""),"Product")</f>
        <v>Product</v>
      </c>
      <c r="G356" s="31" t="str">
        <f>IFERROR(__xludf.DUMMYFUNCTION("""COMPUTED_VALUE"""),"pranav.arora.cer14@iitbhu.ac.in")</f>
        <v>pranav.arora.cer14@iitbhu.ac.in</v>
      </c>
      <c r="H356" s="31" t="str">
        <f>IFERROR(__xludf.DUMMYFUNCTION("""COMPUTED_VALUE"""),"Naveen Kadyan")</f>
        <v>Naveen Kadyan</v>
      </c>
      <c r="I356" s="75">
        <f>IFERROR(__xludf.DUMMYFUNCTION("""COMPUTED_VALUE"""),45716.0)</f>
        <v>45716</v>
      </c>
      <c r="J356" s="31" t="str">
        <f>IFERROR(__xludf.DUMMYFUNCTION("""COMPUTED_VALUE"""),"Naina")</f>
        <v>Naina</v>
      </c>
      <c r="K356" s="31" t="str">
        <f>IFERROR(__xludf.DUMMYFUNCTION("""COMPUTED_VALUE"""),"Joined")</f>
        <v>Joined</v>
      </c>
      <c r="L356" s="31" t="str">
        <f>IFERROR(__xludf.DUMMYFUNCTION("""COMPUTED_VALUE"""),"In Office")</f>
        <v>In Office</v>
      </c>
      <c r="M356" s="31" t="str">
        <f>IFERROR(__xludf.DUMMYFUNCTION("""COMPUTED_VALUE"""),"pranav.arora@zupee.in")</f>
        <v>pranav.arora@zupee.in</v>
      </c>
      <c r="N356" s="31" t="str">
        <f>IFERROR(__xludf.DUMMYFUNCTION("""COMPUTED_VALUE"""),"K03419P36K")</f>
        <v>K03419P36K</v>
      </c>
    </row>
    <row r="357">
      <c r="A357" s="74">
        <f>IFERROR(__xludf.DUMMYFUNCTION("""COMPUTED_VALUE"""),45721.0)</f>
        <v>45721</v>
      </c>
      <c r="B357" s="31" t="str">
        <f>IFERROR(__xludf.DUMMYFUNCTION("""COMPUTED_VALUE"""),"Priyanshu Gandhi")</f>
        <v>Priyanshu Gandhi</v>
      </c>
      <c r="C357" s="31" t="str">
        <f>IFERROR(__xludf.DUMMYFUNCTION("""COMPUTED_VALUE"""),"Technology")</f>
        <v>Technology</v>
      </c>
      <c r="D357" s="31">
        <f>IFERROR(__xludf.DUMMYFUNCTION("""COMPUTED_VALUE"""),9.888232669E9)</f>
        <v>9888232669</v>
      </c>
      <c r="E357" s="31" t="str">
        <f>IFERROR(__xludf.DUMMYFUNCTION("""COMPUTED_VALUE"""),"Software Development Engineer in Test")</f>
        <v>Software Development Engineer in Test</v>
      </c>
      <c r="F357" s="31" t="str">
        <f>IFERROR(__xludf.DUMMYFUNCTION("""COMPUTED_VALUE"""),"SDET")</f>
        <v>SDET</v>
      </c>
      <c r="G357" s="31" t="str">
        <f>IFERROR(__xludf.DUMMYFUNCTION("""COMPUTED_VALUE"""),"gandhipriyanshu1942@gmail.com")</f>
        <v>gandhipriyanshu1942@gmail.com</v>
      </c>
      <c r="H357" s="31" t="str">
        <f>IFERROR(__xludf.DUMMYFUNCTION("""COMPUTED_VALUE"""),"Sahil Puri")</f>
        <v>Sahil Puri</v>
      </c>
      <c r="I357" s="75">
        <f>IFERROR(__xludf.DUMMYFUNCTION("""COMPUTED_VALUE"""),45716.0)</f>
        <v>45716</v>
      </c>
      <c r="J357" s="31" t="str">
        <f>IFERROR(__xludf.DUMMYFUNCTION("""COMPUTED_VALUE"""),"Vipin Kumar")</f>
        <v>Vipin Kumar</v>
      </c>
      <c r="K357" s="31" t="str">
        <f>IFERROR(__xludf.DUMMYFUNCTION("""COMPUTED_VALUE"""),"Joined")</f>
        <v>Joined</v>
      </c>
      <c r="L357" s="31" t="str">
        <f>IFERROR(__xludf.DUMMYFUNCTION("""COMPUTED_VALUE"""),"In Office")</f>
        <v>In Office</v>
      </c>
      <c r="M357" s="31" t="str">
        <f>IFERROR(__xludf.DUMMYFUNCTION("""COMPUTED_VALUE"""),"priyanshu.gandhi@zupee.in")</f>
        <v>priyanshu.gandhi@zupee.in</v>
      </c>
      <c r="N357" s="31" t="str">
        <f>IFERROR(__xludf.DUMMYFUNCTION("""COMPUTED_VALUE"""),"C2FN6P9RDW")</f>
        <v>C2FN6P9RDW</v>
      </c>
    </row>
    <row r="358">
      <c r="A358" s="74">
        <f>IFERROR(__xludf.DUMMYFUNCTION("""COMPUTED_VALUE"""),45719.0)</f>
        <v>45719</v>
      </c>
      <c r="B358" s="31" t="str">
        <f>IFERROR(__xludf.DUMMYFUNCTION("""COMPUTED_VALUE"""),"Ankit Vikram")</f>
        <v>Ankit Vikram</v>
      </c>
      <c r="C358" s="31" t="str">
        <f>IFERROR(__xludf.DUMMYFUNCTION("""COMPUTED_VALUE"""),"Marketing")</f>
        <v>Marketing</v>
      </c>
      <c r="D358" s="31">
        <f>IFERROR(__xludf.DUMMYFUNCTION("""COMPUTED_VALUE"""),7.668274553E9)</f>
        <v>7668274553</v>
      </c>
      <c r="E358" s="31" t="str">
        <f>IFERROR(__xludf.DUMMYFUNCTION("""COMPUTED_VALUE"""),"Content Writer
")</f>
        <v>Content Writer
</v>
      </c>
      <c r="F358" s="31" t="str">
        <f>IFERROR(__xludf.DUMMYFUNCTION("""COMPUTED_VALUE"""),"Brand Marketing")</f>
        <v>Brand Marketing</v>
      </c>
      <c r="G358" s="31" t="str">
        <f>IFERROR(__xludf.DUMMYFUNCTION("""COMPUTED_VALUE"""),"ankitvikram07@gmail.com")</f>
        <v>ankitvikram07@gmail.com</v>
      </c>
      <c r="H358" s="31" t="str">
        <f>IFERROR(__xludf.DUMMYFUNCTION("""COMPUTED_VALUE"""),"Khushali Bagga")</f>
        <v>Khushali Bagga</v>
      </c>
      <c r="I358" s="75">
        <f>IFERROR(__xludf.DUMMYFUNCTION("""COMPUTED_VALUE"""),45716.0)</f>
        <v>45716</v>
      </c>
      <c r="J358" s="31" t="str">
        <f>IFERROR(__xludf.DUMMYFUNCTION("""COMPUTED_VALUE"""),"Nidhi Khedekar")</f>
        <v>Nidhi Khedekar</v>
      </c>
      <c r="K358" s="31" t="str">
        <f>IFERROR(__xludf.DUMMYFUNCTION("""COMPUTED_VALUE"""),"Joined")</f>
        <v>Joined</v>
      </c>
      <c r="L358" s="31" t="str">
        <f>IFERROR(__xludf.DUMMYFUNCTION("""COMPUTED_VALUE"""),"In Office")</f>
        <v>In Office</v>
      </c>
      <c r="M358" s="31" t="str">
        <f>IFERROR(__xludf.DUMMYFUNCTION("""COMPUTED_VALUE"""),"ankit.vikram@zupee.in")</f>
        <v>ankit.vikram@zupee.in</v>
      </c>
      <c r="N358" s="31" t="str">
        <f>IFERROR(__xludf.DUMMYFUNCTION("""COMPUTED_VALUE"""),"HGYQ05K9CC")</f>
        <v>HGYQ05K9CC</v>
      </c>
    </row>
    <row r="359">
      <c r="A359" s="74">
        <f>IFERROR(__xludf.DUMMYFUNCTION("""COMPUTED_VALUE"""),45719.0)</f>
        <v>45719</v>
      </c>
      <c r="B359" s="31" t="str">
        <f>IFERROR(__xludf.DUMMYFUNCTION("""COMPUTED_VALUE"""),"Arunima Singh")</f>
        <v>Arunima Singh</v>
      </c>
      <c r="C359" s="31" t="str">
        <f>IFERROR(__xludf.DUMMYFUNCTION("""COMPUTED_VALUE"""),"Customer Experience")</f>
        <v>Customer Experience</v>
      </c>
      <c r="D359" s="31">
        <f>IFERROR(__xludf.DUMMYFUNCTION("""COMPUTED_VALUE"""),9.935870769E9)</f>
        <v>9935870769</v>
      </c>
      <c r="E359" s="31" t="str">
        <f>IFERROR(__xludf.DUMMYFUNCTION("""COMPUTED_VALUE"""),"Fraud Analyst
")</f>
        <v>Fraud Analyst
</v>
      </c>
      <c r="F359" s="31" t="str">
        <f>IFERROR(__xludf.DUMMYFUNCTION("""COMPUTED_VALUE"""),"Fraud Risk Management ")</f>
        <v>Fraud Risk Management </v>
      </c>
      <c r="G359" s="31" t="str">
        <f>IFERROR(__xludf.DUMMYFUNCTION("""COMPUTED_VALUE"""),"connect.arusingh@gmail.com")</f>
        <v>connect.arusingh@gmail.com</v>
      </c>
      <c r="H359" s="31" t="str">
        <f>IFERROR(__xludf.DUMMYFUNCTION("""COMPUTED_VALUE"""),"Ishan Margamwar")</f>
        <v>Ishan Margamwar</v>
      </c>
      <c r="I359" s="75">
        <f>IFERROR(__xludf.DUMMYFUNCTION("""COMPUTED_VALUE"""),45716.0)</f>
        <v>45716</v>
      </c>
      <c r="J359" s="31" t="str">
        <f>IFERROR(__xludf.DUMMYFUNCTION("""COMPUTED_VALUE"""),"Nidhi Khedekar")</f>
        <v>Nidhi Khedekar</v>
      </c>
      <c r="K359" s="31" t="str">
        <f>IFERROR(__xludf.DUMMYFUNCTION("""COMPUTED_VALUE"""),"Offer Declined")</f>
        <v>Offer Declined</v>
      </c>
      <c r="L359" s="31" t="str">
        <f>IFERROR(__xludf.DUMMYFUNCTION("""COMPUTED_VALUE"""),"In Office")</f>
        <v>In Office</v>
      </c>
      <c r="M359" s="31"/>
      <c r="N359" s="31"/>
    </row>
    <row r="360">
      <c r="A360" s="74">
        <f>IFERROR(__xludf.DUMMYFUNCTION("""COMPUTED_VALUE"""),45775.0)</f>
        <v>45775</v>
      </c>
      <c r="B360" s="31" t="str">
        <f>IFERROR(__xludf.DUMMYFUNCTION("""COMPUTED_VALUE"""),"Abhishek Gupta")</f>
        <v>Abhishek Gupta</v>
      </c>
      <c r="C360" s="31" t="str">
        <f>IFERROR(__xludf.DUMMYFUNCTION("""COMPUTED_VALUE"""),"Technology")</f>
        <v>Technology</v>
      </c>
      <c r="D360" s="31">
        <f>IFERROR(__xludf.DUMMYFUNCTION("""COMPUTED_VALUE"""),9.084970825E9)</f>
        <v>9084970825</v>
      </c>
      <c r="E360" s="31" t="str">
        <f>IFERROR(__xludf.DUMMYFUNCTION("""COMPUTED_VALUE"""),"Software Engineer")</f>
        <v>Software Engineer</v>
      </c>
      <c r="F360" s="31" t="str">
        <f>IFERROR(__xludf.DUMMYFUNCTION("""COMPUTED_VALUE"""),"Engineering")</f>
        <v>Engineering</v>
      </c>
      <c r="G360" s="31" t="str">
        <f>IFERROR(__xludf.DUMMYFUNCTION("""COMPUTED_VALUE""")," abhishekgupta061201@gmail.com")</f>
        <v> abhishekgupta061201@gmail.com</v>
      </c>
      <c r="H360" s="31" t="str">
        <f>IFERROR(__xludf.DUMMYFUNCTION("""COMPUTED_VALUE"""),"Anshul Mittal")</f>
        <v>Anshul Mittal</v>
      </c>
      <c r="I360" s="75">
        <f>IFERROR(__xludf.DUMMYFUNCTION("""COMPUTED_VALUE"""),45716.0)</f>
        <v>45716</v>
      </c>
      <c r="J360" s="31" t="str">
        <f>IFERROR(__xludf.DUMMYFUNCTION("""COMPUTED_VALUE"""),"Shivam Sharma")</f>
        <v>Shivam Sharma</v>
      </c>
      <c r="K360" s="31" t="str">
        <f>IFERROR(__xludf.DUMMYFUNCTION("""COMPUTED_VALUE"""),"Joined")</f>
        <v>Joined</v>
      </c>
      <c r="L360" s="31" t="str">
        <f>IFERROR(__xludf.DUMMYFUNCTION("""COMPUTED_VALUE"""),"In Office")</f>
        <v>In Office</v>
      </c>
      <c r="M360" s="31" t="str">
        <f>IFERROR(__xludf.DUMMYFUNCTION("""COMPUTED_VALUE"""),"abhishek.g@zupee.in")</f>
        <v>abhishek.g@zupee.in</v>
      </c>
      <c r="N360" s="31"/>
    </row>
    <row r="361">
      <c r="A361" s="74">
        <f>IFERROR(__xludf.DUMMYFUNCTION("""COMPUTED_VALUE"""),45721.0)</f>
        <v>45721</v>
      </c>
      <c r="B361" s="31" t="str">
        <f>IFERROR(__xludf.DUMMYFUNCTION("""COMPUTED_VALUE"""),"Harsha Nanwani")</f>
        <v>Harsha Nanwani</v>
      </c>
      <c r="C361" s="31" t="str">
        <f>IFERROR(__xludf.DUMMYFUNCTION("""COMPUTED_VALUE"""),"HR")</f>
        <v>HR</v>
      </c>
      <c r="D361" s="31">
        <f>IFERROR(__xludf.DUMMYFUNCTION("""COMPUTED_VALUE"""),7.692882186E9)</f>
        <v>7692882186</v>
      </c>
      <c r="E361" s="31" t="str">
        <f>IFERROR(__xludf.DUMMYFUNCTION("""COMPUTED_VALUE"""),"Senior Associate- Talent Acquisition")</f>
        <v>Senior Associate- Talent Acquisition</v>
      </c>
      <c r="F361" s="31" t="str">
        <f>IFERROR(__xludf.DUMMYFUNCTION("""COMPUTED_VALUE"""),"Human Resource")</f>
        <v>Human Resource</v>
      </c>
      <c r="G361" s="31" t="str">
        <f>IFERROR(__xludf.DUMMYFUNCTION("""COMPUTED_VALUE"""),"harshananwani9@gmail.com")</f>
        <v>harshananwani9@gmail.com</v>
      </c>
      <c r="H361" s="31" t="str">
        <f>IFERROR(__xludf.DUMMYFUNCTION("""COMPUTED_VALUE"""),"Sangeetha")</f>
        <v>Sangeetha</v>
      </c>
      <c r="I361" s="75">
        <f>IFERROR(__xludf.DUMMYFUNCTION("""COMPUTED_VALUE"""),45716.0)</f>
        <v>45716</v>
      </c>
      <c r="J361" s="31" t="str">
        <f>IFERROR(__xludf.DUMMYFUNCTION("""COMPUTED_VALUE"""),"Nidhi Khedekar")</f>
        <v>Nidhi Khedekar</v>
      </c>
      <c r="K361" s="31" t="str">
        <f>IFERROR(__xludf.DUMMYFUNCTION("""COMPUTED_VALUE"""),"Joined")</f>
        <v>Joined</v>
      </c>
      <c r="L361" s="31" t="str">
        <f>IFERROR(__xludf.DUMMYFUNCTION("""COMPUTED_VALUE"""),"In Office")</f>
        <v>In Office</v>
      </c>
      <c r="M361" s="31" t="str">
        <f>IFERROR(__xludf.DUMMYFUNCTION("""COMPUTED_VALUE"""),"harsha.nanwani@zupee.in")</f>
        <v>harsha.nanwani@zupee.in</v>
      </c>
      <c r="N361" s="31"/>
    </row>
    <row r="362">
      <c r="A362" s="74">
        <f>IFERROR(__xludf.DUMMYFUNCTION("""COMPUTED_VALUE"""),45721.0)</f>
        <v>45721</v>
      </c>
      <c r="B362" s="31" t="str">
        <f>IFERROR(__xludf.DUMMYFUNCTION("""COMPUTED_VALUE"""),"Biplab Dholey")</f>
        <v>Biplab Dholey</v>
      </c>
      <c r="C362" s="31" t="str">
        <f>IFERROR(__xludf.DUMMYFUNCTION("""COMPUTED_VALUE"""),"Technology")</f>
        <v>Technology</v>
      </c>
      <c r="D362" s="31">
        <f>IFERROR(__xludf.DUMMYFUNCTION("""COMPUTED_VALUE"""),7.042627585E9)</f>
        <v>7042627585</v>
      </c>
      <c r="E362" s="31" t="str">
        <f>IFERROR(__xludf.DUMMYFUNCTION("""COMPUTED_VALUE"""),"Senior Technical Lead")</f>
        <v>Senior Technical Lead</v>
      </c>
      <c r="F362" s="31" t="str">
        <f>IFERROR(__xludf.DUMMYFUNCTION("""COMPUTED_VALUE"""),"Engineering")</f>
        <v>Engineering</v>
      </c>
      <c r="G362" s="31" t="str">
        <f>IFERROR(__xludf.DUMMYFUNCTION("""COMPUTED_VALUE"""),"biplab3991@gmail.com")</f>
        <v>biplab3991@gmail.com</v>
      </c>
      <c r="H362" s="31" t="str">
        <f>IFERROR(__xludf.DUMMYFUNCTION("""COMPUTED_VALUE"""),"Abhishek Gupta")</f>
        <v>Abhishek Gupta</v>
      </c>
      <c r="I362" s="75">
        <f>IFERROR(__xludf.DUMMYFUNCTION("""COMPUTED_VALUE"""),45716.0)</f>
        <v>45716</v>
      </c>
      <c r="J362" s="31" t="str">
        <f>IFERROR(__xludf.DUMMYFUNCTION("""COMPUTED_VALUE"""),"Rajneesh Yadav")</f>
        <v>Rajneesh Yadav</v>
      </c>
      <c r="K362" s="31" t="str">
        <f>IFERROR(__xludf.DUMMYFUNCTION("""COMPUTED_VALUE"""),"Joined")</f>
        <v>Joined</v>
      </c>
      <c r="L362" s="31" t="str">
        <f>IFERROR(__xludf.DUMMYFUNCTION("""COMPUTED_VALUE"""),"In Office")</f>
        <v>In Office</v>
      </c>
      <c r="M362" s="31" t="str">
        <f>IFERROR(__xludf.DUMMYFUNCTION("""COMPUTED_VALUE"""),"biplab.dholey@zupee.in")</f>
        <v>biplab.dholey@zupee.in</v>
      </c>
      <c r="N362" s="31"/>
    </row>
    <row r="363">
      <c r="A363" s="74">
        <f>IFERROR(__xludf.DUMMYFUNCTION("""COMPUTED_VALUE"""),45749.0)</f>
        <v>45749</v>
      </c>
      <c r="B363" s="31" t="str">
        <f>IFERROR(__xludf.DUMMYFUNCTION("""COMPUTED_VALUE"""),"Vaibhav Arora")</f>
        <v>Vaibhav Arora</v>
      </c>
      <c r="C363" s="31" t="str">
        <f>IFERROR(__xludf.DUMMYFUNCTION("""COMPUTED_VALUE"""),"Marketing")</f>
        <v>Marketing</v>
      </c>
      <c r="D363" s="31">
        <f>IFERROR(__xludf.DUMMYFUNCTION("""COMPUTED_VALUE"""),9.56037456E9)</f>
        <v>9560374560</v>
      </c>
      <c r="E363" s="31" t="str">
        <f>IFERROR(__xludf.DUMMYFUNCTION("""COMPUTED_VALUE"""),"Associate Manager - Digital Marketing")</f>
        <v>Associate Manager - Digital Marketing</v>
      </c>
      <c r="F363" s="31" t="str">
        <f>IFERROR(__xludf.DUMMYFUNCTION("""COMPUTED_VALUE"""),"Digital Marketing")</f>
        <v>Digital Marketing</v>
      </c>
      <c r="G363" s="31" t="str">
        <f>IFERROR(__xludf.DUMMYFUNCTION("""COMPUTED_VALUE"""),"aroravaibhav9595@gmail.com")</f>
        <v>aroravaibhav9595@gmail.com</v>
      </c>
      <c r="H363" s="31" t="str">
        <f>IFERROR(__xludf.DUMMYFUNCTION("""COMPUTED_VALUE"""),"Piyush Patel")</f>
        <v>Piyush Patel</v>
      </c>
      <c r="I363" s="75">
        <f>IFERROR(__xludf.DUMMYFUNCTION("""COMPUTED_VALUE"""),45719.0)</f>
        <v>45719</v>
      </c>
      <c r="J363" s="31" t="str">
        <f>IFERROR(__xludf.DUMMYFUNCTION("""COMPUTED_VALUE"""),"Vipin Kumar")</f>
        <v>Vipin Kumar</v>
      </c>
      <c r="K363" s="31" t="str">
        <f>IFERROR(__xludf.DUMMYFUNCTION("""COMPUTED_VALUE"""),"Offer Declined")</f>
        <v>Offer Declined</v>
      </c>
      <c r="L363" s="31" t="str">
        <f>IFERROR(__xludf.DUMMYFUNCTION("""COMPUTED_VALUE"""),"In Office")</f>
        <v>In Office</v>
      </c>
      <c r="M363" s="31"/>
      <c r="N363" s="31"/>
    </row>
    <row r="364">
      <c r="A364" s="74">
        <f>IFERROR(__xludf.DUMMYFUNCTION("""COMPUTED_VALUE"""),45721.0)</f>
        <v>45721</v>
      </c>
      <c r="B364" s="31" t="str">
        <f>IFERROR(__xludf.DUMMYFUNCTION("""COMPUTED_VALUE"""),"Ayush Raj ")</f>
        <v>Ayush Raj </v>
      </c>
      <c r="C364" s="31" t="str">
        <f>IFERROR(__xludf.DUMMYFUNCTION("""COMPUTED_VALUE"""),"Product")</f>
        <v>Product</v>
      </c>
      <c r="D364" s="31">
        <f>IFERROR(__xludf.DUMMYFUNCTION("""COMPUTED_VALUE"""),8.434143394E9)</f>
        <v>8434143394</v>
      </c>
      <c r="E364" s="31" t="str">
        <f>IFERROR(__xludf.DUMMYFUNCTION("""COMPUTED_VALUE"""),"Product management Intern")</f>
        <v>Product management Intern</v>
      </c>
      <c r="F364" s="31" t="str">
        <f>IFERROR(__xludf.DUMMYFUNCTION("""COMPUTED_VALUE"""),"Product")</f>
        <v>Product</v>
      </c>
      <c r="G364" s="26" t="str">
        <f>IFERROR(__xludf.DUMMYFUNCTION("""COMPUTED_VALUE"""),"ayushraj27iitkgp@gmail.com")</f>
        <v>ayushraj27iitkgp@gmail.com</v>
      </c>
      <c r="H364" s="31"/>
      <c r="I364" s="75">
        <f>IFERROR(__xludf.DUMMYFUNCTION("""COMPUTED_VALUE"""),45719.0)</f>
        <v>45719</v>
      </c>
      <c r="J364" s="31" t="str">
        <f>IFERROR(__xludf.DUMMYFUNCTION("""COMPUTED_VALUE"""),"Naina")</f>
        <v>Naina</v>
      </c>
      <c r="K364" s="31" t="str">
        <f>IFERROR(__xludf.DUMMYFUNCTION("""COMPUTED_VALUE"""),"Offer Declined")</f>
        <v>Offer Declined</v>
      </c>
      <c r="L364" s="31" t="str">
        <f>IFERROR(__xludf.DUMMYFUNCTION("""COMPUTED_VALUE"""),"In Office")</f>
        <v>In Office</v>
      </c>
      <c r="M364" s="31"/>
      <c r="N364" s="31"/>
    </row>
    <row r="365">
      <c r="A365" s="74">
        <f>IFERROR(__xludf.DUMMYFUNCTION("""COMPUTED_VALUE"""),45726.0)</f>
        <v>45726</v>
      </c>
      <c r="B365" s="31" t="str">
        <f>IFERROR(__xludf.DUMMYFUNCTION("""COMPUTED_VALUE"""),"Lakshay Jain")</f>
        <v>Lakshay Jain</v>
      </c>
      <c r="C365" s="31" t="str">
        <f>IFERROR(__xludf.DUMMYFUNCTION("""COMPUTED_VALUE"""),"Product")</f>
        <v>Product</v>
      </c>
      <c r="D365" s="31">
        <f>IFERROR(__xludf.DUMMYFUNCTION("""COMPUTED_VALUE"""),9.521413919E9)</f>
        <v>9521413919</v>
      </c>
      <c r="E365" s="31" t="str">
        <f>IFERROR(__xludf.DUMMYFUNCTION("""COMPUTED_VALUE"""),"Product management Intern")</f>
        <v>Product management Intern</v>
      </c>
      <c r="F365" s="31" t="str">
        <f>IFERROR(__xludf.DUMMYFUNCTION("""COMPUTED_VALUE"""),"Product")</f>
        <v>Product</v>
      </c>
      <c r="G365" s="31" t="str">
        <f>IFERROR(__xludf.DUMMYFUNCTION("""COMPUTED_VALUE"""),"jain10.lakshya@gmail.com")</f>
        <v>jain10.lakshya@gmail.com</v>
      </c>
      <c r="H365" s="31" t="str">
        <f>IFERROR(__xludf.DUMMYFUNCTION("""COMPUTED_VALUE"""),"Eeshma Anand")</f>
        <v>Eeshma Anand</v>
      </c>
      <c r="I365" s="75">
        <f>IFERROR(__xludf.DUMMYFUNCTION("""COMPUTED_VALUE"""),45719.0)</f>
        <v>45719</v>
      </c>
      <c r="J365" s="31" t="str">
        <f>IFERROR(__xludf.DUMMYFUNCTION("""COMPUTED_VALUE"""),"Naina")</f>
        <v>Naina</v>
      </c>
      <c r="K365" s="31" t="str">
        <f>IFERROR(__xludf.DUMMYFUNCTION("""COMPUTED_VALUE"""),"Joined")</f>
        <v>Joined</v>
      </c>
      <c r="L365" s="31" t="str">
        <f>IFERROR(__xludf.DUMMYFUNCTION("""COMPUTED_VALUE"""),"In Office")</f>
        <v>In Office</v>
      </c>
      <c r="M365" s="31" t="str">
        <f>IFERROR(__xludf.DUMMYFUNCTION("""COMPUTED_VALUE"""),"lakshay.jain@zupee.in")</f>
        <v>lakshay.jain@zupee.in</v>
      </c>
      <c r="N365" s="31"/>
    </row>
    <row r="366">
      <c r="A366" s="74">
        <f>IFERROR(__xludf.DUMMYFUNCTION("""COMPUTED_VALUE"""),45721.0)</f>
        <v>45721</v>
      </c>
      <c r="B366" s="31" t="str">
        <f>IFERROR(__xludf.DUMMYFUNCTION("""COMPUTED_VALUE"""),"Shubham Agrawal")</f>
        <v>Shubham Agrawal</v>
      </c>
      <c r="C366" s="31" t="str">
        <f>IFERROR(__xludf.DUMMYFUNCTION("""COMPUTED_VALUE"""),"Product")</f>
        <v>Product</v>
      </c>
      <c r="D366" s="31">
        <f>IFERROR(__xludf.DUMMYFUNCTION("""COMPUTED_VALUE"""),8.292003414E9)</f>
        <v>8292003414</v>
      </c>
      <c r="E366" s="31" t="str">
        <f>IFERROR(__xludf.DUMMYFUNCTION("""COMPUTED_VALUE"""),"Product Manager")</f>
        <v>Product Manager</v>
      </c>
      <c r="F366" s="31" t="str">
        <f>IFERROR(__xludf.DUMMYFUNCTION("""COMPUTED_VALUE"""),"Product")</f>
        <v>Product</v>
      </c>
      <c r="G366" s="31" t="str">
        <f>IFERROR(__xludf.DUMMYFUNCTION("""COMPUTED_VALUE"""),"ashubham0806@gmail.com")</f>
        <v>ashubham0806@gmail.com</v>
      </c>
      <c r="H366" s="31" t="str">
        <f>IFERROR(__xludf.DUMMYFUNCTION("""COMPUTED_VALUE"""),"Naveen Kadyan")</f>
        <v>Naveen Kadyan</v>
      </c>
      <c r="I366" s="75">
        <f>IFERROR(__xludf.DUMMYFUNCTION("""COMPUTED_VALUE"""),45719.0)</f>
        <v>45719</v>
      </c>
      <c r="J366" s="31" t="str">
        <f>IFERROR(__xludf.DUMMYFUNCTION("""COMPUTED_VALUE"""),"Naina")</f>
        <v>Naina</v>
      </c>
      <c r="K366" s="31" t="str">
        <f>IFERROR(__xludf.DUMMYFUNCTION("""COMPUTED_VALUE"""),"Joined")</f>
        <v>Joined</v>
      </c>
      <c r="L366" s="31" t="str">
        <f>IFERROR(__xludf.DUMMYFUNCTION("""COMPUTED_VALUE"""),"Virtual")</f>
        <v>Virtual</v>
      </c>
      <c r="M366" s="31" t="str">
        <f>IFERROR(__xludf.DUMMYFUNCTION("""COMPUTED_VALUE"""),"shubham.agrawal@zupee.in")</f>
        <v>shubham.agrawal@zupee.in</v>
      </c>
      <c r="N366" s="31" t="str">
        <f>IFERROR(__xludf.DUMMYFUNCTION("""COMPUTED_VALUE"""),"JC94QJJCYK")</f>
        <v>JC94QJJCYK</v>
      </c>
    </row>
    <row r="367">
      <c r="A367" s="74">
        <f>IFERROR(__xludf.DUMMYFUNCTION("""COMPUTED_VALUE"""),45726.0)</f>
        <v>45726</v>
      </c>
      <c r="B367" s="31" t="str">
        <f>IFERROR(__xludf.DUMMYFUNCTION("""COMPUTED_VALUE"""),"Pushkar Mourya")</f>
        <v>Pushkar Mourya</v>
      </c>
      <c r="C367" s="31" t="str">
        <f>IFERROR(__xludf.DUMMYFUNCTION("""COMPUTED_VALUE"""),"Technology")</f>
        <v>Technology</v>
      </c>
      <c r="D367" s="31">
        <f>IFERROR(__xludf.DUMMYFUNCTION("""COMPUTED_VALUE"""),8.718852709E9)</f>
        <v>8718852709</v>
      </c>
      <c r="E367" s="31" t="str">
        <f>IFERROR(__xludf.DUMMYFUNCTION("""COMPUTED_VALUE"""),"Software Engineer")</f>
        <v>Software Engineer</v>
      </c>
      <c r="F367" s="31" t="str">
        <f>IFERROR(__xludf.DUMMYFUNCTION("""COMPUTED_VALUE"""),"Engineering")</f>
        <v>Engineering</v>
      </c>
      <c r="G367" s="31" t="str">
        <f>IFERROR(__xludf.DUMMYFUNCTION("""COMPUTED_VALUE""")," pushkarmourya250801@gmail.com")</f>
        <v> pushkarmourya250801@gmail.com</v>
      </c>
      <c r="H367" s="31" t="str">
        <f>IFERROR(__xludf.DUMMYFUNCTION("""COMPUTED_VALUE"""),"Anshul Mittal")</f>
        <v>Anshul Mittal</v>
      </c>
      <c r="I367" s="75">
        <f>IFERROR(__xludf.DUMMYFUNCTION("""COMPUTED_VALUE"""),45719.0)</f>
        <v>45719</v>
      </c>
      <c r="J367" s="31" t="str">
        <f>IFERROR(__xludf.DUMMYFUNCTION("""COMPUTED_VALUE"""),"Shivam Sharma")</f>
        <v>Shivam Sharma</v>
      </c>
      <c r="K367" s="31" t="str">
        <f>IFERROR(__xludf.DUMMYFUNCTION("""COMPUTED_VALUE"""),"Joined")</f>
        <v>Joined</v>
      </c>
      <c r="L367" s="31" t="str">
        <f>IFERROR(__xludf.DUMMYFUNCTION("""COMPUTED_VALUE"""),"Virtual")</f>
        <v>Virtual</v>
      </c>
      <c r="M367" s="31" t="str">
        <f>IFERROR(__xludf.DUMMYFUNCTION("""COMPUTED_VALUE"""),"pushkar.mourya@zupee.in")</f>
        <v>pushkar.mourya@zupee.in</v>
      </c>
      <c r="N367" s="31"/>
    </row>
    <row r="368">
      <c r="A368" s="74">
        <f>IFERROR(__xludf.DUMMYFUNCTION("""COMPUTED_VALUE"""),45733.0)</f>
        <v>45733</v>
      </c>
      <c r="B368" s="31" t="str">
        <f>IFERROR(__xludf.DUMMYFUNCTION("""COMPUTED_VALUE"""),"Vanshaj Kandhari")</f>
        <v>Vanshaj Kandhari</v>
      </c>
      <c r="C368" s="31" t="str">
        <f>IFERROR(__xludf.DUMMYFUNCTION("""COMPUTED_VALUE"""),"Strategy")</f>
        <v>Strategy</v>
      </c>
      <c r="D368" s="31">
        <f>IFERROR(__xludf.DUMMYFUNCTION("""COMPUTED_VALUE"""),8.806906007E9)</f>
        <v>8806906007</v>
      </c>
      <c r="E368" s="31" t="str">
        <f>IFERROR(__xludf.DUMMYFUNCTION("""COMPUTED_VALUE"""),"Manager Strategy")</f>
        <v>Manager Strategy</v>
      </c>
      <c r="F368" s="31" t="str">
        <f>IFERROR(__xludf.DUMMYFUNCTION("""COMPUTED_VALUE"""),"Strategy")</f>
        <v>Strategy</v>
      </c>
      <c r="G368" s="31" t="str">
        <f>IFERROR(__xludf.DUMMYFUNCTION("""COMPUTED_VALUE"""),"kandharivanshaj@gmail.com")</f>
        <v>kandharivanshaj@gmail.com</v>
      </c>
      <c r="H368" s="31" t="str">
        <f>IFERROR(__xludf.DUMMYFUNCTION("""COMPUTED_VALUE"""),"Karan Aggarwal ")</f>
        <v>Karan Aggarwal </v>
      </c>
      <c r="I368" s="75">
        <f>IFERROR(__xludf.DUMMYFUNCTION("""COMPUTED_VALUE"""),45720.0)</f>
        <v>45720</v>
      </c>
      <c r="J368" s="31" t="str">
        <f>IFERROR(__xludf.DUMMYFUNCTION("""COMPUTED_VALUE"""),"Naina")</f>
        <v>Naina</v>
      </c>
      <c r="K368" s="31" t="str">
        <f>IFERROR(__xludf.DUMMYFUNCTION("""COMPUTED_VALUE"""),"Offer Declined")</f>
        <v>Offer Declined</v>
      </c>
      <c r="L368" s="31" t="str">
        <f>IFERROR(__xludf.DUMMYFUNCTION("""COMPUTED_VALUE"""),"In Office")</f>
        <v>In Office</v>
      </c>
      <c r="M368" s="31"/>
      <c r="N368" s="31"/>
    </row>
    <row r="369">
      <c r="A369" s="74">
        <f>IFERROR(__xludf.DUMMYFUNCTION("""COMPUTED_VALUE"""),45723.0)</f>
        <v>45723</v>
      </c>
      <c r="B369" s="31" t="str">
        <f>IFERROR(__xludf.DUMMYFUNCTION("""COMPUTED_VALUE"""),"Prashant")</f>
        <v>Prashant</v>
      </c>
      <c r="C369" s="31" t="str">
        <f>IFERROR(__xludf.DUMMYFUNCTION("""COMPUTED_VALUE"""),"Design")</f>
        <v>Design</v>
      </c>
      <c r="D369" s="31">
        <f>IFERROR(__xludf.DUMMYFUNCTION("""COMPUTED_VALUE"""),9.910000658E9)</f>
        <v>9910000658</v>
      </c>
      <c r="E369" s="31" t="str">
        <f>IFERROR(__xludf.DUMMYFUNCTION("""COMPUTED_VALUE"""),"Graphic Designer")</f>
        <v>Graphic Designer</v>
      </c>
      <c r="F369" s="31" t="str">
        <f>IFERROR(__xludf.DUMMYFUNCTION("""COMPUTED_VALUE"""),"Design")</f>
        <v>Design</v>
      </c>
      <c r="G369" s="31" t="str">
        <f>IFERROR(__xludf.DUMMYFUNCTION("""COMPUTED_VALUE""")," prashantkumar78963@gmail.com")</f>
        <v> prashantkumar78963@gmail.com</v>
      </c>
      <c r="H369" s="31" t="str">
        <f>IFERROR(__xludf.DUMMYFUNCTION("""COMPUTED_VALUE"""),"Gurmeet Singh")</f>
        <v>Gurmeet Singh</v>
      </c>
      <c r="I369" s="75">
        <f>IFERROR(__xludf.DUMMYFUNCTION("""COMPUTED_VALUE"""),45722.0)</f>
        <v>45722</v>
      </c>
      <c r="J369" s="31" t="str">
        <f>IFERROR(__xludf.DUMMYFUNCTION("""COMPUTED_VALUE"""),"Shivam Sharma")</f>
        <v>Shivam Sharma</v>
      </c>
      <c r="K369" s="31" t="str">
        <f>IFERROR(__xludf.DUMMYFUNCTION("""COMPUTED_VALUE"""),"Joined")</f>
        <v>Joined</v>
      </c>
      <c r="L369" s="31" t="str">
        <f>IFERROR(__xludf.DUMMYFUNCTION("""COMPUTED_VALUE"""),"In Office")</f>
        <v>In Office</v>
      </c>
      <c r="M369" s="31"/>
      <c r="N369" s="31"/>
    </row>
    <row r="370">
      <c r="A370" s="74">
        <f>IFERROR(__xludf.DUMMYFUNCTION("""COMPUTED_VALUE"""),45726.0)</f>
        <v>45726</v>
      </c>
      <c r="B370" s="31" t="str">
        <f>IFERROR(__xludf.DUMMYFUNCTION("""COMPUTED_VALUE"""),"Raushan Jagannath Thakur")</f>
        <v>Raushan Jagannath Thakur</v>
      </c>
      <c r="C370" s="31" t="str">
        <f>IFERROR(__xludf.DUMMYFUNCTION("""COMPUTED_VALUE"""),"Technology")</f>
        <v>Technology</v>
      </c>
      <c r="D370" s="31">
        <f>IFERROR(__xludf.DUMMYFUNCTION("""COMPUTED_VALUE"""),9.511874042E9)</f>
        <v>9511874042</v>
      </c>
      <c r="E370" s="31" t="str">
        <f>IFERROR(__xludf.DUMMYFUNCTION("""COMPUTED_VALUE"""),"Software Development Engineer in Test")</f>
        <v>Software Development Engineer in Test</v>
      </c>
      <c r="F370" s="31" t="str">
        <f>IFERROR(__xludf.DUMMYFUNCTION("""COMPUTED_VALUE"""),"SDET")</f>
        <v>SDET</v>
      </c>
      <c r="G370" s="31" t="str">
        <f>IFERROR(__xludf.DUMMYFUNCTION("""COMPUTED_VALUE"""),"raushandtu@gmail.com")</f>
        <v>raushandtu@gmail.com</v>
      </c>
      <c r="H370" s="31" t="str">
        <f>IFERROR(__xludf.DUMMYFUNCTION("""COMPUTED_VALUE"""),"Sahil Puri")</f>
        <v>Sahil Puri</v>
      </c>
      <c r="I370" s="75">
        <f>IFERROR(__xludf.DUMMYFUNCTION("""COMPUTED_VALUE"""),45722.0)</f>
        <v>45722</v>
      </c>
      <c r="J370" s="31" t="str">
        <f>IFERROR(__xludf.DUMMYFUNCTION("""COMPUTED_VALUE"""),"Vipin Kumar")</f>
        <v>Vipin Kumar</v>
      </c>
      <c r="K370" s="31" t="str">
        <f>IFERROR(__xludf.DUMMYFUNCTION("""COMPUTED_VALUE"""),"Joined")</f>
        <v>Joined</v>
      </c>
      <c r="L370" s="31" t="str">
        <f>IFERROR(__xludf.DUMMYFUNCTION("""COMPUTED_VALUE"""),"In Office")</f>
        <v>In Office</v>
      </c>
      <c r="M370" s="31"/>
      <c r="N370" s="31"/>
    </row>
    <row r="371">
      <c r="A371" s="74"/>
      <c r="B371" s="31" t="str">
        <f>IFERROR(__xludf.DUMMYFUNCTION("""COMPUTED_VALUE"""),"Nishant Panwar")</f>
        <v>Nishant Panwar</v>
      </c>
      <c r="C371" s="31" t="str">
        <f>IFERROR(__xludf.DUMMYFUNCTION("""COMPUTED_VALUE"""),"Data Engineer")</f>
        <v>Data Engineer</v>
      </c>
      <c r="D371" s="31">
        <f>IFERROR(__xludf.DUMMYFUNCTION("""COMPUTED_VALUE"""),8.124481072E9)</f>
        <v>8124481072</v>
      </c>
      <c r="E371" s="31" t="str">
        <f>IFERROR(__xludf.DUMMYFUNCTION("""COMPUTED_VALUE"""),"Manager- Data Engineering")</f>
        <v>Manager- Data Engineering</v>
      </c>
      <c r="F371" s="31" t="str">
        <f>IFERROR(__xludf.DUMMYFUNCTION("""COMPUTED_VALUE"""),"Data Engineering")</f>
        <v>Data Engineering</v>
      </c>
      <c r="G371" s="31" t="str">
        <f>IFERROR(__xludf.DUMMYFUNCTION("""COMPUTED_VALUE"""),"nishant.panwar18@gmail.com")</f>
        <v>nishant.panwar18@gmail.com</v>
      </c>
      <c r="H371" s="31" t="str">
        <f>IFERROR(__xludf.DUMMYFUNCTION("""COMPUTED_VALUE"""),"Aman Bahl")</f>
        <v>Aman Bahl</v>
      </c>
      <c r="I371" s="75">
        <f>IFERROR(__xludf.DUMMYFUNCTION("""COMPUTED_VALUE"""),45722.0)</f>
        <v>45722</v>
      </c>
      <c r="J371" s="31" t="str">
        <f>IFERROR(__xludf.DUMMYFUNCTION("""COMPUTED_VALUE"""),"Mamta Pandey")</f>
        <v>Mamta Pandey</v>
      </c>
      <c r="K371" s="31" t="str">
        <f>IFERROR(__xludf.DUMMYFUNCTION("""COMPUTED_VALUE"""),"Offer Declined")</f>
        <v>Offer Declined</v>
      </c>
      <c r="L371" s="31" t="str">
        <f>IFERROR(__xludf.DUMMYFUNCTION("""COMPUTED_VALUE"""),"In Office")</f>
        <v>In Office</v>
      </c>
      <c r="M371" s="31"/>
      <c r="N371" s="31"/>
    </row>
    <row r="372">
      <c r="A372" s="74">
        <f>IFERROR(__xludf.DUMMYFUNCTION("""COMPUTED_VALUE"""),45726.0)</f>
        <v>45726</v>
      </c>
      <c r="B372" s="31" t="str">
        <f>IFERROR(__xludf.DUMMYFUNCTION("""COMPUTED_VALUE"""),"Dev Gupta")</f>
        <v>Dev Gupta</v>
      </c>
      <c r="C372" s="31" t="str">
        <f>IFERROR(__xludf.DUMMYFUNCTION("""COMPUTED_VALUE"""),"Customer Experience")</f>
        <v>Customer Experience</v>
      </c>
      <c r="D372" s="31">
        <f>IFERROR(__xludf.DUMMYFUNCTION("""COMPUTED_VALUE"""),9.315797146E9)</f>
        <v>9315797146</v>
      </c>
      <c r="E372" s="31" t="str">
        <f>IFERROR(__xludf.DUMMYFUNCTION("""COMPUTED_VALUE"""),"Customer Support Executive")</f>
        <v>Customer Support Executive</v>
      </c>
      <c r="F372" s="31" t="str">
        <f>IFERROR(__xludf.DUMMYFUNCTION("""COMPUTED_VALUE"""),"Customer Relation Management")</f>
        <v>Customer Relation Management</v>
      </c>
      <c r="G372" s="31" t="str">
        <f>IFERROR(__xludf.DUMMYFUNCTION("""COMPUTED_VALUE"""),"devwork260802@gmail.com")</f>
        <v>devwork260802@gmail.com</v>
      </c>
      <c r="H372" s="31" t="str">
        <f>IFERROR(__xludf.DUMMYFUNCTION("""COMPUTED_VALUE"""),"Mritunjay Kumar")</f>
        <v>Mritunjay Kumar</v>
      </c>
      <c r="I372" s="75">
        <f>IFERROR(__xludf.DUMMYFUNCTION("""COMPUTED_VALUE"""),45723.0)</f>
        <v>45723</v>
      </c>
      <c r="J372" s="31" t="str">
        <f>IFERROR(__xludf.DUMMYFUNCTION("""COMPUTED_VALUE"""),"Nidhi Khedekar")</f>
        <v>Nidhi Khedekar</v>
      </c>
      <c r="K372" s="31" t="str">
        <f>IFERROR(__xludf.DUMMYFUNCTION("""COMPUTED_VALUE"""),"Joined")</f>
        <v>Joined</v>
      </c>
      <c r="L372" s="31" t="str">
        <f>IFERROR(__xludf.DUMMYFUNCTION("""COMPUTED_VALUE"""),"In Office")</f>
        <v>In Office</v>
      </c>
      <c r="M372" s="31" t="str">
        <f>IFERROR(__xludf.DUMMYFUNCTION("""COMPUTED_VALUE"""),"dev.gupta@zupee.in")</f>
        <v>dev.gupta@zupee.in</v>
      </c>
      <c r="N372" s="31"/>
    </row>
    <row r="373">
      <c r="A373" s="74">
        <f>IFERROR(__xludf.DUMMYFUNCTION("""COMPUTED_VALUE"""),45726.0)</f>
        <v>45726</v>
      </c>
      <c r="B373" s="31" t="str">
        <f>IFERROR(__xludf.DUMMYFUNCTION("""COMPUTED_VALUE"""),"Aditya Kumar Chaubey")</f>
        <v>Aditya Kumar Chaubey</v>
      </c>
      <c r="C373" s="31" t="str">
        <f>IFERROR(__xludf.DUMMYFUNCTION("""COMPUTED_VALUE"""),"Customer Experience")</f>
        <v>Customer Experience</v>
      </c>
      <c r="D373" s="31">
        <f>IFERROR(__xludf.DUMMYFUNCTION("""COMPUTED_VALUE"""),9.28956186E9)</f>
        <v>9289561860</v>
      </c>
      <c r="E373" s="31" t="str">
        <f>IFERROR(__xludf.DUMMYFUNCTION("""COMPUTED_VALUE"""),"Customer Support Executive")</f>
        <v>Customer Support Executive</v>
      </c>
      <c r="F373" s="31" t="str">
        <f>IFERROR(__xludf.DUMMYFUNCTION("""COMPUTED_VALUE"""),"Customer Relation Management")</f>
        <v>Customer Relation Management</v>
      </c>
      <c r="G373" s="31" t="str">
        <f>IFERROR(__xludf.DUMMYFUNCTION("""COMPUTED_VALUE"""),"AC2845537@gmail.com")</f>
        <v>AC2845537@gmail.com</v>
      </c>
      <c r="H373" s="31" t="str">
        <f>IFERROR(__xludf.DUMMYFUNCTION("""COMPUTED_VALUE"""),"Mritunjay Kumar")</f>
        <v>Mritunjay Kumar</v>
      </c>
      <c r="I373" s="75">
        <f>IFERROR(__xludf.DUMMYFUNCTION("""COMPUTED_VALUE"""),45723.0)</f>
        <v>45723</v>
      </c>
      <c r="J373" s="31" t="str">
        <f>IFERROR(__xludf.DUMMYFUNCTION("""COMPUTED_VALUE"""),"Nidhi Khedekar")</f>
        <v>Nidhi Khedekar</v>
      </c>
      <c r="K373" s="31" t="str">
        <f>IFERROR(__xludf.DUMMYFUNCTION("""COMPUTED_VALUE"""),"Joined")</f>
        <v>Joined</v>
      </c>
      <c r="L373" s="31" t="str">
        <f>IFERROR(__xludf.DUMMYFUNCTION("""COMPUTED_VALUE"""),"In Office")</f>
        <v>In Office</v>
      </c>
      <c r="M373" s="31" t="str">
        <f>IFERROR(__xludf.DUMMYFUNCTION("""COMPUTED_VALUE"""),"aditya.chaubey@zupee.in")</f>
        <v>aditya.chaubey@zupee.in</v>
      </c>
      <c r="N373" s="31"/>
    </row>
    <row r="374">
      <c r="A374" s="74">
        <f>IFERROR(__xludf.DUMMYFUNCTION("""COMPUTED_VALUE"""),45726.0)</f>
        <v>45726</v>
      </c>
      <c r="B374" s="31" t="str">
        <f>IFERROR(__xludf.DUMMYFUNCTION("""COMPUTED_VALUE"""),"Yash Dixit")</f>
        <v>Yash Dixit</v>
      </c>
      <c r="C374" s="31" t="str">
        <f>IFERROR(__xludf.DUMMYFUNCTION("""COMPUTED_VALUE"""),"Technology")</f>
        <v>Technology</v>
      </c>
      <c r="D374" s="31">
        <f>IFERROR(__xludf.DUMMYFUNCTION("""COMPUTED_VALUE"""),8.808175843E9)</f>
        <v>8808175843</v>
      </c>
      <c r="E374" s="31" t="str">
        <f>IFERROR(__xludf.DUMMYFUNCTION("""COMPUTED_VALUE"""),"Software Engineer- DevOps")</f>
        <v>Software Engineer- DevOps</v>
      </c>
      <c r="F374" s="31" t="str">
        <f>IFERROR(__xludf.DUMMYFUNCTION("""COMPUTED_VALUE"""),"DevOps")</f>
        <v>DevOps</v>
      </c>
      <c r="G374" s="31" t="str">
        <f>IFERROR(__xludf.DUMMYFUNCTION("""COMPUTED_VALUE"""),"ydixit274@gmail.com")</f>
        <v>ydixit274@gmail.com</v>
      </c>
      <c r="H374" s="31" t="str">
        <f>IFERROR(__xludf.DUMMYFUNCTION("""COMPUTED_VALUE"""),"Saurav Yadav")</f>
        <v>Saurav Yadav</v>
      </c>
      <c r="I374" s="75">
        <f>IFERROR(__xludf.DUMMYFUNCTION("""COMPUTED_VALUE"""),45723.0)</f>
        <v>45723</v>
      </c>
      <c r="J374" s="31" t="str">
        <f>IFERROR(__xludf.DUMMYFUNCTION("""COMPUTED_VALUE"""),"Vipin Kumar")</f>
        <v>Vipin Kumar</v>
      </c>
      <c r="K374" s="31" t="str">
        <f>IFERROR(__xludf.DUMMYFUNCTION("""COMPUTED_VALUE"""),"Joined")</f>
        <v>Joined</v>
      </c>
      <c r="L374" s="31" t="str">
        <f>IFERROR(__xludf.DUMMYFUNCTION("""COMPUTED_VALUE"""),"In Office")</f>
        <v>In Office</v>
      </c>
      <c r="M374" s="31" t="str">
        <f>IFERROR(__xludf.DUMMYFUNCTION("""COMPUTED_VALUE"""),"yash.dixit@zupee.in")</f>
        <v>yash.dixit@zupee.in</v>
      </c>
      <c r="N374" s="31"/>
    </row>
    <row r="375">
      <c r="A375" s="74">
        <f>IFERROR(__xludf.DUMMYFUNCTION("""COMPUTED_VALUE"""),45727.0)</f>
        <v>45727</v>
      </c>
      <c r="B375" s="31" t="str">
        <f>IFERROR(__xludf.DUMMYFUNCTION("""COMPUTED_VALUE"""),"Taranpreet Kaur")</f>
        <v>Taranpreet Kaur</v>
      </c>
      <c r="C375" s="31" t="str">
        <f>IFERROR(__xludf.DUMMYFUNCTION("""COMPUTED_VALUE"""),"Data Engineer")</f>
        <v>Data Engineer</v>
      </c>
      <c r="D375" s="31">
        <f>IFERROR(__xludf.DUMMYFUNCTION("""COMPUTED_VALUE"""),8.447541181E9)</f>
        <v>8447541181</v>
      </c>
      <c r="E375" s="31" t="str">
        <f>IFERROR(__xludf.DUMMYFUNCTION("""COMPUTED_VALUE"""),"Data Engineering Intern")</f>
        <v>Data Engineering Intern</v>
      </c>
      <c r="F375" s="31" t="str">
        <f>IFERROR(__xludf.DUMMYFUNCTION("""COMPUTED_VALUE"""),"Data Engineering")</f>
        <v>Data Engineering</v>
      </c>
      <c r="G375" s="31" t="str">
        <f>IFERROR(__xludf.DUMMYFUNCTION("""COMPUTED_VALUE"""),"taranpreetnd2017@gmail.com")</f>
        <v>taranpreetnd2017@gmail.com</v>
      </c>
      <c r="H375" s="31" t="str">
        <f>IFERROR(__xludf.DUMMYFUNCTION("""COMPUTED_VALUE"""),"Aman Bahl")</f>
        <v>Aman Bahl</v>
      </c>
      <c r="I375" s="75">
        <f>IFERROR(__xludf.DUMMYFUNCTION("""COMPUTED_VALUE"""),45723.0)</f>
        <v>45723</v>
      </c>
      <c r="J375" s="31" t="str">
        <f>IFERROR(__xludf.DUMMYFUNCTION("""COMPUTED_VALUE"""),"Vipin Kumar")</f>
        <v>Vipin Kumar</v>
      </c>
      <c r="K375" s="31" t="str">
        <f>IFERROR(__xludf.DUMMYFUNCTION("""COMPUTED_VALUE"""),"Joined")</f>
        <v>Joined</v>
      </c>
      <c r="L375" s="31" t="str">
        <f>IFERROR(__xludf.DUMMYFUNCTION("""COMPUTED_VALUE"""),"In Office")</f>
        <v>In Office</v>
      </c>
      <c r="M375" s="31" t="str">
        <f>IFERROR(__xludf.DUMMYFUNCTION("""COMPUTED_VALUE"""),"taranpreet.kaur@zupee.in")</f>
        <v>taranpreet.kaur@zupee.in</v>
      </c>
      <c r="N375" s="31"/>
    </row>
    <row r="376">
      <c r="A376" s="74">
        <f>IFERROR(__xludf.DUMMYFUNCTION("""COMPUTED_VALUE"""),45754.0)</f>
        <v>45754</v>
      </c>
      <c r="B376" s="31" t="str">
        <f>IFERROR(__xludf.DUMMYFUNCTION("""COMPUTED_VALUE"""),"Mitali Luthra")</f>
        <v>Mitali Luthra</v>
      </c>
      <c r="C376" s="31" t="str">
        <f>IFERROR(__xludf.DUMMYFUNCTION("""COMPUTED_VALUE"""),"Finance")</f>
        <v>Finance</v>
      </c>
      <c r="D376" s="31">
        <f>IFERROR(__xludf.DUMMYFUNCTION("""COMPUTED_VALUE"""),9.990010708E9)</f>
        <v>9990010708</v>
      </c>
      <c r="E376" s="31" t="str">
        <f>IFERROR(__xludf.DUMMYFUNCTION("""COMPUTED_VALUE"""),"CA Intern")</f>
        <v>CA Intern</v>
      </c>
      <c r="F376" s="31" t="str">
        <f>IFERROR(__xludf.DUMMYFUNCTION("""COMPUTED_VALUE"""),"Finance")</f>
        <v>Finance</v>
      </c>
      <c r="G376" s="31" t="str">
        <f>IFERROR(__xludf.DUMMYFUNCTION("""COMPUTED_VALUE"""),"mitaliluthra01@gmail.com")</f>
        <v>mitaliluthra01@gmail.com</v>
      </c>
      <c r="H376" s="31" t="str">
        <f>IFERROR(__xludf.DUMMYFUNCTION("""COMPUTED_VALUE"""),"Hitesh Vats")</f>
        <v>Hitesh Vats</v>
      </c>
      <c r="I376" s="75">
        <f>IFERROR(__xludf.DUMMYFUNCTION("""COMPUTED_VALUE"""),45723.0)</f>
        <v>45723</v>
      </c>
      <c r="J376" s="31" t="str">
        <f>IFERROR(__xludf.DUMMYFUNCTION("""COMPUTED_VALUE"""),"Mamta Pandey")</f>
        <v>Mamta Pandey</v>
      </c>
      <c r="K376" s="31" t="str">
        <f>IFERROR(__xludf.DUMMYFUNCTION("""COMPUTED_VALUE"""),"Joined")</f>
        <v>Joined</v>
      </c>
      <c r="L376" s="31" t="str">
        <f>IFERROR(__xludf.DUMMYFUNCTION("""COMPUTED_VALUE"""),"In Office")</f>
        <v>In Office</v>
      </c>
      <c r="M376" s="31" t="str">
        <f>IFERROR(__xludf.DUMMYFUNCTION("""COMPUTED_VALUE"""),"mitali.luthra@zupee.in")</f>
        <v>mitali.luthra@zupee.in</v>
      </c>
      <c r="N376" s="31" t="str">
        <f>IFERROR(__xludf.DUMMYFUNCTION("""COMPUTED_VALUE"""),"DVGFCY3")</f>
        <v>DVGFCY3</v>
      </c>
    </row>
    <row r="377">
      <c r="A377" s="74">
        <f>IFERROR(__xludf.DUMMYFUNCTION("""COMPUTED_VALUE"""),45748.0)</f>
        <v>45748</v>
      </c>
      <c r="B377" s="31" t="str">
        <f>IFERROR(__xludf.DUMMYFUNCTION("""COMPUTED_VALUE"""),"Shubham Bansal")</f>
        <v>Shubham Bansal</v>
      </c>
      <c r="C377" s="31" t="str">
        <f>IFERROR(__xludf.DUMMYFUNCTION("""COMPUTED_VALUE"""),"Finance")</f>
        <v>Finance</v>
      </c>
      <c r="D377" s="31">
        <f>IFERROR(__xludf.DUMMYFUNCTION("""COMPUTED_VALUE"""),7.01542566E9)</f>
        <v>7015425660</v>
      </c>
      <c r="E377" s="31" t="str">
        <f>IFERROR(__xludf.DUMMYFUNCTION("""COMPUTED_VALUE"""),"CA Intern")</f>
        <v>CA Intern</v>
      </c>
      <c r="F377" s="31" t="str">
        <f>IFERROR(__xludf.DUMMYFUNCTION("""COMPUTED_VALUE"""),"Finance")</f>
        <v>Finance</v>
      </c>
      <c r="G377" s="31" t="str">
        <f>IFERROR(__xludf.DUMMYFUNCTION("""COMPUTED_VALUE"""),"bansalshubham2110@gmail.com")</f>
        <v>bansalshubham2110@gmail.com</v>
      </c>
      <c r="H377" s="31" t="str">
        <f>IFERROR(__xludf.DUMMYFUNCTION("""COMPUTED_VALUE"""),"Siddharth Monga")</f>
        <v>Siddharth Monga</v>
      </c>
      <c r="I377" s="75">
        <f>IFERROR(__xludf.DUMMYFUNCTION("""COMPUTED_VALUE"""),45723.0)</f>
        <v>45723</v>
      </c>
      <c r="J377" s="31" t="str">
        <f>IFERROR(__xludf.DUMMYFUNCTION("""COMPUTED_VALUE"""),"Mamta Pandey")</f>
        <v>Mamta Pandey</v>
      </c>
      <c r="K377" s="31" t="str">
        <f>IFERROR(__xludf.DUMMYFUNCTION("""COMPUTED_VALUE"""),"Offer Declined")</f>
        <v>Offer Declined</v>
      </c>
      <c r="L377" s="31" t="str">
        <f>IFERROR(__xludf.DUMMYFUNCTION("""COMPUTED_VALUE"""),"In Office")</f>
        <v>In Office</v>
      </c>
      <c r="M377" s="31"/>
      <c r="N377" s="31"/>
    </row>
    <row r="378">
      <c r="A378" s="74">
        <f>IFERROR(__xludf.DUMMYFUNCTION("""COMPUTED_VALUE"""),45761.0)</f>
        <v>45761</v>
      </c>
      <c r="B378" s="31" t="str">
        <f>IFERROR(__xludf.DUMMYFUNCTION("""COMPUTED_VALUE"""),"Shreyansh Jain")</f>
        <v>Shreyansh Jain</v>
      </c>
      <c r="C378" s="31" t="str">
        <f>IFERROR(__xludf.DUMMYFUNCTION("""COMPUTED_VALUE"""),"Finance")</f>
        <v>Finance</v>
      </c>
      <c r="D378" s="31"/>
      <c r="E378" s="31" t="str">
        <f>IFERROR(__xludf.DUMMYFUNCTION("""COMPUTED_VALUE"""),"Assistant Manager- Finance")</f>
        <v>Assistant Manager- Finance</v>
      </c>
      <c r="F378" s="31" t="str">
        <f>IFERROR(__xludf.DUMMYFUNCTION("""COMPUTED_VALUE"""),"Finance")</f>
        <v>Finance</v>
      </c>
      <c r="G378" s="31" t="str">
        <f>IFERROR(__xludf.DUMMYFUNCTION("""COMPUTED_VALUE"""),"jainshreyansh.jaipur@gmail.com")</f>
        <v>jainshreyansh.jaipur@gmail.com</v>
      </c>
      <c r="H378" s="31" t="str">
        <f>IFERROR(__xludf.DUMMYFUNCTION("""COMPUTED_VALUE"""),"Ankur Agarwal")</f>
        <v>Ankur Agarwal</v>
      </c>
      <c r="I378" s="75">
        <f>IFERROR(__xludf.DUMMYFUNCTION("""COMPUTED_VALUE"""),45727.0)</f>
        <v>45727</v>
      </c>
      <c r="J378" s="31" t="str">
        <f>IFERROR(__xludf.DUMMYFUNCTION("""COMPUTED_VALUE"""),"Mamta Pandey")</f>
        <v>Mamta Pandey</v>
      </c>
      <c r="K378" s="31" t="str">
        <f>IFERROR(__xludf.DUMMYFUNCTION("""COMPUTED_VALUE"""),"Joined")</f>
        <v>Joined</v>
      </c>
      <c r="L378" s="31" t="str">
        <f>IFERROR(__xludf.DUMMYFUNCTION("""COMPUTED_VALUE"""),"In Office")</f>
        <v>In Office</v>
      </c>
      <c r="M378" s="31"/>
      <c r="N378" s="31"/>
    </row>
    <row r="379">
      <c r="A379" s="74">
        <f>IFERROR(__xludf.DUMMYFUNCTION("""COMPUTED_VALUE"""),45763.0)</f>
        <v>45763</v>
      </c>
      <c r="B379" s="31" t="str">
        <f>IFERROR(__xludf.DUMMYFUNCTION("""COMPUTED_VALUE"""),"Raghav Maheshwari")</f>
        <v>Raghav Maheshwari</v>
      </c>
      <c r="C379" s="31" t="str">
        <f>IFERROR(__xludf.DUMMYFUNCTION("""COMPUTED_VALUE"""),"Strategy")</f>
        <v>Strategy</v>
      </c>
      <c r="D379" s="31">
        <f>IFERROR(__xludf.DUMMYFUNCTION("""COMPUTED_VALUE"""),9.582386283E9)</f>
        <v>9582386283</v>
      </c>
      <c r="E379" s="31" t="str">
        <f>IFERROR(__xludf.DUMMYFUNCTION("""COMPUTED_VALUE"""),"Senior Manager - Strategy")</f>
        <v>Senior Manager - Strategy</v>
      </c>
      <c r="F379" s="31" t="str">
        <f>IFERROR(__xludf.DUMMYFUNCTION("""COMPUTED_VALUE"""),"Strategy")</f>
        <v>Strategy</v>
      </c>
      <c r="G379" s="31" t="str">
        <f>IFERROR(__xludf.DUMMYFUNCTION("""COMPUTED_VALUE"""),"raghavmaheshwari92@gmail.com")</f>
        <v>raghavmaheshwari92@gmail.com</v>
      </c>
      <c r="H379" s="31" t="str">
        <f>IFERROR(__xludf.DUMMYFUNCTION("""COMPUTED_VALUE"""),"Karan Aggarwal ")</f>
        <v>Karan Aggarwal </v>
      </c>
      <c r="I379" s="75">
        <f>IFERROR(__xludf.DUMMYFUNCTION("""COMPUTED_VALUE"""),45727.0)</f>
        <v>45727</v>
      </c>
      <c r="J379" s="31" t="str">
        <f>IFERROR(__xludf.DUMMYFUNCTION("""COMPUTED_VALUE"""),"Naina")</f>
        <v>Naina</v>
      </c>
      <c r="K379" s="31" t="str">
        <f>IFERROR(__xludf.DUMMYFUNCTION("""COMPUTED_VALUE"""),"Joined")</f>
        <v>Joined</v>
      </c>
      <c r="L379" s="31" t="str">
        <f>IFERROR(__xludf.DUMMYFUNCTION("""COMPUTED_VALUE"""),"In Office")</f>
        <v>In Office</v>
      </c>
      <c r="M379" s="31" t="str">
        <f>IFERROR(__xludf.DUMMYFUNCTION("""COMPUTED_VALUE"""),"raghav.maheshwari@zupee.in")</f>
        <v>raghav.maheshwari@zupee.in</v>
      </c>
      <c r="N379" s="31"/>
    </row>
    <row r="380">
      <c r="A380" s="74">
        <f>IFERROR(__xludf.DUMMYFUNCTION("""COMPUTED_VALUE"""),45790.0)</f>
        <v>45790</v>
      </c>
      <c r="B380" s="31" t="str">
        <f>IFERROR(__xludf.DUMMYFUNCTION("""COMPUTED_VALUE"""),"Ketan Keshari")</f>
        <v>Ketan Keshari</v>
      </c>
      <c r="C380" s="31" t="str">
        <f>IFERROR(__xludf.DUMMYFUNCTION("""COMPUTED_VALUE"""),"Data Engineer")</f>
        <v>Data Engineer</v>
      </c>
      <c r="D380" s="31">
        <f>IFERROR(__xludf.DUMMYFUNCTION("""COMPUTED_VALUE"""),9.113946425E9)</f>
        <v>9113946425</v>
      </c>
      <c r="E380" s="31" t="str">
        <f>IFERROR(__xludf.DUMMYFUNCTION("""COMPUTED_VALUE"""),"Lead Data Engineer")</f>
        <v>Lead Data Engineer</v>
      </c>
      <c r="F380" s="31" t="str">
        <f>IFERROR(__xludf.DUMMYFUNCTION("""COMPUTED_VALUE"""),"Data Engineering")</f>
        <v>Data Engineering</v>
      </c>
      <c r="G380" s="31" t="str">
        <f>IFERROR(__xludf.DUMMYFUNCTION("""COMPUTED_VALUE"""),"ketank90@gmail.com")</f>
        <v>ketank90@gmail.com</v>
      </c>
      <c r="H380" s="31" t="str">
        <f>IFERROR(__xludf.DUMMYFUNCTION("""COMPUTED_VALUE"""),"Aman Bahl")</f>
        <v>Aman Bahl</v>
      </c>
      <c r="I380" s="75">
        <f>IFERROR(__xludf.DUMMYFUNCTION("""COMPUTED_VALUE"""),45727.0)</f>
        <v>45727</v>
      </c>
      <c r="J380" s="31" t="str">
        <f>IFERROR(__xludf.DUMMYFUNCTION("""COMPUTED_VALUE"""),"Naina")</f>
        <v>Naina</v>
      </c>
      <c r="K380" s="31" t="str">
        <f>IFERROR(__xludf.DUMMYFUNCTION("""COMPUTED_VALUE"""),"Joined")</f>
        <v>Joined</v>
      </c>
      <c r="L380" s="31" t="str">
        <f>IFERROR(__xludf.DUMMYFUNCTION("""COMPUTED_VALUE"""),"In Office")</f>
        <v>In Office</v>
      </c>
      <c r="M380" s="31"/>
      <c r="N380" s="31"/>
    </row>
    <row r="381">
      <c r="A381" s="74">
        <f>IFERROR(__xludf.DUMMYFUNCTION("""COMPUTED_VALUE"""),45754.0)</f>
        <v>45754</v>
      </c>
      <c r="B381" s="31" t="str">
        <f>IFERROR(__xludf.DUMMYFUNCTION("""COMPUTED_VALUE"""),"Shobhit Nanda")</f>
        <v>Shobhit Nanda</v>
      </c>
      <c r="C381" s="31" t="str">
        <f>IFERROR(__xludf.DUMMYFUNCTION("""COMPUTED_VALUE"""),"Corporate")</f>
        <v>Corporate</v>
      </c>
      <c r="D381" s="31">
        <f>IFERROR(__xludf.DUMMYFUNCTION("""COMPUTED_VALUE"""),9.015118288E9)</f>
        <v>9015118288</v>
      </c>
      <c r="E381" s="31" t="str">
        <f>IFERROR(__xludf.DUMMYFUNCTION("""COMPUTED_VALUE"""),"Associate Director- Legal")</f>
        <v>Associate Director- Legal</v>
      </c>
      <c r="F381" s="31" t="str">
        <f>IFERROR(__xludf.DUMMYFUNCTION("""COMPUTED_VALUE"""),"Legal")</f>
        <v>Legal</v>
      </c>
      <c r="G381" s="31" t="str">
        <f>IFERROR(__xludf.DUMMYFUNCTION("""COMPUTED_VALUE"""),"shobhitnanda28@gmail.com")</f>
        <v>shobhitnanda28@gmail.com</v>
      </c>
      <c r="H381" s="31" t="str">
        <f>IFERROR(__xludf.DUMMYFUNCTION("""COMPUTED_VALUE"""),"Thomas Phillippe")</f>
        <v>Thomas Phillippe</v>
      </c>
      <c r="I381" s="75">
        <f>IFERROR(__xludf.DUMMYFUNCTION("""COMPUTED_VALUE"""),45727.0)</f>
        <v>45727</v>
      </c>
      <c r="J381" s="31" t="str">
        <f>IFERROR(__xludf.DUMMYFUNCTION("""COMPUTED_VALUE"""),"Rajneesh Yadav")</f>
        <v>Rajneesh Yadav</v>
      </c>
      <c r="K381" s="31" t="str">
        <f>IFERROR(__xludf.DUMMYFUNCTION("""COMPUTED_VALUE"""),"Joined")</f>
        <v>Joined</v>
      </c>
      <c r="L381" s="31" t="str">
        <f>IFERROR(__xludf.DUMMYFUNCTION("""COMPUTED_VALUE"""),"In Office")</f>
        <v>In Office</v>
      </c>
      <c r="M381" s="31" t="str">
        <f>IFERROR(__xludf.DUMMYFUNCTION("""COMPUTED_VALUE"""),"shobhit.nanda@zupee.in")</f>
        <v>shobhit.nanda@zupee.in</v>
      </c>
      <c r="N381" s="31" t="str">
        <f>IFERROR(__xludf.DUMMYFUNCTION("""COMPUTED_VALUE"""),"C6MDQVXYFH")</f>
        <v>C6MDQVXYFH</v>
      </c>
    </row>
    <row r="382">
      <c r="A382" s="74">
        <f>IFERROR(__xludf.DUMMYFUNCTION("""COMPUTED_VALUE"""),45775.0)</f>
        <v>45775</v>
      </c>
      <c r="B382" s="31" t="str">
        <f>IFERROR(__xludf.DUMMYFUNCTION("""COMPUTED_VALUE"""),"Akshat Ora")</f>
        <v>Akshat Ora</v>
      </c>
      <c r="C382" s="31" t="str">
        <f>IFERROR(__xludf.DUMMYFUNCTION("""COMPUTED_VALUE"""),"Finance")</f>
        <v>Finance</v>
      </c>
      <c r="D382" s="31"/>
      <c r="E382" s="31" t="str">
        <f>IFERROR(__xludf.DUMMYFUNCTION("""COMPUTED_VALUE"""),"Assistant Manager- Finance")</f>
        <v>Assistant Manager- Finance</v>
      </c>
      <c r="F382" s="31" t="str">
        <f>IFERROR(__xludf.DUMMYFUNCTION("""COMPUTED_VALUE"""),"Finance")</f>
        <v>Finance</v>
      </c>
      <c r="G382" s="31" t="str">
        <f>IFERROR(__xludf.DUMMYFUNCTION("""COMPUTED_VALUE""")," akshatj148@gmail.com")</f>
        <v> akshatj148@gmail.com</v>
      </c>
      <c r="H382" s="31" t="str">
        <f>IFERROR(__xludf.DUMMYFUNCTION("""COMPUTED_VALUE"""),"Aman Patni")</f>
        <v>Aman Patni</v>
      </c>
      <c r="I382" s="75">
        <f>IFERROR(__xludf.DUMMYFUNCTION("""COMPUTED_VALUE"""),45728.0)</f>
        <v>45728</v>
      </c>
      <c r="J382" s="31" t="str">
        <f>IFERROR(__xludf.DUMMYFUNCTION("""COMPUTED_VALUE"""),"Mamta Pandey")</f>
        <v>Mamta Pandey</v>
      </c>
      <c r="K382" s="31" t="str">
        <f>IFERROR(__xludf.DUMMYFUNCTION("""COMPUTED_VALUE"""),"Offer Declined")</f>
        <v>Offer Declined</v>
      </c>
      <c r="L382" s="31" t="str">
        <f>IFERROR(__xludf.DUMMYFUNCTION("""COMPUTED_VALUE"""),"In Office")</f>
        <v>In Office</v>
      </c>
      <c r="M382" s="31"/>
      <c r="N382" s="31"/>
    </row>
    <row r="383">
      <c r="A383" s="74">
        <f>IFERROR(__xludf.DUMMYFUNCTION("""COMPUTED_VALUE"""),45778.0)</f>
        <v>45778</v>
      </c>
      <c r="B383" s="31" t="str">
        <f>IFERROR(__xludf.DUMMYFUNCTION("""COMPUTED_VALUE"""),"Mohit Gurbani")</f>
        <v>Mohit Gurbani</v>
      </c>
      <c r="C383" s="31" t="str">
        <f>IFERROR(__xludf.DUMMYFUNCTION("""COMPUTED_VALUE"""),"Finance")</f>
        <v>Finance</v>
      </c>
      <c r="D383" s="31">
        <f>IFERROR(__xludf.DUMMYFUNCTION("""COMPUTED_VALUE"""),9.63022732E9)</f>
        <v>9630227320</v>
      </c>
      <c r="E383" s="31" t="str">
        <f>IFERROR(__xludf.DUMMYFUNCTION("""COMPUTED_VALUE"""),"CA Intern")</f>
        <v>CA Intern</v>
      </c>
      <c r="F383" s="31" t="str">
        <f>IFERROR(__xludf.DUMMYFUNCTION("""COMPUTED_VALUE"""),"Finance")</f>
        <v>Finance</v>
      </c>
      <c r="G383" s="31" t="str">
        <f>IFERROR(__xludf.DUMMYFUNCTION("""COMPUTED_VALUE"""),"gurbanimohit3@gmail.com ")</f>
        <v>gurbanimohit3@gmail.com </v>
      </c>
      <c r="H383" s="31" t="str">
        <f>IFERROR(__xludf.DUMMYFUNCTION("""COMPUTED_VALUE"""),"Pulkit Sehgal")</f>
        <v>Pulkit Sehgal</v>
      </c>
      <c r="I383" s="75">
        <f>IFERROR(__xludf.DUMMYFUNCTION("""COMPUTED_VALUE"""),45728.0)</f>
        <v>45728</v>
      </c>
      <c r="J383" s="31" t="str">
        <f>IFERROR(__xludf.DUMMYFUNCTION("""COMPUTED_VALUE"""),"Mamta Pandey")</f>
        <v>Mamta Pandey</v>
      </c>
      <c r="K383" s="31" t="str">
        <f>IFERROR(__xludf.DUMMYFUNCTION("""COMPUTED_VALUE"""),"Offer Declined")</f>
        <v>Offer Declined</v>
      </c>
      <c r="L383" s="31" t="str">
        <f>IFERROR(__xludf.DUMMYFUNCTION("""COMPUTED_VALUE"""),"In Office")</f>
        <v>In Office</v>
      </c>
      <c r="M383" s="31"/>
      <c r="N383" s="31"/>
    </row>
    <row r="384">
      <c r="A384" s="74">
        <f>IFERROR(__xludf.DUMMYFUNCTION("""COMPUTED_VALUE"""),45734.0)</f>
        <v>45734</v>
      </c>
      <c r="B384" s="31" t="str">
        <f>IFERROR(__xludf.DUMMYFUNCTION("""COMPUTED_VALUE"""),"Anant Upadhyaya")</f>
        <v>Anant Upadhyaya</v>
      </c>
      <c r="C384" s="31" t="str">
        <f>IFERROR(__xludf.DUMMYFUNCTION("""COMPUTED_VALUE"""),"Analytics")</f>
        <v>Analytics</v>
      </c>
      <c r="D384" s="31">
        <f>IFERROR(__xludf.DUMMYFUNCTION("""COMPUTED_VALUE"""),9.610353635E9)</f>
        <v>9610353635</v>
      </c>
      <c r="E384" s="31" t="str">
        <f>IFERROR(__xludf.DUMMYFUNCTION("""COMPUTED_VALUE"""),"Senior Data Analyst")</f>
        <v>Senior Data Analyst</v>
      </c>
      <c r="F384" s="31" t="str">
        <f>IFERROR(__xludf.DUMMYFUNCTION("""COMPUTED_VALUE"""),"Product")</f>
        <v>Product</v>
      </c>
      <c r="G384" s="31" t="str">
        <f>IFERROR(__xludf.DUMMYFUNCTION("""COMPUTED_VALUE"""),"aupadhyaya20@gmail.com")</f>
        <v>aupadhyaya20@gmail.com</v>
      </c>
      <c r="H384" s="31" t="str">
        <f>IFERROR(__xludf.DUMMYFUNCTION("""COMPUTED_VALUE"""),"Pankaj Gautam")</f>
        <v>Pankaj Gautam</v>
      </c>
      <c r="I384" s="75">
        <f>IFERROR(__xludf.DUMMYFUNCTION("""COMPUTED_VALUE"""),45728.0)</f>
        <v>45728</v>
      </c>
      <c r="J384" s="31" t="str">
        <f>IFERROR(__xludf.DUMMYFUNCTION("""COMPUTED_VALUE"""),"Vipin Kumar")</f>
        <v>Vipin Kumar</v>
      </c>
      <c r="K384" s="31" t="str">
        <f>IFERROR(__xludf.DUMMYFUNCTION("""COMPUTED_VALUE"""),"Joined")</f>
        <v>Joined</v>
      </c>
      <c r="L384" s="31" t="str">
        <f>IFERROR(__xludf.DUMMYFUNCTION("""COMPUTED_VALUE"""),"In Office")</f>
        <v>In Office</v>
      </c>
      <c r="M384" s="31" t="str">
        <f>IFERROR(__xludf.DUMMYFUNCTION("""COMPUTED_VALUE"""),"anant.upadhyaya@zupee.in")</f>
        <v>anant.upadhyaya@zupee.in</v>
      </c>
      <c r="N384" s="31"/>
    </row>
    <row r="385">
      <c r="A385" s="74">
        <f>IFERROR(__xludf.DUMMYFUNCTION("""COMPUTED_VALUE"""),45763.0)</f>
        <v>45763</v>
      </c>
      <c r="B385" s="31" t="str">
        <f>IFERROR(__xludf.DUMMYFUNCTION("""COMPUTED_VALUE"""),"Anshul Ahuja")</f>
        <v>Anshul Ahuja</v>
      </c>
      <c r="C385" s="31" t="str">
        <f>IFERROR(__xludf.DUMMYFUNCTION("""COMPUTED_VALUE"""),"Technology")</f>
        <v>Technology</v>
      </c>
      <c r="D385" s="31">
        <f>IFERROR(__xludf.DUMMYFUNCTION("""COMPUTED_VALUE"""),9.999109096E9)</f>
        <v>9999109096</v>
      </c>
      <c r="E385" s="31" t="str">
        <f>IFERROR(__xludf.DUMMYFUNCTION("""COMPUTED_VALUE"""),"Engineering Manager - Software Development in Testing")</f>
        <v>Engineering Manager - Software Development in Testing</v>
      </c>
      <c r="F385" s="31" t="str">
        <f>IFERROR(__xludf.DUMMYFUNCTION("""COMPUTED_VALUE"""),"SDET")</f>
        <v>SDET</v>
      </c>
      <c r="G385" s="31" t="str">
        <f>IFERROR(__xludf.DUMMYFUNCTION("""COMPUTED_VALUE"""),"anshul.ahuja13@gmail.com")</f>
        <v>anshul.ahuja13@gmail.com</v>
      </c>
      <c r="H385" s="31" t="str">
        <f>IFERROR(__xludf.DUMMYFUNCTION("""COMPUTED_VALUE"""),"Sahil Puri")</f>
        <v>Sahil Puri</v>
      </c>
      <c r="I385" s="75">
        <f>IFERROR(__xludf.DUMMYFUNCTION("""COMPUTED_VALUE"""),45728.0)</f>
        <v>45728</v>
      </c>
      <c r="J385" s="31" t="str">
        <f>IFERROR(__xludf.DUMMYFUNCTION("""COMPUTED_VALUE"""),"Vipin Kumar")</f>
        <v>Vipin Kumar</v>
      </c>
      <c r="K385" s="31" t="str">
        <f>IFERROR(__xludf.DUMMYFUNCTION("""COMPUTED_VALUE"""),"Joined")</f>
        <v>Joined</v>
      </c>
      <c r="L385" s="31" t="str">
        <f>IFERROR(__xludf.DUMMYFUNCTION("""COMPUTED_VALUE"""),"In Office")</f>
        <v>In Office</v>
      </c>
      <c r="M385" s="31" t="str">
        <f>IFERROR(__xludf.DUMMYFUNCTION("""COMPUTED_VALUE"""),"anshul.ahuja@zupee.in")</f>
        <v>anshul.ahuja@zupee.in</v>
      </c>
      <c r="N385" s="31" t="str">
        <f>IFERROR(__xludf.DUMMYFUNCTION("""COMPUTED_VALUE"""),"H74YQD359W")</f>
        <v>H74YQD359W</v>
      </c>
    </row>
    <row r="386">
      <c r="A386" s="74">
        <f>IFERROR(__xludf.DUMMYFUNCTION("""COMPUTED_VALUE"""),45748.0)</f>
        <v>45748</v>
      </c>
      <c r="B386" s="31" t="str">
        <f>IFERROR(__xludf.DUMMYFUNCTION("""COMPUTED_VALUE"""),"Diksha Garg")</f>
        <v>Diksha Garg</v>
      </c>
      <c r="C386" s="31" t="str">
        <f>IFERROR(__xludf.DUMMYFUNCTION("""COMPUTED_VALUE"""),"Marketing")</f>
        <v>Marketing</v>
      </c>
      <c r="D386" s="31">
        <f>IFERROR(__xludf.DUMMYFUNCTION("""COMPUTED_VALUE"""),9.463558005E9)</f>
        <v>9463558005</v>
      </c>
      <c r="E386" s="31" t="str">
        <f>IFERROR(__xludf.DUMMYFUNCTION("""COMPUTED_VALUE"""),"Assistant Manager-Digital Marketing")</f>
        <v>Assistant Manager-Digital Marketing</v>
      </c>
      <c r="F386" s="31" t="str">
        <f>IFERROR(__xludf.DUMMYFUNCTION("""COMPUTED_VALUE"""),"Digital Marketing")</f>
        <v>Digital Marketing</v>
      </c>
      <c r="G386" s="31" t="str">
        <f>IFERROR(__xludf.DUMMYFUNCTION("""COMPUTED_VALUE"""),"dikshagarg876@gmail.com")</f>
        <v>dikshagarg876@gmail.com</v>
      </c>
      <c r="H386" s="31" t="str">
        <f>IFERROR(__xludf.DUMMYFUNCTION("""COMPUTED_VALUE"""),"	Ritwika Maitra")</f>
        <v>	Ritwika Maitra</v>
      </c>
      <c r="I386" s="75">
        <f>IFERROR(__xludf.DUMMYFUNCTION("""COMPUTED_VALUE"""),45728.0)</f>
        <v>45728</v>
      </c>
      <c r="J386" s="31" t="str">
        <f>IFERROR(__xludf.DUMMYFUNCTION("""COMPUTED_VALUE"""),"Nidhi Khedekar")</f>
        <v>Nidhi Khedekar</v>
      </c>
      <c r="K386" s="31" t="str">
        <f>IFERROR(__xludf.DUMMYFUNCTION("""COMPUTED_VALUE"""),"Joined")</f>
        <v>Joined</v>
      </c>
      <c r="L386" s="31" t="str">
        <f>IFERROR(__xludf.DUMMYFUNCTION("""COMPUTED_VALUE"""),"In Office")</f>
        <v>In Office</v>
      </c>
      <c r="M386" s="31" t="str">
        <f>IFERROR(__xludf.DUMMYFUNCTION("""COMPUTED_VALUE"""),"diksha.garg@zupee.in")</f>
        <v>diksha.garg@zupee.in</v>
      </c>
      <c r="N386" s="31" t="str">
        <f>IFERROR(__xludf.DUMMYFUNCTION("""COMPUTED_VALUE"""),"GY212DDJF0")</f>
        <v>GY212DDJF0</v>
      </c>
    </row>
    <row r="387">
      <c r="A387" s="74">
        <f>IFERROR(__xludf.DUMMYFUNCTION("""COMPUTED_VALUE"""),45775.0)</f>
        <v>45775</v>
      </c>
      <c r="B387" s="31" t="str">
        <f>IFERROR(__xludf.DUMMYFUNCTION("""COMPUTED_VALUE"""),"Shubh Bhatnagar")</f>
        <v>Shubh Bhatnagar</v>
      </c>
      <c r="C387" s="31" t="str">
        <f>IFERROR(__xludf.DUMMYFUNCTION("""COMPUTED_VALUE"""),"Finance")</f>
        <v>Finance</v>
      </c>
      <c r="D387" s="31">
        <f>IFERROR(__xludf.DUMMYFUNCTION("""COMPUTED_VALUE"""),6.396123791E9)</f>
        <v>6396123791</v>
      </c>
      <c r="E387" s="31" t="str">
        <f>IFERROR(__xludf.DUMMYFUNCTION("""COMPUTED_VALUE"""),"Senior Executive-Finance")</f>
        <v>Senior Executive-Finance</v>
      </c>
      <c r="F387" s="31" t="str">
        <f>IFERROR(__xludf.DUMMYFUNCTION("""COMPUTED_VALUE"""),"Finance")</f>
        <v>Finance</v>
      </c>
      <c r="G387" s="31" t="str">
        <f>IFERROR(__xludf.DUMMYFUNCTION("""COMPUTED_VALUE"""),"shubhbhatnagar54@gmail.com")</f>
        <v>shubhbhatnagar54@gmail.com</v>
      </c>
      <c r="H387" s="31" t="str">
        <f>IFERROR(__xludf.DUMMYFUNCTION("""COMPUTED_VALUE"""),"Aman Patni")</f>
        <v>Aman Patni</v>
      </c>
      <c r="I387" s="75">
        <f>IFERROR(__xludf.DUMMYFUNCTION("""COMPUTED_VALUE"""),45728.0)</f>
        <v>45728</v>
      </c>
      <c r="J387" s="31" t="str">
        <f>IFERROR(__xludf.DUMMYFUNCTION("""COMPUTED_VALUE"""),"Nidhi Khedekar")</f>
        <v>Nidhi Khedekar</v>
      </c>
      <c r="K387" s="31" t="str">
        <f>IFERROR(__xludf.DUMMYFUNCTION("""COMPUTED_VALUE"""),"Offer Declined")</f>
        <v>Offer Declined</v>
      </c>
      <c r="L387" s="31" t="str">
        <f>IFERROR(__xludf.DUMMYFUNCTION("""COMPUTED_VALUE"""),"In Office")</f>
        <v>In Office</v>
      </c>
      <c r="M387" s="31"/>
      <c r="N387" s="31"/>
    </row>
    <row r="388">
      <c r="A388" s="74">
        <f>IFERROR(__xludf.DUMMYFUNCTION("""COMPUTED_VALUE"""),45749.0)</f>
        <v>45749</v>
      </c>
      <c r="B388" s="31" t="str">
        <f>IFERROR(__xludf.DUMMYFUNCTION("""COMPUTED_VALUE"""),"Dhruv Agrawal
")</f>
        <v>Dhruv Agrawal
</v>
      </c>
      <c r="C388" s="31" t="str">
        <f>IFERROR(__xludf.DUMMYFUNCTION("""COMPUTED_VALUE"""),"Technology")</f>
        <v>Technology</v>
      </c>
      <c r="D388" s="31">
        <f>IFERROR(__xludf.DUMMYFUNCTION("""COMPUTED_VALUE"""),7.275615573E9)</f>
        <v>7275615573</v>
      </c>
      <c r="E388" s="31" t="str">
        <f>IFERROR(__xludf.DUMMYFUNCTION("""COMPUTED_VALUE"""),"Software Engineer Intern ")</f>
        <v>Software Engineer Intern </v>
      </c>
      <c r="F388" s="31" t="str">
        <f>IFERROR(__xludf.DUMMYFUNCTION("""COMPUTED_VALUE"""),"Backend")</f>
        <v>Backend</v>
      </c>
      <c r="G388" s="31" t="str">
        <f>IFERROR(__xludf.DUMMYFUNCTION("""COMPUTED_VALUE"""),"agrawaldhruv1006@gmail.com")</f>
        <v>agrawaldhruv1006@gmail.com</v>
      </c>
      <c r="H388" s="31" t="str">
        <f>IFERROR(__xludf.DUMMYFUNCTION("""COMPUTED_VALUE"""),"Rahul Sharma")</f>
        <v>Rahul Sharma</v>
      </c>
      <c r="I388" s="75">
        <f>IFERROR(__xludf.DUMMYFUNCTION("""COMPUTED_VALUE"""),45728.0)</f>
        <v>45728</v>
      </c>
      <c r="J388" s="31" t="str">
        <f>IFERROR(__xludf.DUMMYFUNCTION("""COMPUTED_VALUE"""),"Nidhi Khedekar")</f>
        <v>Nidhi Khedekar</v>
      </c>
      <c r="K388" s="31" t="str">
        <f>IFERROR(__xludf.DUMMYFUNCTION("""COMPUTED_VALUE"""),"Offer Declined")</f>
        <v>Offer Declined</v>
      </c>
      <c r="L388" s="31" t="str">
        <f>IFERROR(__xludf.DUMMYFUNCTION("""COMPUTED_VALUE"""),"In Office")</f>
        <v>In Office</v>
      </c>
      <c r="M388" s="31"/>
      <c r="N388" s="31"/>
    </row>
    <row r="389">
      <c r="A389" s="74">
        <f>IFERROR(__xludf.DUMMYFUNCTION("""COMPUTED_VALUE"""),45734.0)</f>
        <v>45734</v>
      </c>
      <c r="B389" s="31" t="str">
        <f>IFERROR(__xludf.DUMMYFUNCTION("""COMPUTED_VALUE"""),"Aditya Rai")</f>
        <v>Aditya Rai</v>
      </c>
      <c r="C389" s="31" t="str">
        <f>IFERROR(__xludf.DUMMYFUNCTION("""COMPUTED_VALUE"""),"Strategy")</f>
        <v>Strategy</v>
      </c>
      <c r="D389" s="31">
        <f>IFERROR(__xludf.DUMMYFUNCTION("""COMPUTED_VALUE"""),9.67719633E9)</f>
        <v>9677196330</v>
      </c>
      <c r="E389" s="31" t="str">
        <f>IFERROR(__xludf.DUMMYFUNCTION("""COMPUTED_VALUE"""),"Assistant Manager-Strategy")</f>
        <v>Assistant Manager-Strategy</v>
      </c>
      <c r="F389" s="31" t="str">
        <f>IFERROR(__xludf.DUMMYFUNCTION("""COMPUTED_VALUE"""),"Strategy")</f>
        <v>Strategy</v>
      </c>
      <c r="G389" s="31" t="str">
        <f>IFERROR(__xludf.DUMMYFUNCTION("""COMPUTED_VALUE""")," adityarai.ngh@gmail.com")</f>
        <v> adityarai.ngh@gmail.com</v>
      </c>
      <c r="H389" s="31" t="str">
        <f>IFERROR(__xludf.DUMMYFUNCTION("""COMPUTED_VALUE"""),"Karan Aggarwal ")</f>
        <v>Karan Aggarwal </v>
      </c>
      <c r="I389" s="75">
        <f>IFERROR(__xludf.DUMMYFUNCTION("""COMPUTED_VALUE"""),45729.0)</f>
        <v>45729</v>
      </c>
      <c r="J389" s="31" t="str">
        <f>IFERROR(__xludf.DUMMYFUNCTION("""COMPUTED_VALUE"""),"Shivam Sharma")</f>
        <v>Shivam Sharma</v>
      </c>
      <c r="K389" s="31" t="str">
        <f>IFERROR(__xludf.DUMMYFUNCTION("""COMPUTED_VALUE"""),"Joined")</f>
        <v>Joined</v>
      </c>
      <c r="L389" s="31" t="str">
        <f>IFERROR(__xludf.DUMMYFUNCTION("""COMPUTED_VALUE"""),"In Office")</f>
        <v>In Office</v>
      </c>
      <c r="M389" s="31" t="str">
        <f>IFERROR(__xludf.DUMMYFUNCTION("""COMPUTED_VALUE"""),"aditya.rai@zupee.in")</f>
        <v>aditya.rai@zupee.in</v>
      </c>
      <c r="N389" s="31"/>
    </row>
    <row r="390">
      <c r="A390" s="74">
        <f>IFERROR(__xludf.DUMMYFUNCTION("""COMPUTED_VALUE"""),45775.0)</f>
        <v>45775</v>
      </c>
      <c r="B390" s="31" t="str">
        <f>IFERROR(__xludf.DUMMYFUNCTION("""COMPUTED_VALUE"""),"Ajinkya Puranik")</f>
        <v>Ajinkya Puranik</v>
      </c>
      <c r="C390" s="31" t="str">
        <f>IFERROR(__xludf.DUMMYFUNCTION("""COMPUTED_VALUE"""),"Strategy")</f>
        <v>Strategy</v>
      </c>
      <c r="D390" s="31">
        <f>IFERROR(__xludf.DUMMYFUNCTION("""COMPUTED_VALUE"""),9.811658419E9)</f>
        <v>9811658419</v>
      </c>
      <c r="E390" s="31" t="str">
        <f>IFERROR(__xludf.DUMMYFUNCTION("""COMPUTED_VALUE"""),"Manager-Strategy")</f>
        <v>Manager-Strategy</v>
      </c>
      <c r="F390" s="31" t="str">
        <f>IFERROR(__xludf.DUMMYFUNCTION("""COMPUTED_VALUE"""),"Strategy")</f>
        <v>Strategy</v>
      </c>
      <c r="G390" s="31" t="str">
        <f>IFERROR(__xludf.DUMMYFUNCTION("""COMPUTED_VALUE""")," ajinkyapur@outlook.com")</f>
        <v> ajinkyapur@outlook.com</v>
      </c>
      <c r="H390" s="31" t="str">
        <f>IFERROR(__xludf.DUMMYFUNCTION("""COMPUTED_VALUE"""),"Karan Aggarwal ")</f>
        <v>Karan Aggarwal </v>
      </c>
      <c r="I390" s="75">
        <f>IFERROR(__xludf.DUMMYFUNCTION("""COMPUTED_VALUE"""),45734.0)</f>
        <v>45734</v>
      </c>
      <c r="J390" s="31" t="str">
        <f>IFERROR(__xludf.DUMMYFUNCTION("""COMPUTED_VALUE"""),"Shivam Sharma")</f>
        <v>Shivam Sharma</v>
      </c>
      <c r="K390" s="31" t="str">
        <f>IFERROR(__xludf.DUMMYFUNCTION("""COMPUTED_VALUE"""),"Joined")</f>
        <v>Joined</v>
      </c>
      <c r="L390" s="31" t="str">
        <f>IFERROR(__xludf.DUMMYFUNCTION("""COMPUTED_VALUE"""),"In Office")</f>
        <v>In Office</v>
      </c>
      <c r="M390" s="31" t="str">
        <f>IFERROR(__xludf.DUMMYFUNCTION("""COMPUTED_VALUE"""),"ajinkya.puranik@zupee.in")</f>
        <v>ajinkya.puranik@zupee.in</v>
      </c>
      <c r="N390" s="31" t="str">
        <f>IFERROR(__xludf.DUMMYFUNCTION("""COMPUTED_VALUE"""),"D94D99LC9L")</f>
        <v>D94D99LC9L</v>
      </c>
    </row>
    <row r="391">
      <c r="A391" s="74">
        <f>IFERROR(__xludf.DUMMYFUNCTION("""COMPUTED_VALUE"""),45761.0)</f>
        <v>45761</v>
      </c>
      <c r="B391" s="31" t="str">
        <f>IFERROR(__xludf.DUMMYFUNCTION("""COMPUTED_VALUE"""),"Rajnish Kumar")</f>
        <v>Rajnish Kumar</v>
      </c>
      <c r="C391" s="31" t="str">
        <f>IFERROR(__xludf.DUMMYFUNCTION("""COMPUTED_VALUE"""),"Technology")</f>
        <v>Technology</v>
      </c>
      <c r="D391" s="31">
        <f>IFERROR(__xludf.DUMMYFUNCTION("""COMPUTED_VALUE"""),8.506981317E9)</f>
        <v>8506981317</v>
      </c>
      <c r="E391" s="31" t="str">
        <f>IFERROR(__xludf.DUMMYFUNCTION("""COMPUTED_VALUE"""),"Software Engineer")</f>
        <v>Software Engineer</v>
      </c>
      <c r="F391" s="31" t="str">
        <f>IFERROR(__xludf.DUMMYFUNCTION("""COMPUTED_VALUE"""),"Engineering")</f>
        <v>Engineering</v>
      </c>
      <c r="G391" s="31" t="str">
        <f>IFERROR(__xludf.DUMMYFUNCTION("""COMPUTED_VALUE""")," kumar89rajnish@gmail.com")</f>
        <v> kumar89rajnish@gmail.com</v>
      </c>
      <c r="H391" s="31" t="str">
        <f>IFERROR(__xludf.DUMMYFUNCTION("""COMPUTED_VALUE"""),"Anshul Mittal")</f>
        <v>Anshul Mittal</v>
      </c>
      <c r="I391" s="75">
        <f>IFERROR(__xludf.DUMMYFUNCTION("""COMPUTED_VALUE"""),45734.0)</f>
        <v>45734</v>
      </c>
      <c r="J391" s="31" t="str">
        <f>IFERROR(__xludf.DUMMYFUNCTION("""COMPUTED_VALUE"""),"Shivam Sharma")</f>
        <v>Shivam Sharma</v>
      </c>
      <c r="K391" s="31" t="str">
        <f>IFERROR(__xludf.DUMMYFUNCTION("""COMPUTED_VALUE"""),"Joined")</f>
        <v>Joined</v>
      </c>
      <c r="L391" s="31" t="str">
        <f>IFERROR(__xludf.DUMMYFUNCTION("""COMPUTED_VALUE"""),"In Office")</f>
        <v>In Office</v>
      </c>
      <c r="M391" s="31" t="str">
        <f>IFERROR(__xludf.DUMMYFUNCTION("""COMPUTED_VALUE"""),"rajnish.kumar@zupee.in")</f>
        <v>rajnish.kumar@zupee.in</v>
      </c>
      <c r="N391" s="31" t="str">
        <f>IFERROR(__xludf.DUMMYFUNCTION("""COMPUTED_VALUE"""),"DW403XWK6F")</f>
        <v>DW403XWK6F</v>
      </c>
    </row>
    <row r="392">
      <c r="A392" s="74">
        <f>IFERROR(__xludf.DUMMYFUNCTION("""COMPUTED_VALUE"""),45775.0)</f>
        <v>45775</v>
      </c>
      <c r="B392" s="31" t="str">
        <f>IFERROR(__xludf.DUMMYFUNCTION("""COMPUTED_VALUE"""),"Aditya Gupta")</f>
        <v>Aditya Gupta</v>
      </c>
      <c r="C392" s="31" t="str">
        <f>IFERROR(__xludf.DUMMYFUNCTION("""COMPUTED_VALUE"""),"Analytics")</f>
        <v>Analytics</v>
      </c>
      <c r="D392" s="31">
        <f>IFERROR(__xludf.DUMMYFUNCTION("""COMPUTED_VALUE"""),8.385848686E9)</f>
        <v>8385848686</v>
      </c>
      <c r="E392" s="31" t="str">
        <f>IFERROR(__xludf.DUMMYFUNCTION("""COMPUTED_VALUE"""),"Senior Data Analyst")</f>
        <v>Senior Data Analyst</v>
      </c>
      <c r="F392" s="31" t="str">
        <f>IFERROR(__xludf.DUMMYFUNCTION("""COMPUTED_VALUE"""),"Product")</f>
        <v>Product</v>
      </c>
      <c r="G392" s="31" t="str">
        <f>IFERROR(__xludf.DUMMYFUNCTION("""COMPUTED_VALUE"""),"adityagupta1898@gmail.com")</f>
        <v>adityagupta1898@gmail.com</v>
      </c>
      <c r="H392" s="31" t="str">
        <f>IFERROR(__xludf.DUMMYFUNCTION("""COMPUTED_VALUE"""),"Saurabh Khurana")</f>
        <v>Saurabh Khurana</v>
      </c>
      <c r="I392" s="75">
        <f>IFERROR(__xludf.DUMMYFUNCTION("""COMPUTED_VALUE"""),45735.0)</f>
        <v>45735</v>
      </c>
      <c r="J392" s="31" t="str">
        <f>IFERROR(__xludf.DUMMYFUNCTION("""COMPUTED_VALUE"""),"Vipin Kumar")</f>
        <v>Vipin Kumar</v>
      </c>
      <c r="K392" s="31" t="str">
        <f>IFERROR(__xludf.DUMMYFUNCTION("""COMPUTED_VALUE"""),"Offer Declined")</f>
        <v>Offer Declined</v>
      </c>
      <c r="L392" s="31" t="str">
        <f>IFERROR(__xludf.DUMMYFUNCTION("""COMPUTED_VALUE"""),"In Office")</f>
        <v>In Office</v>
      </c>
      <c r="M392" s="31" t="str">
        <f>IFERROR(__xludf.DUMMYFUNCTION("""COMPUTED_VALUE"""),"aditya.gupta@zupee.in")</f>
        <v>aditya.gupta@zupee.in</v>
      </c>
      <c r="N392" s="31" t="str">
        <f>IFERROR(__xludf.DUMMYFUNCTION("""COMPUTED_VALUE"""),"M24XXR5WYR")</f>
        <v>M24XXR5WYR</v>
      </c>
    </row>
    <row r="393">
      <c r="A393" s="74">
        <f>IFERROR(__xludf.DUMMYFUNCTION("""COMPUTED_VALUE"""),45749.0)</f>
        <v>45749</v>
      </c>
      <c r="B393" s="31" t="str">
        <f>IFERROR(__xludf.DUMMYFUNCTION("""COMPUTED_VALUE"""),"Md Sameer Alam")</f>
        <v>Md Sameer Alam</v>
      </c>
      <c r="C393" s="31" t="str">
        <f>IFERROR(__xludf.DUMMYFUNCTION("""COMPUTED_VALUE"""),"Technology")</f>
        <v>Technology</v>
      </c>
      <c r="D393" s="31">
        <f>IFERROR(__xludf.DUMMYFUNCTION("""COMPUTED_VALUE"""),8.076451404E9)</f>
        <v>8076451404</v>
      </c>
      <c r="E393" s="31" t="str">
        <f>IFERROR(__xludf.DUMMYFUNCTION("""COMPUTED_VALUE"""),"Software Engineer")</f>
        <v>Software Engineer</v>
      </c>
      <c r="F393" s="31" t="str">
        <f>IFERROR(__xludf.DUMMYFUNCTION("""COMPUTED_VALUE"""),"Engineering")</f>
        <v>Engineering</v>
      </c>
      <c r="G393" s="31" t="str">
        <f>IFERROR(__xludf.DUMMYFUNCTION("""COMPUTED_VALUE"""),"sameeralamqw@gmail.com")</f>
        <v>sameeralamqw@gmail.com</v>
      </c>
      <c r="H393" s="31" t="str">
        <f>IFERROR(__xludf.DUMMYFUNCTION("""COMPUTED_VALUE"""),"Rahul Sharma")</f>
        <v>Rahul Sharma</v>
      </c>
      <c r="I393" s="75">
        <f>IFERROR(__xludf.DUMMYFUNCTION("""COMPUTED_VALUE"""),45735.0)</f>
        <v>45735</v>
      </c>
      <c r="J393" s="31" t="str">
        <f>IFERROR(__xludf.DUMMYFUNCTION("""COMPUTED_VALUE"""),"Nidhi Khedekar")</f>
        <v>Nidhi Khedekar</v>
      </c>
      <c r="K393" s="31" t="str">
        <f>IFERROR(__xludf.DUMMYFUNCTION("""COMPUTED_VALUE"""),"Joined")</f>
        <v>Joined</v>
      </c>
      <c r="L393" s="31" t="str">
        <f>IFERROR(__xludf.DUMMYFUNCTION("""COMPUTED_VALUE"""),"In Office")</f>
        <v>In Office</v>
      </c>
      <c r="M393" s="31" t="str">
        <f>IFERROR(__xludf.DUMMYFUNCTION("""COMPUTED_VALUE"""),"sameer.alam@zupee.in")</f>
        <v>sameer.alam@zupee.in</v>
      </c>
      <c r="N393" s="31"/>
    </row>
    <row r="394">
      <c r="A394" s="74">
        <f>IFERROR(__xludf.DUMMYFUNCTION("""COMPUTED_VALUE"""),45784.0)</f>
        <v>45784</v>
      </c>
      <c r="B394" s="31" t="str">
        <f>IFERROR(__xludf.DUMMYFUNCTION("""COMPUTED_VALUE"""),"Himanshu Solanki")</f>
        <v>Himanshu Solanki</v>
      </c>
      <c r="C394" s="31" t="str">
        <f>IFERROR(__xludf.DUMMYFUNCTION("""COMPUTED_VALUE"""),"Marketing")</f>
        <v>Marketing</v>
      </c>
      <c r="D394" s="31">
        <f>IFERROR(__xludf.DUMMYFUNCTION("""COMPUTED_VALUE"""),8.178168234E9)</f>
        <v>8178168234</v>
      </c>
      <c r="E394" s="31" t="str">
        <f>IFERROR(__xludf.DUMMYFUNCTION("""COMPUTED_VALUE"""),"Senior Associate-Digital Marketing")</f>
        <v>Senior Associate-Digital Marketing</v>
      </c>
      <c r="F394" s="31" t="str">
        <f>IFERROR(__xludf.DUMMYFUNCTION("""COMPUTED_VALUE"""),"Digital Marketing")</f>
        <v>Digital Marketing</v>
      </c>
      <c r="G394" s="31" t="str">
        <f>IFERROR(__xludf.DUMMYFUNCTION("""COMPUTED_VALUE"""),"hsolanki816@gmail.com")</f>
        <v>hsolanki816@gmail.com</v>
      </c>
      <c r="H394" s="31" t="str">
        <f>IFERROR(__xludf.DUMMYFUNCTION("""COMPUTED_VALUE"""),"Ritwika Rai")</f>
        <v>Ritwika Rai</v>
      </c>
      <c r="I394" s="75">
        <f>IFERROR(__xludf.DUMMYFUNCTION("""COMPUTED_VALUE"""),45735.0)</f>
        <v>45735</v>
      </c>
      <c r="J394" s="31" t="str">
        <f>IFERROR(__xludf.DUMMYFUNCTION("""COMPUTED_VALUE"""),"Nidhi Khedekar")</f>
        <v>Nidhi Khedekar</v>
      </c>
      <c r="K394" s="31" t="str">
        <f>IFERROR(__xludf.DUMMYFUNCTION("""COMPUTED_VALUE"""),"Joined")</f>
        <v>Joined</v>
      </c>
      <c r="L394" s="31" t="str">
        <f>IFERROR(__xludf.DUMMYFUNCTION("""COMPUTED_VALUE"""),"In Office")</f>
        <v>In Office</v>
      </c>
      <c r="M394" s="31" t="str">
        <f>IFERROR(__xludf.DUMMYFUNCTION("""COMPUTED_VALUE"""),"himanshu.solanki@zupee.in")</f>
        <v>himanshu.solanki@zupee.in</v>
      </c>
      <c r="N394" s="31"/>
    </row>
    <row r="395">
      <c r="A395" s="74">
        <f>IFERROR(__xludf.DUMMYFUNCTION("""COMPUTED_VALUE"""),45740.0)</f>
        <v>45740</v>
      </c>
      <c r="B395" s="31" t="str">
        <f>IFERROR(__xludf.DUMMYFUNCTION("""COMPUTED_VALUE"""),"Naman Vijay")</f>
        <v>Naman Vijay</v>
      </c>
      <c r="C395" s="31" t="str">
        <f>IFERROR(__xludf.DUMMYFUNCTION("""COMPUTED_VALUE"""),"Finance")</f>
        <v>Finance</v>
      </c>
      <c r="D395" s="31">
        <f>IFERROR(__xludf.DUMMYFUNCTION("""COMPUTED_VALUE"""),7.340333828E9)</f>
        <v>7340333828</v>
      </c>
      <c r="E395" s="31" t="str">
        <f>IFERROR(__xludf.DUMMYFUNCTION("""COMPUTED_VALUE"""),"Assistant Manager- Finance")</f>
        <v>Assistant Manager- Finance</v>
      </c>
      <c r="F395" s="31" t="str">
        <f>IFERROR(__xludf.DUMMYFUNCTION("""COMPUTED_VALUE"""),"Finance")</f>
        <v>Finance</v>
      </c>
      <c r="G395" s="31" t="str">
        <f>IFERROR(__xludf.DUMMYFUNCTION("""COMPUTED_VALUE"""),"namanvijay006@gmail.com")</f>
        <v>namanvijay006@gmail.com</v>
      </c>
      <c r="H395" s="31" t="str">
        <f>IFERROR(__xludf.DUMMYFUNCTION("""COMPUTED_VALUE"""),"Rahul Satija")</f>
        <v>Rahul Satija</v>
      </c>
      <c r="I395" s="75">
        <f>IFERROR(__xludf.DUMMYFUNCTION("""COMPUTED_VALUE"""),45735.0)</f>
        <v>45735</v>
      </c>
      <c r="J395" s="31" t="str">
        <f>IFERROR(__xludf.DUMMYFUNCTION("""COMPUTED_VALUE"""),"Mamta Pandey")</f>
        <v>Mamta Pandey</v>
      </c>
      <c r="K395" s="31" t="str">
        <f>IFERROR(__xludf.DUMMYFUNCTION("""COMPUTED_VALUE"""),"Joined")</f>
        <v>Joined</v>
      </c>
      <c r="L395" s="31" t="str">
        <f>IFERROR(__xludf.DUMMYFUNCTION("""COMPUTED_VALUE"""),"In Office")</f>
        <v>In Office</v>
      </c>
      <c r="M395" s="31" t="str">
        <f>IFERROR(__xludf.DUMMYFUNCTION("""COMPUTED_VALUE"""),"naman.vijay@zupee.in")</f>
        <v>naman.vijay@zupee.in</v>
      </c>
      <c r="N395" s="31"/>
    </row>
    <row r="396">
      <c r="A396" s="74">
        <f>IFERROR(__xludf.DUMMYFUNCTION("""COMPUTED_VALUE"""),45768.0)</f>
        <v>45768</v>
      </c>
      <c r="B396" s="31" t="str">
        <f>IFERROR(__xludf.DUMMYFUNCTION("""COMPUTED_VALUE"""),"Jitesh Suneja")</f>
        <v>Jitesh Suneja</v>
      </c>
      <c r="C396" s="31" t="str">
        <f>IFERROR(__xludf.DUMMYFUNCTION("""COMPUTED_VALUE"""),"Finance")</f>
        <v>Finance</v>
      </c>
      <c r="D396" s="31">
        <f>IFERROR(__xludf.DUMMYFUNCTION("""COMPUTED_VALUE"""),8.58882232E9)</f>
        <v>8588822320</v>
      </c>
      <c r="E396" s="31" t="str">
        <f>IFERROR(__xludf.DUMMYFUNCTION("""COMPUTED_VALUE"""),"Manager- Taxation")</f>
        <v>Manager- Taxation</v>
      </c>
      <c r="F396" s="31" t="str">
        <f>IFERROR(__xludf.DUMMYFUNCTION("""COMPUTED_VALUE"""),"Finance")</f>
        <v>Finance</v>
      </c>
      <c r="G396" s="31" t="str">
        <f>IFERROR(__xludf.DUMMYFUNCTION("""COMPUTED_VALUE"""),"cajiteshsuneja@gmail.com")</f>
        <v>cajiteshsuneja@gmail.com</v>
      </c>
      <c r="H396" s="31" t="str">
        <f>IFERROR(__xludf.DUMMYFUNCTION("""COMPUTED_VALUE"""),"Rahul Satija   ")</f>
        <v>Rahul Satija   </v>
      </c>
      <c r="I396" s="75">
        <f>IFERROR(__xludf.DUMMYFUNCTION("""COMPUTED_VALUE"""),45735.0)</f>
        <v>45735</v>
      </c>
      <c r="J396" s="31" t="str">
        <f>IFERROR(__xludf.DUMMYFUNCTION("""COMPUTED_VALUE"""),"Mamta Pandey")</f>
        <v>Mamta Pandey</v>
      </c>
      <c r="K396" s="31" t="str">
        <f>IFERROR(__xludf.DUMMYFUNCTION("""COMPUTED_VALUE"""),"Joined")</f>
        <v>Joined</v>
      </c>
      <c r="L396" s="31" t="str">
        <f>IFERROR(__xludf.DUMMYFUNCTION("""COMPUTED_VALUE"""),"In Office")</f>
        <v>In Office</v>
      </c>
      <c r="M396" s="31" t="str">
        <f>IFERROR(__xludf.DUMMYFUNCTION("""COMPUTED_VALUE"""),"jitesh.suneja@zupee.in")</f>
        <v>jitesh.suneja@zupee.in</v>
      </c>
      <c r="N396" s="31"/>
    </row>
    <row r="397">
      <c r="A397" s="74">
        <f>IFERROR(__xludf.DUMMYFUNCTION("""COMPUTED_VALUE"""),45778.0)</f>
        <v>45778</v>
      </c>
      <c r="B397" s="31" t="str">
        <f>IFERROR(__xludf.DUMMYFUNCTION("""COMPUTED_VALUE"""),"Sarthak Jain")</f>
        <v>Sarthak Jain</v>
      </c>
      <c r="C397" s="31" t="str">
        <f>IFERROR(__xludf.DUMMYFUNCTION("""COMPUTED_VALUE"""),"Finance")</f>
        <v>Finance</v>
      </c>
      <c r="D397" s="31">
        <f>IFERROR(__xludf.DUMMYFUNCTION("""COMPUTED_VALUE"""),7.507021188E9)</f>
        <v>7507021188</v>
      </c>
      <c r="E397" s="31" t="str">
        <f>IFERROR(__xludf.DUMMYFUNCTION("""COMPUTED_VALUE"""),"Finance Controller")</f>
        <v>Finance Controller</v>
      </c>
      <c r="F397" s="31" t="str">
        <f>IFERROR(__xludf.DUMMYFUNCTION("""COMPUTED_VALUE"""),"Finance")</f>
        <v>Finance</v>
      </c>
      <c r="G397" s="31" t="str">
        <f>IFERROR(__xludf.DUMMYFUNCTION("""COMPUTED_VALUE"""),"87sarthak.jain@gmail.com")</f>
        <v>87sarthak.jain@gmail.com</v>
      </c>
      <c r="H397" s="31" t="str">
        <f>IFERROR(__xludf.DUMMYFUNCTION("""COMPUTED_VALUE"""),"Ankit Maheshwari")</f>
        <v>Ankit Maheshwari</v>
      </c>
      <c r="I397" s="75">
        <f>IFERROR(__xludf.DUMMYFUNCTION("""COMPUTED_VALUE"""),45735.0)</f>
        <v>45735</v>
      </c>
      <c r="J397" s="31" t="str">
        <f>IFERROR(__xludf.DUMMYFUNCTION("""COMPUTED_VALUE"""),"Rajneesh Yadav")</f>
        <v>Rajneesh Yadav</v>
      </c>
      <c r="K397" s="31" t="str">
        <f>IFERROR(__xludf.DUMMYFUNCTION("""COMPUTED_VALUE"""),"Joined")</f>
        <v>Joined</v>
      </c>
      <c r="L397" s="31" t="str">
        <f>IFERROR(__xludf.DUMMYFUNCTION("""COMPUTED_VALUE"""),"In Office")</f>
        <v>In Office</v>
      </c>
      <c r="M397" s="31" t="str">
        <f>IFERROR(__xludf.DUMMYFUNCTION("""COMPUTED_VALUE"""),"sarthak.jain@zupee.in")</f>
        <v>sarthak.jain@zupee.in</v>
      </c>
      <c r="N397" s="31"/>
    </row>
    <row r="398">
      <c r="A398" s="74">
        <f>IFERROR(__xludf.DUMMYFUNCTION("""COMPUTED_VALUE"""),45740.0)</f>
        <v>45740</v>
      </c>
      <c r="B398" s="31" t="str">
        <f>IFERROR(__xludf.DUMMYFUNCTION("""COMPUTED_VALUE"""),"Gaurav Midda")</f>
        <v>Gaurav Midda</v>
      </c>
      <c r="C398" s="31" t="str">
        <f>IFERROR(__xludf.DUMMYFUNCTION("""COMPUTED_VALUE"""),"Analytics")</f>
        <v>Analytics</v>
      </c>
      <c r="D398" s="31"/>
      <c r="E398" s="31" t="str">
        <f>IFERROR(__xludf.DUMMYFUNCTION("""COMPUTED_VALUE"""),"Senior Data Analyst
")</f>
        <v>Senior Data Analyst
</v>
      </c>
      <c r="F398" s="31" t="str">
        <f>IFERROR(__xludf.DUMMYFUNCTION("""COMPUTED_VALUE"""),"Product Analytics")</f>
        <v>Product Analytics</v>
      </c>
      <c r="G398" s="31" t="str">
        <f>IFERROR(__xludf.DUMMYFUNCTION("""COMPUTED_VALUE"""),"gmidda15@gmail.com")</f>
        <v>gmidda15@gmail.com</v>
      </c>
      <c r="H398" s="31" t="str">
        <f>IFERROR(__xludf.DUMMYFUNCTION("""COMPUTED_VALUE"""),"Bishan Bhadra")</f>
        <v>Bishan Bhadra</v>
      </c>
      <c r="I398" s="75">
        <f>IFERROR(__xludf.DUMMYFUNCTION("""COMPUTED_VALUE"""),45736.0)</f>
        <v>45736</v>
      </c>
      <c r="J398" s="31" t="str">
        <f>IFERROR(__xludf.DUMMYFUNCTION("""COMPUTED_VALUE"""),"Nidhi Khedekar")</f>
        <v>Nidhi Khedekar</v>
      </c>
      <c r="K398" s="31" t="str">
        <f>IFERROR(__xludf.DUMMYFUNCTION("""COMPUTED_VALUE"""),"Joined")</f>
        <v>Joined</v>
      </c>
      <c r="L398" s="31" t="str">
        <f>IFERROR(__xludf.DUMMYFUNCTION("""COMPUTED_VALUE"""),"In Office")</f>
        <v>In Office</v>
      </c>
      <c r="M398" s="31" t="str">
        <f>IFERROR(__xludf.DUMMYFUNCTION("""COMPUTED_VALUE"""),"gaurav.midda@zupee.in")</f>
        <v>gaurav.midda@zupee.in</v>
      </c>
      <c r="N398" s="31"/>
    </row>
    <row r="399">
      <c r="A399" s="74">
        <f>IFERROR(__xludf.DUMMYFUNCTION("""COMPUTED_VALUE"""),45756.0)</f>
        <v>45756</v>
      </c>
      <c r="B399" s="31" t="str">
        <f>IFERROR(__xludf.DUMMYFUNCTION("""COMPUTED_VALUE"""),"Nitish Negi")</f>
        <v>Nitish Negi</v>
      </c>
      <c r="C399" s="31" t="str">
        <f>IFERROR(__xludf.DUMMYFUNCTION("""COMPUTED_VALUE"""),"Design")</f>
        <v>Design</v>
      </c>
      <c r="D399" s="31">
        <f>IFERROR(__xludf.DUMMYFUNCTION("""COMPUTED_VALUE"""),7.06008343E9)</f>
        <v>7060083430</v>
      </c>
      <c r="E399" s="31" t="str">
        <f>IFERROR(__xludf.DUMMYFUNCTION("""COMPUTED_VALUE"""),"Motion Graphic Designer")</f>
        <v>Motion Graphic Designer</v>
      </c>
      <c r="F399" s="31" t="str">
        <f>IFERROR(__xludf.DUMMYFUNCTION("""COMPUTED_VALUE"""),"Design")</f>
        <v>Design</v>
      </c>
      <c r="G399" s="31" t="str">
        <f>IFERROR(__xludf.DUMMYFUNCTION("""COMPUTED_VALUE"""),"nitishnegi7409@gmail.com ")</f>
        <v>nitishnegi7409@gmail.com </v>
      </c>
      <c r="H399" s="31" t="str">
        <f>IFERROR(__xludf.DUMMYFUNCTION("""COMPUTED_VALUE"""),"Akshit Sharma")</f>
        <v>Akshit Sharma</v>
      </c>
      <c r="I399" s="75">
        <f>IFERROR(__xludf.DUMMYFUNCTION("""COMPUTED_VALUE"""),45736.0)</f>
        <v>45736</v>
      </c>
      <c r="J399" s="31" t="str">
        <f>IFERROR(__xludf.DUMMYFUNCTION("""COMPUTED_VALUE"""),"Nidhi Khedekar")</f>
        <v>Nidhi Khedekar</v>
      </c>
      <c r="K399" s="31" t="str">
        <f>IFERROR(__xludf.DUMMYFUNCTION("""COMPUTED_VALUE"""),"Offer Declined")</f>
        <v>Offer Declined</v>
      </c>
      <c r="L399" s="31" t="str">
        <f>IFERROR(__xludf.DUMMYFUNCTION("""COMPUTED_VALUE"""),"In Office")</f>
        <v>In Office</v>
      </c>
      <c r="M399" s="31"/>
      <c r="N399" s="31"/>
    </row>
    <row r="400">
      <c r="A400" s="74">
        <f>IFERROR(__xludf.DUMMYFUNCTION("""COMPUTED_VALUE"""),45748.0)</f>
        <v>45748</v>
      </c>
      <c r="B400" s="31" t="str">
        <f>IFERROR(__xludf.DUMMYFUNCTION("""COMPUTED_VALUE"""),"Yash Satwani")</f>
        <v>Yash Satwani</v>
      </c>
      <c r="C400" s="31" t="str">
        <f>IFERROR(__xludf.DUMMYFUNCTION("""COMPUTED_VALUE"""),"Data Science")</f>
        <v>Data Science</v>
      </c>
      <c r="D400" s="31">
        <f>IFERROR(__xludf.DUMMYFUNCTION("""COMPUTED_VALUE"""),8.218872092E9)</f>
        <v>8218872092</v>
      </c>
      <c r="E400" s="31" t="str">
        <f>IFERROR(__xludf.DUMMYFUNCTION("""COMPUTED_VALUE"""),"Data Scientist")</f>
        <v>Data Scientist</v>
      </c>
      <c r="F400" s="31" t="str">
        <f>IFERROR(__xludf.DUMMYFUNCTION("""COMPUTED_VALUE"""),"Data Science")</f>
        <v>Data Science</v>
      </c>
      <c r="G400" s="31" t="str">
        <f>IFERROR(__xludf.DUMMYFUNCTION("""COMPUTED_VALUE"""),"yash.satwani0@gmail.com")</f>
        <v>yash.satwani0@gmail.com</v>
      </c>
      <c r="H400" s="31" t="str">
        <f>IFERROR(__xludf.DUMMYFUNCTION("""COMPUTED_VALUE"""),"Sairam Mushyam")</f>
        <v>Sairam Mushyam</v>
      </c>
      <c r="I400" s="75">
        <f>IFERROR(__xludf.DUMMYFUNCTION("""COMPUTED_VALUE"""),45736.0)</f>
        <v>45736</v>
      </c>
      <c r="J400" s="31" t="str">
        <f>IFERROR(__xludf.DUMMYFUNCTION("""COMPUTED_VALUE"""),"Mamta Pandey")</f>
        <v>Mamta Pandey</v>
      </c>
      <c r="K400" s="31" t="str">
        <f>IFERROR(__xludf.DUMMYFUNCTION("""COMPUTED_VALUE"""),"Joined")</f>
        <v>Joined</v>
      </c>
      <c r="L400" s="31" t="str">
        <f>IFERROR(__xludf.DUMMYFUNCTION("""COMPUTED_VALUE"""),"In Office")</f>
        <v>In Office</v>
      </c>
      <c r="M400" s="31" t="str">
        <f>IFERROR(__xludf.DUMMYFUNCTION("""COMPUTED_VALUE"""),"yash.satwani@zupee.in")</f>
        <v>yash.satwani@zupee.in</v>
      </c>
      <c r="N400" s="31" t="str">
        <f>IFERROR(__xludf.DUMMYFUNCTION("""COMPUTED_VALUE"""),"FVYFQX5470")</f>
        <v>FVYFQX5470</v>
      </c>
    </row>
    <row r="401">
      <c r="A401" s="74">
        <f>IFERROR(__xludf.DUMMYFUNCTION("""COMPUTED_VALUE"""),45761.0)</f>
        <v>45761</v>
      </c>
      <c r="B401" s="31" t="str">
        <f>IFERROR(__xludf.DUMMYFUNCTION("""COMPUTED_VALUE"""),"Aryan Bahl")</f>
        <v>Aryan Bahl</v>
      </c>
      <c r="C401" s="31" t="str">
        <f>IFERROR(__xludf.DUMMYFUNCTION("""COMPUTED_VALUE"""),"Finance")</f>
        <v>Finance</v>
      </c>
      <c r="D401" s="31">
        <f>IFERROR(__xludf.DUMMYFUNCTION("""COMPUTED_VALUE"""),9.654379882E9)</f>
        <v>9654379882</v>
      </c>
      <c r="E401" s="31" t="str">
        <f>IFERROR(__xludf.DUMMYFUNCTION("""COMPUTED_VALUE"""),"Finance Intern")</f>
        <v>Finance Intern</v>
      </c>
      <c r="F401" s="31" t="str">
        <f>IFERROR(__xludf.DUMMYFUNCTION("""COMPUTED_VALUE"""),"Finance")</f>
        <v>Finance</v>
      </c>
      <c r="G401" s="31" t="str">
        <f>IFERROR(__xludf.DUMMYFUNCTION("""COMPUTED_VALUE"""),"	aryan1bahl@gmail.com")</f>
        <v>	aryan1bahl@gmail.com</v>
      </c>
      <c r="H401" s="31" t="str">
        <f>IFERROR(__xludf.DUMMYFUNCTION("""COMPUTED_VALUE"""),"Shashank Gupta")</f>
        <v>Shashank Gupta</v>
      </c>
      <c r="I401" s="75">
        <f>IFERROR(__xludf.DUMMYFUNCTION("""COMPUTED_VALUE"""),45741.0)</f>
        <v>45741</v>
      </c>
      <c r="J401" s="31" t="str">
        <f>IFERROR(__xludf.DUMMYFUNCTION("""COMPUTED_VALUE"""),"Nidhi Khedekar")</f>
        <v>Nidhi Khedekar</v>
      </c>
      <c r="K401" s="31" t="str">
        <f>IFERROR(__xludf.DUMMYFUNCTION("""COMPUTED_VALUE"""),"Joined")</f>
        <v>Joined</v>
      </c>
      <c r="L401" s="31" t="str">
        <f>IFERROR(__xludf.DUMMYFUNCTION("""COMPUTED_VALUE"""),"In Office")</f>
        <v>In Office</v>
      </c>
      <c r="M401" s="31"/>
      <c r="N401" s="31"/>
    </row>
    <row r="402">
      <c r="A402" s="74">
        <f>IFERROR(__xludf.DUMMYFUNCTION("""COMPUTED_VALUE"""),45749.0)</f>
        <v>45749</v>
      </c>
      <c r="B402" s="31" t="str">
        <f>IFERROR(__xludf.DUMMYFUNCTION("""COMPUTED_VALUE"""),"Mini Agarwal")</f>
        <v>Mini Agarwal</v>
      </c>
      <c r="C402" s="31" t="str">
        <f>IFERROR(__xludf.DUMMYFUNCTION("""COMPUTED_VALUE"""),"Customer Experience")</f>
        <v>Customer Experience</v>
      </c>
      <c r="D402" s="31">
        <f>IFERROR(__xludf.DUMMYFUNCTION("""COMPUTED_VALUE"""),9.039598227E9)</f>
        <v>9039598227</v>
      </c>
      <c r="E402" s="31" t="str">
        <f>IFERROR(__xludf.DUMMYFUNCTION("""COMPUTED_VALUE"""),"Relationship Manager
")</f>
        <v>Relationship Manager
</v>
      </c>
      <c r="F402" s="31" t="str">
        <f>IFERROR(__xludf.DUMMYFUNCTION("""COMPUTED_VALUE"""),"Customer Relation Management")</f>
        <v>Customer Relation Management</v>
      </c>
      <c r="G402" s="31" t="str">
        <f>IFERROR(__xludf.DUMMYFUNCTION("""COMPUTED_VALUE"""),"miniagrawal2025@gmail.com")</f>
        <v>miniagrawal2025@gmail.com</v>
      </c>
      <c r="H402" s="31" t="str">
        <f>IFERROR(__xludf.DUMMYFUNCTION("""COMPUTED_VALUE"""),"Shivam Bali")</f>
        <v>Shivam Bali</v>
      </c>
      <c r="I402" s="75">
        <f>IFERROR(__xludf.DUMMYFUNCTION("""COMPUTED_VALUE"""),45741.0)</f>
        <v>45741</v>
      </c>
      <c r="J402" s="31" t="str">
        <f>IFERROR(__xludf.DUMMYFUNCTION("""COMPUTED_VALUE"""),"Nidhi Khedekar")</f>
        <v>Nidhi Khedekar</v>
      </c>
      <c r="K402" s="31" t="str">
        <f>IFERROR(__xludf.DUMMYFUNCTION("""COMPUTED_VALUE"""),"Joined")</f>
        <v>Joined</v>
      </c>
      <c r="L402" s="31" t="str">
        <f>IFERROR(__xludf.DUMMYFUNCTION("""COMPUTED_VALUE"""),"In Office")</f>
        <v>In Office</v>
      </c>
      <c r="M402" s="31" t="str">
        <f>IFERROR(__xludf.DUMMYFUNCTION("""COMPUTED_VALUE"""),"mini.agarwal@zupee.in")</f>
        <v>mini.agarwal@zupee.in</v>
      </c>
      <c r="N402" s="31"/>
    </row>
    <row r="403">
      <c r="A403" s="74">
        <f>IFERROR(__xludf.DUMMYFUNCTION("""COMPUTED_VALUE"""),45749.0)</f>
        <v>45749</v>
      </c>
      <c r="B403" s="31" t="str">
        <f>IFERROR(__xludf.DUMMYFUNCTION("""COMPUTED_VALUE"""),"Kajal Kaim")</f>
        <v>Kajal Kaim</v>
      </c>
      <c r="C403" s="31" t="str">
        <f>IFERROR(__xludf.DUMMYFUNCTION("""COMPUTED_VALUE"""),"Customer Experience")</f>
        <v>Customer Experience</v>
      </c>
      <c r="D403" s="31">
        <f>IFERROR(__xludf.DUMMYFUNCTION("""COMPUTED_VALUE"""),8.585938528E9)</f>
        <v>8585938528</v>
      </c>
      <c r="E403" s="31" t="str">
        <f>IFERROR(__xludf.DUMMYFUNCTION("""COMPUTED_VALUE"""),"Relationship Manager
")</f>
        <v>Relationship Manager
</v>
      </c>
      <c r="F403" s="31" t="str">
        <f>IFERROR(__xludf.DUMMYFUNCTION("""COMPUTED_VALUE"""),"Customer Relation Management")</f>
        <v>Customer Relation Management</v>
      </c>
      <c r="G403" s="31" t="str">
        <f>IFERROR(__xludf.DUMMYFUNCTION("""COMPUTED_VALUE"""),"kajalkaim1015@gmail.com")</f>
        <v>kajalkaim1015@gmail.com</v>
      </c>
      <c r="H403" s="31" t="str">
        <f>IFERROR(__xludf.DUMMYFUNCTION("""COMPUTED_VALUE"""),"Shivam Bali")</f>
        <v>Shivam Bali</v>
      </c>
      <c r="I403" s="75">
        <f>IFERROR(__xludf.DUMMYFUNCTION("""COMPUTED_VALUE"""),45741.0)</f>
        <v>45741</v>
      </c>
      <c r="J403" s="31" t="str">
        <f>IFERROR(__xludf.DUMMYFUNCTION("""COMPUTED_VALUE"""),"Nidhi Khedekar")</f>
        <v>Nidhi Khedekar</v>
      </c>
      <c r="K403" s="31" t="str">
        <f>IFERROR(__xludf.DUMMYFUNCTION("""COMPUTED_VALUE"""),"Joined")</f>
        <v>Joined</v>
      </c>
      <c r="L403" s="31" t="str">
        <f>IFERROR(__xludf.DUMMYFUNCTION("""COMPUTED_VALUE"""),"In Office")</f>
        <v>In Office</v>
      </c>
      <c r="M403" s="31" t="str">
        <f>IFERROR(__xludf.DUMMYFUNCTION("""COMPUTED_VALUE"""),"kajal.kaim@zupee.in")</f>
        <v>kajal.kaim@zupee.in</v>
      </c>
      <c r="N403" s="31" t="str">
        <f>IFERROR(__xludf.DUMMYFUNCTION("""COMPUTED_VALUE"""),"PG04QR92")</f>
        <v>PG04QR92</v>
      </c>
    </row>
    <row r="404">
      <c r="A404" s="74">
        <f>IFERROR(__xludf.DUMMYFUNCTION("""COMPUTED_VALUE"""),45748.0)</f>
        <v>45748</v>
      </c>
      <c r="B404" s="31" t="str">
        <f>IFERROR(__xludf.DUMMYFUNCTION("""COMPUTED_VALUE"""),"Dev Peshawari")</f>
        <v>Dev Peshawari</v>
      </c>
      <c r="C404" s="31" t="str">
        <f>IFERROR(__xludf.DUMMYFUNCTION("""COMPUTED_VALUE"""),"Technology")</f>
        <v>Technology</v>
      </c>
      <c r="D404" s="31">
        <f>IFERROR(__xludf.DUMMYFUNCTION("""COMPUTED_VALUE"""),8.368431604E9)</f>
        <v>8368431604</v>
      </c>
      <c r="E404" s="31" t="str">
        <f>IFERROR(__xludf.DUMMYFUNCTION("""COMPUTED_VALUE"""),"Software Engineer Intern ")</f>
        <v>Software Engineer Intern </v>
      </c>
      <c r="F404" s="31" t="str">
        <f>IFERROR(__xludf.DUMMYFUNCTION("""COMPUTED_VALUE"""),"Engineering")</f>
        <v>Engineering</v>
      </c>
      <c r="G404" s="31" t="str">
        <f>IFERROR(__xludf.DUMMYFUNCTION("""COMPUTED_VALUE"""),"dev.peshawari@gmail.com ")</f>
        <v>dev.peshawari@gmail.com </v>
      </c>
      <c r="H404" s="31"/>
      <c r="I404" s="75">
        <f>IFERROR(__xludf.DUMMYFUNCTION("""COMPUTED_VALUE"""),45742.0)</f>
        <v>45742</v>
      </c>
      <c r="J404" s="31" t="str">
        <f>IFERROR(__xludf.DUMMYFUNCTION("""COMPUTED_VALUE"""),"Nidhi Khedekar")</f>
        <v>Nidhi Khedekar</v>
      </c>
      <c r="K404" s="31" t="str">
        <f>IFERROR(__xludf.DUMMYFUNCTION("""COMPUTED_VALUE"""),"Joined")</f>
        <v>Joined</v>
      </c>
      <c r="L404" s="31" t="str">
        <f>IFERROR(__xludf.DUMMYFUNCTION("""COMPUTED_VALUE"""),"In Office")</f>
        <v>In Office</v>
      </c>
      <c r="M404" s="31" t="str">
        <f>IFERROR(__xludf.DUMMYFUNCTION("""COMPUTED_VALUE"""),"dev.peshawari@zupee.in")</f>
        <v>dev.peshawari@zupee.in</v>
      </c>
      <c r="N404" s="31"/>
    </row>
    <row r="405">
      <c r="A405" s="74">
        <f>IFERROR(__xludf.DUMMYFUNCTION("""COMPUTED_VALUE"""),45839.0)</f>
        <v>45839</v>
      </c>
      <c r="B405" s="31" t="str">
        <f>IFERROR(__xludf.DUMMYFUNCTION("""COMPUTED_VALUE"""),"Dev Peshawari")</f>
        <v>Dev Peshawari</v>
      </c>
      <c r="C405" s="31" t="str">
        <f>IFERROR(__xludf.DUMMYFUNCTION("""COMPUTED_VALUE"""),"Technology")</f>
        <v>Technology</v>
      </c>
      <c r="D405" s="31">
        <f>IFERROR(__xludf.DUMMYFUNCTION("""COMPUTED_VALUE"""),8.368431604E9)</f>
        <v>8368431604</v>
      </c>
      <c r="E405" s="31" t="str">
        <f>IFERROR(__xludf.DUMMYFUNCTION("""COMPUTED_VALUE"""),"Software Engineer")</f>
        <v>Software Engineer</v>
      </c>
      <c r="F405" s="31" t="str">
        <f>IFERROR(__xludf.DUMMYFUNCTION("""COMPUTED_VALUE"""),"Engineering")</f>
        <v>Engineering</v>
      </c>
      <c r="G405" s="31" t="str">
        <f>IFERROR(__xludf.DUMMYFUNCTION("""COMPUTED_VALUE"""),"dev.peshawari@gmail.com ")</f>
        <v>dev.peshawari@gmail.com </v>
      </c>
      <c r="H405" s="31"/>
      <c r="I405" s="75">
        <f>IFERROR(__xludf.DUMMYFUNCTION("""COMPUTED_VALUE"""),45742.0)</f>
        <v>45742</v>
      </c>
      <c r="J405" s="31" t="str">
        <f>IFERROR(__xludf.DUMMYFUNCTION("""COMPUTED_VALUE"""),"Nidhi Khedekar")</f>
        <v>Nidhi Khedekar</v>
      </c>
      <c r="K405" s="31" t="str">
        <f>IFERROR(__xludf.DUMMYFUNCTION("""COMPUTED_VALUE"""),"Joined")</f>
        <v>Joined</v>
      </c>
      <c r="L405" s="31" t="str">
        <f>IFERROR(__xludf.DUMMYFUNCTION("""COMPUTED_VALUE"""),"In Office")</f>
        <v>In Office</v>
      </c>
      <c r="M405" s="31" t="str">
        <f>IFERROR(__xludf.DUMMYFUNCTION("""COMPUTED_VALUE"""),"dev.peshawari@zupee.in")</f>
        <v>dev.peshawari@zupee.in</v>
      </c>
      <c r="N405" s="31"/>
    </row>
    <row r="406">
      <c r="A406" s="74">
        <f>IFERROR(__xludf.DUMMYFUNCTION("""COMPUTED_VALUE"""),45748.0)</f>
        <v>45748</v>
      </c>
      <c r="B406" s="31" t="str">
        <f>IFERROR(__xludf.DUMMYFUNCTION("""COMPUTED_VALUE"""),"Ayush Kumar")</f>
        <v>Ayush Kumar</v>
      </c>
      <c r="C406" s="31" t="str">
        <f>IFERROR(__xludf.DUMMYFUNCTION("""COMPUTED_VALUE"""),"Technology")</f>
        <v>Technology</v>
      </c>
      <c r="D406" s="31">
        <f>IFERROR(__xludf.DUMMYFUNCTION("""COMPUTED_VALUE"""),9.599807109E9)</f>
        <v>9599807109</v>
      </c>
      <c r="E406" s="31" t="str">
        <f>IFERROR(__xludf.DUMMYFUNCTION("""COMPUTED_VALUE"""),"Software Engineer Intern ")</f>
        <v>Software Engineer Intern </v>
      </c>
      <c r="F406" s="31" t="str">
        <f>IFERROR(__xludf.DUMMYFUNCTION("""COMPUTED_VALUE"""),"Engineering")</f>
        <v>Engineering</v>
      </c>
      <c r="G406" s="31" t="str">
        <f>IFERROR(__xludf.DUMMYFUNCTION("""COMPUTED_VALUE"""),"ayushkumar_it21a9_06@dtu.ac.in")</f>
        <v>ayushkumar_it21a9_06@dtu.ac.in</v>
      </c>
      <c r="H406" s="31"/>
      <c r="I406" s="75">
        <f>IFERROR(__xludf.DUMMYFUNCTION("""COMPUTED_VALUE"""),45742.0)</f>
        <v>45742</v>
      </c>
      <c r="J406" s="31" t="str">
        <f>IFERROR(__xludf.DUMMYFUNCTION("""COMPUTED_VALUE"""),"Nidhi Khedekar")</f>
        <v>Nidhi Khedekar</v>
      </c>
      <c r="K406" s="31" t="str">
        <f>IFERROR(__xludf.DUMMYFUNCTION("""COMPUTED_VALUE"""),"Joined")</f>
        <v>Joined</v>
      </c>
      <c r="L406" s="31" t="str">
        <f>IFERROR(__xludf.DUMMYFUNCTION("""COMPUTED_VALUE"""),"In Office")</f>
        <v>In Office</v>
      </c>
      <c r="M406" s="31"/>
      <c r="N406" s="31"/>
    </row>
    <row r="407">
      <c r="A407" s="74">
        <f>IFERROR(__xludf.DUMMYFUNCTION("""COMPUTED_VALUE"""),45839.0)</f>
        <v>45839</v>
      </c>
      <c r="B407" s="31" t="str">
        <f>IFERROR(__xludf.DUMMYFUNCTION("""COMPUTED_VALUE"""),"Ayush Kumar")</f>
        <v>Ayush Kumar</v>
      </c>
      <c r="C407" s="31" t="str">
        <f>IFERROR(__xludf.DUMMYFUNCTION("""COMPUTED_VALUE"""),"Technology")</f>
        <v>Technology</v>
      </c>
      <c r="D407" s="31">
        <f>IFERROR(__xludf.DUMMYFUNCTION("""COMPUTED_VALUE"""),9.599807109E9)</f>
        <v>9599807109</v>
      </c>
      <c r="E407" s="31" t="str">
        <f>IFERROR(__xludf.DUMMYFUNCTION("""COMPUTED_VALUE"""),"Software Engineer")</f>
        <v>Software Engineer</v>
      </c>
      <c r="F407" s="31" t="str">
        <f>IFERROR(__xludf.DUMMYFUNCTION("""COMPUTED_VALUE"""),"Engineering")</f>
        <v>Engineering</v>
      </c>
      <c r="G407" s="31" t="str">
        <f>IFERROR(__xludf.DUMMYFUNCTION("""COMPUTED_VALUE"""),"ayushkumar_it21a9_06@dtu.ac.in")</f>
        <v>ayushkumar_it21a9_06@dtu.ac.in</v>
      </c>
      <c r="H407" s="31"/>
      <c r="I407" s="75">
        <f>IFERROR(__xludf.DUMMYFUNCTION("""COMPUTED_VALUE"""),45742.0)</f>
        <v>45742</v>
      </c>
      <c r="J407" s="31" t="str">
        <f>IFERROR(__xludf.DUMMYFUNCTION("""COMPUTED_VALUE"""),"Nidhi Khedekar")</f>
        <v>Nidhi Khedekar</v>
      </c>
      <c r="K407" s="31" t="str">
        <f>IFERROR(__xludf.DUMMYFUNCTION("""COMPUTED_VALUE"""),"Joined")</f>
        <v>Joined</v>
      </c>
      <c r="L407" s="31" t="str">
        <f>IFERROR(__xludf.DUMMYFUNCTION("""COMPUTED_VALUE"""),"In Office")</f>
        <v>In Office</v>
      </c>
      <c r="M407" s="31"/>
      <c r="N407" s="31"/>
    </row>
    <row r="408">
      <c r="A408" s="74">
        <f>IFERROR(__xludf.DUMMYFUNCTION("""COMPUTED_VALUE"""),45748.0)</f>
        <v>45748</v>
      </c>
      <c r="B408" s="31" t="str">
        <f>IFERROR(__xludf.DUMMYFUNCTION("""COMPUTED_VALUE"""),"Mohit")</f>
        <v>Mohit</v>
      </c>
      <c r="C408" s="31" t="str">
        <f>IFERROR(__xludf.DUMMYFUNCTION("""COMPUTED_VALUE"""),"Technology")</f>
        <v>Technology</v>
      </c>
      <c r="D408" s="31">
        <f>IFERROR(__xludf.DUMMYFUNCTION("""COMPUTED_VALUE"""),9.027089192E9)</f>
        <v>9027089192</v>
      </c>
      <c r="E408" s="31" t="str">
        <f>IFERROR(__xludf.DUMMYFUNCTION("""COMPUTED_VALUE"""),"Software Engineer Intern ")</f>
        <v>Software Engineer Intern </v>
      </c>
      <c r="F408" s="31" t="str">
        <f>IFERROR(__xludf.DUMMYFUNCTION("""COMPUTED_VALUE"""),"Engineering")</f>
        <v>Engineering</v>
      </c>
      <c r="G408" s="31" t="str">
        <f>IFERROR(__xludf.DUMMYFUNCTION("""COMPUTED_VALUE"""),"officialmohittanwar@gmail.com")</f>
        <v>officialmohittanwar@gmail.com</v>
      </c>
      <c r="H408" s="31"/>
      <c r="I408" s="75">
        <f>IFERROR(__xludf.DUMMYFUNCTION("""COMPUTED_VALUE"""),45742.0)</f>
        <v>45742</v>
      </c>
      <c r="J408" s="31" t="str">
        <f>IFERROR(__xludf.DUMMYFUNCTION("""COMPUTED_VALUE"""),"Mamta Pandey")</f>
        <v>Mamta Pandey</v>
      </c>
      <c r="K408" s="31" t="str">
        <f>IFERROR(__xludf.DUMMYFUNCTION("""COMPUTED_VALUE"""),"Joined")</f>
        <v>Joined</v>
      </c>
      <c r="L408" s="31" t="str">
        <f>IFERROR(__xludf.DUMMYFUNCTION("""COMPUTED_VALUE"""),"In Office")</f>
        <v>In Office</v>
      </c>
      <c r="M408" s="31"/>
      <c r="N408" s="31"/>
    </row>
    <row r="409">
      <c r="A409" s="74">
        <f>IFERROR(__xludf.DUMMYFUNCTION("""COMPUTED_VALUE"""),45839.0)</f>
        <v>45839</v>
      </c>
      <c r="B409" s="31" t="str">
        <f>IFERROR(__xludf.DUMMYFUNCTION("""COMPUTED_VALUE"""),"Mohit")</f>
        <v>Mohit</v>
      </c>
      <c r="C409" s="31" t="str">
        <f>IFERROR(__xludf.DUMMYFUNCTION("""COMPUTED_VALUE"""),"Technology")</f>
        <v>Technology</v>
      </c>
      <c r="D409" s="31">
        <f>IFERROR(__xludf.DUMMYFUNCTION("""COMPUTED_VALUE"""),9.027089192E9)</f>
        <v>9027089192</v>
      </c>
      <c r="E409" s="31" t="str">
        <f>IFERROR(__xludf.DUMMYFUNCTION("""COMPUTED_VALUE"""),"Software Engineer")</f>
        <v>Software Engineer</v>
      </c>
      <c r="F409" s="31" t="str">
        <f>IFERROR(__xludf.DUMMYFUNCTION("""COMPUTED_VALUE"""),"Engineering")</f>
        <v>Engineering</v>
      </c>
      <c r="G409" s="31" t="str">
        <f>IFERROR(__xludf.DUMMYFUNCTION("""COMPUTED_VALUE"""),"officialmohittanwar@gmail.com")</f>
        <v>officialmohittanwar@gmail.com</v>
      </c>
      <c r="H409" s="31"/>
      <c r="I409" s="75">
        <f>IFERROR(__xludf.DUMMYFUNCTION("""COMPUTED_VALUE"""),45742.0)</f>
        <v>45742</v>
      </c>
      <c r="J409" s="31" t="str">
        <f>IFERROR(__xludf.DUMMYFUNCTION("""COMPUTED_VALUE"""),"Mamta Pandey")</f>
        <v>Mamta Pandey</v>
      </c>
      <c r="K409" s="31" t="str">
        <f>IFERROR(__xludf.DUMMYFUNCTION("""COMPUTED_VALUE"""),"Joined")</f>
        <v>Joined</v>
      </c>
      <c r="L409" s="31" t="str">
        <f>IFERROR(__xludf.DUMMYFUNCTION("""COMPUTED_VALUE"""),"In Office")</f>
        <v>In Office</v>
      </c>
      <c r="M409" s="31"/>
      <c r="N409" s="31"/>
    </row>
    <row r="410">
      <c r="A410" s="74">
        <f>IFERROR(__xludf.DUMMYFUNCTION("""COMPUTED_VALUE"""),45748.0)</f>
        <v>45748</v>
      </c>
      <c r="B410" s="31" t="str">
        <f>IFERROR(__xludf.DUMMYFUNCTION("""COMPUTED_VALUE"""),"Harsh Raghuvanshi")</f>
        <v>Harsh Raghuvanshi</v>
      </c>
      <c r="C410" s="31" t="str">
        <f>IFERROR(__xludf.DUMMYFUNCTION("""COMPUTED_VALUE"""),"Technology")</f>
        <v>Technology</v>
      </c>
      <c r="D410" s="31">
        <f>IFERROR(__xludf.DUMMYFUNCTION("""COMPUTED_VALUE"""),8.882247118E9)</f>
        <v>8882247118</v>
      </c>
      <c r="E410" s="31" t="str">
        <f>IFERROR(__xludf.DUMMYFUNCTION("""COMPUTED_VALUE"""),"Software Engineer Intern ")</f>
        <v>Software Engineer Intern </v>
      </c>
      <c r="F410" s="31" t="str">
        <f>IFERROR(__xludf.DUMMYFUNCTION("""COMPUTED_VALUE"""),"Engineering")</f>
        <v>Engineering</v>
      </c>
      <c r="G410" s="31" t="str">
        <f>IFERROR(__xludf.DUMMYFUNCTION("""COMPUTED_VALUE"""),"harshrghvnsh@gmail.com")</f>
        <v>harshrghvnsh@gmail.com</v>
      </c>
      <c r="H410" s="31"/>
      <c r="I410" s="75">
        <f>IFERROR(__xludf.DUMMYFUNCTION("""COMPUTED_VALUE"""),45742.0)</f>
        <v>45742</v>
      </c>
      <c r="J410" s="31" t="str">
        <f>IFERROR(__xludf.DUMMYFUNCTION("""COMPUTED_VALUE"""),"Mamta Pandey")</f>
        <v>Mamta Pandey</v>
      </c>
      <c r="K410" s="31" t="str">
        <f>IFERROR(__xludf.DUMMYFUNCTION("""COMPUTED_VALUE"""),"Joined")</f>
        <v>Joined</v>
      </c>
      <c r="L410" s="31" t="str">
        <f>IFERROR(__xludf.DUMMYFUNCTION("""COMPUTED_VALUE"""),"In Office")</f>
        <v>In Office</v>
      </c>
      <c r="M410" s="31" t="str">
        <f>IFERROR(__xludf.DUMMYFUNCTION("""COMPUTED_VALUE"""),"harsh.raghuvanshi@zupee.in")</f>
        <v>harsh.raghuvanshi@zupee.in</v>
      </c>
      <c r="N410" s="31"/>
    </row>
    <row r="411">
      <c r="A411" s="74">
        <f>IFERROR(__xludf.DUMMYFUNCTION("""COMPUTED_VALUE"""),45839.0)</f>
        <v>45839</v>
      </c>
      <c r="B411" s="31" t="str">
        <f>IFERROR(__xludf.DUMMYFUNCTION("""COMPUTED_VALUE"""),"Harsh Raghuvanshi")</f>
        <v>Harsh Raghuvanshi</v>
      </c>
      <c r="C411" s="31" t="str">
        <f>IFERROR(__xludf.DUMMYFUNCTION("""COMPUTED_VALUE"""),"Technology")</f>
        <v>Technology</v>
      </c>
      <c r="D411" s="31">
        <f>IFERROR(__xludf.DUMMYFUNCTION("""COMPUTED_VALUE"""),8.882247118E9)</f>
        <v>8882247118</v>
      </c>
      <c r="E411" s="31" t="str">
        <f>IFERROR(__xludf.DUMMYFUNCTION("""COMPUTED_VALUE"""),"Software Engineer")</f>
        <v>Software Engineer</v>
      </c>
      <c r="F411" s="31" t="str">
        <f>IFERROR(__xludf.DUMMYFUNCTION("""COMPUTED_VALUE"""),"Engineering")</f>
        <v>Engineering</v>
      </c>
      <c r="G411" s="31" t="str">
        <f>IFERROR(__xludf.DUMMYFUNCTION("""COMPUTED_VALUE"""),"harshrghvnsh@gmail.com")</f>
        <v>harshrghvnsh@gmail.com</v>
      </c>
      <c r="H411" s="31"/>
      <c r="I411" s="75">
        <f>IFERROR(__xludf.DUMMYFUNCTION("""COMPUTED_VALUE"""),45742.0)</f>
        <v>45742</v>
      </c>
      <c r="J411" s="31" t="str">
        <f>IFERROR(__xludf.DUMMYFUNCTION("""COMPUTED_VALUE"""),"Mamta Pandey")</f>
        <v>Mamta Pandey</v>
      </c>
      <c r="K411" s="31" t="str">
        <f>IFERROR(__xludf.DUMMYFUNCTION("""COMPUTED_VALUE"""),"Joined")</f>
        <v>Joined</v>
      </c>
      <c r="L411" s="31" t="str">
        <f>IFERROR(__xludf.DUMMYFUNCTION("""COMPUTED_VALUE"""),"In Office")</f>
        <v>In Office</v>
      </c>
      <c r="M411" s="31" t="str">
        <f>IFERROR(__xludf.DUMMYFUNCTION("""COMPUTED_VALUE"""),"harsh.raghuvanshi@zupee.in")</f>
        <v>harsh.raghuvanshi@zupee.in</v>
      </c>
      <c r="N411" s="31"/>
    </row>
    <row r="412">
      <c r="A412" s="74">
        <f>IFERROR(__xludf.DUMMYFUNCTION("""COMPUTED_VALUE"""),45758.0)</f>
        <v>45758</v>
      </c>
      <c r="B412" s="31" t="str">
        <f>IFERROR(__xludf.DUMMYFUNCTION("""COMPUTED_VALUE"""),"Rohit Raj")</f>
        <v>Rohit Raj</v>
      </c>
      <c r="C412" s="31" t="str">
        <f>IFERROR(__xludf.DUMMYFUNCTION("""COMPUTED_VALUE"""),"Technology")</f>
        <v>Technology</v>
      </c>
      <c r="D412" s="31">
        <f>IFERROR(__xludf.DUMMYFUNCTION("""COMPUTED_VALUE"""),8.920723622E9)</f>
        <v>8920723622</v>
      </c>
      <c r="E412" s="31" t="str">
        <f>IFERROR(__xludf.DUMMYFUNCTION("""COMPUTED_VALUE"""),"Software Engineer Intern ")</f>
        <v>Software Engineer Intern </v>
      </c>
      <c r="F412" s="31" t="str">
        <f>IFERROR(__xludf.DUMMYFUNCTION("""COMPUTED_VALUE"""),"Engineering")</f>
        <v>Engineering</v>
      </c>
      <c r="G412" s="31" t="str">
        <f>IFERROR(__xludf.DUMMYFUNCTION("""COMPUTED_VALUE"""),"rohitrraj015@gmail.com")</f>
        <v>rohitrraj015@gmail.com</v>
      </c>
      <c r="H412" s="31"/>
      <c r="I412" s="75">
        <f>IFERROR(__xludf.DUMMYFUNCTION("""COMPUTED_VALUE"""),45742.0)</f>
        <v>45742</v>
      </c>
      <c r="J412" s="31" t="str">
        <f>IFERROR(__xludf.DUMMYFUNCTION("""COMPUTED_VALUE"""),"Nidhi Khedekar")</f>
        <v>Nidhi Khedekar</v>
      </c>
      <c r="K412" s="31" t="str">
        <f>IFERROR(__xludf.DUMMYFUNCTION("""COMPUTED_VALUE"""),"Joined")</f>
        <v>Joined</v>
      </c>
      <c r="L412" s="31" t="str">
        <f>IFERROR(__xludf.DUMMYFUNCTION("""COMPUTED_VALUE"""),"In Office")</f>
        <v>In Office</v>
      </c>
      <c r="M412" s="31" t="str">
        <f>IFERROR(__xludf.DUMMYFUNCTION("""COMPUTED_VALUE"""),"rohit.raj@zupee.in")</f>
        <v>rohit.raj@zupee.in</v>
      </c>
      <c r="N412" s="31"/>
    </row>
    <row r="413">
      <c r="A413" s="74">
        <f>IFERROR(__xludf.DUMMYFUNCTION("""COMPUTED_VALUE"""),45839.0)</f>
        <v>45839</v>
      </c>
      <c r="B413" s="31" t="str">
        <f>IFERROR(__xludf.DUMMYFUNCTION("""COMPUTED_VALUE"""),"Rohit Raj")</f>
        <v>Rohit Raj</v>
      </c>
      <c r="C413" s="31" t="str">
        <f>IFERROR(__xludf.DUMMYFUNCTION("""COMPUTED_VALUE"""),"Technology")</f>
        <v>Technology</v>
      </c>
      <c r="D413" s="31">
        <f>IFERROR(__xludf.DUMMYFUNCTION("""COMPUTED_VALUE"""),8.920723622E9)</f>
        <v>8920723622</v>
      </c>
      <c r="E413" s="31" t="str">
        <f>IFERROR(__xludf.DUMMYFUNCTION("""COMPUTED_VALUE"""),"Software Engineer")</f>
        <v>Software Engineer</v>
      </c>
      <c r="F413" s="31" t="str">
        <f>IFERROR(__xludf.DUMMYFUNCTION("""COMPUTED_VALUE"""),"Engineering")</f>
        <v>Engineering</v>
      </c>
      <c r="G413" s="31" t="str">
        <f>IFERROR(__xludf.DUMMYFUNCTION("""COMPUTED_VALUE"""),"rohitrraj015@gmail.com")</f>
        <v>rohitrraj015@gmail.com</v>
      </c>
      <c r="H413" s="31"/>
      <c r="I413" s="75">
        <f>IFERROR(__xludf.DUMMYFUNCTION("""COMPUTED_VALUE"""),45742.0)</f>
        <v>45742</v>
      </c>
      <c r="J413" s="31" t="str">
        <f>IFERROR(__xludf.DUMMYFUNCTION("""COMPUTED_VALUE"""),"Nidhi Khedekar")</f>
        <v>Nidhi Khedekar</v>
      </c>
      <c r="K413" s="31" t="str">
        <f>IFERROR(__xludf.DUMMYFUNCTION("""COMPUTED_VALUE"""),"Joined")</f>
        <v>Joined</v>
      </c>
      <c r="L413" s="31" t="str">
        <f>IFERROR(__xludf.DUMMYFUNCTION("""COMPUTED_VALUE"""),"In Office")</f>
        <v>In Office</v>
      </c>
      <c r="M413" s="31" t="str">
        <f>IFERROR(__xludf.DUMMYFUNCTION("""COMPUTED_VALUE"""),"rohit.raj@zupee.in")</f>
        <v>rohit.raj@zupee.in</v>
      </c>
      <c r="N413" s="31"/>
    </row>
    <row r="414">
      <c r="A414" s="74">
        <f>IFERROR(__xludf.DUMMYFUNCTION("""COMPUTED_VALUE"""),45748.0)</f>
        <v>45748</v>
      </c>
      <c r="B414" s="31" t="str">
        <f>IFERROR(__xludf.DUMMYFUNCTION("""COMPUTED_VALUE"""),"Nikhil Kansotia")</f>
        <v>Nikhil Kansotia</v>
      </c>
      <c r="C414" s="31" t="str">
        <f>IFERROR(__xludf.DUMMYFUNCTION("""COMPUTED_VALUE"""),"Technology")</f>
        <v>Technology</v>
      </c>
      <c r="D414" s="31">
        <f>IFERROR(__xludf.DUMMYFUNCTION("""COMPUTED_VALUE"""),7.428947739E9)</f>
        <v>7428947739</v>
      </c>
      <c r="E414" s="31" t="str">
        <f>IFERROR(__xludf.DUMMYFUNCTION("""COMPUTED_VALUE"""),"Software Engineer Intern ")</f>
        <v>Software Engineer Intern </v>
      </c>
      <c r="F414" s="31" t="str">
        <f>IFERROR(__xludf.DUMMYFUNCTION("""COMPUTED_VALUE"""),"Engineering")</f>
        <v>Engineering</v>
      </c>
      <c r="G414" s="31" t="str">
        <f>IFERROR(__xludf.DUMMYFUNCTION("""COMPUTED_VALUE"""),"kansotianikhil92@gmail.com")</f>
        <v>kansotianikhil92@gmail.com</v>
      </c>
      <c r="H414" s="31"/>
      <c r="I414" s="75">
        <f>IFERROR(__xludf.DUMMYFUNCTION("""COMPUTED_VALUE"""),45743.0)</f>
        <v>45743</v>
      </c>
      <c r="J414" s="31" t="str">
        <f>IFERROR(__xludf.DUMMYFUNCTION("""COMPUTED_VALUE"""),"Nidhi Khedekar")</f>
        <v>Nidhi Khedekar</v>
      </c>
      <c r="K414" s="31" t="str">
        <f>IFERROR(__xludf.DUMMYFUNCTION("""COMPUTED_VALUE"""),"Joined")</f>
        <v>Joined</v>
      </c>
      <c r="L414" s="31" t="str">
        <f>IFERROR(__xludf.DUMMYFUNCTION("""COMPUTED_VALUE"""),"In Office")</f>
        <v>In Office</v>
      </c>
      <c r="M414" s="31" t="str">
        <f>IFERROR(__xludf.DUMMYFUNCTION("""COMPUTED_VALUE"""),"nikhil.kansotia@zupee.in")</f>
        <v>nikhil.kansotia@zupee.in</v>
      </c>
      <c r="N414" s="31"/>
    </row>
    <row r="415">
      <c r="A415" s="74">
        <f>IFERROR(__xludf.DUMMYFUNCTION("""COMPUTED_VALUE"""),45839.0)</f>
        <v>45839</v>
      </c>
      <c r="B415" s="31" t="str">
        <f>IFERROR(__xludf.DUMMYFUNCTION("""COMPUTED_VALUE"""),"Nikhil Kansotia")</f>
        <v>Nikhil Kansotia</v>
      </c>
      <c r="C415" s="31" t="str">
        <f>IFERROR(__xludf.DUMMYFUNCTION("""COMPUTED_VALUE"""),"Technology")</f>
        <v>Technology</v>
      </c>
      <c r="D415" s="31">
        <f>IFERROR(__xludf.DUMMYFUNCTION("""COMPUTED_VALUE"""),7.428947739E9)</f>
        <v>7428947739</v>
      </c>
      <c r="E415" s="31" t="str">
        <f>IFERROR(__xludf.DUMMYFUNCTION("""COMPUTED_VALUE"""),"Software Engineer")</f>
        <v>Software Engineer</v>
      </c>
      <c r="F415" s="31" t="str">
        <f>IFERROR(__xludf.DUMMYFUNCTION("""COMPUTED_VALUE"""),"Engineering")</f>
        <v>Engineering</v>
      </c>
      <c r="G415" s="31" t="str">
        <f>IFERROR(__xludf.DUMMYFUNCTION("""COMPUTED_VALUE"""),"kansotianikhil92@gmail.com")</f>
        <v>kansotianikhil92@gmail.com</v>
      </c>
      <c r="H415" s="31"/>
      <c r="I415" s="75">
        <f>IFERROR(__xludf.DUMMYFUNCTION("""COMPUTED_VALUE"""),45743.0)</f>
        <v>45743</v>
      </c>
      <c r="J415" s="31" t="str">
        <f>IFERROR(__xludf.DUMMYFUNCTION("""COMPUTED_VALUE"""),"Nidhi Khedekar")</f>
        <v>Nidhi Khedekar</v>
      </c>
      <c r="K415" s="31" t="str">
        <f>IFERROR(__xludf.DUMMYFUNCTION("""COMPUTED_VALUE"""),"Joined")</f>
        <v>Joined</v>
      </c>
      <c r="L415" s="31" t="str">
        <f>IFERROR(__xludf.DUMMYFUNCTION("""COMPUTED_VALUE"""),"In Office")</f>
        <v>In Office</v>
      </c>
      <c r="M415" s="31" t="str">
        <f>IFERROR(__xludf.DUMMYFUNCTION("""COMPUTED_VALUE"""),"nikhil.kansotia@zupee.in")</f>
        <v>nikhil.kansotia@zupee.in</v>
      </c>
      <c r="N415" s="31"/>
    </row>
    <row r="416">
      <c r="A416" s="74">
        <f>IFERROR(__xludf.DUMMYFUNCTION("""COMPUTED_VALUE"""),45748.0)</f>
        <v>45748</v>
      </c>
      <c r="B416" s="31" t="str">
        <f>IFERROR(__xludf.DUMMYFUNCTION("""COMPUTED_VALUE"""),"Aditya Garg")</f>
        <v>Aditya Garg</v>
      </c>
      <c r="C416" s="31" t="str">
        <f>IFERROR(__xludf.DUMMYFUNCTION("""COMPUTED_VALUE"""),"Technology")</f>
        <v>Technology</v>
      </c>
      <c r="D416" s="31">
        <f>IFERROR(__xludf.DUMMYFUNCTION("""COMPUTED_VALUE"""),7.40442037E9)</f>
        <v>7404420370</v>
      </c>
      <c r="E416" s="31" t="str">
        <f>IFERROR(__xludf.DUMMYFUNCTION("""COMPUTED_VALUE"""),"Software Engineer Intern ")</f>
        <v>Software Engineer Intern </v>
      </c>
      <c r="F416" s="31" t="str">
        <f>IFERROR(__xludf.DUMMYFUNCTION("""COMPUTED_VALUE"""),"Engineering")</f>
        <v>Engineering</v>
      </c>
      <c r="G416" s="31" t="str">
        <f>IFERROR(__xludf.DUMMYFUNCTION("""COMPUTED_VALUE"""),"adityagarg0911@gmail.com")</f>
        <v>adityagarg0911@gmail.com</v>
      </c>
      <c r="H416" s="31"/>
      <c r="I416" s="75">
        <f>IFERROR(__xludf.DUMMYFUNCTION("""COMPUTED_VALUE"""),45743.0)</f>
        <v>45743</v>
      </c>
      <c r="J416" s="31" t="str">
        <f>IFERROR(__xludf.DUMMYFUNCTION("""COMPUTED_VALUE"""),"Mamta Pandey")</f>
        <v>Mamta Pandey</v>
      </c>
      <c r="K416" s="31" t="str">
        <f>IFERROR(__xludf.DUMMYFUNCTION("""COMPUTED_VALUE"""),"Joined")</f>
        <v>Joined</v>
      </c>
      <c r="L416" s="31" t="str">
        <f>IFERROR(__xludf.DUMMYFUNCTION("""COMPUTED_VALUE"""),"In Office")</f>
        <v>In Office</v>
      </c>
      <c r="M416" s="31" t="str">
        <f>IFERROR(__xludf.DUMMYFUNCTION("""COMPUTED_VALUE"""),"aditya.garg@zupee.in")</f>
        <v>aditya.garg@zupee.in</v>
      </c>
      <c r="N416" s="31"/>
    </row>
    <row r="417">
      <c r="A417" s="74">
        <f>IFERROR(__xludf.DUMMYFUNCTION("""COMPUTED_VALUE"""),45839.0)</f>
        <v>45839</v>
      </c>
      <c r="B417" s="31" t="str">
        <f>IFERROR(__xludf.DUMMYFUNCTION("""COMPUTED_VALUE"""),"Aditya Garg")</f>
        <v>Aditya Garg</v>
      </c>
      <c r="C417" s="31" t="str">
        <f>IFERROR(__xludf.DUMMYFUNCTION("""COMPUTED_VALUE"""),"Technology")</f>
        <v>Technology</v>
      </c>
      <c r="D417" s="31">
        <f>IFERROR(__xludf.DUMMYFUNCTION("""COMPUTED_VALUE"""),7.40442037E9)</f>
        <v>7404420370</v>
      </c>
      <c r="E417" s="31" t="str">
        <f>IFERROR(__xludf.DUMMYFUNCTION("""COMPUTED_VALUE"""),"Software Engineer")</f>
        <v>Software Engineer</v>
      </c>
      <c r="F417" s="31" t="str">
        <f>IFERROR(__xludf.DUMMYFUNCTION("""COMPUTED_VALUE"""),"Engineering")</f>
        <v>Engineering</v>
      </c>
      <c r="G417" s="31" t="str">
        <f>IFERROR(__xludf.DUMMYFUNCTION("""COMPUTED_VALUE"""),"adityagarg0911@gmail.com")</f>
        <v>adityagarg0911@gmail.com</v>
      </c>
      <c r="H417" s="31"/>
      <c r="I417" s="75">
        <f>IFERROR(__xludf.DUMMYFUNCTION("""COMPUTED_VALUE"""),45743.0)</f>
        <v>45743</v>
      </c>
      <c r="J417" s="31" t="str">
        <f>IFERROR(__xludf.DUMMYFUNCTION("""COMPUTED_VALUE"""),"Mamta Pandey")</f>
        <v>Mamta Pandey</v>
      </c>
      <c r="K417" s="31" t="str">
        <f>IFERROR(__xludf.DUMMYFUNCTION("""COMPUTED_VALUE"""),"Joined")</f>
        <v>Joined</v>
      </c>
      <c r="L417" s="31" t="str">
        <f>IFERROR(__xludf.DUMMYFUNCTION("""COMPUTED_VALUE"""),"In Office")</f>
        <v>In Office</v>
      </c>
      <c r="M417" s="31" t="str">
        <f>IFERROR(__xludf.DUMMYFUNCTION("""COMPUTED_VALUE"""),"aditya.garg@zupee.in")</f>
        <v>aditya.garg@zupee.in</v>
      </c>
      <c r="N417" s="31"/>
    </row>
    <row r="418">
      <c r="A418" s="74">
        <f>IFERROR(__xludf.DUMMYFUNCTION("""COMPUTED_VALUE"""),45839.0)</f>
        <v>45839</v>
      </c>
      <c r="B418" s="31" t="str">
        <f>IFERROR(__xludf.DUMMYFUNCTION("""COMPUTED_VALUE"""),"Srijan Bhageria")</f>
        <v>Srijan Bhageria</v>
      </c>
      <c r="C418" s="31" t="str">
        <f>IFERROR(__xludf.DUMMYFUNCTION("""COMPUTED_VALUE"""),"Technology")</f>
        <v>Technology</v>
      </c>
      <c r="D418" s="31">
        <f>IFERROR(__xludf.DUMMYFUNCTION("""COMPUTED_VALUE"""),7.050421216E9)</f>
        <v>7050421216</v>
      </c>
      <c r="E418" s="31" t="str">
        <f>IFERROR(__xludf.DUMMYFUNCTION("""COMPUTED_VALUE"""),"Software Development Engineer in Test")</f>
        <v>Software Development Engineer in Test</v>
      </c>
      <c r="F418" s="31" t="str">
        <f>IFERROR(__xludf.DUMMYFUNCTION("""COMPUTED_VALUE"""),"SDET")</f>
        <v>SDET</v>
      </c>
      <c r="G418" s="31" t="str">
        <f>IFERROR(__xludf.DUMMYFUNCTION("""COMPUTED_VALUE"""),"	bhageria.srijan@gmail.com")</f>
        <v>	bhageria.srijan@gmail.com</v>
      </c>
      <c r="H418" s="31" t="str">
        <f>IFERROR(__xludf.DUMMYFUNCTION("""COMPUTED_VALUE"""),"Sahil Puri")</f>
        <v>Sahil Puri</v>
      </c>
      <c r="I418" s="75">
        <f>IFERROR(__xludf.DUMMYFUNCTION("""COMPUTED_VALUE"""),45743.0)</f>
        <v>45743</v>
      </c>
      <c r="J418" s="31" t="str">
        <f>IFERROR(__xludf.DUMMYFUNCTION("""COMPUTED_VALUE"""),"Mamta Pandey")</f>
        <v>Mamta Pandey</v>
      </c>
      <c r="K418" s="31" t="str">
        <f>IFERROR(__xludf.DUMMYFUNCTION("""COMPUTED_VALUE"""),"Joined")</f>
        <v>Joined</v>
      </c>
      <c r="L418" s="31" t="str">
        <f>IFERROR(__xludf.DUMMYFUNCTION("""COMPUTED_VALUE"""),"In Office")</f>
        <v>In Office</v>
      </c>
      <c r="M418" s="31" t="str">
        <f>IFERROR(__xludf.DUMMYFUNCTION("""COMPUTED_VALUE"""),"srijan.bhageria@zupee.in")</f>
        <v>srijan.bhageria@zupee.in</v>
      </c>
      <c r="N418" s="31" t="str">
        <f>IFERROR(__xludf.DUMMYFUNCTION("""COMPUTED_VALUE"""),"JK74211FHQ")</f>
        <v>JK74211FHQ</v>
      </c>
    </row>
    <row r="419">
      <c r="A419" s="74">
        <f>IFERROR(__xludf.DUMMYFUNCTION("""COMPUTED_VALUE"""),45748.0)</f>
        <v>45748</v>
      </c>
      <c r="B419" s="31" t="str">
        <f>IFERROR(__xludf.DUMMYFUNCTION("""COMPUTED_VALUE"""),"Sachin Tanwar")</f>
        <v>Sachin Tanwar</v>
      </c>
      <c r="C419" s="31" t="str">
        <f>IFERROR(__xludf.DUMMYFUNCTION("""COMPUTED_VALUE"""),"Technology")</f>
        <v>Technology</v>
      </c>
      <c r="D419" s="31">
        <f>IFERROR(__xludf.DUMMYFUNCTION("""COMPUTED_VALUE"""),9.911188642E9)</f>
        <v>9911188642</v>
      </c>
      <c r="E419" s="31" t="str">
        <f>IFERROR(__xludf.DUMMYFUNCTION("""COMPUTED_VALUE"""),"Senior Software Development Engineer in Test")</f>
        <v>Senior Software Development Engineer in Test</v>
      </c>
      <c r="F419" s="31" t="str">
        <f>IFERROR(__xludf.DUMMYFUNCTION("""COMPUTED_VALUE"""),"SDET")</f>
        <v>SDET</v>
      </c>
      <c r="G419" s="31" t="str">
        <f>IFERROR(__xludf.DUMMYFUNCTION("""COMPUTED_VALUE"""),"tanwarsachin2803@gmail.com")</f>
        <v>tanwarsachin2803@gmail.com</v>
      </c>
      <c r="H419" s="31" t="str">
        <f>IFERROR(__xludf.DUMMYFUNCTION("""COMPUTED_VALUE"""),"Sahil Puri")</f>
        <v>Sahil Puri</v>
      </c>
      <c r="I419" s="75">
        <f>IFERROR(__xludf.DUMMYFUNCTION("""COMPUTED_VALUE"""),45743.0)</f>
        <v>45743</v>
      </c>
      <c r="J419" s="31" t="str">
        <f>IFERROR(__xludf.DUMMYFUNCTION("""COMPUTED_VALUE"""),"Mamta Pandey")</f>
        <v>Mamta Pandey</v>
      </c>
      <c r="K419" s="31" t="str">
        <f>IFERROR(__xludf.DUMMYFUNCTION("""COMPUTED_VALUE"""),"Joined")</f>
        <v>Joined</v>
      </c>
      <c r="L419" s="31" t="str">
        <f>IFERROR(__xludf.DUMMYFUNCTION("""COMPUTED_VALUE"""),"In Office")</f>
        <v>In Office</v>
      </c>
      <c r="M419" s="31" t="str">
        <f>IFERROR(__xludf.DUMMYFUNCTION("""COMPUTED_VALUE"""),"sachin.tanwar@zupee.in")</f>
        <v>sachin.tanwar@zupee.in</v>
      </c>
      <c r="N419" s="31"/>
    </row>
    <row r="420">
      <c r="A420" s="74">
        <f>IFERROR(__xludf.DUMMYFUNCTION("""COMPUTED_VALUE"""),45749.0)</f>
        <v>45749</v>
      </c>
      <c r="B420" s="31" t="str">
        <f>IFERROR(__xludf.DUMMYFUNCTION("""COMPUTED_VALUE"""),"Atul Kumar Sangwan")</f>
        <v>Atul Kumar Sangwan</v>
      </c>
      <c r="C420" s="31" t="str">
        <f>IFERROR(__xludf.DUMMYFUNCTION("""COMPUTED_VALUE"""),"Customer Experience")</f>
        <v>Customer Experience</v>
      </c>
      <c r="D420" s="31">
        <f>IFERROR(__xludf.DUMMYFUNCTION("""COMPUTED_VALUE"""),8.510901001E9)</f>
        <v>8510901001</v>
      </c>
      <c r="E420" s="31" t="str">
        <f>IFERROR(__xludf.DUMMYFUNCTION("""COMPUTED_VALUE"""),"Relationship Manager")</f>
        <v>Relationship Manager</v>
      </c>
      <c r="F420" s="31" t="str">
        <f>IFERROR(__xludf.DUMMYFUNCTION("""COMPUTED_VALUE"""),"Customer Relation Management")</f>
        <v>Customer Relation Management</v>
      </c>
      <c r="G420" s="31" t="str">
        <f>IFERROR(__xludf.DUMMYFUNCTION("""COMPUTED_VALUE"""),"vanshsangwan1001@gmail.com")</f>
        <v>vanshsangwan1001@gmail.com</v>
      </c>
      <c r="H420" s="31" t="str">
        <f>IFERROR(__xludf.DUMMYFUNCTION("""COMPUTED_VALUE"""),"Shivam Bali")</f>
        <v>Shivam Bali</v>
      </c>
      <c r="I420" s="75">
        <f>IFERROR(__xludf.DUMMYFUNCTION("""COMPUTED_VALUE"""),45743.0)</f>
        <v>45743</v>
      </c>
      <c r="J420" s="31" t="str">
        <f>IFERROR(__xludf.DUMMYFUNCTION("""COMPUTED_VALUE"""),"Nidhi Khedekar")</f>
        <v>Nidhi Khedekar</v>
      </c>
      <c r="K420" s="31" t="str">
        <f>IFERROR(__xludf.DUMMYFUNCTION("""COMPUTED_VALUE"""),"Joined")</f>
        <v>Joined</v>
      </c>
      <c r="L420" s="31" t="str">
        <f>IFERROR(__xludf.DUMMYFUNCTION("""COMPUTED_VALUE"""),"In Office")</f>
        <v>In Office</v>
      </c>
      <c r="M420" s="31" t="str">
        <f>IFERROR(__xludf.DUMMYFUNCTION("""COMPUTED_VALUE"""),"atul.sangwan@zupee.in")</f>
        <v>atul.sangwan@zupee.in</v>
      </c>
      <c r="N420" s="31"/>
    </row>
    <row r="421">
      <c r="A421" s="74">
        <f>IFERROR(__xludf.DUMMYFUNCTION("""COMPUTED_VALUE"""),45748.0)</f>
        <v>45748</v>
      </c>
      <c r="B421" s="31" t="str">
        <f>IFERROR(__xludf.DUMMYFUNCTION("""COMPUTED_VALUE"""),"Prityankur Biswas")</f>
        <v>Prityankur Biswas</v>
      </c>
      <c r="C421" s="31" t="str">
        <f>IFERROR(__xludf.DUMMYFUNCTION("""COMPUTED_VALUE"""),"Technology")</f>
        <v>Technology</v>
      </c>
      <c r="D421" s="31">
        <f>IFERROR(__xludf.DUMMYFUNCTION("""COMPUTED_VALUE"""),7.908486519E9)</f>
        <v>7908486519</v>
      </c>
      <c r="E421" s="31" t="str">
        <f>IFERROR(__xludf.DUMMYFUNCTION("""COMPUTED_VALUE"""),"Software Development Engineer in Test")</f>
        <v>Software Development Engineer in Test</v>
      </c>
      <c r="F421" s="31" t="str">
        <f>IFERROR(__xludf.DUMMYFUNCTION("""COMPUTED_VALUE"""),"SDET")</f>
        <v>SDET</v>
      </c>
      <c r="G421" s="31" t="str">
        <f>IFERROR(__xludf.DUMMYFUNCTION("""COMPUTED_VALUE"""),"prityankur@gmail.com")</f>
        <v>prityankur@gmail.com</v>
      </c>
      <c r="H421" s="31" t="str">
        <f>IFERROR(__xludf.DUMMYFUNCTION("""COMPUTED_VALUE"""),"Sahil Puri")</f>
        <v>Sahil Puri</v>
      </c>
      <c r="I421" s="75">
        <f>IFERROR(__xludf.DUMMYFUNCTION("""COMPUTED_VALUE"""),45744.0)</f>
        <v>45744</v>
      </c>
      <c r="J421" s="31" t="str">
        <f>IFERROR(__xludf.DUMMYFUNCTION("""COMPUTED_VALUE"""),"Nidhi Khedekar")</f>
        <v>Nidhi Khedekar</v>
      </c>
      <c r="K421" s="31" t="str">
        <f>IFERROR(__xludf.DUMMYFUNCTION("""COMPUTED_VALUE"""),"Joined")</f>
        <v>Joined</v>
      </c>
      <c r="L421" s="31" t="str">
        <f>IFERROR(__xludf.DUMMYFUNCTION("""COMPUTED_VALUE"""),"In Office")</f>
        <v>In Office</v>
      </c>
      <c r="M421" s="31"/>
      <c r="N421" s="31"/>
    </row>
    <row r="422">
      <c r="A422" s="74">
        <f>IFERROR(__xludf.DUMMYFUNCTION("""COMPUTED_VALUE"""),45789.0)</f>
        <v>45789</v>
      </c>
      <c r="B422" s="31" t="str">
        <f>IFERROR(__xludf.DUMMYFUNCTION("""COMPUTED_VALUE"""),"Aanchal Kaushik")</f>
        <v>Aanchal Kaushik</v>
      </c>
      <c r="C422" s="31" t="str">
        <f>IFERROR(__xludf.DUMMYFUNCTION("""COMPUTED_VALUE"""),"Strategy")</f>
        <v>Strategy</v>
      </c>
      <c r="D422" s="31">
        <f>IFERROR(__xludf.DUMMYFUNCTION("""COMPUTED_VALUE"""),7.988313879E9)</f>
        <v>7988313879</v>
      </c>
      <c r="E422" s="31" t="str">
        <f>IFERROR(__xludf.DUMMYFUNCTION("""COMPUTED_VALUE"""),"Senior Associate-Product Marketing")</f>
        <v>Senior Associate-Product Marketing</v>
      </c>
      <c r="F422" s="31" t="str">
        <f>IFERROR(__xludf.DUMMYFUNCTION("""COMPUTED_VALUE"""),"Strategy")</f>
        <v>Strategy</v>
      </c>
      <c r="G422" s="31" t="str">
        <f>IFERROR(__xludf.DUMMYFUNCTION("""COMPUTED_VALUE"""),"aanchalkaushik0207@gmail.com")</f>
        <v>aanchalkaushik0207@gmail.com</v>
      </c>
      <c r="H422" s="31" t="str">
        <f>IFERROR(__xludf.DUMMYFUNCTION("""COMPUTED_VALUE"""),"Aditya Jha")</f>
        <v>Aditya Jha</v>
      </c>
      <c r="I422" s="75">
        <f>IFERROR(__xludf.DUMMYFUNCTION("""COMPUTED_VALUE"""),45744.0)</f>
        <v>45744</v>
      </c>
      <c r="J422" s="31" t="str">
        <f>IFERROR(__xludf.DUMMYFUNCTION("""COMPUTED_VALUE"""),"Nidhi Khedekar")</f>
        <v>Nidhi Khedekar</v>
      </c>
      <c r="K422" s="31" t="str">
        <f>IFERROR(__xludf.DUMMYFUNCTION("""COMPUTED_VALUE"""),"Offer Declined")</f>
        <v>Offer Declined</v>
      </c>
      <c r="L422" s="31" t="str">
        <f>IFERROR(__xludf.DUMMYFUNCTION("""COMPUTED_VALUE"""),"In Office")</f>
        <v>In Office</v>
      </c>
      <c r="M422" s="31"/>
      <c r="N422" s="31"/>
    </row>
    <row r="423">
      <c r="A423" s="74">
        <f>IFERROR(__xludf.DUMMYFUNCTION("""COMPUTED_VALUE"""),45769.0)</f>
        <v>45769</v>
      </c>
      <c r="B423" s="31" t="str">
        <f>IFERROR(__xludf.DUMMYFUNCTION("""COMPUTED_VALUE"""),"Muskan Pulyani")</f>
        <v>Muskan Pulyani</v>
      </c>
      <c r="C423" s="31" t="str">
        <f>IFERROR(__xludf.DUMMYFUNCTION("""COMPUTED_VALUE"""),"Technology")</f>
        <v>Technology</v>
      </c>
      <c r="D423" s="31">
        <f>IFERROR(__xludf.DUMMYFUNCTION("""COMPUTED_VALUE"""),8.70866778E9)</f>
        <v>8708667780</v>
      </c>
      <c r="E423" s="31" t="str">
        <f>IFERROR(__xludf.DUMMYFUNCTION("""COMPUTED_VALUE"""),"Senior Software Engineer- DevOps")</f>
        <v>Senior Software Engineer- DevOps</v>
      </c>
      <c r="F423" s="31" t="str">
        <f>IFERROR(__xludf.DUMMYFUNCTION("""COMPUTED_VALUE"""),"DevOps")</f>
        <v>DevOps</v>
      </c>
      <c r="G423" s="31" t="str">
        <f>IFERROR(__xludf.DUMMYFUNCTION("""COMPUTED_VALUE"""),"anchalpulyani@gmail.com")</f>
        <v>anchalpulyani@gmail.com</v>
      </c>
      <c r="H423" s="31" t="str">
        <f>IFERROR(__xludf.DUMMYFUNCTION("""COMPUTED_VALUE"""),"Saurav Yadav")</f>
        <v>Saurav Yadav</v>
      </c>
      <c r="I423" s="75">
        <f>IFERROR(__xludf.DUMMYFUNCTION("""COMPUTED_VALUE"""),45743.0)</f>
        <v>45743</v>
      </c>
      <c r="J423" s="31" t="str">
        <f>IFERROR(__xludf.DUMMYFUNCTION("""COMPUTED_VALUE"""),"Vipin Kumar")</f>
        <v>Vipin Kumar</v>
      </c>
      <c r="K423" s="31" t="str">
        <f>IFERROR(__xludf.DUMMYFUNCTION("""COMPUTED_VALUE"""),"Offer Declined")</f>
        <v>Offer Declined</v>
      </c>
      <c r="L423" s="31" t="str">
        <f>IFERROR(__xludf.DUMMYFUNCTION("""COMPUTED_VALUE"""),"In Office")</f>
        <v>In Office</v>
      </c>
      <c r="M423" s="31"/>
      <c r="N423" s="31"/>
    </row>
    <row r="424">
      <c r="A424" s="74">
        <f>IFERROR(__xludf.DUMMYFUNCTION("""COMPUTED_VALUE"""),45748.0)</f>
        <v>45748</v>
      </c>
      <c r="B424" s="31" t="str">
        <f>IFERROR(__xludf.DUMMYFUNCTION("""COMPUTED_VALUE"""),"Abhay Kumar")</f>
        <v>Abhay Kumar</v>
      </c>
      <c r="C424" s="31" t="str">
        <f>IFERROR(__xludf.DUMMYFUNCTION("""COMPUTED_VALUE"""),"Technology")</f>
        <v>Technology</v>
      </c>
      <c r="D424" s="31">
        <f>IFERROR(__xludf.DUMMYFUNCTION("""COMPUTED_VALUE"""),9.530854863E9)</f>
        <v>9530854863</v>
      </c>
      <c r="E424" s="31" t="str">
        <f>IFERROR(__xludf.DUMMYFUNCTION("""COMPUTED_VALUE"""),"Software Development Engineer in Test Intern")</f>
        <v>Software Development Engineer in Test Intern</v>
      </c>
      <c r="F424" s="31" t="str">
        <f>IFERROR(__xludf.DUMMYFUNCTION("""COMPUTED_VALUE"""),"SDET")</f>
        <v>SDET</v>
      </c>
      <c r="G424" s="31" t="str">
        <f>IFERROR(__xludf.DUMMYFUNCTION("""COMPUTED_VALUE"""),"abhayranamalout@gmail.com")</f>
        <v>abhayranamalout@gmail.com</v>
      </c>
      <c r="H424" s="31" t="str">
        <f>IFERROR(__xludf.DUMMYFUNCTION("""COMPUTED_VALUE"""),"Vishal Agarwal")</f>
        <v>Vishal Agarwal</v>
      </c>
      <c r="I424" s="75">
        <f>IFERROR(__xludf.DUMMYFUNCTION("""COMPUTED_VALUE"""),45744.0)</f>
        <v>45744</v>
      </c>
      <c r="J424" s="31" t="str">
        <f>IFERROR(__xludf.DUMMYFUNCTION("""COMPUTED_VALUE"""),"Vipin Kumar")</f>
        <v>Vipin Kumar</v>
      </c>
      <c r="K424" s="31" t="str">
        <f>IFERROR(__xludf.DUMMYFUNCTION("""COMPUTED_VALUE"""),"Joined")</f>
        <v>Joined</v>
      </c>
      <c r="L424" s="31" t="str">
        <f>IFERROR(__xludf.DUMMYFUNCTION("""COMPUTED_VALUE"""),"In Office")</f>
        <v>In Office</v>
      </c>
      <c r="M424" s="31" t="str">
        <f>IFERROR(__xludf.DUMMYFUNCTION("""COMPUTED_VALUE"""),"abhay.kumar@zupee.in")</f>
        <v>abhay.kumar@zupee.in</v>
      </c>
      <c r="N424" s="31"/>
    </row>
    <row r="425">
      <c r="A425" s="74">
        <f>IFERROR(__xludf.DUMMYFUNCTION("""COMPUTED_VALUE"""),45870.0)</f>
        <v>45870</v>
      </c>
      <c r="B425" s="31" t="str">
        <f>IFERROR(__xludf.DUMMYFUNCTION("""COMPUTED_VALUE"""),"Abhay Kumar")</f>
        <v>Abhay Kumar</v>
      </c>
      <c r="C425" s="31" t="str">
        <f>IFERROR(__xludf.DUMMYFUNCTION("""COMPUTED_VALUE"""),"Technology")</f>
        <v>Technology</v>
      </c>
      <c r="D425" s="31">
        <f>IFERROR(__xludf.DUMMYFUNCTION("""COMPUTED_VALUE"""),9.530854863E9)</f>
        <v>9530854863</v>
      </c>
      <c r="E425" s="31" t="str">
        <f>IFERROR(__xludf.DUMMYFUNCTION("""COMPUTED_VALUE"""),"Software Development Engineer in Test")</f>
        <v>Software Development Engineer in Test</v>
      </c>
      <c r="F425" s="31" t="str">
        <f>IFERROR(__xludf.DUMMYFUNCTION("""COMPUTED_VALUE"""),"SDET")</f>
        <v>SDET</v>
      </c>
      <c r="G425" s="31" t="str">
        <f>IFERROR(__xludf.DUMMYFUNCTION("""COMPUTED_VALUE"""),"abhayranamalout@gmail.com")</f>
        <v>abhayranamalout@gmail.com</v>
      </c>
      <c r="H425" s="31" t="str">
        <f>IFERROR(__xludf.DUMMYFUNCTION("""COMPUTED_VALUE"""),"Vishal Agarwal")</f>
        <v>Vishal Agarwal</v>
      </c>
      <c r="I425" s="75">
        <f>IFERROR(__xludf.DUMMYFUNCTION("""COMPUTED_VALUE"""),45742.0)</f>
        <v>45742</v>
      </c>
      <c r="J425" s="31" t="str">
        <f>IFERROR(__xludf.DUMMYFUNCTION("""COMPUTED_VALUE"""),"Vipin Kumar")</f>
        <v>Vipin Kumar</v>
      </c>
      <c r="K425" s="31" t="str">
        <f>IFERROR(__xludf.DUMMYFUNCTION("""COMPUTED_VALUE"""),"Joined")</f>
        <v>Joined</v>
      </c>
      <c r="L425" s="31" t="str">
        <f>IFERROR(__xludf.DUMMYFUNCTION("""COMPUTED_VALUE"""),"In Office")</f>
        <v>In Office</v>
      </c>
      <c r="M425" s="31" t="str">
        <f>IFERROR(__xludf.DUMMYFUNCTION("""COMPUTED_VALUE"""),"abhay.kumar@zupee.in")</f>
        <v>abhay.kumar@zupee.in</v>
      </c>
      <c r="N425" s="31"/>
    </row>
    <row r="426">
      <c r="A426" s="74">
        <f>IFERROR(__xludf.DUMMYFUNCTION("""COMPUTED_VALUE"""),45750.0)</f>
        <v>45750</v>
      </c>
      <c r="B426" s="31" t="str">
        <f>IFERROR(__xludf.DUMMYFUNCTION("""COMPUTED_VALUE"""),"Vijay Yadav")</f>
        <v>Vijay Yadav</v>
      </c>
      <c r="C426" s="31" t="str">
        <f>IFERROR(__xludf.DUMMYFUNCTION("""COMPUTED_VALUE"""),"Technology")</f>
        <v>Technology</v>
      </c>
      <c r="D426" s="31">
        <f>IFERROR(__xludf.DUMMYFUNCTION("""COMPUTED_VALUE"""),9.728504145E9)</f>
        <v>9728504145</v>
      </c>
      <c r="E426" s="31" t="str">
        <f>IFERROR(__xludf.DUMMYFUNCTION("""COMPUTED_VALUE"""),"Software Development Engineer in Test Intern")</f>
        <v>Software Development Engineer in Test Intern</v>
      </c>
      <c r="F426" s="31" t="str">
        <f>IFERROR(__xludf.DUMMYFUNCTION("""COMPUTED_VALUE"""),"SDET")</f>
        <v>SDET</v>
      </c>
      <c r="G426" s="31" t="str">
        <f>IFERROR(__xludf.DUMMYFUNCTION("""COMPUTED_VALUE"""),"Vijayyadav7sem@gmail.com")</f>
        <v>Vijayyadav7sem@gmail.com</v>
      </c>
      <c r="H426" s="31" t="str">
        <f>IFERROR(__xludf.DUMMYFUNCTION("""COMPUTED_VALUE"""),"Vishal Agarwal")</f>
        <v>Vishal Agarwal</v>
      </c>
      <c r="I426" s="75">
        <f>IFERROR(__xludf.DUMMYFUNCTION("""COMPUTED_VALUE"""),45749.0)</f>
        <v>45749</v>
      </c>
      <c r="J426" s="31" t="str">
        <f>IFERROR(__xludf.DUMMYFUNCTION("""COMPUTED_VALUE"""),"Vipin Kumar")</f>
        <v>Vipin Kumar</v>
      </c>
      <c r="K426" s="31" t="str">
        <f>IFERROR(__xludf.DUMMYFUNCTION("""COMPUTED_VALUE"""),"Joined")</f>
        <v>Joined</v>
      </c>
      <c r="L426" s="31" t="str">
        <f>IFERROR(__xludf.DUMMYFUNCTION("""COMPUTED_VALUE"""),"In Office")</f>
        <v>In Office</v>
      </c>
      <c r="M426" s="31" t="str">
        <f>IFERROR(__xludf.DUMMYFUNCTION("""COMPUTED_VALUE"""),"vijay.yadav@zupee.in")</f>
        <v>vijay.yadav@zupee.in</v>
      </c>
      <c r="N426" s="31" t="str">
        <f>IFERROR(__xludf.DUMMYFUNCTION("""COMPUTED_VALUE"""),"MQQVQV4YQL")</f>
        <v>MQQVQV4YQL</v>
      </c>
    </row>
    <row r="427">
      <c r="A427" s="74">
        <f>IFERROR(__xludf.DUMMYFUNCTION("""COMPUTED_VALUE"""),45750.0)</f>
        <v>45750</v>
      </c>
      <c r="B427" s="31" t="str">
        <f>IFERROR(__xludf.DUMMYFUNCTION("""COMPUTED_VALUE"""),"Tavisi Malpani")</f>
        <v>Tavisi Malpani</v>
      </c>
      <c r="C427" s="31" t="str">
        <f>IFERROR(__xludf.DUMMYFUNCTION("""COMPUTED_VALUE"""),"HR")</f>
        <v>HR</v>
      </c>
      <c r="D427" s="31">
        <f>IFERROR(__xludf.DUMMYFUNCTION("""COMPUTED_VALUE"""),8.920060333E9)</f>
        <v>8920060333</v>
      </c>
      <c r="E427" s="31" t="str">
        <f>IFERROR(__xludf.DUMMYFUNCTION("""COMPUTED_VALUE"""),"Intern - HRBP")</f>
        <v>Intern - HRBP</v>
      </c>
      <c r="F427" s="31" t="str">
        <f>IFERROR(__xludf.DUMMYFUNCTION("""COMPUTED_VALUE"""),"Human Resource")</f>
        <v>Human Resource</v>
      </c>
      <c r="G427" s="31" t="str">
        <f>IFERROR(__xludf.DUMMYFUNCTION("""COMPUTED_VALUE"""),"tavisi.h24@imi.edu")</f>
        <v>tavisi.h24@imi.edu</v>
      </c>
      <c r="H427" s="31" t="str">
        <f>IFERROR(__xludf.DUMMYFUNCTION("""COMPUTED_VALUE"""),"Sushil Patel")</f>
        <v>Sushil Patel</v>
      </c>
      <c r="I427" s="75">
        <f>IFERROR(__xludf.DUMMYFUNCTION("""COMPUTED_VALUE"""),45749.0)</f>
        <v>45749</v>
      </c>
      <c r="J427" s="31" t="str">
        <f>IFERROR(__xludf.DUMMYFUNCTION("""COMPUTED_VALUE"""),"Rajneesh Yadav")</f>
        <v>Rajneesh Yadav</v>
      </c>
      <c r="K427" s="31" t="str">
        <f>IFERROR(__xludf.DUMMYFUNCTION("""COMPUTED_VALUE"""),"Joined")</f>
        <v>Joined</v>
      </c>
      <c r="L427" s="31" t="str">
        <f>IFERROR(__xludf.DUMMYFUNCTION("""COMPUTED_VALUE"""),"Virtual")</f>
        <v>Virtual</v>
      </c>
      <c r="M427" s="31" t="str">
        <f>IFERROR(__xludf.DUMMYFUNCTION("""COMPUTED_VALUE"""),"tavisi.malpani@zupee.in")</f>
        <v>tavisi.malpani@zupee.in</v>
      </c>
      <c r="N427" s="31"/>
    </row>
    <row r="428">
      <c r="A428" s="74">
        <f>IFERROR(__xludf.DUMMYFUNCTION("""COMPUTED_VALUE"""),45750.0)</f>
        <v>45750</v>
      </c>
      <c r="B428" s="31" t="str">
        <f>IFERROR(__xludf.DUMMYFUNCTION("""COMPUTED_VALUE"""),"Vanshika Rathi")</f>
        <v>Vanshika Rathi</v>
      </c>
      <c r="C428" s="31" t="str">
        <f>IFERROR(__xludf.DUMMYFUNCTION("""COMPUTED_VALUE"""),"HR")</f>
        <v>HR</v>
      </c>
      <c r="D428" s="31">
        <f>IFERROR(__xludf.DUMMYFUNCTION("""COMPUTED_VALUE"""),9.198642853E9)</f>
        <v>9198642853</v>
      </c>
      <c r="E428" s="31" t="str">
        <f>IFERROR(__xludf.DUMMYFUNCTION("""COMPUTED_VALUE""")," Intern - HRBP")</f>
        <v> Intern - HRBP</v>
      </c>
      <c r="F428" s="31" t="str">
        <f>IFERROR(__xludf.DUMMYFUNCTION("""COMPUTED_VALUE"""),"Human Resource")</f>
        <v>Human Resource</v>
      </c>
      <c r="G428" s="31" t="str">
        <f>IFERROR(__xludf.DUMMYFUNCTION("""COMPUTED_VALUE"""),"vanshika.h24@imi.edu")</f>
        <v>vanshika.h24@imi.edu</v>
      </c>
      <c r="H428" s="31" t="str">
        <f>IFERROR(__xludf.DUMMYFUNCTION("""COMPUTED_VALUE"""),"Suhsil Patel")</f>
        <v>Suhsil Patel</v>
      </c>
      <c r="I428" s="75">
        <f>IFERROR(__xludf.DUMMYFUNCTION("""COMPUTED_VALUE"""),45749.0)</f>
        <v>45749</v>
      </c>
      <c r="J428" s="31" t="str">
        <f>IFERROR(__xludf.DUMMYFUNCTION("""COMPUTED_VALUE"""),"Rajneesh Yadav")</f>
        <v>Rajneesh Yadav</v>
      </c>
      <c r="K428" s="31" t="str">
        <f>IFERROR(__xludf.DUMMYFUNCTION("""COMPUTED_VALUE"""),"Joined")</f>
        <v>Joined</v>
      </c>
      <c r="L428" s="31" t="str">
        <f>IFERROR(__xludf.DUMMYFUNCTION("""COMPUTED_VALUE"""),"Virtual")</f>
        <v>Virtual</v>
      </c>
      <c r="M428" s="31" t="str">
        <f>IFERROR(__xludf.DUMMYFUNCTION("""COMPUTED_VALUE"""),"vanshika.rathi@zupee.in")</f>
        <v>vanshika.rathi@zupee.in</v>
      </c>
      <c r="N428" s="31"/>
    </row>
    <row r="429">
      <c r="A429" s="74">
        <f>IFERROR(__xludf.DUMMYFUNCTION("""COMPUTED_VALUE"""),45763.0)</f>
        <v>45763</v>
      </c>
      <c r="B429" s="31" t="str">
        <f>IFERROR(__xludf.DUMMYFUNCTION("""COMPUTED_VALUE"""),"Divy Dwivedi")</f>
        <v>Divy Dwivedi</v>
      </c>
      <c r="C429" s="31" t="str">
        <f>IFERROR(__xludf.DUMMYFUNCTION("""COMPUTED_VALUE"""),"Technology")</f>
        <v>Technology</v>
      </c>
      <c r="D429" s="31">
        <f>IFERROR(__xludf.DUMMYFUNCTION("""COMPUTED_VALUE"""),7.997083851E9)</f>
        <v>7997083851</v>
      </c>
      <c r="E429" s="31" t="str">
        <f>IFERROR(__xludf.DUMMYFUNCTION("""COMPUTED_VALUE"""),"Senior Software Engineer-Android")</f>
        <v>Senior Software Engineer-Android</v>
      </c>
      <c r="F429" s="31" t="str">
        <f>IFERROR(__xludf.DUMMYFUNCTION("""COMPUTED_VALUE"""),"Engineering")</f>
        <v>Engineering</v>
      </c>
      <c r="G429" s="31" t="str">
        <f>IFERROR(__xludf.DUMMYFUNCTION("""COMPUTED_VALUE""")," divydwivedi@gmail.com")</f>
        <v> divydwivedi@gmail.com</v>
      </c>
      <c r="H429" s="31" t="str">
        <f>IFERROR(__xludf.DUMMYFUNCTION("""COMPUTED_VALUE"""),"Anshul Mittal")</f>
        <v>Anshul Mittal</v>
      </c>
      <c r="I429" s="75">
        <f>IFERROR(__xludf.DUMMYFUNCTION("""COMPUTED_VALUE"""),45749.0)</f>
        <v>45749</v>
      </c>
      <c r="J429" s="31" t="str">
        <f>IFERROR(__xludf.DUMMYFUNCTION("""COMPUTED_VALUE"""),"Shivam Sharma")</f>
        <v>Shivam Sharma</v>
      </c>
      <c r="K429" s="31" t="str">
        <f>IFERROR(__xludf.DUMMYFUNCTION("""COMPUTED_VALUE"""),"Joined")</f>
        <v>Joined</v>
      </c>
      <c r="L429" s="31" t="str">
        <f>IFERROR(__xludf.DUMMYFUNCTION("""COMPUTED_VALUE"""),"In Office")</f>
        <v>In Office</v>
      </c>
      <c r="M429" s="31" t="str">
        <f>IFERROR(__xludf.DUMMYFUNCTION("""COMPUTED_VALUE"""),"divy.dwivedi@zupee.in")</f>
        <v>divy.dwivedi@zupee.in</v>
      </c>
      <c r="N429" s="31" t="str">
        <f>IFERROR(__xludf.DUMMYFUNCTION("""COMPUTED_VALUE"""),"HC2X9FLX2V")</f>
        <v>HC2X9FLX2V</v>
      </c>
    </row>
    <row r="430">
      <c r="A430" s="74">
        <f>IFERROR(__xludf.DUMMYFUNCTION("""COMPUTED_VALUE"""),45754.0)</f>
        <v>45754</v>
      </c>
      <c r="B430" s="31" t="str">
        <f>IFERROR(__xludf.DUMMYFUNCTION("""COMPUTED_VALUE"""),"Anish Agarwal")</f>
        <v>Anish Agarwal</v>
      </c>
      <c r="C430" s="31" t="str">
        <f>IFERROR(__xludf.DUMMYFUNCTION("""COMPUTED_VALUE"""),"Finance")</f>
        <v>Finance</v>
      </c>
      <c r="D430" s="31">
        <f>IFERROR(__xludf.DUMMYFUNCTION("""COMPUTED_VALUE"""),9.587586651E9)</f>
        <v>9587586651</v>
      </c>
      <c r="E430" s="31" t="str">
        <f>IFERROR(__xludf.DUMMYFUNCTION("""COMPUTED_VALUE"""),"Assistant Manager - Finance")</f>
        <v>Assistant Manager - Finance</v>
      </c>
      <c r="F430" s="31" t="str">
        <f>IFERROR(__xludf.DUMMYFUNCTION("""COMPUTED_VALUE"""),"Finance")</f>
        <v>Finance</v>
      </c>
      <c r="G430" s="31" t="str">
        <f>IFERROR(__xludf.DUMMYFUNCTION("""COMPUTED_VALUE""")," agarwalanish2709@gmail.com")</f>
        <v> agarwalanish2709@gmail.com</v>
      </c>
      <c r="H430" s="31" t="str">
        <f>IFERROR(__xludf.DUMMYFUNCTION("""COMPUTED_VALUE"""),"Pulkit Sehgal")</f>
        <v>Pulkit Sehgal</v>
      </c>
      <c r="I430" s="75">
        <f>IFERROR(__xludf.DUMMYFUNCTION("""COMPUTED_VALUE"""),45749.0)</f>
        <v>45749</v>
      </c>
      <c r="J430" s="31" t="str">
        <f>IFERROR(__xludf.DUMMYFUNCTION("""COMPUTED_VALUE"""),"Nidhi Khedekar")</f>
        <v>Nidhi Khedekar</v>
      </c>
      <c r="K430" s="31" t="str">
        <f>IFERROR(__xludf.DUMMYFUNCTION("""COMPUTED_VALUE"""),"Joined")</f>
        <v>Joined</v>
      </c>
      <c r="L430" s="31" t="str">
        <f>IFERROR(__xludf.DUMMYFUNCTION("""COMPUTED_VALUE"""),"In Office")</f>
        <v>In Office</v>
      </c>
      <c r="M430" s="31" t="str">
        <f>IFERROR(__xludf.DUMMYFUNCTION("""COMPUTED_VALUE"""),"anish.agarwal@zupee.in")</f>
        <v>anish.agarwal@zupee.in</v>
      </c>
      <c r="N430" s="31"/>
    </row>
    <row r="431">
      <c r="A431" s="74">
        <f>IFERROR(__xludf.DUMMYFUNCTION("""COMPUTED_VALUE"""),45805.0)</f>
        <v>45805</v>
      </c>
      <c r="B431" s="31" t="str">
        <f>IFERROR(__xludf.DUMMYFUNCTION("""COMPUTED_VALUE"""),"Rahul Sharma")</f>
        <v>Rahul Sharma</v>
      </c>
      <c r="C431" s="31" t="str">
        <f>IFERROR(__xludf.DUMMYFUNCTION("""COMPUTED_VALUE"""),"Data Engineer")</f>
        <v>Data Engineer</v>
      </c>
      <c r="D431" s="31">
        <f>IFERROR(__xludf.DUMMYFUNCTION("""COMPUTED_VALUE"""),9.910654455E9)</f>
        <v>9910654455</v>
      </c>
      <c r="E431" s="31" t="str">
        <f>IFERROR(__xludf.DUMMYFUNCTION("""COMPUTED_VALUE"""),"Director- Data Engineering")</f>
        <v>Director- Data Engineering</v>
      </c>
      <c r="F431" s="31" t="str">
        <f>IFERROR(__xludf.DUMMYFUNCTION("""COMPUTED_VALUE"""),"Data Engineering")</f>
        <v>Data Engineering</v>
      </c>
      <c r="G431" s="31" t="str">
        <f>IFERROR(__xludf.DUMMYFUNCTION("""COMPUTED_VALUE"""),"rahul.trigune@gmail.com")</f>
        <v>rahul.trigune@gmail.com</v>
      </c>
      <c r="H431" s="31" t="str">
        <f>IFERROR(__xludf.DUMMYFUNCTION("""COMPUTED_VALUE"""),"Sairam Mushyam")</f>
        <v>Sairam Mushyam</v>
      </c>
      <c r="I431" s="75">
        <f>IFERROR(__xludf.DUMMYFUNCTION("""COMPUTED_VALUE"""),45749.0)</f>
        <v>45749</v>
      </c>
      <c r="J431" s="31" t="str">
        <f>IFERROR(__xludf.DUMMYFUNCTION("""COMPUTED_VALUE"""),"Rajneesh Yadav")</f>
        <v>Rajneesh Yadav</v>
      </c>
      <c r="K431" s="31" t="str">
        <f>IFERROR(__xludf.DUMMYFUNCTION("""COMPUTED_VALUE"""),"Joined")</f>
        <v>Joined</v>
      </c>
      <c r="L431" s="31" t="str">
        <f>IFERROR(__xludf.DUMMYFUNCTION("""COMPUTED_VALUE"""),"In Office")</f>
        <v>In Office</v>
      </c>
      <c r="M431" s="31" t="str">
        <f>IFERROR(__xludf.DUMMYFUNCTION("""COMPUTED_VALUE"""),"rahul.s@zupee.in")</f>
        <v>rahul.s@zupee.in</v>
      </c>
      <c r="N431" s="31"/>
    </row>
    <row r="432">
      <c r="A432" s="74">
        <f>IFERROR(__xludf.DUMMYFUNCTION("""COMPUTED_VALUE"""),45789.0)</f>
        <v>45789</v>
      </c>
      <c r="B432" s="31" t="str">
        <f>IFERROR(__xludf.DUMMYFUNCTION("""COMPUTED_VALUE"""),"Prarthna Agrawal")</f>
        <v>Prarthna Agrawal</v>
      </c>
      <c r="C432" s="31" t="str">
        <f>IFERROR(__xludf.DUMMYFUNCTION("""COMPUTED_VALUE"""),"Marketing")</f>
        <v>Marketing</v>
      </c>
      <c r="D432" s="31">
        <f>IFERROR(__xludf.DUMMYFUNCTION("""COMPUTED_VALUE"""),9.079094957E9)</f>
        <v>9079094957</v>
      </c>
      <c r="E432" s="31" t="str">
        <f>IFERROR(__xludf.DUMMYFUNCTION("""COMPUTED_VALUE"""),"Senior Associate-Digital Marketing")</f>
        <v>Senior Associate-Digital Marketing</v>
      </c>
      <c r="F432" s="31" t="str">
        <f>IFERROR(__xludf.DUMMYFUNCTION("""COMPUTED_VALUE"""),"Digital Marketing")</f>
        <v>Digital Marketing</v>
      </c>
      <c r="G432" s="31" t="str">
        <f>IFERROR(__xludf.DUMMYFUNCTION("""COMPUTED_VALUE""")," prarthna204@gmail.com")</f>
        <v> prarthna204@gmail.com</v>
      </c>
      <c r="H432" s="31" t="str">
        <f>IFERROR(__xludf.DUMMYFUNCTION("""COMPUTED_VALUE"""),"Ritwika Rai")</f>
        <v>Ritwika Rai</v>
      </c>
      <c r="I432" s="75">
        <f>IFERROR(__xludf.DUMMYFUNCTION("""COMPUTED_VALUE"""),45751.0)</f>
        <v>45751</v>
      </c>
      <c r="J432" s="31" t="str">
        <f>IFERROR(__xludf.DUMMYFUNCTION("""COMPUTED_VALUE"""),"Nidhi Khedekar")</f>
        <v>Nidhi Khedekar</v>
      </c>
      <c r="K432" s="31" t="str">
        <f>IFERROR(__xludf.DUMMYFUNCTION("""COMPUTED_VALUE"""),"Offer Declined")</f>
        <v>Offer Declined</v>
      </c>
      <c r="L432" s="31" t="str">
        <f>IFERROR(__xludf.DUMMYFUNCTION("""COMPUTED_VALUE"""),"In Office")</f>
        <v>In Office</v>
      </c>
      <c r="M432" s="31"/>
      <c r="N432" s="31"/>
    </row>
    <row r="433">
      <c r="A433" s="74">
        <f>IFERROR(__xludf.DUMMYFUNCTION("""COMPUTED_VALUE"""),45754.0)</f>
        <v>45754</v>
      </c>
      <c r="B433" s="31" t="str">
        <f>IFERROR(__xludf.DUMMYFUNCTION("""COMPUTED_VALUE"""),"Nasir Ali")</f>
        <v>Nasir Ali</v>
      </c>
      <c r="C433" s="31" t="str">
        <f>IFERROR(__xludf.DUMMYFUNCTION("""COMPUTED_VALUE"""),"Technology")</f>
        <v>Technology</v>
      </c>
      <c r="D433" s="31">
        <f>IFERROR(__xludf.DUMMYFUNCTION("""COMPUTED_VALUE"""),8.377949601E9)</f>
        <v>8377949601</v>
      </c>
      <c r="E433" s="31" t="str">
        <f>IFERROR(__xludf.DUMMYFUNCTION("""COMPUTED_VALUE"""),"Software Engineer")</f>
        <v>Software Engineer</v>
      </c>
      <c r="F433" s="31" t="str">
        <f>IFERROR(__xludf.DUMMYFUNCTION("""COMPUTED_VALUE"""),"Engineering")</f>
        <v>Engineering</v>
      </c>
      <c r="G433" s="31" t="str">
        <f>IFERROR(__xludf.DUMMYFUNCTION("""COMPUTED_VALUE""")," 1419nasir@gmail.com")</f>
        <v> 1419nasir@gmail.com</v>
      </c>
      <c r="H433" s="31" t="str">
        <f>IFERROR(__xludf.DUMMYFUNCTION("""COMPUTED_VALUE"""),"Anshul Mittal")</f>
        <v>Anshul Mittal</v>
      </c>
      <c r="I433" s="75">
        <f>IFERROR(__xludf.DUMMYFUNCTION("""COMPUTED_VALUE"""),45751.0)</f>
        <v>45751</v>
      </c>
      <c r="J433" s="31" t="str">
        <f>IFERROR(__xludf.DUMMYFUNCTION("""COMPUTED_VALUE"""),"Shivam Sharma")</f>
        <v>Shivam Sharma</v>
      </c>
      <c r="K433" s="31" t="str">
        <f>IFERROR(__xludf.DUMMYFUNCTION("""COMPUTED_VALUE"""),"Joined")</f>
        <v>Joined</v>
      </c>
      <c r="L433" s="31" t="str">
        <f>IFERROR(__xludf.DUMMYFUNCTION("""COMPUTED_VALUE"""),"In Office")</f>
        <v>In Office</v>
      </c>
      <c r="M433" s="31" t="str">
        <f>IFERROR(__xludf.DUMMYFUNCTION("""COMPUTED_VALUE"""),"nasir.ali@zupee.in")</f>
        <v>nasir.ali@zupee.in</v>
      </c>
      <c r="N433" s="31"/>
    </row>
    <row r="434">
      <c r="A434" s="74">
        <f>IFERROR(__xludf.DUMMYFUNCTION("""COMPUTED_VALUE"""),45803.0)</f>
        <v>45803</v>
      </c>
      <c r="B434" s="31" t="str">
        <f>IFERROR(__xludf.DUMMYFUNCTION("""COMPUTED_VALUE"""),"Ujwal Tandon")</f>
        <v>Ujwal Tandon</v>
      </c>
      <c r="C434" s="31" t="str">
        <f>IFERROR(__xludf.DUMMYFUNCTION("""COMPUTED_VALUE"""),"Data Science")</f>
        <v>Data Science</v>
      </c>
      <c r="D434" s="31">
        <f>IFERROR(__xludf.DUMMYFUNCTION("""COMPUTED_VALUE"""),9.560414198E9)</f>
        <v>9560414198</v>
      </c>
      <c r="E434" s="31" t="str">
        <f>IFERROR(__xludf.DUMMYFUNCTION("""COMPUTED_VALUE"""),"Lead - Machine Learning Engineer")</f>
        <v>Lead - Machine Learning Engineer</v>
      </c>
      <c r="F434" s="31" t="str">
        <f>IFERROR(__xludf.DUMMYFUNCTION("""COMPUTED_VALUE"""),"Data Science")</f>
        <v>Data Science</v>
      </c>
      <c r="G434" s="31" t="str">
        <f>IFERROR(__xludf.DUMMYFUNCTION("""COMPUTED_VALUE"""),"ujwaltandon04@gmail.com")</f>
        <v>ujwaltandon04@gmail.com</v>
      </c>
      <c r="H434" s="31" t="str">
        <f>IFERROR(__xludf.DUMMYFUNCTION("""COMPUTED_VALUE"""),"Nandeshwar Gupta")</f>
        <v>Nandeshwar Gupta</v>
      </c>
      <c r="I434" s="75">
        <f>IFERROR(__xludf.DUMMYFUNCTION("""COMPUTED_VALUE"""),45751.0)</f>
        <v>45751</v>
      </c>
      <c r="J434" s="31" t="str">
        <f>IFERROR(__xludf.DUMMYFUNCTION("""COMPUTED_VALUE"""),"Mamta Pandey")</f>
        <v>Mamta Pandey</v>
      </c>
      <c r="K434" s="31" t="str">
        <f>IFERROR(__xludf.DUMMYFUNCTION("""COMPUTED_VALUE"""),"Joined")</f>
        <v>Joined</v>
      </c>
      <c r="L434" s="31" t="str">
        <f>IFERROR(__xludf.DUMMYFUNCTION("""COMPUTED_VALUE"""),"In Office")</f>
        <v>In Office</v>
      </c>
      <c r="M434" s="31" t="str">
        <f>IFERROR(__xludf.DUMMYFUNCTION("""COMPUTED_VALUE"""),"ujwal.tandon@zupee.in")</f>
        <v>ujwal.tandon@zupee.in</v>
      </c>
      <c r="N434" s="31" t="str">
        <f>IFERROR(__xludf.DUMMYFUNCTION("""COMPUTED_VALUE"""),"KW0W1W0VXX")</f>
        <v>KW0W1W0VXX</v>
      </c>
    </row>
    <row r="435">
      <c r="A435" s="74">
        <f>IFERROR(__xludf.DUMMYFUNCTION("""COMPUTED_VALUE"""),45824.0)</f>
        <v>45824</v>
      </c>
      <c r="B435" s="31" t="str">
        <f>IFERROR(__xludf.DUMMYFUNCTION("""COMPUTED_VALUE"""),"Sushant Upadhyay")</f>
        <v>Sushant Upadhyay</v>
      </c>
      <c r="C435" s="31" t="str">
        <f>IFERROR(__xludf.DUMMYFUNCTION("""COMPUTED_VALUE"""),"Data Science")</f>
        <v>Data Science</v>
      </c>
      <c r="D435" s="31">
        <f>IFERROR(__xludf.DUMMYFUNCTION("""COMPUTED_VALUE"""),6.394419882E9)</f>
        <v>6394419882</v>
      </c>
      <c r="E435" s="31" t="str">
        <f>IFERROR(__xludf.DUMMYFUNCTION("""COMPUTED_VALUE"""),"Senior Data Scientist")</f>
        <v>Senior Data Scientist</v>
      </c>
      <c r="F435" s="31" t="str">
        <f>IFERROR(__xludf.DUMMYFUNCTION("""COMPUTED_VALUE"""),"Data Science")</f>
        <v>Data Science</v>
      </c>
      <c r="G435" s="31" t="str">
        <f>IFERROR(__xludf.DUMMYFUNCTION("""COMPUTED_VALUE"""),"sushantupadhyay00@gmail.com")</f>
        <v>sushantupadhyay00@gmail.com</v>
      </c>
      <c r="H435" s="31" t="str">
        <f>IFERROR(__xludf.DUMMYFUNCTION("""COMPUTED_VALUE"""),"Nitesh Vijay")</f>
        <v>Nitesh Vijay</v>
      </c>
      <c r="I435" s="75">
        <f>IFERROR(__xludf.DUMMYFUNCTION("""COMPUTED_VALUE"""),45755.0)</f>
        <v>45755</v>
      </c>
      <c r="J435" s="31" t="str">
        <f>IFERROR(__xludf.DUMMYFUNCTION("""COMPUTED_VALUE"""),"Mamta Pandey")</f>
        <v>Mamta Pandey</v>
      </c>
      <c r="K435" s="31" t="str">
        <f>IFERROR(__xludf.DUMMYFUNCTION("""COMPUTED_VALUE"""),"Joined")</f>
        <v>Joined</v>
      </c>
      <c r="L435" s="31" t="str">
        <f>IFERROR(__xludf.DUMMYFUNCTION("""COMPUTED_VALUE"""),"In Office")</f>
        <v>In Office</v>
      </c>
      <c r="M435" s="31" t="str">
        <f>IFERROR(__xludf.DUMMYFUNCTION("""COMPUTED_VALUE"""),"sushant.upadhyay@zupee.in")</f>
        <v>sushant.upadhyay@zupee.in</v>
      </c>
      <c r="N435" s="31"/>
    </row>
    <row r="436">
      <c r="A436" s="74">
        <f>IFERROR(__xludf.DUMMYFUNCTION("""COMPUTED_VALUE"""),45792.0)</f>
        <v>45792</v>
      </c>
      <c r="B436" s="31" t="str">
        <f>IFERROR(__xludf.DUMMYFUNCTION("""COMPUTED_VALUE"""),"Anshit Singh")</f>
        <v>Anshit Singh</v>
      </c>
      <c r="C436" s="31" t="str">
        <f>IFERROR(__xludf.DUMMYFUNCTION("""COMPUTED_VALUE"""),"Strategy")</f>
        <v>Strategy</v>
      </c>
      <c r="D436" s="31">
        <f>IFERROR(__xludf.DUMMYFUNCTION("""COMPUTED_VALUE"""),9.933909873E9)</f>
        <v>9933909873</v>
      </c>
      <c r="E436" s="31" t="str">
        <f>IFERROR(__xludf.DUMMYFUNCTION("""COMPUTED_VALUE"""),"Manager - Strategy")</f>
        <v>Manager - Strategy</v>
      </c>
      <c r="F436" s="31" t="str">
        <f>IFERROR(__xludf.DUMMYFUNCTION("""COMPUTED_VALUE"""),"Strategy")</f>
        <v>Strategy</v>
      </c>
      <c r="G436" s="31" t="str">
        <f>IFERROR(__xludf.DUMMYFUNCTION("""COMPUTED_VALUE"""),"p21anshit@iima.ac.in")</f>
        <v>p21anshit@iima.ac.in</v>
      </c>
      <c r="H436" s="31" t="str">
        <f>IFERROR(__xludf.DUMMYFUNCTION("""COMPUTED_VALUE"""),"Karan Aggrawal")</f>
        <v>Karan Aggrawal</v>
      </c>
      <c r="I436" s="75">
        <f>IFERROR(__xludf.DUMMYFUNCTION("""COMPUTED_VALUE"""),45755.0)</f>
        <v>45755</v>
      </c>
      <c r="J436" s="31" t="str">
        <f>IFERROR(__xludf.DUMMYFUNCTION("""COMPUTED_VALUE"""),"Naina")</f>
        <v>Naina</v>
      </c>
      <c r="K436" s="31" t="str">
        <f>IFERROR(__xludf.DUMMYFUNCTION("""COMPUTED_VALUE"""),"Joined")</f>
        <v>Joined</v>
      </c>
      <c r="L436" s="31" t="str">
        <f>IFERROR(__xludf.DUMMYFUNCTION("""COMPUTED_VALUE"""),"In Office")</f>
        <v>In Office</v>
      </c>
      <c r="M436" s="31" t="str">
        <f>IFERROR(__xludf.DUMMYFUNCTION("""COMPUTED_VALUE"""),"anshit.singh@zupee.in")</f>
        <v>anshit.singh@zupee.in</v>
      </c>
      <c r="N436" s="31" t="str">
        <f>IFERROR(__xludf.DUMMYFUNCTION("""COMPUTED_VALUE"""),"KC7XY5QM24")</f>
        <v>KC7XY5QM24</v>
      </c>
    </row>
    <row r="437">
      <c r="A437" s="74">
        <f>IFERROR(__xludf.DUMMYFUNCTION("""COMPUTED_VALUE"""),45789.0)</f>
        <v>45789</v>
      </c>
      <c r="B437" s="31" t="str">
        <f>IFERROR(__xludf.DUMMYFUNCTION("""COMPUTED_VALUE"""),"Pankaj")</f>
        <v>Pankaj</v>
      </c>
      <c r="C437" s="31" t="str">
        <f>IFERROR(__xludf.DUMMYFUNCTION("""COMPUTED_VALUE"""),"Technology")</f>
        <v>Technology</v>
      </c>
      <c r="D437" s="31">
        <f>IFERROR(__xludf.DUMMYFUNCTION("""COMPUTED_VALUE"""),9.729100689E9)</f>
        <v>9729100689</v>
      </c>
      <c r="E437" s="31" t="str">
        <f>IFERROR(__xludf.DUMMYFUNCTION("""COMPUTED_VALUE"""),"Software Engineer Intern ")</f>
        <v>Software Engineer Intern </v>
      </c>
      <c r="F437" s="31" t="str">
        <f>IFERROR(__xludf.DUMMYFUNCTION("""COMPUTED_VALUE"""),"Engineering")</f>
        <v>Engineering</v>
      </c>
      <c r="G437" s="31" t="str">
        <f>IFERROR(__xludf.DUMMYFUNCTION("""COMPUTED_VALUE"""),"dtu.pankaj@gmail.com")</f>
        <v>dtu.pankaj@gmail.com</v>
      </c>
      <c r="H437" s="31"/>
      <c r="I437" s="75">
        <f>IFERROR(__xludf.DUMMYFUNCTION("""COMPUTED_VALUE"""),45756.0)</f>
        <v>45756</v>
      </c>
      <c r="J437" s="31" t="str">
        <f>IFERROR(__xludf.DUMMYFUNCTION("""COMPUTED_VALUE"""),"Mamta Pandey")</f>
        <v>Mamta Pandey</v>
      </c>
      <c r="K437" s="31" t="str">
        <f>IFERROR(__xludf.DUMMYFUNCTION("""COMPUTED_VALUE"""),"Joined")</f>
        <v>Joined</v>
      </c>
      <c r="L437" s="31" t="str">
        <f>IFERROR(__xludf.DUMMYFUNCTION("""COMPUTED_VALUE"""),"In Office")</f>
        <v>In Office</v>
      </c>
      <c r="M437" s="31"/>
      <c r="N437" s="31"/>
    </row>
    <row r="438">
      <c r="A438" s="74">
        <f>IFERROR(__xludf.DUMMYFUNCTION("""COMPUTED_VALUE"""),45839.0)</f>
        <v>45839</v>
      </c>
      <c r="B438" s="31" t="str">
        <f>IFERROR(__xludf.DUMMYFUNCTION("""COMPUTED_VALUE"""),"Pankaj")</f>
        <v>Pankaj</v>
      </c>
      <c r="C438" s="31" t="str">
        <f>IFERROR(__xludf.DUMMYFUNCTION("""COMPUTED_VALUE"""),"Technology")</f>
        <v>Technology</v>
      </c>
      <c r="D438" s="31">
        <f>IFERROR(__xludf.DUMMYFUNCTION("""COMPUTED_VALUE"""),9.729100689E9)</f>
        <v>9729100689</v>
      </c>
      <c r="E438" s="31" t="str">
        <f>IFERROR(__xludf.DUMMYFUNCTION("""COMPUTED_VALUE"""),"Software Engineer")</f>
        <v>Software Engineer</v>
      </c>
      <c r="F438" s="31" t="str">
        <f>IFERROR(__xludf.DUMMYFUNCTION("""COMPUTED_VALUE"""),"Engineering")</f>
        <v>Engineering</v>
      </c>
      <c r="G438" s="31" t="str">
        <f>IFERROR(__xludf.DUMMYFUNCTION("""COMPUTED_VALUE"""),"dtu.pankaj@gmail.com")</f>
        <v>dtu.pankaj@gmail.com</v>
      </c>
      <c r="H438" s="31"/>
      <c r="I438" s="75">
        <f>IFERROR(__xludf.DUMMYFUNCTION("""COMPUTED_VALUE"""),45756.0)</f>
        <v>45756</v>
      </c>
      <c r="J438" s="31" t="str">
        <f>IFERROR(__xludf.DUMMYFUNCTION("""COMPUTED_VALUE"""),"Mamta Pandey")</f>
        <v>Mamta Pandey</v>
      </c>
      <c r="K438" s="31" t="str">
        <f>IFERROR(__xludf.DUMMYFUNCTION("""COMPUTED_VALUE"""),"Joined")</f>
        <v>Joined</v>
      </c>
      <c r="L438" s="31" t="str">
        <f>IFERROR(__xludf.DUMMYFUNCTION("""COMPUTED_VALUE"""),"In Office")</f>
        <v>In Office</v>
      </c>
      <c r="M438" s="31"/>
      <c r="N438" s="31"/>
    </row>
    <row r="439">
      <c r="A439" s="74">
        <f>IFERROR(__xludf.DUMMYFUNCTION("""COMPUTED_VALUE"""),45817.0)</f>
        <v>45817</v>
      </c>
      <c r="B439" s="31" t="str">
        <f>IFERROR(__xludf.DUMMYFUNCTION("""COMPUTED_VALUE"""),"Sajal Jain")</f>
        <v>Sajal Jain</v>
      </c>
      <c r="C439" s="31" t="str">
        <f>IFERROR(__xludf.DUMMYFUNCTION("""COMPUTED_VALUE"""),"Technology")</f>
        <v>Technology</v>
      </c>
      <c r="D439" s="31">
        <f>IFERROR(__xludf.DUMMYFUNCTION("""COMPUTED_VALUE"""),7.017641595E9)</f>
        <v>7017641595</v>
      </c>
      <c r="E439" s="31" t="str">
        <f>IFERROR(__xludf.DUMMYFUNCTION("""COMPUTED_VALUE"""),"Senior Software Engineer - Android")</f>
        <v>Senior Software Engineer - Android</v>
      </c>
      <c r="F439" s="31" t="str">
        <f>IFERROR(__xludf.DUMMYFUNCTION("""COMPUTED_VALUE"""),"Engineering")</f>
        <v>Engineering</v>
      </c>
      <c r="G439" s="31" t="str">
        <f>IFERROR(__xludf.DUMMYFUNCTION("""COMPUTED_VALUE"""),"sajal9897@gmail.com")</f>
        <v>sajal9897@gmail.com</v>
      </c>
      <c r="H439" s="31" t="str">
        <f>IFERROR(__xludf.DUMMYFUNCTION("""COMPUTED_VALUE"""),"Anshul Mittal")</f>
        <v>Anshul Mittal</v>
      </c>
      <c r="I439" s="75">
        <f>IFERROR(__xludf.DUMMYFUNCTION("""COMPUTED_VALUE"""),45756.0)</f>
        <v>45756</v>
      </c>
      <c r="J439" s="31" t="str">
        <f>IFERROR(__xludf.DUMMYFUNCTION("""COMPUTED_VALUE"""),"Harsha Nanwani")</f>
        <v>Harsha Nanwani</v>
      </c>
      <c r="K439" s="31" t="str">
        <f>IFERROR(__xludf.DUMMYFUNCTION("""COMPUTED_VALUE"""),"Offer Declined")</f>
        <v>Offer Declined</v>
      </c>
      <c r="L439" s="31" t="str">
        <f>IFERROR(__xludf.DUMMYFUNCTION("""COMPUTED_VALUE"""),"In Office")</f>
        <v>In Office</v>
      </c>
      <c r="M439" s="31"/>
      <c r="N439" s="31"/>
    </row>
    <row r="440">
      <c r="A440" s="74">
        <f>IFERROR(__xludf.DUMMYFUNCTION("""COMPUTED_VALUE"""),45761.0)</f>
        <v>45761</v>
      </c>
      <c r="B440" s="31" t="str">
        <f>IFERROR(__xludf.DUMMYFUNCTION("""COMPUTED_VALUE"""),"Kunal Bansal")</f>
        <v>Kunal Bansal</v>
      </c>
      <c r="C440" s="31" t="str">
        <f>IFERROR(__xludf.DUMMYFUNCTION("""COMPUTED_VALUE"""),"Technology")</f>
        <v>Technology</v>
      </c>
      <c r="D440" s="31">
        <f>IFERROR(__xludf.DUMMYFUNCTION("""COMPUTED_VALUE"""),8.70873888E9)</f>
        <v>8708738880</v>
      </c>
      <c r="E440" s="31" t="str">
        <f>IFERROR(__xludf.DUMMYFUNCTION("""COMPUTED_VALUE"""),"Software Engineer Intern ")</f>
        <v>Software Engineer Intern </v>
      </c>
      <c r="F440" s="31" t="str">
        <f>IFERROR(__xludf.DUMMYFUNCTION("""COMPUTED_VALUE"""),"Engineering")</f>
        <v>Engineering</v>
      </c>
      <c r="G440" s="31" t="str">
        <f>IFERROR(__xludf.DUMMYFUNCTION("""COMPUTED_VALUE"""),"kb67554@gmail.com")</f>
        <v>kb67554@gmail.com</v>
      </c>
      <c r="H440" s="31"/>
      <c r="I440" s="75">
        <f>IFERROR(__xludf.DUMMYFUNCTION("""COMPUTED_VALUE"""),45756.0)</f>
        <v>45756</v>
      </c>
      <c r="J440" s="31" t="str">
        <f>IFERROR(__xludf.DUMMYFUNCTION("""COMPUTED_VALUE"""),"Mamta Pandey")</f>
        <v>Mamta Pandey</v>
      </c>
      <c r="K440" s="31" t="str">
        <f>IFERROR(__xludf.DUMMYFUNCTION("""COMPUTED_VALUE"""),"Joined")</f>
        <v>Joined</v>
      </c>
      <c r="L440" s="31" t="str">
        <f>IFERROR(__xludf.DUMMYFUNCTION("""COMPUTED_VALUE"""),"In Office")</f>
        <v>In Office</v>
      </c>
      <c r="M440" s="31" t="str">
        <f>IFERROR(__xludf.DUMMYFUNCTION("""COMPUTED_VALUE"""),"kunal.bansal@zupee.in")</f>
        <v>kunal.bansal@zupee.in</v>
      </c>
      <c r="N440" s="31" t="str">
        <f>IFERROR(__xludf.DUMMYFUNCTION("""COMPUTED_VALUE"""),"GRXMC2KD9H")</f>
        <v>GRXMC2KD9H</v>
      </c>
    </row>
    <row r="441">
      <c r="A441" s="74">
        <f>IFERROR(__xludf.DUMMYFUNCTION("""COMPUTED_VALUE"""),45839.0)</f>
        <v>45839</v>
      </c>
      <c r="B441" s="31" t="str">
        <f>IFERROR(__xludf.DUMMYFUNCTION("""COMPUTED_VALUE"""),"Kunal Bansal")</f>
        <v>Kunal Bansal</v>
      </c>
      <c r="C441" s="31" t="str">
        <f>IFERROR(__xludf.DUMMYFUNCTION("""COMPUTED_VALUE"""),"Technology")</f>
        <v>Technology</v>
      </c>
      <c r="D441" s="31">
        <f>IFERROR(__xludf.DUMMYFUNCTION("""COMPUTED_VALUE"""),8.70873888E9)</f>
        <v>8708738880</v>
      </c>
      <c r="E441" s="31" t="str">
        <f>IFERROR(__xludf.DUMMYFUNCTION("""COMPUTED_VALUE"""),"Software Engineer")</f>
        <v>Software Engineer</v>
      </c>
      <c r="F441" s="31" t="str">
        <f>IFERROR(__xludf.DUMMYFUNCTION("""COMPUTED_VALUE"""),"Engineering")</f>
        <v>Engineering</v>
      </c>
      <c r="G441" s="31" t="str">
        <f>IFERROR(__xludf.DUMMYFUNCTION("""COMPUTED_VALUE"""),"kb67554@gmail.com")</f>
        <v>kb67554@gmail.com</v>
      </c>
      <c r="H441" s="31"/>
      <c r="I441" s="75">
        <f>IFERROR(__xludf.DUMMYFUNCTION("""COMPUTED_VALUE"""),45756.0)</f>
        <v>45756</v>
      </c>
      <c r="J441" s="31" t="str">
        <f>IFERROR(__xludf.DUMMYFUNCTION("""COMPUTED_VALUE"""),"Mamta Pandey")</f>
        <v>Mamta Pandey</v>
      </c>
      <c r="K441" s="31" t="str">
        <f>IFERROR(__xludf.DUMMYFUNCTION("""COMPUTED_VALUE"""),"Joined")</f>
        <v>Joined</v>
      </c>
      <c r="L441" s="31" t="str">
        <f>IFERROR(__xludf.DUMMYFUNCTION("""COMPUTED_VALUE"""),"In Office")</f>
        <v>In Office</v>
      </c>
      <c r="M441" s="31" t="str">
        <f>IFERROR(__xludf.DUMMYFUNCTION("""COMPUTED_VALUE"""),"kunal.bansal@zupee.in")</f>
        <v>kunal.bansal@zupee.in</v>
      </c>
      <c r="N441" s="31" t="str">
        <f>IFERROR(__xludf.DUMMYFUNCTION("""COMPUTED_VALUE"""),"GRXMC2KD9H")</f>
        <v>GRXMC2KD9H</v>
      </c>
    </row>
    <row r="442">
      <c r="A442" s="74">
        <f>IFERROR(__xludf.DUMMYFUNCTION("""COMPUTED_VALUE"""),45821.0)</f>
        <v>45821</v>
      </c>
      <c r="B442" s="31" t="str">
        <f>IFERROR(__xludf.DUMMYFUNCTION("""COMPUTED_VALUE"""),"Harkirat Singh")</f>
        <v>Harkirat Singh</v>
      </c>
      <c r="C442" s="31" t="str">
        <f>IFERROR(__xludf.DUMMYFUNCTION("""COMPUTED_VALUE"""),"Technology")</f>
        <v>Technology</v>
      </c>
      <c r="D442" s="31">
        <f>IFERROR(__xludf.DUMMYFUNCTION("""COMPUTED_VALUE"""),8.872446815E9)</f>
        <v>8872446815</v>
      </c>
      <c r="E442" s="31" t="str">
        <f>IFERROR(__xludf.DUMMYFUNCTION("""COMPUTED_VALUE"""),"Software Engineer- DevOps")</f>
        <v>Software Engineer- DevOps</v>
      </c>
      <c r="F442" s="31" t="str">
        <f>IFERROR(__xludf.DUMMYFUNCTION("""COMPUTED_VALUE"""),"DevOps")</f>
        <v>DevOps</v>
      </c>
      <c r="G442" s="31" t="str">
        <f>IFERROR(__xludf.DUMMYFUNCTION("""COMPUTED_VALUE"""),"harkiratsingh1196@gmail.com")</f>
        <v>harkiratsingh1196@gmail.com</v>
      </c>
      <c r="H442" s="31" t="str">
        <f>IFERROR(__xludf.DUMMYFUNCTION("""COMPUTED_VALUE"""),"Saurav Yadav")</f>
        <v>Saurav Yadav</v>
      </c>
      <c r="I442" s="75">
        <f>IFERROR(__xludf.DUMMYFUNCTION("""COMPUTED_VALUE"""),45756.0)</f>
        <v>45756</v>
      </c>
      <c r="J442" s="31" t="str">
        <f>IFERROR(__xludf.DUMMYFUNCTION("""COMPUTED_VALUE"""),"Vipin Kumar")</f>
        <v>Vipin Kumar</v>
      </c>
      <c r="K442" s="31" t="str">
        <f>IFERROR(__xludf.DUMMYFUNCTION("""COMPUTED_VALUE"""),"Joined")</f>
        <v>Joined</v>
      </c>
      <c r="L442" s="31" t="str">
        <f>IFERROR(__xludf.DUMMYFUNCTION("""COMPUTED_VALUE"""),"In Office")</f>
        <v>In Office</v>
      </c>
      <c r="M442" s="31" t="str">
        <f>IFERROR(__xludf.DUMMYFUNCTION("""COMPUTED_VALUE"""),"harkirat.singh@zupee.in")</f>
        <v>harkirat.singh@zupee.in</v>
      </c>
      <c r="N442" s="31"/>
    </row>
    <row r="443">
      <c r="A443" s="74">
        <f>IFERROR(__xludf.DUMMYFUNCTION("""COMPUTED_VALUE"""),45761.0)</f>
        <v>45761</v>
      </c>
      <c r="B443" s="31" t="str">
        <f>IFERROR(__xludf.DUMMYFUNCTION("""COMPUTED_VALUE"""),"Keshav Khatri")</f>
        <v>Keshav Khatri</v>
      </c>
      <c r="C443" s="31" t="str">
        <f>IFERROR(__xludf.DUMMYFUNCTION("""COMPUTED_VALUE"""),"Finance")</f>
        <v>Finance</v>
      </c>
      <c r="D443" s="31">
        <f>IFERROR(__xludf.DUMMYFUNCTION("""COMPUTED_VALUE"""),7.73704069E9)</f>
        <v>7737040690</v>
      </c>
      <c r="E443" s="31" t="str">
        <f>IFERROR(__xludf.DUMMYFUNCTION("""COMPUTED_VALUE"""),"Manager-Procurement")</f>
        <v>Manager-Procurement</v>
      </c>
      <c r="F443" s="31" t="str">
        <f>IFERROR(__xludf.DUMMYFUNCTION("""COMPUTED_VALUE"""),"Finance")</f>
        <v>Finance</v>
      </c>
      <c r="G443" s="31" t="str">
        <f>IFERROR(__xludf.DUMMYFUNCTION("""COMPUTED_VALUE""")," khatri0833@gmail.com")</f>
        <v> khatri0833@gmail.com</v>
      </c>
      <c r="H443" s="31" t="str">
        <f>IFERROR(__xludf.DUMMYFUNCTION("""COMPUTED_VALUE"""),"Hitesh Vats")</f>
        <v>Hitesh Vats</v>
      </c>
      <c r="I443" s="75">
        <f>IFERROR(__xludf.DUMMYFUNCTION("""COMPUTED_VALUE"""),45757.0)</f>
        <v>45757</v>
      </c>
      <c r="J443" s="31" t="str">
        <f>IFERROR(__xludf.DUMMYFUNCTION("""COMPUTED_VALUE"""),"Shivam Sharma")</f>
        <v>Shivam Sharma</v>
      </c>
      <c r="K443" s="31" t="str">
        <f>IFERROR(__xludf.DUMMYFUNCTION("""COMPUTED_VALUE"""),"Joined")</f>
        <v>Joined</v>
      </c>
      <c r="L443" s="31" t="str">
        <f>IFERROR(__xludf.DUMMYFUNCTION("""COMPUTED_VALUE"""),"In Office")</f>
        <v>In Office</v>
      </c>
      <c r="M443" s="31" t="str">
        <f>IFERROR(__xludf.DUMMYFUNCTION("""COMPUTED_VALUE"""),"keshav.khatri@zupee.in")</f>
        <v>keshav.khatri@zupee.in</v>
      </c>
      <c r="N443" s="31"/>
    </row>
    <row r="444">
      <c r="A444" s="74">
        <f>IFERROR(__xludf.DUMMYFUNCTION("""COMPUTED_VALUE"""),45824.0)</f>
        <v>45824</v>
      </c>
      <c r="B444" s="31" t="str">
        <f>IFERROR(__xludf.DUMMYFUNCTION("""COMPUTED_VALUE"""),"Maninderdeep Singh")</f>
        <v>Maninderdeep Singh</v>
      </c>
      <c r="C444" s="31" t="str">
        <f>IFERROR(__xludf.DUMMYFUNCTION("""COMPUTED_VALUE"""),"Data Science")</f>
        <v>Data Science</v>
      </c>
      <c r="D444" s="31">
        <f>IFERROR(__xludf.DUMMYFUNCTION("""COMPUTED_VALUE"""),9.682559881E9)</f>
        <v>9682559881</v>
      </c>
      <c r="E444" s="31" t="str">
        <f>IFERROR(__xludf.DUMMYFUNCTION("""COMPUTED_VALUE"""),"Senior Data Scientist")</f>
        <v>Senior Data Scientist</v>
      </c>
      <c r="F444" s="31" t="str">
        <f>IFERROR(__xludf.DUMMYFUNCTION("""COMPUTED_VALUE"""),"Data Science")</f>
        <v>Data Science</v>
      </c>
      <c r="G444" s="31" t="str">
        <f>IFERROR(__xludf.DUMMYFUNCTION("""COMPUTED_VALUE"""),"manisimu555@gmail.com")</f>
        <v>manisimu555@gmail.com</v>
      </c>
      <c r="H444" s="31" t="str">
        <f>IFERROR(__xludf.DUMMYFUNCTION("""COMPUTED_VALUE"""),"Nitesh Vijay")</f>
        <v>Nitesh Vijay</v>
      </c>
      <c r="I444" s="75">
        <f>IFERROR(__xludf.DUMMYFUNCTION("""COMPUTED_VALUE"""),45758.0)</f>
        <v>45758</v>
      </c>
      <c r="J444" s="31" t="str">
        <f>IFERROR(__xludf.DUMMYFUNCTION("""COMPUTED_VALUE"""),"Mamta Pandey")</f>
        <v>Mamta Pandey</v>
      </c>
      <c r="K444" s="31" t="str">
        <f>IFERROR(__xludf.DUMMYFUNCTION("""COMPUTED_VALUE"""),"Offer Declined")</f>
        <v>Offer Declined</v>
      </c>
      <c r="L444" s="31" t="str">
        <f>IFERROR(__xludf.DUMMYFUNCTION("""COMPUTED_VALUE"""),"In Office")</f>
        <v>In Office</v>
      </c>
      <c r="M444" s="31"/>
      <c r="N444" s="31"/>
    </row>
    <row r="445">
      <c r="A445" s="74">
        <f>IFERROR(__xludf.DUMMYFUNCTION("""COMPUTED_VALUE"""),45762.0)</f>
        <v>45762</v>
      </c>
      <c r="B445" s="31" t="str">
        <f>IFERROR(__xludf.DUMMYFUNCTION("""COMPUTED_VALUE"""),"Pooja Uppal")</f>
        <v>Pooja Uppal</v>
      </c>
      <c r="C445" s="31" t="str">
        <f>IFERROR(__xludf.DUMMYFUNCTION("""COMPUTED_VALUE"""),"Technology")</f>
        <v>Technology</v>
      </c>
      <c r="D445" s="31">
        <f>IFERROR(__xludf.DUMMYFUNCTION("""COMPUTED_VALUE"""),9.582431326E9)</f>
        <v>9582431326</v>
      </c>
      <c r="E445" s="31" t="str">
        <f>IFERROR(__xludf.DUMMYFUNCTION("""COMPUTED_VALUE"""),"Senior Software Development Engineer in Test")</f>
        <v>Senior Software Development Engineer in Test</v>
      </c>
      <c r="F445" s="31" t="str">
        <f>IFERROR(__xludf.DUMMYFUNCTION("""COMPUTED_VALUE"""),"SDET")</f>
        <v>SDET</v>
      </c>
      <c r="G445" s="31" t="str">
        <f>IFERROR(__xludf.DUMMYFUNCTION("""COMPUTED_VALUE"""),"pujapuja35@gmail.com")</f>
        <v>pujapuja35@gmail.com</v>
      </c>
      <c r="H445" s="31" t="str">
        <f>IFERROR(__xludf.DUMMYFUNCTION("""COMPUTED_VALUE"""),"Vipul Gupta")</f>
        <v>Vipul Gupta</v>
      </c>
      <c r="I445" s="75">
        <f>IFERROR(__xludf.DUMMYFUNCTION("""COMPUTED_VALUE"""),45761.0)</f>
        <v>45761</v>
      </c>
      <c r="J445" s="31" t="str">
        <f>IFERROR(__xludf.DUMMYFUNCTION("""COMPUTED_VALUE"""),"Vipin Kumar")</f>
        <v>Vipin Kumar</v>
      </c>
      <c r="K445" s="31" t="str">
        <f>IFERROR(__xludf.DUMMYFUNCTION("""COMPUTED_VALUE"""),"Joined")</f>
        <v>Joined</v>
      </c>
      <c r="L445" s="31" t="str">
        <f>IFERROR(__xludf.DUMMYFUNCTION("""COMPUTED_VALUE"""),"In Office")</f>
        <v>In Office</v>
      </c>
      <c r="M445" s="31" t="str">
        <f>IFERROR(__xludf.DUMMYFUNCTION("""COMPUTED_VALUE"""),"pooja.uppal@zupee.in")</f>
        <v>pooja.uppal@zupee.in</v>
      </c>
      <c r="N445" s="31" t="str">
        <f>IFERROR(__xludf.DUMMYFUNCTION("""COMPUTED_VALUE"""),"K3X3QVFJLQ")</f>
        <v>K3X3QVFJLQ</v>
      </c>
    </row>
    <row r="446">
      <c r="A446" s="74">
        <f>IFERROR(__xludf.DUMMYFUNCTION("""COMPUTED_VALUE"""),45775.0)</f>
        <v>45775</v>
      </c>
      <c r="B446" s="31" t="str">
        <f>IFERROR(__xludf.DUMMYFUNCTION("""COMPUTED_VALUE"""),"Rahul Sharma")</f>
        <v>Rahul Sharma</v>
      </c>
      <c r="C446" s="31" t="str">
        <f>IFERROR(__xludf.DUMMYFUNCTION("""COMPUTED_VALUE"""),"HR")</f>
        <v>HR</v>
      </c>
      <c r="D446" s="31">
        <f>IFERROR(__xludf.DUMMYFUNCTION("""COMPUTED_VALUE"""),9.266653647E9)</f>
        <v>9266653647</v>
      </c>
      <c r="E446" s="31" t="str">
        <f>IFERROR(__xludf.DUMMYFUNCTION("""COMPUTED_VALUE"""),"Senior Executive - HR Operation")</f>
        <v>Senior Executive - HR Operation</v>
      </c>
      <c r="F446" s="31" t="str">
        <f>IFERROR(__xludf.DUMMYFUNCTION("""COMPUTED_VALUE"""),"Human Resource")</f>
        <v>Human Resource</v>
      </c>
      <c r="G446" s="31" t="str">
        <f>IFERROR(__xludf.DUMMYFUNCTION("""COMPUTED_VALUE"""),"rahulsharma92666@gmail.com")</f>
        <v>rahulsharma92666@gmail.com</v>
      </c>
      <c r="H446" s="31" t="str">
        <f>IFERROR(__xludf.DUMMYFUNCTION("""COMPUTED_VALUE"""),"Vivek Jain")</f>
        <v>Vivek Jain</v>
      </c>
      <c r="I446" s="75">
        <f>IFERROR(__xludf.DUMMYFUNCTION("""COMPUTED_VALUE"""),45761.0)</f>
        <v>45761</v>
      </c>
      <c r="J446" s="31" t="str">
        <f>IFERROR(__xludf.DUMMYFUNCTION("""COMPUTED_VALUE"""),"Nidhi Khedekar")</f>
        <v>Nidhi Khedekar</v>
      </c>
      <c r="K446" s="31" t="str">
        <f>IFERROR(__xludf.DUMMYFUNCTION("""COMPUTED_VALUE"""),"Joined")</f>
        <v>Joined</v>
      </c>
      <c r="L446" s="31" t="str">
        <f>IFERROR(__xludf.DUMMYFUNCTION("""COMPUTED_VALUE"""),"In Office")</f>
        <v>In Office</v>
      </c>
      <c r="M446" s="31" t="str">
        <f>IFERROR(__xludf.DUMMYFUNCTION("""COMPUTED_VALUE"""),"rahul.s@zupee.in")</f>
        <v>rahul.s@zupee.in</v>
      </c>
      <c r="N446" s="31"/>
    </row>
    <row r="447">
      <c r="A447" s="74">
        <f>IFERROR(__xludf.DUMMYFUNCTION("""COMPUTED_VALUE"""),45797.0)</f>
        <v>45797</v>
      </c>
      <c r="B447" s="31" t="str">
        <f>IFERROR(__xludf.DUMMYFUNCTION("""COMPUTED_VALUE"""),"Mudit jain")</f>
        <v>Mudit jain</v>
      </c>
      <c r="C447" s="31" t="str">
        <f>IFERROR(__xludf.DUMMYFUNCTION("""COMPUTED_VALUE"""),"Technology")</f>
        <v>Technology</v>
      </c>
      <c r="D447" s="31">
        <f>IFERROR(__xludf.DUMMYFUNCTION("""COMPUTED_VALUE"""),9.785224602E9)</f>
        <v>9785224602</v>
      </c>
      <c r="E447" s="31" t="str">
        <f>IFERROR(__xludf.DUMMYFUNCTION("""COMPUTED_VALUE"""),"Senior Software Engineer- DevOps")</f>
        <v>Senior Software Engineer- DevOps</v>
      </c>
      <c r="F447" s="31" t="str">
        <f>IFERROR(__xludf.DUMMYFUNCTION("""COMPUTED_VALUE"""),"DevOps")</f>
        <v>DevOps</v>
      </c>
      <c r="G447" s="31" t="str">
        <f>IFERROR(__xludf.DUMMYFUNCTION("""COMPUTED_VALUE"""),"1208jainmudit@gmail.com")</f>
        <v>1208jainmudit@gmail.com</v>
      </c>
      <c r="H447" s="31" t="str">
        <f>IFERROR(__xludf.DUMMYFUNCTION("""COMPUTED_VALUE"""),"Saurav Yadav")</f>
        <v>Saurav Yadav</v>
      </c>
      <c r="I447" s="75">
        <f>IFERROR(__xludf.DUMMYFUNCTION("""COMPUTED_VALUE"""),45761.0)</f>
        <v>45761</v>
      </c>
      <c r="J447" s="31" t="str">
        <f>IFERROR(__xludf.DUMMYFUNCTION("""COMPUTED_VALUE"""),"Vipin Kumar")</f>
        <v>Vipin Kumar</v>
      </c>
      <c r="K447" s="31" t="str">
        <f>IFERROR(__xludf.DUMMYFUNCTION("""COMPUTED_VALUE"""),"Joined")</f>
        <v>Joined</v>
      </c>
      <c r="L447" s="31" t="str">
        <f>IFERROR(__xludf.DUMMYFUNCTION("""COMPUTED_VALUE"""),"In Office")</f>
        <v>In Office</v>
      </c>
      <c r="M447" s="31" t="str">
        <f>IFERROR(__xludf.DUMMYFUNCTION("""COMPUTED_VALUE"""),"mudit.jain@zupee.in")</f>
        <v>mudit.jain@zupee.in</v>
      </c>
      <c r="N447" s="31"/>
    </row>
    <row r="448">
      <c r="A448" s="74">
        <f>IFERROR(__xludf.DUMMYFUNCTION("""COMPUTED_VALUE"""),45796.0)</f>
        <v>45796</v>
      </c>
      <c r="B448" s="31" t="str">
        <f>IFERROR(__xludf.DUMMYFUNCTION("""COMPUTED_VALUE"""),"Saksham Gupta")</f>
        <v>Saksham Gupta</v>
      </c>
      <c r="C448" s="31" t="str">
        <f>IFERROR(__xludf.DUMMYFUNCTION("""COMPUTED_VALUE"""),"Data Engineer")</f>
        <v>Data Engineer</v>
      </c>
      <c r="D448" s="31">
        <f>IFERROR(__xludf.DUMMYFUNCTION("""COMPUTED_VALUE"""),8.05797175E9)</f>
        <v>8057971750</v>
      </c>
      <c r="E448" s="31" t="str">
        <f>IFERROR(__xludf.DUMMYFUNCTION("""COMPUTED_VALUE"""),"Senior Data Engineer")</f>
        <v>Senior Data Engineer</v>
      </c>
      <c r="F448" s="31" t="str">
        <f>IFERROR(__xludf.DUMMYFUNCTION("""COMPUTED_VALUE"""),"Data Engineering")</f>
        <v>Data Engineering</v>
      </c>
      <c r="G448" s="31" t="str">
        <f>IFERROR(__xludf.DUMMYFUNCTION("""COMPUTED_VALUE""")," sakshamgupta026@gmail.com")</f>
        <v> sakshamgupta026@gmail.com</v>
      </c>
      <c r="H448" s="31" t="str">
        <f>IFERROR(__xludf.DUMMYFUNCTION("""COMPUTED_VALUE"""),"Aman Behl")</f>
        <v>Aman Behl</v>
      </c>
      <c r="I448" s="75">
        <f>IFERROR(__xludf.DUMMYFUNCTION("""COMPUTED_VALUE"""),45762.0)</f>
        <v>45762</v>
      </c>
      <c r="J448" s="31" t="str">
        <f>IFERROR(__xludf.DUMMYFUNCTION("""COMPUTED_VALUE"""),"Shivam Sharma")</f>
        <v>Shivam Sharma</v>
      </c>
      <c r="K448" s="31" t="str">
        <f>IFERROR(__xludf.DUMMYFUNCTION("""COMPUTED_VALUE"""),"Offer Declined")</f>
        <v>Offer Declined</v>
      </c>
      <c r="L448" s="31" t="str">
        <f>IFERROR(__xludf.DUMMYFUNCTION("""COMPUTED_VALUE"""),"In Office")</f>
        <v>In Office</v>
      </c>
      <c r="M448" s="31"/>
      <c r="N448" s="31"/>
    </row>
    <row r="449">
      <c r="A449" s="74">
        <f>IFERROR(__xludf.DUMMYFUNCTION("""COMPUTED_VALUE"""),45824.0)</f>
        <v>45824</v>
      </c>
      <c r="B449" s="31" t="str">
        <f>IFERROR(__xludf.DUMMYFUNCTION("""COMPUTED_VALUE"""),"Pranjay Dhamija")</f>
        <v>Pranjay Dhamija</v>
      </c>
      <c r="C449" s="31" t="str">
        <f>IFERROR(__xludf.DUMMYFUNCTION("""COMPUTED_VALUE"""),"Analytics")</f>
        <v>Analytics</v>
      </c>
      <c r="D449" s="31">
        <f>IFERROR(__xludf.DUMMYFUNCTION("""COMPUTED_VALUE"""),8.556931584E9)</f>
        <v>8556931584</v>
      </c>
      <c r="E449" s="31" t="str">
        <f>IFERROR(__xludf.DUMMYFUNCTION("""COMPUTED_VALUE"""),"Senior Data Analyst")</f>
        <v>Senior Data Analyst</v>
      </c>
      <c r="F449" s="31" t="str">
        <f>IFERROR(__xludf.DUMMYFUNCTION("""COMPUTED_VALUE"""),"Product")</f>
        <v>Product</v>
      </c>
      <c r="G449" s="31" t="str">
        <f>IFERROR(__xludf.DUMMYFUNCTION("""COMPUTED_VALUE"""),"pranjaydhamija21@gmail.com")</f>
        <v>pranjaydhamija21@gmail.com</v>
      </c>
      <c r="H449" s="31" t="str">
        <f>IFERROR(__xludf.DUMMYFUNCTION("""COMPUTED_VALUE"""),"Raman Malik")</f>
        <v>Raman Malik</v>
      </c>
      <c r="I449" s="75">
        <f>IFERROR(__xludf.DUMMYFUNCTION("""COMPUTED_VALUE"""),45762.0)</f>
        <v>45762</v>
      </c>
      <c r="J449" s="31" t="str">
        <f>IFERROR(__xludf.DUMMYFUNCTION("""COMPUTED_VALUE"""),"Mamta Pandey")</f>
        <v>Mamta Pandey</v>
      </c>
      <c r="K449" s="31" t="str">
        <f>IFERROR(__xludf.DUMMYFUNCTION("""COMPUTED_VALUE"""),"Joined")</f>
        <v>Joined</v>
      </c>
      <c r="L449" s="31" t="str">
        <f>IFERROR(__xludf.DUMMYFUNCTION("""COMPUTED_VALUE"""),"In Office")</f>
        <v>In Office</v>
      </c>
      <c r="M449" s="31" t="str">
        <f>IFERROR(__xludf.DUMMYFUNCTION("""COMPUTED_VALUE"""),"pranjay.dhamija@zupee.in")</f>
        <v>pranjay.dhamija@zupee.in</v>
      </c>
      <c r="N449" s="31"/>
    </row>
    <row r="450">
      <c r="A450" s="74">
        <f>IFERROR(__xludf.DUMMYFUNCTION("""COMPUTED_VALUE"""),45763.0)</f>
        <v>45763</v>
      </c>
      <c r="B450" s="31" t="str">
        <f>IFERROR(__xludf.DUMMYFUNCTION("""COMPUTED_VALUE"""),"Umang Chhabra")</f>
        <v>Umang Chhabra</v>
      </c>
      <c r="C450" s="31" t="str">
        <f>IFERROR(__xludf.DUMMYFUNCTION("""COMPUTED_VALUE"""),"Data Engineer")</f>
        <v>Data Engineer</v>
      </c>
      <c r="D450" s="31">
        <f>IFERROR(__xludf.DUMMYFUNCTION("""COMPUTED_VALUE"""),9.30603858E9)</f>
        <v>9306038580</v>
      </c>
      <c r="E450" s="31" t="str">
        <f>IFERROR(__xludf.DUMMYFUNCTION("""COMPUTED_VALUE"""),"Data Engineer")</f>
        <v>Data Engineer</v>
      </c>
      <c r="F450" s="31" t="str">
        <f>IFERROR(__xludf.DUMMYFUNCTION("""COMPUTED_VALUE"""),"Data Engineering")</f>
        <v>Data Engineering</v>
      </c>
      <c r="G450" s="31" t="str">
        <f>IFERROR(__xludf.DUMMYFUNCTION("""COMPUTED_VALUE"""),"umangchabra06@gmail.com")</f>
        <v>umangchabra06@gmail.com</v>
      </c>
      <c r="H450" s="31" t="str">
        <f>IFERROR(__xludf.DUMMYFUNCTION("""COMPUTED_VALUE"""),"Aman Bahl")</f>
        <v>Aman Bahl</v>
      </c>
      <c r="I450" s="75">
        <f>IFERROR(__xludf.DUMMYFUNCTION("""COMPUTED_VALUE"""),45762.0)</f>
        <v>45762</v>
      </c>
      <c r="J450" s="31" t="str">
        <f>IFERROR(__xludf.DUMMYFUNCTION("""COMPUTED_VALUE"""),"Naina")</f>
        <v>Naina</v>
      </c>
      <c r="K450" s="31" t="str">
        <f>IFERROR(__xludf.DUMMYFUNCTION("""COMPUTED_VALUE"""),"Joined")</f>
        <v>Joined</v>
      </c>
      <c r="L450" s="31" t="str">
        <f>IFERROR(__xludf.DUMMYFUNCTION("""COMPUTED_VALUE"""),"In Office")</f>
        <v>In Office</v>
      </c>
      <c r="M450" s="31" t="str">
        <f>IFERROR(__xludf.DUMMYFUNCTION("""COMPUTED_VALUE"""),"umang.chhabra@zupee.in")</f>
        <v>umang.chhabra@zupee.in</v>
      </c>
      <c r="N450" s="31" t="str">
        <f>IFERROR(__xludf.DUMMYFUNCTION("""COMPUTED_VALUE"""),"KQR4GXVM2G")</f>
        <v>KQR4GXVM2G</v>
      </c>
    </row>
    <row r="451">
      <c r="A451" s="74">
        <f>IFERROR(__xludf.DUMMYFUNCTION("""COMPUTED_VALUE"""),45796.0)</f>
        <v>45796</v>
      </c>
      <c r="B451" s="31" t="str">
        <f>IFERROR(__xludf.DUMMYFUNCTION("""COMPUTED_VALUE"""),"Aditya Gupta")</f>
        <v>Aditya Gupta</v>
      </c>
      <c r="C451" s="31" t="str">
        <f>IFERROR(__xludf.DUMMYFUNCTION("""COMPUTED_VALUE"""),"Technology")</f>
        <v>Technology</v>
      </c>
      <c r="D451" s="31">
        <f>IFERROR(__xludf.DUMMYFUNCTION("""COMPUTED_VALUE"""),7.737738041E9)</f>
        <v>7737738041</v>
      </c>
      <c r="E451" s="31" t="str">
        <f>IFERROR(__xludf.DUMMYFUNCTION("""COMPUTED_VALUE"""),"Software Engineer- DevOps")</f>
        <v>Software Engineer- DevOps</v>
      </c>
      <c r="F451" s="31" t="str">
        <f>IFERROR(__xludf.DUMMYFUNCTION("""COMPUTED_VALUE"""),"DevOps")</f>
        <v>DevOps</v>
      </c>
      <c r="G451" s="31" t="str">
        <f>IFERROR(__xludf.DUMMYFUNCTION("""COMPUTED_VALUE"""),"adityagupta7598@gmail.com")</f>
        <v>adityagupta7598@gmail.com</v>
      </c>
      <c r="H451" s="31" t="str">
        <f>IFERROR(__xludf.DUMMYFUNCTION("""COMPUTED_VALUE"""),"Saurav Yadav")</f>
        <v>Saurav Yadav</v>
      </c>
      <c r="I451" s="75">
        <f>IFERROR(__xludf.DUMMYFUNCTION("""COMPUTED_VALUE"""),45763.0)</f>
        <v>45763</v>
      </c>
      <c r="J451" s="31" t="str">
        <f>IFERROR(__xludf.DUMMYFUNCTION("""COMPUTED_VALUE"""),"Vipin Kumar")</f>
        <v>Vipin Kumar</v>
      </c>
      <c r="K451" s="31" t="str">
        <f>IFERROR(__xludf.DUMMYFUNCTION("""COMPUTED_VALUE"""),"Offer Declined")</f>
        <v>Offer Declined</v>
      </c>
      <c r="L451" s="31" t="str">
        <f>IFERROR(__xludf.DUMMYFUNCTION("""COMPUTED_VALUE"""),"In Office")</f>
        <v>In Office</v>
      </c>
      <c r="M451" s="31" t="str">
        <f>IFERROR(__xludf.DUMMYFUNCTION("""COMPUTED_VALUE"""),"aditya.gupta@zupee.in")</f>
        <v>aditya.gupta@zupee.in</v>
      </c>
      <c r="N451" s="31" t="str">
        <f>IFERROR(__xludf.DUMMYFUNCTION("""COMPUTED_VALUE"""),"M24XXR5WYR")</f>
        <v>M24XXR5WYR</v>
      </c>
    </row>
    <row r="452">
      <c r="A452" s="74">
        <f>IFERROR(__xludf.DUMMYFUNCTION("""COMPUTED_VALUE"""),45782.0)</f>
        <v>45782</v>
      </c>
      <c r="B452" s="31" t="str">
        <f>IFERROR(__xludf.DUMMYFUNCTION("""COMPUTED_VALUE"""),"Deepak Bhatt")</f>
        <v>Deepak Bhatt</v>
      </c>
      <c r="C452" s="31" t="str">
        <f>IFERROR(__xludf.DUMMYFUNCTION("""COMPUTED_VALUE"""),"Technology")</f>
        <v>Technology</v>
      </c>
      <c r="D452" s="31">
        <f>IFERROR(__xludf.DUMMYFUNCTION("""COMPUTED_VALUE"""),9.557559586E9)</f>
        <v>9557559586</v>
      </c>
      <c r="E452" s="31" t="str">
        <f>IFERROR(__xludf.DUMMYFUNCTION("""COMPUTED_VALUE"""),"Software Engineer- DevOps")</f>
        <v>Software Engineer- DevOps</v>
      </c>
      <c r="F452" s="31" t="str">
        <f>IFERROR(__xludf.DUMMYFUNCTION("""COMPUTED_VALUE"""),"DevOps")</f>
        <v>DevOps</v>
      </c>
      <c r="G452" s="31" t="str">
        <f>IFERROR(__xludf.DUMMYFUNCTION("""COMPUTED_VALUE"""),"deepakbhatt955755@gmail.com")</f>
        <v>deepakbhatt955755@gmail.com</v>
      </c>
      <c r="H452" s="31" t="str">
        <f>IFERROR(__xludf.DUMMYFUNCTION("""COMPUTED_VALUE"""),"Saurav Yadav")</f>
        <v>Saurav Yadav</v>
      </c>
      <c r="I452" s="75">
        <f>IFERROR(__xludf.DUMMYFUNCTION("""COMPUTED_VALUE"""),45764.0)</f>
        <v>45764</v>
      </c>
      <c r="J452" s="31" t="str">
        <f>IFERROR(__xludf.DUMMYFUNCTION("""COMPUTED_VALUE"""),"Vipin Kumar")</f>
        <v>Vipin Kumar</v>
      </c>
      <c r="K452" s="31" t="str">
        <f>IFERROR(__xludf.DUMMYFUNCTION("""COMPUTED_VALUE"""),"Offer Declined")</f>
        <v>Offer Declined</v>
      </c>
      <c r="L452" s="31" t="str">
        <f>IFERROR(__xludf.DUMMYFUNCTION("""COMPUTED_VALUE"""),"In Office")</f>
        <v>In Office</v>
      </c>
      <c r="M452" s="31"/>
      <c r="N452" s="31"/>
    </row>
    <row r="453">
      <c r="A453" s="74">
        <f>IFERROR(__xludf.DUMMYFUNCTION("""COMPUTED_VALUE"""),45768.0)</f>
        <v>45768</v>
      </c>
      <c r="B453" s="31" t="str">
        <f>IFERROR(__xludf.DUMMYFUNCTION("""COMPUTED_VALUE"""),"Shivangi Dalmia")</f>
        <v>Shivangi Dalmia</v>
      </c>
      <c r="C453" s="31" t="str">
        <f>IFERROR(__xludf.DUMMYFUNCTION("""COMPUTED_VALUE"""),"Finance")</f>
        <v>Finance</v>
      </c>
      <c r="D453" s="31">
        <f>IFERROR(__xludf.DUMMYFUNCTION("""COMPUTED_VALUE"""),8.240746893E9)</f>
        <v>8240746893</v>
      </c>
      <c r="E453" s="31" t="str">
        <f>IFERROR(__xludf.DUMMYFUNCTION("""COMPUTED_VALUE"""),"Assistant Manager- Finance")</f>
        <v>Assistant Manager- Finance</v>
      </c>
      <c r="F453" s="31" t="str">
        <f>IFERROR(__xludf.DUMMYFUNCTION("""COMPUTED_VALUE"""),"Finance")</f>
        <v>Finance</v>
      </c>
      <c r="G453" s="31" t="str">
        <f>IFERROR(__xludf.DUMMYFUNCTION("""COMPUTED_VALUE"""),"shivangidalmia1525@gmail.com")</f>
        <v>shivangidalmia1525@gmail.com</v>
      </c>
      <c r="H453" s="31" t="str">
        <f>IFERROR(__xludf.DUMMYFUNCTION("""COMPUTED_VALUE"""),"Ankur Agarwal")</f>
        <v>Ankur Agarwal</v>
      </c>
      <c r="I453" s="75">
        <f>IFERROR(__xludf.DUMMYFUNCTION("""COMPUTED_VALUE"""),45766.0)</f>
        <v>45766</v>
      </c>
      <c r="J453" s="31" t="str">
        <f>IFERROR(__xludf.DUMMYFUNCTION("""COMPUTED_VALUE"""),"Mamta Pandey")</f>
        <v>Mamta Pandey</v>
      </c>
      <c r="K453" s="31" t="str">
        <f>IFERROR(__xludf.DUMMYFUNCTION("""COMPUTED_VALUE"""),"Joined")</f>
        <v>Joined</v>
      </c>
      <c r="L453" s="31" t="str">
        <f>IFERROR(__xludf.DUMMYFUNCTION("""COMPUTED_VALUE"""),"Virtual")</f>
        <v>Virtual</v>
      </c>
      <c r="M453" s="31" t="str">
        <f>IFERROR(__xludf.DUMMYFUNCTION("""COMPUTED_VALUE"""),"shivangi.dalmia@zupee.in")</f>
        <v>shivangi.dalmia@zupee.in</v>
      </c>
      <c r="N453" s="31"/>
    </row>
    <row r="454">
      <c r="A454" s="74">
        <f>IFERROR(__xludf.DUMMYFUNCTION("""COMPUTED_VALUE"""),45796.0)</f>
        <v>45796</v>
      </c>
      <c r="B454" s="31" t="str">
        <f>IFERROR(__xludf.DUMMYFUNCTION("""COMPUTED_VALUE"""),"Abhishek Gakhar")</f>
        <v>Abhishek Gakhar</v>
      </c>
      <c r="C454" s="31" t="str">
        <f>IFERROR(__xludf.DUMMYFUNCTION("""COMPUTED_VALUE"""),"Marketing")</f>
        <v>Marketing</v>
      </c>
      <c r="D454" s="31">
        <f>IFERROR(__xludf.DUMMYFUNCTION("""COMPUTED_VALUE"""),9.468467684E9)</f>
        <v>9468467684</v>
      </c>
      <c r="E454" s="31" t="str">
        <f>IFERROR(__xludf.DUMMYFUNCTION("""COMPUTED_VALUE"""),"Manager- Digital Marketing")</f>
        <v>Manager- Digital Marketing</v>
      </c>
      <c r="F454" s="31" t="str">
        <f>IFERROR(__xludf.DUMMYFUNCTION("""COMPUTED_VALUE"""),"Digital Marketing")</f>
        <v>Digital Marketing</v>
      </c>
      <c r="G454" s="31" t="str">
        <f>IFERROR(__xludf.DUMMYFUNCTION("""COMPUTED_VALUE"""),"gakharabhi01@gmail.com")</f>
        <v>gakharabhi01@gmail.com</v>
      </c>
      <c r="H454" s="31" t="str">
        <f>IFERROR(__xludf.DUMMYFUNCTION("""COMPUTED_VALUE"""),"Piyush Patel")</f>
        <v>Piyush Patel</v>
      </c>
      <c r="I454" s="75">
        <f>IFERROR(__xludf.DUMMYFUNCTION("""COMPUTED_VALUE"""),45769.0)</f>
        <v>45769</v>
      </c>
      <c r="J454" s="31" t="str">
        <f>IFERROR(__xludf.DUMMYFUNCTION("""COMPUTED_VALUE"""),"Vipin Kumar")</f>
        <v>Vipin Kumar</v>
      </c>
      <c r="K454" s="31" t="str">
        <f>IFERROR(__xludf.DUMMYFUNCTION("""COMPUTED_VALUE"""),"Offer Declined")</f>
        <v>Offer Declined</v>
      </c>
      <c r="L454" s="31" t="str">
        <f>IFERROR(__xludf.DUMMYFUNCTION("""COMPUTED_VALUE"""),"In Office")</f>
        <v>In Office</v>
      </c>
      <c r="M454" s="31"/>
      <c r="N454" s="31"/>
    </row>
    <row r="455">
      <c r="A455" s="74">
        <f>IFERROR(__xludf.DUMMYFUNCTION("""COMPUTED_VALUE"""),45783.0)</f>
        <v>45783</v>
      </c>
      <c r="B455" s="31" t="str">
        <f>IFERROR(__xludf.DUMMYFUNCTION("""COMPUTED_VALUE"""),"Yagya Srivastava")</f>
        <v>Yagya Srivastava</v>
      </c>
      <c r="C455" s="31" t="str">
        <f>IFERROR(__xludf.DUMMYFUNCTION("""COMPUTED_VALUE"""),"Corporate")</f>
        <v>Corporate</v>
      </c>
      <c r="D455" s="31">
        <f>IFERROR(__xludf.DUMMYFUNCTION("""COMPUTED_VALUE"""),9.920972126E9)</f>
        <v>9920972126</v>
      </c>
      <c r="E455" s="31" t="str">
        <f>IFERROR(__xludf.DUMMYFUNCTION("""COMPUTED_VALUE"""),"Assistant Manager- Public
Policy")</f>
        <v>Assistant Manager- Public
Policy</v>
      </c>
      <c r="F455" s="31" t="str">
        <f>IFERROR(__xludf.DUMMYFUNCTION("""COMPUTED_VALUE"""),"Public policy")</f>
        <v>Public policy</v>
      </c>
      <c r="G455" s="31" t="str">
        <f>IFERROR(__xludf.DUMMYFUNCTION("""COMPUTED_VALUE"""),"yagyasr.legal@gmail.com")</f>
        <v>yagyasr.legal@gmail.com</v>
      </c>
      <c r="H455" s="31" t="str">
        <f>IFERROR(__xludf.DUMMYFUNCTION("""COMPUTED_VALUE"""),"Ravi Jha")</f>
        <v>Ravi Jha</v>
      </c>
      <c r="I455" s="75">
        <f>IFERROR(__xludf.DUMMYFUNCTION("""COMPUTED_VALUE"""),45769.0)</f>
        <v>45769</v>
      </c>
      <c r="J455" s="31" t="str">
        <f>IFERROR(__xludf.DUMMYFUNCTION("""COMPUTED_VALUE"""),"Harsha Nanwani")</f>
        <v>Harsha Nanwani</v>
      </c>
      <c r="K455" s="31" t="str">
        <f>IFERROR(__xludf.DUMMYFUNCTION("""COMPUTED_VALUE"""),"Joined")</f>
        <v>Joined</v>
      </c>
      <c r="L455" s="31" t="str">
        <f>IFERROR(__xludf.DUMMYFUNCTION("""COMPUTED_VALUE"""),"In Office")</f>
        <v>In Office</v>
      </c>
      <c r="M455" s="31" t="str">
        <f>IFERROR(__xludf.DUMMYFUNCTION("""COMPUTED_VALUE"""),"yagya.srivastava@zupee.in")</f>
        <v>yagya.srivastava@zupee.in</v>
      </c>
      <c r="N455" s="31" t="str">
        <f>IFERROR(__xludf.DUMMYFUNCTION("""COMPUTED_VALUE"""),"PF4BM418")</f>
        <v>PF4BM418</v>
      </c>
    </row>
    <row r="456">
      <c r="A456" s="74">
        <f>IFERROR(__xludf.DUMMYFUNCTION("""COMPUTED_VALUE"""),45853.0)</f>
        <v>45853</v>
      </c>
      <c r="B456" s="31" t="str">
        <f>IFERROR(__xludf.DUMMYFUNCTION("""COMPUTED_VALUE"""),"Saumitra Raj")</f>
        <v>Saumitra Raj</v>
      </c>
      <c r="C456" s="31" t="str">
        <f>IFERROR(__xludf.DUMMYFUNCTION("""COMPUTED_VALUE"""),"Strategy")</f>
        <v>Strategy</v>
      </c>
      <c r="D456" s="31">
        <f>IFERROR(__xludf.DUMMYFUNCTION("""COMPUTED_VALUE"""),9.986516267E9)</f>
        <v>9986516267</v>
      </c>
      <c r="E456" s="31" t="str">
        <f>IFERROR(__xludf.DUMMYFUNCTION("""COMPUTED_VALUE"""),"Director- Revenue and Growth")</f>
        <v>Director- Revenue and Growth</v>
      </c>
      <c r="F456" s="31" t="str">
        <f>IFERROR(__xludf.DUMMYFUNCTION("""COMPUTED_VALUE"""),"Strategy")</f>
        <v>Strategy</v>
      </c>
      <c r="G456" s="31" t="str">
        <f>IFERROR(__xludf.DUMMYFUNCTION("""COMPUTED_VALUE"""),"raj.saumitra@gmail.com")</f>
        <v>raj.saumitra@gmail.com</v>
      </c>
      <c r="H456" s="31" t="str">
        <f>IFERROR(__xludf.DUMMYFUNCTION("""COMPUTED_VALUE"""),"Akanksha Dhamija")</f>
        <v>Akanksha Dhamija</v>
      </c>
      <c r="I456" s="75">
        <f>IFERROR(__xludf.DUMMYFUNCTION("""COMPUTED_VALUE"""),45769.0)</f>
        <v>45769</v>
      </c>
      <c r="J456" s="31" t="str">
        <f>IFERROR(__xludf.DUMMYFUNCTION("""COMPUTED_VALUE"""),"M Sangeetha")</f>
        <v>M Sangeetha</v>
      </c>
      <c r="K456" s="31" t="str">
        <f>IFERROR(__xludf.DUMMYFUNCTION("""COMPUTED_VALUE"""),"Joined")</f>
        <v>Joined</v>
      </c>
      <c r="L456" s="31" t="str">
        <f>IFERROR(__xludf.DUMMYFUNCTION("""COMPUTED_VALUE"""),"In Office")</f>
        <v>In Office</v>
      </c>
      <c r="M456" s="31" t="str">
        <f>IFERROR(__xludf.DUMMYFUNCTION("""COMPUTED_VALUE"""),"saumitra.raj@zupee.in")</f>
        <v>saumitra.raj@zupee.in</v>
      </c>
      <c r="N456" s="31" t="str">
        <f>IFERROR(__xludf.DUMMYFUNCTION("""COMPUTED_VALUE"""),"C7YY74WTG4")</f>
        <v>C7YY74WTG4</v>
      </c>
    </row>
    <row r="457">
      <c r="A457" s="74">
        <f>IFERROR(__xludf.DUMMYFUNCTION("""COMPUTED_VALUE"""),45840.0)</f>
        <v>45840</v>
      </c>
      <c r="B457" s="31" t="str">
        <f>IFERROR(__xludf.DUMMYFUNCTION("""COMPUTED_VALUE"""),"Ambika")</f>
        <v>Ambika</v>
      </c>
      <c r="C457" s="31" t="str">
        <f>IFERROR(__xludf.DUMMYFUNCTION("""COMPUTED_VALUE"""),"Data")</f>
        <v>Data</v>
      </c>
      <c r="D457" s="31">
        <f>IFERROR(__xludf.DUMMYFUNCTION("""COMPUTED_VALUE"""),7.300161616E9)</f>
        <v>7300161616</v>
      </c>
      <c r="E457" s="31" t="str">
        <f>IFERROR(__xludf.DUMMYFUNCTION("""COMPUTED_VALUE"""),"Senior Data Analyst")</f>
        <v>Senior Data Analyst</v>
      </c>
      <c r="F457" s="31" t="str">
        <f>IFERROR(__xludf.DUMMYFUNCTION("""COMPUTED_VALUE"""),"Data Analytics")</f>
        <v>Data Analytics</v>
      </c>
      <c r="G457" s="31" t="str">
        <f>IFERROR(__xludf.DUMMYFUNCTION("""COMPUTED_VALUE"""),"ambika.g0918@gmail.com")</f>
        <v>ambika.g0918@gmail.com</v>
      </c>
      <c r="H457" s="31" t="str">
        <f>IFERROR(__xludf.DUMMYFUNCTION("""COMPUTED_VALUE"""),"Raman Malik")</f>
        <v>Raman Malik</v>
      </c>
      <c r="I457" s="75">
        <f>IFERROR(__xludf.DUMMYFUNCTION("""COMPUTED_VALUE"""),45770.0)</f>
        <v>45770</v>
      </c>
      <c r="J457" s="31" t="str">
        <f>IFERROR(__xludf.DUMMYFUNCTION("""COMPUTED_VALUE"""),"Vipin Kumar")</f>
        <v>Vipin Kumar</v>
      </c>
      <c r="K457" s="31" t="str">
        <f>IFERROR(__xludf.DUMMYFUNCTION("""COMPUTED_VALUE"""),"Joined")</f>
        <v>Joined</v>
      </c>
      <c r="L457" s="31" t="str">
        <f>IFERROR(__xludf.DUMMYFUNCTION("""COMPUTED_VALUE"""),"In Office")</f>
        <v>In Office</v>
      </c>
      <c r="M457" s="31"/>
      <c r="N457" s="31"/>
    </row>
    <row r="458">
      <c r="A458" s="74">
        <f>IFERROR(__xludf.DUMMYFUNCTION("""COMPUTED_VALUE"""),45833.0)</f>
        <v>45833</v>
      </c>
      <c r="B458" s="31" t="str">
        <f>IFERROR(__xludf.DUMMYFUNCTION("""COMPUTED_VALUE"""),"Rishabh Baid")</f>
        <v>Rishabh Baid</v>
      </c>
      <c r="C458" s="31" t="str">
        <f>IFERROR(__xludf.DUMMYFUNCTION("""COMPUTED_VALUE"""),"Strategy")</f>
        <v>Strategy</v>
      </c>
      <c r="D458" s="31"/>
      <c r="E458" s="31" t="str">
        <f>IFERROR(__xludf.DUMMYFUNCTION("""COMPUTED_VALUE"""),"Manager Strategy")</f>
        <v>Manager Strategy</v>
      </c>
      <c r="F458" s="31" t="str">
        <f>IFERROR(__xludf.DUMMYFUNCTION("""COMPUTED_VALUE"""),"Strategy")</f>
        <v>Strategy</v>
      </c>
      <c r="G458" s="31" t="str">
        <f>IFERROR(__xludf.DUMMYFUNCTION("""COMPUTED_VALUE"""),"rishabh41095@gmail.com")</f>
        <v>rishabh41095@gmail.com</v>
      </c>
      <c r="H458" s="31" t="str">
        <f>IFERROR(__xludf.DUMMYFUNCTION("""COMPUTED_VALUE"""),"Ishank Mehta")</f>
        <v>Ishank Mehta</v>
      </c>
      <c r="I458" s="75">
        <f>IFERROR(__xludf.DUMMYFUNCTION("""COMPUTED_VALUE"""),45770.0)</f>
        <v>45770</v>
      </c>
      <c r="J458" s="31" t="str">
        <f>IFERROR(__xludf.DUMMYFUNCTION("""COMPUTED_VALUE"""),"Naina")</f>
        <v>Naina</v>
      </c>
      <c r="K458" s="31" t="str">
        <f>IFERROR(__xludf.DUMMYFUNCTION("""COMPUTED_VALUE"""),"Joined")</f>
        <v>Joined</v>
      </c>
      <c r="L458" s="31" t="str">
        <f>IFERROR(__xludf.DUMMYFUNCTION("""COMPUTED_VALUE"""),"In Office")</f>
        <v>In Office</v>
      </c>
      <c r="M458" s="31" t="str">
        <f>IFERROR(__xludf.DUMMYFUNCTION("""COMPUTED_VALUE"""),"rishabh.baid@zupee.in")</f>
        <v>rishabh.baid@zupee.in</v>
      </c>
      <c r="N458" s="31"/>
    </row>
    <row r="459">
      <c r="A459" s="74">
        <f>IFERROR(__xludf.DUMMYFUNCTION("""COMPUTED_VALUE"""),45827.0)</f>
        <v>45827</v>
      </c>
      <c r="B459" s="31" t="str">
        <f>IFERROR(__xludf.DUMMYFUNCTION("""COMPUTED_VALUE"""),"Harshil Dhawan")</f>
        <v>Harshil Dhawan</v>
      </c>
      <c r="C459" s="31" t="str">
        <f>IFERROR(__xludf.DUMMYFUNCTION("""COMPUTED_VALUE"""),"Marketing")</f>
        <v>Marketing</v>
      </c>
      <c r="D459" s="31">
        <f>IFERROR(__xludf.DUMMYFUNCTION("""COMPUTED_VALUE"""),7.045656488E9)</f>
        <v>7045656488</v>
      </c>
      <c r="E459" s="31" t="str">
        <f>IFERROR(__xludf.DUMMYFUNCTION("""COMPUTED_VALUE"""),"Creative Director")</f>
        <v>Creative Director</v>
      </c>
      <c r="F459" s="31" t="str">
        <f>IFERROR(__xludf.DUMMYFUNCTION("""COMPUTED_VALUE"""),"Brand Marketing")</f>
        <v>Brand Marketing</v>
      </c>
      <c r="G459" s="31" t="str">
        <f>IFERROR(__xludf.DUMMYFUNCTION("""COMPUTED_VALUE"""),"harshildhawan92@gmail.com")</f>
        <v>harshildhawan92@gmail.com</v>
      </c>
      <c r="H459" s="31" t="str">
        <f>IFERROR(__xludf.DUMMYFUNCTION("""COMPUTED_VALUE"""),"katha Tara")</f>
        <v>katha Tara</v>
      </c>
      <c r="I459" s="75">
        <f>IFERROR(__xludf.DUMMYFUNCTION("""COMPUTED_VALUE"""),45771.0)</f>
        <v>45771</v>
      </c>
      <c r="J459" s="31" t="str">
        <f>IFERROR(__xludf.DUMMYFUNCTION("""COMPUTED_VALUE"""),"Naina")</f>
        <v>Naina</v>
      </c>
      <c r="K459" s="31" t="str">
        <f>IFERROR(__xludf.DUMMYFUNCTION("""COMPUTED_VALUE"""),"Joined")</f>
        <v>Joined</v>
      </c>
      <c r="L459" s="31" t="str">
        <f>IFERROR(__xludf.DUMMYFUNCTION("""COMPUTED_VALUE"""),"In Office")</f>
        <v>In Office</v>
      </c>
      <c r="M459" s="31" t="str">
        <f>IFERROR(__xludf.DUMMYFUNCTION("""COMPUTED_VALUE"""),"harshil.dhawan@zupee.in")</f>
        <v>harshil.dhawan@zupee.in</v>
      </c>
      <c r="N459" s="31" t="str">
        <f>IFERROR(__xludf.DUMMYFUNCTION("""COMPUTED_VALUE"""),"C2L91746QL")</f>
        <v>C2L91746QL</v>
      </c>
    </row>
    <row r="460">
      <c r="A460" s="74">
        <f>IFERROR(__xludf.DUMMYFUNCTION("""COMPUTED_VALUE"""),45775.0)</f>
        <v>45775</v>
      </c>
      <c r="B460" s="31" t="str">
        <f>IFERROR(__xludf.DUMMYFUNCTION("""COMPUTED_VALUE"""),"Reetik Rajan")</f>
        <v>Reetik Rajan</v>
      </c>
      <c r="C460" s="31" t="str">
        <f>IFERROR(__xludf.DUMMYFUNCTION("""COMPUTED_VALUE"""),"Technology")</f>
        <v>Technology</v>
      </c>
      <c r="D460" s="31">
        <f>IFERROR(__xludf.DUMMYFUNCTION("""COMPUTED_VALUE"""),7.701857692E9)</f>
        <v>7701857692</v>
      </c>
      <c r="E460" s="31" t="str">
        <f>IFERROR(__xludf.DUMMYFUNCTION("""COMPUTED_VALUE"""),"Security Engineer")</f>
        <v>Security Engineer</v>
      </c>
      <c r="F460" s="31" t="str">
        <f>IFERROR(__xludf.DUMMYFUNCTION("""COMPUTED_VALUE"""),"DevOps")</f>
        <v>DevOps</v>
      </c>
      <c r="G460" s="31" t="str">
        <f>IFERROR(__xludf.DUMMYFUNCTION("""COMPUTED_VALUE""")," r4reetik@gmail.com")</f>
        <v> r4reetik@gmail.com</v>
      </c>
      <c r="H460" s="31" t="str">
        <f>IFERROR(__xludf.DUMMYFUNCTION("""COMPUTED_VALUE"""),"Saurav Yadav")</f>
        <v>Saurav Yadav</v>
      </c>
      <c r="I460" s="75">
        <f>IFERROR(__xludf.DUMMYFUNCTION("""COMPUTED_VALUE"""),45771.0)</f>
        <v>45771</v>
      </c>
      <c r="J460" s="31" t="str">
        <f>IFERROR(__xludf.DUMMYFUNCTION("""COMPUTED_VALUE"""),"Shivam Sharma")</f>
        <v>Shivam Sharma</v>
      </c>
      <c r="K460" s="31" t="str">
        <f>IFERROR(__xludf.DUMMYFUNCTION("""COMPUTED_VALUE"""),"Joined")</f>
        <v>Joined</v>
      </c>
      <c r="L460" s="31" t="str">
        <f>IFERROR(__xludf.DUMMYFUNCTION("""COMPUTED_VALUE"""),"In Office")</f>
        <v>In Office</v>
      </c>
      <c r="M460" s="31" t="str">
        <f>IFERROR(__xludf.DUMMYFUNCTION("""COMPUTED_VALUE"""),"reetik.rajan@zupee.in")</f>
        <v>reetik.rajan@zupee.in</v>
      </c>
      <c r="N460" s="31" t="str">
        <f>IFERROR(__xludf.DUMMYFUNCTION("""COMPUTED_VALUE"""),"G9020533QG")</f>
        <v>G9020533QG</v>
      </c>
    </row>
    <row r="461">
      <c r="A461" s="74">
        <f>IFERROR(__xludf.DUMMYFUNCTION("""COMPUTED_VALUE"""),45799.0)</f>
        <v>45799</v>
      </c>
      <c r="B461" s="31" t="str">
        <f>IFERROR(__xludf.DUMMYFUNCTION("""COMPUTED_VALUE"""),"Abhijeet Singh")</f>
        <v>Abhijeet Singh</v>
      </c>
      <c r="C461" s="31" t="str">
        <f>IFERROR(__xludf.DUMMYFUNCTION("""COMPUTED_VALUE"""),"Technology")</f>
        <v>Technology</v>
      </c>
      <c r="D461" s="31">
        <f>IFERROR(__xludf.DUMMYFUNCTION("""COMPUTED_VALUE"""),7.80056688E9)</f>
        <v>7800566880</v>
      </c>
      <c r="E461" s="31" t="str">
        <f>IFERROR(__xludf.DUMMYFUNCTION("""COMPUTED_VALUE"""),"Software Engineer-Android")</f>
        <v>Software Engineer-Android</v>
      </c>
      <c r="F461" s="31" t="str">
        <f>IFERROR(__xludf.DUMMYFUNCTION("""COMPUTED_VALUE"""),"Engineering")</f>
        <v>Engineering</v>
      </c>
      <c r="G461" s="31" t="str">
        <f>IFERROR(__xludf.DUMMYFUNCTION("""COMPUTED_VALUE""")," abhijeet.works@gmail.com")</f>
        <v> abhijeet.works@gmail.com</v>
      </c>
      <c r="H461" s="31" t="str">
        <f>IFERROR(__xludf.DUMMYFUNCTION("""COMPUTED_VALUE"""),"Anshul Mittal")</f>
        <v>Anshul Mittal</v>
      </c>
      <c r="I461" s="75">
        <f>IFERROR(__xludf.DUMMYFUNCTION("""COMPUTED_VALUE"""),45771.0)</f>
        <v>45771</v>
      </c>
      <c r="J461" s="31" t="str">
        <f>IFERROR(__xludf.DUMMYFUNCTION("""COMPUTED_VALUE"""),"Shivam Sharma")</f>
        <v>Shivam Sharma</v>
      </c>
      <c r="K461" s="31" t="str">
        <f>IFERROR(__xludf.DUMMYFUNCTION("""COMPUTED_VALUE"""),"Offer Declined")</f>
        <v>Offer Declined</v>
      </c>
      <c r="L461" s="31" t="str">
        <f>IFERROR(__xludf.DUMMYFUNCTION("""COMPUTED_VALUE"""),"In Office")</f>
        <v>In Office</v>
      </c>
      <c r="M461" s="31"/>
      <c r="N461" s="31"/>
    </row>
    <row r="462">
      <c r="A462" s="74">
        <f>IFERROR(__xludf.DUMMYFUNCTION("""COMPUTED_VALUE"""),45819.0)</f>
        <v>45819</v>
      </c>
      <c r="B462" s="31" t="str">
        <f>IFERROR(__xludf.DUMMYFUNCTION("""COMPUTED_VALUE"""),"Ankit Kotnala")</f>
        <v>Ankit Kotnala</v>
      </c>
      <c r="C462" s="31" t="str">
        <f>IFERROR(__xludf.DUMMYFUNCTION("""COMPUTED_VALUE"""),"Analytics")</f>
        <v>Analytics</v>
      </c>
      <c r="D462" s="31">
        <f>IFERROR(__xludf.DUMMYFUNCTION("""COMPUTED_VALUE"""),8.010468448E9)</f>
        <v>8010468448</v>
      </c>
      <c r="E462" s="31" t="str">
        <f>IFERROR(__xludf.DUMMYFUNCTION("""COMPUTED_VALUE"""),"Lead Data Analyst")</f>
        <v>Lead Data Analyst</v>
      </c>
      <c r="F462" s="31" t="str">
        <f>IFERROR(__xludf.DUMMYFUNCTION("""COMPUTED_VALUE"""),"Product Analytics")</f>
        <v>Product Analytics</v>
      </c>
      <c r="G462" s="31" t="str">
        <f>IFERROR(__xludf.DUMMYFUNCTION("""COMPUTED_VALUE"""),"	ankitk2611@gmail.com")</f>
        <v>	ankitk2611@gmail.com</v>
      </c>
      <c r="H462" s="31" t="str">
        <f>IFERROR(__xludf.DUMMYFUNCTION("""COMPUTED_VALUE"""),"Raman Malik")</f>
        <v>Raman Malik</v>
      </c>
      <c r="I462" s="75">
        <f>IFERROR(__xludf.DUMMYFUNCTION("""COMPUTED_VALUE"""),45775.0)</f>
        <v>45775</v>
      </c>
      <c r="J462" s="31" t="str">
        <f>IFERROR(__xludf.DUMMYFUNCTION("""COMPUTED_VALUE"""),"Mamta Pandey")</f>
        <v>Mamta Pandey</v>
      </c>
      <c r="K462" s="31" t="str">
        <f>IFERROR(__xludf.DUMMYFUNCTION("""COMPUTED_VALUE"""),"Offer Declined")</f>
        <v>Offer Declined</v>
      </c>
      <c r="L462" s="31" t="str">
        <f>IFERROR(__xludf.DUMMYFUNCTION("""COMPUTED_VALUE"""),"In Office")</f>
        <v>In Office</v>
      </c>
      <c r="M462" s="31"/>
      <c r="N462" s="31"/>
    </row>
    <row r="463">
      <c r="A463" s="74">
        <f>IFERROR(__xludf.DUMMYFUNCTION("""COMPUTED_VALUE"""),45824.0)</f>
        <v>45824</v>
      </c>
      <c r="B463" s="31" t="str">
        <f>IFERROR(__xludf.DUMMYFUNCTION("""COMPUTED_VALUE"""),"Pooja Lunia")</f>
        <v>Pooja Lunia</v>
      </c>
      <c r="C463" s="31" t="str">
        <f>IFERROR(__xludf.DUMMYFUNCTION("""COMPUTED_VALUE"""),"Brand Marketing")</f>
        <v>Brand Marketing</v>
      </c>
      <c r="D463" s="31">
        <f>IFERROR(__xludf.DUMMYFUNCTION("""COMPUTED_VALUE"""),7.303515566E9)</f>
        <v>7303515566</v>
      </c>
      <c r="E463" s="31" t="str">
        <f>IFERROR(__xludf.DUMMYFUNCTION("""COMPUTED_VALUE"""),"Senior Manager- Consumer Insight")</f>
        <v>Senior Manager- Consumer Insight</v>
      </c>
      <c r="F463" s="31" t="str">
        <f>IFERROR(__xludf.DUMMYFUNCTION("""COMPUTED_VALUE"""),"Brand Marketing")</f>
        <v>Brand Marketing</v>
      </c>
      <c r="G463" s="31" t="str">
        <f>IFERROR(__xludf.DUMMYFUNCTION("""COMPUTED_VALUE"""),"luniap@gmail.com")</f>
        <v>luniap@gmail.com</v>
      </c>
      <c r="H463" s="31" t="str">
        <f>IFERROR(__xludf.DUMMYFUNCTION("""COMPUTED_VALUE"""),"katha Tara")</f>
        <v>katha Tara</v>
      </c>
      <c r="I463" s="75">
        <f>IFERROR(__xludf.DUMMYFUNCTION("""COMPUTED_VALUE"""),45775.0)</f>
        <v>45775</v>
      </c>
      <c r="J463" s="31" t="str">
        <f>IFERROR(__xludf.DUMMYFUNCTION("""COMPUTED_VALUE"""),"Rajneesh Yadav")</f>
        <v>Rajneesh Yadav</v>
      </c>
      <c r="K463" s="31" t="str">
        <f>IFERROR(__xludf.DUMMYFUNCTION("""COMPUTED_VALUE"""),"Joined")</f>
        <v>Joined</v>
      </c>
      <c r="L463" s="31" t="str">
        <f>IFERROR(__xludf.DUMMYFUNCTION("""COMPUTED_VALUE"""),"In Office")</f>
        <v>In Office</v>
      </c>
      <c r="M463" s="31" t="str">
        <f>IFERROR(__xludf.DUMMYFUNCTION("""COMPUTED_VALUE"""),"pooja.lunia@zupee.in")</f>
        <v>pooja.lunia@zupee.in</v>
      </c>
      <c r="N463" s="31"/>
    </row>
    <row r="464">
      <c r="A464" s="74">
        <f>IFERROR(__xludf.DUMMYFUNCTION("""COMPUTED_VALUE"""),45777.0)</f>
        <v>45777</v>
      </c>
      <c r="B464" s="31" t="str">
        <f>IFERROR(__xludf.DUMMYFUNCTION("""COMPUTED_VALUE"""),"Sahil Verma")</f>
        <v>Sahil Verma</v>
      </c>
      <c r="C464" s="31" t="str">
        <f>IFERROR(__xludf.DUMMYFUNCTION("""COMPUTED_VALUE"""),"Product")</f>
        <v>Product</v>
      </c>
      <c r="D464" s="31">
        <f>IFERROR(__xludf.DUMMYFUNCTION("""COMPUTED_VALUE"""),9.306254667E9)</f>
        <v>9306254667</v>
      </c>
      <c r="E464" s="31" t="str">
        <f>IFERROR(__xludf.DUMMYFUNCTION("""COMPUTED_VALUE"""),"Product Designer")</f>
        <v>Product Designer</v>
      </c>
      <c r="F464" s="31" t="str">
        <f>IFERROR(__xludf.DUMMYFUNCTION("""COMPUTED_VALUE"""),"Design")</f>
        <v>Design</v>
      </c>
      <c r="G464" s="31" t="str">
        <f>IFERROR(__xludf.DUMMYFUNCTION("""COMPUTED_VALUE""")," sv653925@gmail.com")</f>
        <v> sv653925@gmail.com</v>
      </c>
      <c r="H464" s="31" t="str">
        <f>IFERROR(__xludf.DUMMYFUNCTION("""COMPUTED_VALUE"""),"Anish Abraham")</f>
        <v>Anish Abraham</v>
      </c>
      <c r="I464" s="75">
        <f>IFERROR(__xludf.DUMMYFUNCTION("""COMPUTED_VALUE"""),45776.0)</f>
        <v>45776</v>
      </c>
      <c r="J464" s="31" t="str">
        <f>IFERROR(__xludf.DUMMYFUNCTION("""COMPUTED_VALUE"""),"Shivam Sharma")</f>
        <v>Shivam Sharma</v>
      </c>
      <c r="K464" s="31" t="str">
        <f>IFERROR(__xludf.DUMMYFUNCTION("""COMPUTED_VALUE"""),"Joined")</f>
        <v>Joined</v>
      </c>
      <c r="L464" s="31" t="str">
        <f>IFERROR(__xludf.DUMMYFUNCTION("""COMPUTED_VALUE"""),"In Office")</f>
        <v>In Office</v>
      </c>
      <c r="M464" s="31" t="str">
        <f>IFERROR(__xludf.DUMMYFUNCTION("""COMPUTED_VALUE"""),"sahil.verma@zupee.in")</f>
        <v>sahil.verma@zupee.in</v>
      </c>
      <c r="N464" s="31"/>
    </row>
    <row r="465">
      <c r="A465" s="74">
        <f>IFERROR(__xludf.DUMMYFUNCTION("""COMPUTED_VALUE"""),45782.0)</f>
        <v>45782</v>
      </c>
      <c r="B465" s="31" t="str">
        <f>IFERROR(__xludf.DUMMYFUNCTION("""COMPUTED_VALUE"""),"Divakar Garg")</f>
        <v>Divakar Garg</v>
      </c>
      <c r="C465" s="31" t="str">
        <f>IFERROR(__xludf.DUMMYFUNCTION("""COMPUTED_VALUE"""),"Analytics")</f>
        <v>Analytics</v>
      </c>
      <c r="D465" s="31">
        <f>IFERROR(__xludf.DUMMYFUNCTION("""COMPUTED_VALUE"""),9.899285188E9)</f>
        <v>9899285188</v>
      </c>
      <c r="E465" s="31" t="str">
        <f>IFERROR(__xludf.DUMMYFUNCTION("""COMPUTED_VALUE"""),"Manager-Data Analytics")</f>
        <v>Manager-Data Analytics</v>
      </c>
      <c r="F465" s="31" t="str">
        <f>IFERROR(__xludf.DUMMYFUNCTION("""COMPUTED_VALUE"""),"Product Analytics")</f>
        <v>Product Analytics</v>
      </c>
      <c r="G465" s="31" t="str">
        <f>IFERROR(__xludf.DUMMYFUNCTION("""COMPUTED_VALUE""")," dvkrgrg3@gmail.com")</f>
        <v> dvkrgrg3@gmail.com</v>
      </c>
      <c r="H465" s="31" t="str">
        <f>IFERROR(__xludf.DUMMYFUNCTION("""COMPUTED_VALUE"""),"Raman Malik")</f>
        <v>Raman Malik</v>
      </c>
      <c r="I465" s="75">
        <f>IFERROR(__xludf.DUMMYFUNCTION("""COMPUTED_VALUE"""),45776.0)</f>
        <v>45776</v>
      </c>
      <c r="J465" s="31" t="str">
        <f>IFERROR(__xludf.DUMMYFUNCTION("""COMPUTED_VALUE"""),"Shivam Sharma")</f>
        <v>Shivam Sharma</v>
      </c>
      <c r="K465" s="31" t="str">
        <f>IFERROR(__xludf.DUMMYFUNCTION("""COMPUTED_VALUE"""),"Joined")</f>
        <v>Joined</v>
      </c>
      <c r="L465" s="31" t="str">
        <f>IFERROR(__xludf.DUMMYFUNCTION("""COMPUTED_VALUE"""),"In Office")</f>
        <v>In Office</v>
      </c>
      <c r="M465" s="31" t="str">
        <f>IFERROR(__xludf.DUMMYFUNCTION("""COMPUTED_VALUE"""),"divakar.garg@zupee.in")</f>
        <v>divakar.garg@zupee.in</v>
      </c>
      <c r="N465" s="31" t="str">
        <f>IFERROR(__xludf.DUMMYFUNCTION("""COMPUTED_VALUE"""),"F9Y6F124CQ")</f>
        <v>F9Y6F124CQ</v>
      </c>
    </row>
    <row r="466">
      <c r="A466" s="74">
        <f>IFERROR(__xludf.DUMMYFUNCTION("""COMPUTED_VALUE"""),45789.0)</f>
        <v>45789</v>
      </c>
      <c r="B466" s="31" t="str">
        <f>IFERROR(__xludf.DUMMYFUNCTION("""COMPUTED_VALUE"""),"Gunn Bhargava")</f>
        <v>Gunn Bhargava</v>
      </c>
      <c r="C466" s="31" t="str">
        <f>IFERROR(__xludf.DUMMYFUNCTION("""COMPUTED_VALUE"""),"Finance")</f>
        <v>Finance</v>
      </c>
      <c r="D466" s="31">
        <f>IFERROR(__xludf.DUMMYFUNCTION("""COMPUTED_VALUE"""),7.678210856E9)</f>
        <v>7678210856</v>
      </c>
      <c r="E466" s="31" t="str">
        <f>IFERROR(__xludf.DUMMYFUNCTION("""COMPUTED_VALUE"""),"Procurement Intern")</f>
        <v>Procurement Intern</v>
      </c>
      <c r="F466" s="31" t="str">
        <f>IFERROR(__xludf.DUMMYFUNCTION("""COMPUTED_VALUE"""),"Finance")</f>
        <v>Finance</v>
      </c>
      <c r="G466" s="31" t="str">
        <f>IFERROR(__xludf.DUMMYFUNCTION("""COMPUTED_VALUE""")," bhargavagun2210@gmail.com")</f>
        <v> bhargavagun2210@gmail.com</v>
      </c>
      <c r="H466" s="31" t="str">
        <f>IFERROR(__xludf.DUMMYFUNCTION("""COMPUTED_VALUE"""),"Siddharth Monga")</f>
        <v>Siddharth Monga</v>
      </c>
      <c r="I466" s="75">
        <f>IFERROR(__xludf.DUMMYFUNCTION("""COMPUTED_VALUE"""),45776.0)</f>
        <v>45776</v>
      </c>
      <c r="J466" s="31" t="str">
        <f>IFERROR(__xludf.DUMMYFUNCTION("""COMPUTED_VALUE"""),"Shivam Sharma")</f>
        <v>Shivam Sharma</v>
      </c>
      <c r="K466" s="31" t="str">
        <f>IFERROR(__xludf.DUMMYFUNCTION("""COMPUTED_VALUE"""),"Joined")</f>
        <v>Joined</v>
      </c>
      <c r="L466" s="31" t="str">
        <f>IFERROR(__xludf.DUMMYFUNCTION("""COMPUTED_VALUE"""),"In Office")</f>
        <v>In Office</v>
      </c>
      <c r="M466" s="31" t="str">
        <f>IFERROR(__xludf.DUMMYFUNCTION("""COMPUTED_VALUE"""),"gunn.bhargava@zupee.in")</f>
        <v>gunn.bhargava@zupee.in</v>
      </c>
      <c r="N466" s="31"/>
    </row>
    <row r="467">
      <c r="A467" s="74">
        <f>IFERROR(__xludf.DUMMYFUNCTION("""COMPUTED_VALUE"""),45782.0)</f>
        <v>45782</v>
      </c>
      <c r="B467" s="31" t="str">
        <f>IFERROR(__xludf.DUMMYFUNCTION("""COMPUTED_VALUE"""),"Shivam Pandita")</f>
        <v>Shivam Pandita</v>
      </c>
      <c r="C467" s="31" t="str">
        <f>IFERROR(__xludf.DUMMYFUNCTION("""COMPUTED_VALUE"""),"Analytics")</f>
        <v>Analytics</v>
      </c>
      <c r="D467" s="31">
        <f>IFERROR(__xludf.DUMMYFUNCTION("""COMPUTED_VALUE"""),7.889364518E9)</f>
        <v>7889364518</v>
      </c>
      <c r="E467" s="31" t="str">
        <f>IFERROR(__xludf.DUMMYFUNCTION("""COMPUTED_VALUE"""),"Senior Data Analyst
")</f>
        <v>Senior Data Analyst
</v>
      </c>
      <c r="F467" s="31" t="str">
        <f>IFERROR(__xludf.DUMMYFUNCTION("""COMPUTED_VALUE"""),"Product Analytics")</f>
        <v>Product Analytics</v>
      </c>
      <c r="G467" s="31" t="str">
        <f>IFERROR(__xludf.DUMMYFUNCTION("""COMPUTED_VALUE"""),"panditashivam837@gmail.com ")</f>
        <v>panditashivam837@gmail.com </v>
      </c>
      <c r="H467" s="31" t="str">
        <f>IFERROR(__xludf.DUMMYFUNCTION("""COMPUTED_VALUE"""),"Raman Malik")</f>
        <v>Raman Malik</v>
      </c>
      <c r="I467" s="75">
        <f>IFERROR(__xludf.DUMMYFUNCTION("""COMPUTED_VALUE"""),45776.0)</f>
        <v>45776</v>
      </c>
      <c r="J467" s="31" t="str">
        <f>IFERROR(__xludf.DUMMYFUNCTION("""COMPUTED_VALUE"""),"Nidhi Khedekar")</f>
        <v>Nidhi Khedekar</v>
      </c>
      <c r="K467" s="31" t="str">
        <f>IFERROR(__xludf.DUMMYFUNCTION("""COMPUTED_VALUE"""),"Joined")</f>
        <v>Joined</v>
      </c>
      <c r="L467" s="31" t="str">
        <f>IFERROR(__xludf.DUMMYFUNCTION("""COMPUTED_VALUE"""),"In Office")</f>
        <v>In Office</v>
      </c>
      <c r="M467" s="31" t="str">
        <f>IFERROR(__xludf.DUMMYFUNCTION("""COMPUTED_VALUE"""),"shivam.pandita@zupee.in")</f>
        <v>shivam.pandita@zupee.in</v>
      </c>
      <c r="N467" s="31" t="str">
        <f>IFERROR(__xludf.DUMMYFUNCTION("""COMPUTED_VALUE"""),"JDFP9GFVYV")</f>
        <v>JDFP9GFVYV</v>
      </c>
    </row>
    <row r="468">
      <c r="A468" s="74">
        <f>IFERROR(__xludf.DUMMYFUNCTION("""COMPUTED_VALUE"""),45782.0)</f>
        <v>45782</v>
      </c>
      <c r="B468" s="31" t="str">
        <f>IFERROR(__xludf.DUMMYFUNCTION("""COMPUTED_VALUE"""),"Jitendra Rawat")</f>
        <v>Jitendra Rawat</v>
      </c>
      <c r="C468" s="31" t="str">
        <f>IFERROR(__xludf.DUMMYFUNCTION("""COMPUTED_VALUE"""),"Marketing")</f>
        <v>Marketing</v>
      </c>
      <c r="D468" s="31">
        <f>IFERROR(__xludf.DUMMYFUNCTION("""COMPUTED_VALUE"""),9.899838027E9)</f>
        <v>9899838027</v>
      </c>
      <c r="E468" s="31" t="str">
        <f>IFERROR(__xludf.DUMMYFUNCTION("""COMPUTED_VALUE"""),"Senior Manager- Digital Marketing")</f>
        <v>Senior Manager- Digital Marketing</v>
      </c>
      <c r="F468" s="31" t="str">
        <f>IFERROR(__xludf.DUMMYFUNCTION("""COMPUTED_VALUE"""),"Digital Marketing")</f>
        <v>Digital Marketing</v>
      </c>
      <c r="G468" s="31" t="str">
        <f>IFERROR(__xludf.DUMMYFUNCTION("""COMPUTED_VALUE"""),"J.rawat0709@gmail.com")</f>
        <v>J.rawat0709@gmail.com</v>
      </c>
      <c r="H468" s="31" t="str">
        <f>IFERROR(__xludf.DUMMYFUNCTION("""COMPUTED_VALUE"""),"Nishant Jaiswal")</f>
        <v>Nishant Jaiswal</v>
      </c>
      <c r="I468" s="75">
        <f>IFERROR(__xludf.DUMMYFUNCTION("""COMPUTED_VALUE"""),45776.0)</f>
        <v>45776</v>
      </c>
      <c r="J468" s="31" t="str">
        <f>IFERROR(__xludf.DUMMYFUNCTION("""COMPUTED_VALUE"""),"Rajneesh Yadav")</f>
        <v>Rajneesh Yadav</v>
      </c>
      <c r="K468" s="31" t="str">
        <f>IFERROR(__xludf.DUMMYFUNCTION("""COMPUTED_VALUE"""),"Joined")</f>
        <v>Joined</v>
      </c>
      <c r="L468" s="31" t="str">
        <f>IFERROR(__xludf.DUMMYFUNCTION("""COMPUTED_VALUE"""),"In Office")</f>
        <v>In Office</v>
      </c>
      <c r="M468" s="31" t="str">
        <f>IFERROR(__xludf.DUMMYFUNCTION("""COMPUTED_VALUE"""),"jitendra.rawat@zupee.in")</f>
        <v>jitendra.rawat@zupee.in</v>
      </c>
      <c r="N468" s="31"/>
    </row>
    <row r="469">
      <c r="A469" s="74">
        <f>IFERROR(__xludf.DUMMYFUNCTION("""COMPUTED_VALUE"""),45778.0)</f>
        <v>45778</v>
      </c>
      <c r="B469" s="31" t="str">
        <f>IFERROR(__xludf.DUMMYFUNCTION("""COMPUTED_VALUE"""),"Rijul Sehgal")</f>
        <v>Rijul Sehgal</v>
      </c>
      <c r="C469" s="31" t="str">
        <f>IFERROR(__xludf.DUMMYFUNCTION("""COMPUTED_VALUE"""),"Marketing")</f>
        <v>Marketing</v>
      </c>
      <c r="D469" s="31">
        <f>IFERROR(__xludf.DUMMYFUNCTION("""COMPUTED_VALUE"""),9.953987225E9)</f>
        <v>9953987225</v>
      </c>
      <c r="E469" s="31" t="str">
        <f>IFERROR(__xludf.DUMMYFUNCTION("""COMPUTED_VALUE"""),"Executive Producer")</f>
        <v>Executive Producer</v>
      </c>
      <c r="F469" s="31" t="str">
        <f>IFERROR(__xludf.DUMMYFUNCTION("""COMPUTED_VALUE"""),"Brand Marketing")</f>
        <v>Brand Marketing</v>
      </c>
      <c r="G469" s="31" t="str">
        <f>IFERROR(__xludf.DUMMYFUNCTION("""COMPUTED_VALUE"""),"rijul.sehgal24@gmail.com")</f>
        <v>rijul.sehgal24@gmail.com</v>
      </c>
      <c r="H469" s="31" t="str">
        <f>IFERROR(__xludf.DUMMYFUNCTION("""COMPUTED_VALUE"""),"Katha Tara")</f>
        <v>Katha Tara</v>
      </c>
      <c r="I469" s="75">
        <f>IFERROR(__xludf.DUMMYFUNCTION("""COMPUTED_VALUE"""),45777.0)</f>
        <v>45777</v>
      </c>
      <c r="J469" s="31" t="str">
        <f>IFERROR(__xludf.DUMMYFUNCTION("""COMPUTED_VALUE"""),"Rajneesh Yadav")</f>
        <v>Rajneesh Yadav</v>
      </c>
      <c r="K469" s="31" t="str">
        <f>IFERROR(__xludf.DUMMYFUNCTION("""COMPUTED_VALUE"""),"Joined")</f>
        <v>Joined</v>
      </c>
      <c r="L469" s="31" t="str">
        <f>IFERROR(__xludf.DUMMYFUNCTION("""COMPUTED_VALUE"""),"In Office")</f>
        <v>In Office</v>
      </c>
      <c r="M469" s="31" t="str">
        <f>IFERROR(__xludf.DUMMYFUNCTION("""COMPUTED_VALUE"""),"rijul.sehgal@zupee.in")</f>
        <v>rijul.sehgal@zupee.in</v>
      </c>
      <c r="N469" s="31"/>
    </row>
    <row r="470">
      <c r="A470" s="74">
        <f>IFERROR(__xludf.DUMMYFUNCTION("""COMPUTED_VALUE"""),45789.0)</f>
        <v>45789</v>
      </c>
      <c r="B470" s="31" t="str">
        <f>IFERROR(__xludf.DUMMYFUNCTION("""COMPUTED_VALUE"""),"Dinesh Singh")</f>
        <v>Dinesh Singh</v>
      </c>
      <c r="C470" s="31" t="str">
        <f>IFERROR(__xludf.DUMMYFUNCTION("""COMPUTED_VALUE"""),"Analytics")</f>
        <v>Analytics</v>
      </c>
      <c r="D470" s="31">
        <f>IFERROR(__xludf.DUMMYFUNCTION("""COMPUTED_VALUE"""),8.120394025E9)</f>
        <v>8120394025</v>
      </c>
      <c r="E470" s="31" t="str">
        <f>IFERROR(__xludf.DUMMYFUNCTION("""COMPUTED_VALUE"""),"Senior Data Analyst")</f>
        <v>Senior Data Analyst</v>
      </c>
      <c r="F470" s="31" t="str">
        <f>IFERROR(__xludf.DUMMYFUNCTION("""COMPUTED_VALUE"""),"Product Analytics")</f>
        <v>Product Analytics</v>
      </c>
      <c r="G470" s="31" t="str">
        <f>IFERROR(__xludf.DUMMYFUNCTION("""COMPUTED_VALUE"""),"dinesh.singh.mst17@iitbhu.ac.in")</f>
        <v>dinesh.singh.mst17@iitbhu.ac.in</v>
      </c>
      <c r="H470" s="31" t="str">
        <f>IFERROR(__xludf.DUMMYFUNCTION("""COMPUTED_VALUE"""),"Raman Malik")</f>
        <v>Raman Malik</v>
      </c>
      <c r="I470" s="75">
        <f>IFERROR(__xludf.DUMMYFUNCTION("""COMPUTED_VALUE"""),45778.0)</f>
        <v>45778</v>
      </c>
      <c r="J470" s="31" t="str">
        <f>IFERROR(__xludf.DUMMYFUNCTION("""COMPUTED_VALUE"""),"Nidhi Khedekar")</f>
        <v>Nidhi Khedekar</v>
      </c>
      <c r="K470" s="31" t="str">
        <f>IFERROR(__xludf.DUMMYFUNCTION("""COMPUTED_VALUE"""),"Offer Declined")</f>
        <v>Offer Declined</v>
      </c>
      <c r="L470" s="31" t="str">
        <f>IFERROR(__xludf.DUMMYFUNCTION("""COMPUTED_VALUE"""),"In Office")</f>
        <v>In Office</v>
      </c>
      <c r="M470" s="31"/>
      <c r="N470" s="31"/>
    </row>
    <row r="471">
      <c r="A471" s="74">
        <f>IFERROR(__xludf.DUMMYFUNCTION("""COMPUTED_VALUE"""),45782.0)</f>
        <v>45782</v>
      </c>
      <c r="B471" s="31" t="str">
        <f>IFERROR(__xludf.DUMMYFUNCTION("""COMPUTED_VALUE"""),"Harshita Sethi")</f>
        <v>Harshita Sethi</v>
      </c>
      <c r="C471" s="31" t="str">
        <f>IFERROR(__xludf.DUMMYFUNCTION("""COMPUTED_VALUE"""),"Design")</f>
        <v>Design</v>
      </c>
      <c r="D471" s="31">
        <f>IFERROR(__xludf.DUMMYFUNCTION("""COMPUTED_VALUE"""),9.521504626E9)</f>
        <v>9521504626</v>
      </c>
      <c r="E471" s="31" t="str">
        <f>IFERROR(__xludf.DUMMYFUNCTION("""COMPUTED_VALUE"""),"Motion Graphics Designer")</f>
        <v>Motion Graphics Designer</v>
      </c>
      <c r="F471" s="31" t="str">
        <f>IFERROR(__xludf.DUMMYFUNCTION("""COMPUTED_VALUE"""),"Design")</f>
        <v>Design</v>
      </c>
      <c r="G471" s="31" t="str">
        <f>IFERROR(__xludf.DUMMYFUNCTION("""COMPUTED_VALUE"""),"harshitaktl@gmail.com")</f>
        <v>harshitaktl@gmail.com</v>
      </c>
      <c r="H471" s="31" t="str">
        <f>IFERROR(__xludf.DUMMYFUNCTION("""COMPUTED_VALUE"""),"Akshit Sharma")</f>
        <v>Akshit Sharma</v>
      </c>
      <c r="I471" s="75">
        <f>IFERROR(__xludf.DUMMYFUNCTION("""COMPUTED_VALUE"""),45778.0)</f>
        <v>45778</v>
      </c>
      <c r="J471" s="31" t="str">
        <f>IFERROR(__xludf.DUMMYFUNCTION("""COMPUTED_VALUE"""),"Nidhi Khedekar")</f>
        <v>Nidhi Khedekar</v>
      </c>
      <c r="K471" s="31" t="str">
        <f>IFERROR(__xludf.DUMMYFUNCTION("""COMPUTED_VALUE"""),"Joined")</f>
        <v>Joined</v>
      </c>
      <c r="L471" s="31" t="str">
        <f>IFERROR(__xludf.DUMMYFUNCTION("""COMPUTED_VALUE"""),"In Office")</f>
        <v>In Office</v>
      </c>
      <c r="M471" s="31" t="str">
        <f>IFERROR(__xludf.DUMMYFUNCTION("""COMPUTED_VALUE"""),"harshita.sethi@zupee.in")</f>
        <v>harshita.sethi@zupee.in</v>
      </c>
      <c r="N471" s="31" t="str">
        <f>IFERROR(__xludf.DUMMYFUNCTION("""COMPUTED_VALUE"""),"HXQVP9FHQ6")</f>
        <v>HXQVP9FHQ6</v>
      </c>
    </row>
    <row r="472">
      <c r="A472" s="74">
        <f>IFERROR(__xludf.DUMMYFUNCTION("""COMPUTED_VALUE"""),45782.0)</f>
        <v>45782</v>
      </c>
      <c r="B472" s="31" t="str">
        <f>IFERROR(__xludf.DUMMYFUNCTION("""COMPUTED_VALUE"""),"Vania Islam")</f>
        <v>Vania Islam</v>
      </c>
      <c r="C472" s="31" t="str">
        <f>IFERROR(__xludf.DUMMYFUNCTION("""COMPUTED_VALUE"""),"Product")</f>
        <v>Product</v>
      </c>
      <c r="D472" s="31">
        <f>IFERROR(__xludf.DUMMYFUNCTION("""COMPUTED_VALUE"""),7.568079097E9)</f>
        <v>7568079097</v>
      </c>
      <c r="E472" s="31" t="str">
        <f>IFERROR(__xludf.DUMMYFUNCTION("""COMPUTED_VALUE"""),"Product Designer")</f>
        <v>Product Designer</v>
      </c>
      <c r="F472" s="31" t="str">
        <f>IFERROR(__xludf.DUMMYFUNCTION("""COMPUTED_VALUE"""),"Design")</f>
        <v>Design</v>
      </c>
      <c r="G472" s="31" t="str">
        <f>IFERROR(__xludf.DUMMYFUNCTION("""COMPUTED_VALUE"""),"Vaniaislam786@gmail.com")</f>
        <v>Vaniaislam786@gmail.com</v>
      </c>
      <c r="H472" s="31" t="str">
        <f>IFERROR(__xludf.DUMMYFUNCTION("""COMPUTED_VALUE"""),"Anish Abraham")</f>
        <v>Anish Abraham</v>
      </c>
      <c r="I472" s="75">
        <f>IFERROR(__xludf.DUMMYFUNCTION("""COMPUTED_VALUE"""),45778.0)</f>
        <v>45778</v>
      </c>
      <c r="J472" s="31" t="str">
        <f>IFERROR(__xludf.DUMMYFUNCTION("""COMPUTED_VALUE"""),"Shivam Sharma")</f>
        <v>Shivam Sharma</v>
      </c>
      <c r="K472" s="31" t="str">
        <f>IFERROR(__xludf.DUMMYFUNCTION("""COMPUTED_VALUE"""),"Joined")</f>
        <v>Joined</v>
      </c>
      <c r="L472" s="31" t="str">
        <f>IFERROR(__xludf.DUMMYFUNCTION("""COMPUTED_VALUE"""),"In Office")</f>
        <v>In Office</v>
      </c>
      <c r="M472" s="31" t="str">
        <f>IFERROR(__xludf.DUMMYFUNCTION("""COMPUTED_VALUE"""),"vania.islam@zupee.in")</f>
        <v>vania.islam@zupee.in</v>
      </c>
      <c r="N472" s="31" t="str">
        <f>IFERROR(__xludf.DUMMYFUNCTION("""COMPUTED_VALUE"""),"HHQM7D93FV")</f>
        <v>HHQM7D93FV</v>
      </c>
    </row>
    <row r="473">
      <c r="A473" s="74">
        <f>IFERROR(__xludf.DUMMYFUNCTION("""COMPUTED_VALUE"""),45793.0)</f>
        <v>45793</v>
      </c>
      <c r="B473" s="31" t="str">
        <f>IFERROR(__xludf.DUMMYFUNCTION("""COMPUTED_VALUE"""),"Divij Bhola")</f>
        <v>Divij Bhola</v>
      </c>
      <c r="C473" s="31" t="str">
        <f>IFERROR(__xludf.DUMMYFUNCTION("""COMPUTED_VALUE"""),"Technology")</f>
        <v>Technology</v>
      </c>
      <c r="D473" s="31">
        <f>IFERROR(__xludf.DUMMYFUNCTION("""COMPUTED_VALUE"""),9.466506143E9)</f>
        <v>9466506143</v>
      </c>
      <c r="E473" s="31" t="str">
        <f>IFERROR(__xludf.DUMMYFUNCTION("""COMPUTED_VALUE"""),"Senior Software Engineer-Android")</f>
        <v>Senior Software Engineer-Android</v>
      </c>
      <c r="F473" s="31" t="str">
        <f>IFERROR(__xludf.DUMMYFUNCTION("""COMPUTED_VALUE"""),"Engineering")</f>
        <v>Engineering</v>
      </c>
      <c r="G473" s="31" t="str">
        <f>IFERROR(__xludf.DUMMYFUNCTION("""COMPUTED_VALUE""")," divibhola2000@gmail.com")</f>
        <v> divibhola2000@gmail.com</v>
      </c>
      <c r="H473" s="31" t="str">
        <f>IFERROR(__xludf.DUMMYFUNCTION("""COMPUTED_VALUE"""),"Rohit Saini")</f>
        <v>Rohit Saini</v>
      </c>
      <c r="I473" s="75">
        <f>IFERROR(__xludf.DUMMYFUNCTION("""COMPUTED_VALUE"""),45778.0)</f>
        <v>45778</v>
      </c>
      <c r="J473" s="31" t="str">
        <f>IFERROR(__xludf.DUMMYFUNCTION("""COMPUTED_VALUE"""),"Shivam Sharma")</f>
        <v>Shivam Sharma</v>
      </c>
      <c r="K473" s="31" t="str">
        <f>IFERROR(__xludf.DUMMYFUNCTION("""COMPUTED_VALUE"""),"Joined")</f>
        <v>Joined</v>
      </c>
      <c r="L473" s="31" t="str">
        <f>IFERROR(__xludf.DUMMYFUNCTION("""COMPUTED_VALUE"""),"In Office")</f>
        <v>In Office</v>
      </c>
      <c r="M473" s="31" t="str">
        <f>IFERROR(__xludf.DUMMYFUNCTION("""COMPUTED_VALUE"""),"divij.bhola@zupee.in")</f>
        <v>divij.bhola@zupee.in</v>
      </c>
      <c r="N473" s="31"/>
    </row>
    <row r="474">
      <c r="A474" s="74">
        <f>IFERROR(__xludf.DUMMYFUNCTION("""COMPUTED_VALUE"""),45845.0)</f>
        <v>45845</v>
      </c>
      <c r="B474" s="31" t="str">
        <f>IFERROR(__xludf.DUMMYFUNCTION("""COMPUTED_VALUE"""),"Sarthak Goyal")</f>
        <v>Sarthak Goyal</v>
      </c>
      <c r="C474" s="31" t="str">
        <f>IFERROR(__xludf.DUMMYFUNCTION("""COMPUTED_VALUE"""),"Data")</f>
        <v>Data</v>
      </c>
      <c r="D474" s="31">
        <f>IFERROR(__xludf.DUMMYFUNCTION("""COMPUTED_VALUE"""),9.711150094E9)</f>
        <v>9711150094</v>
      </c>
      <c r="E474" s="31" t="str">
        <f>IFERROR(__xludf.DUMMYFUNCTION("""COMPUTED_VALUE"""),"Lead Data Analyst")</f>
        <v>Lead Data Analyst</v>
      </c>
      <c r="F474" s="31" t="str">
        <f>IFERROR(__xludf.DUMMYFUNCTION("""COMPUTED_VALUE"""),"Product Analytics")</f>
        <v>Product Analytics</v>
      </c>
      <c r="G474" s="31" t="str">
        <f>IFERROR(__xludf.DUMMYFUNCTION("""COMPUTED_VALUE"""),"sarthak.goyal65@gmail.com")</f>
        <v>sarthak.goyal65@gmail.com</v>
      </c>
      <c r="H474" s="31" t="str">
        <f>IFERROR(__xludf.DUMMYFUNCTION("""COMPUTED_VALUE"""),"Raman Malik")</f>
        <v>Raman Malik</v>
      </c>
      <c r="I474" s="75">
        <f>IFERROR(__xludf.DUMMYFUNCTION("""COMPUTED_VALUE"""),45778.0)</f>
        <v>45778</v>
      </c>
      <c r="J474" s="31" t="str">
        <f>IFERROR(__xludf.DUMMYFUNCTION("""COMPUTED_VALUE"""),"Harsha Nanwani")</f>
        <v>Harsha Nanwani</v>
      </c>
      <c r="K474" s="31" t="str">
        <f>IFERROR(__xludf.DUMMYFUNCTION("""COMPUTED_VALUE"""),"Offer Declined")</f>
        <v>Offer Declined</v>
      </c>
      <c r="L474" s="31" t="str">
        <f>IFERROR(__xludf.DUMMYFUNCTION("""COMPUTED_VALUE"""),"In Office")</f>
        <v>In Office</v>
      </c>
      <c r="M474" s="31"/>
      <c r="N474" s="31"/>
    </row>
    <row r="475">
      <c r="A475" s="74">
        <f>IFERROR(__xludf.DUMMYFUNCTION("""COMPUTED_VALUE"""),45789.0)</f>
        <v>45789</v>
      </c>
      <c r="B475" s="31" t="str">
        <f>IFERROR(__xludf.DUMMYFUNCTION("""COMPUTED_VALUE"""),"Saurabh Shrivastava")</f>
        <v>Saurabh Shrivastava</v>
      </c>
      <c r="C475" s="31" t="str">
        <f>IFERROR(__xludf.DUMMYFUNCTION("""COMPUTED_VALUE"""),"Marketing")</f>
        <v>Marketing</v>
      </c>
      <c r="D475" s="31">
        <f>IFERROR(__xludf.DUMMYFUNCTION("""COMPUTED_VALUE"""),9.873780168E9)</f>
        <v>9873780168</v>
      </c>
      <c r="E475" s="31" t="str">
        <f>IFERROR(__xludf.DUMMYFUNCTION("""COMPUTED_VALUE"""),"Manager- Digital Marketing")</f>
        <v>Manager- Digital Marketing</v>
      </c>
      <c r="F475" s="31" t="str">
        <f>IFERROR(__xludf.DUMMYFUNCTION("""COMPUTED_VALUE"""),"Digital Marketing")</f>
        <v>Digital Marketing</v>
      </c>
      <c r="G475" s="31" t="str">
        <f>IFERROR(__xludf.DUMMYFUNCTION("""COMPUTED_VALUE"""),"victorshri@gmail.com")</f>
        <v>victorshri@gmail.com</v>
      </c>
      <c r="H475" s="31" t="str">
        <f>IFERROR(__xludf.DUMMYFUNCTION("""COMPUTED_VALUE"""),"Nishant Jaiswal")</f>
        <v>Nishant Jaiswal</v>
      </c>
      <c r="I475" s="75">
        <f>IFERROR(__xludf.DUMMYFUNCTION("""COMPUTED_VALUE"""),45778.0)</f>
        <v>45778</v>
      </c>
      <c r="J475" s="31" t="str">
        <f>IFERROR(__xludf.DUMMYFUNCTION("""COMPUTED_VALUE"""),"Rajneesh Yadav")</f>
        <v>Rajneesh Yadav</v>
      </c>
      <c r="K475" s="31" t="str">
        <f>IFERROR(__xludf.DUMMYFUNCTION("""COMPUTED_VALUE"""),"Joined")</f>
        <v>Joined</v>
      </c>
      <c r="L475" s="31" t="str">
        <f>IFERROR(__xludf.DUMMYFUNCTION("""COMPUTED_VALUE"""),"In Office")</f>
        <v>In Office</v>
      </c>
      <c r="M475" s="31" t="str">
        <f>IFERROR(__xludf.DUMMYFUNCTION("""COMPUTED_VALUE"""),"saurabh.shrivastava@zupee.in")</f>
        <v>saurabh.shrivastava@zupee.in</v>
      </c>
      <c r="N475" s="31"/>
    </row>
    <row r="476">
      <c r="A476" s="74">
        <f>IFERROR(__xludf.DUMMYFUNCTION("""COMPUTED_VALUE"""),45782.0)</f>
        <v>45782</v>
      </c>
      <c r="B476" s="31" t="str">
        <f>IFERROR(__xludf.DUMMYFUNCTION("""COMPUTED_VALUE"""),"Saurabh Singh")</f>
        <v>Saurabh Singh</v>
      </c>
      <c r="C476" s="31" t="str">
        <f>IFERROR(__xludf.DUMMYFUNCTION("""COMPUTED_VALUE"""),"Technology")</f>
        <v>Technology</v>
      </c>
      <c r="D476" s="31">
        <f>IFERROR(__xludf.DUMMYFUNCTION("""COMPUTED_VALUE"""),7.985444039E9)</f>
        <v>7985444039</v>
      </c>
      <c r="E476" s="31" t="str">
        <f>IFERROR(__xludf.DUMMYFUNCTION("""COMPUTED_VALUE"""),"Senior Software Engineer")</f>
        <v>Senior Software Engineer</v>
      </c>
      <c r="F476" s="31" t="str">
        <f>IFERROR(__xludf.DUMMYFUNCTION("""COMPUTED_VALUE"""),"Backend")</f>
        <v>Backend</v>
      </c>
      <c r="G476" s="31" t="str">
        <f>IFERROR(__xludf.DUMMYFUNCTION("""COMPUTED_VALUE"""),"singh.saurav701@gmail.com")</f>
        <v>singh.saurav701@gmail.com</v>
      </c>
      <c r="H476" s="31"/>
      <c r="I476" s="75">
        <f>IFERROR(__xludf.DUMMYFUNCTION("""COMPUTED_VALUE"""),45779.0)</f>
        <v>45779</v>
      </c>
      <c r="J476" s="31" t="str">
        <f>IFERROR(__xludf.DUMMYFUNCTION("""COMPUTED_VALUE"""),"Nidhi Khedekar")</f>
        <v>Nidhi Khedekar</v>
      </c>
      <c r="K476" s="31" t="str">
        <f>IFERROR(__xludf.DUMMYFUNCTION("""COMPUTED_VALUE"""),"Joined")</f>
        <v>Joined</v>
      </c>
      <c r="L476" s="31" t="str">
        <f>IFERROR(__xludf.DUMMYFUNCTION("""COMPUTED_VALUE"""),"In Office")</f>
        <v>In Office</v>
      </c>
      <c r="M476" s="31" t="str">
        <f>IFERROR(__xludf.DUMMYFUNCTION("""COMPUTED_VALUE"""),"saurabh.singh@zupee.in")</f>
        <v>saurabh.singh@zupee.in</v>
      </c>
      <c r="N476" s="31" t="str">
        <f>IFERROR(__xludf.DUMMYFUNCTION("""COMPUTED_VALUE"""),"L9Y62DMP9Q")</f>
        <v>L9Y62DMP9Q</v>
      </c>
    </row>
    <row r="477">
      <c r="A477" s="74">
        <f>IFERROR(__xludf.DUMMYFUNCTION("""COMPUTED_VALUE"""),45845.0)</f>
        <v>45845</v>
      </c>
      <c r="B477" s="31" t="str">
        <f>IFERROR(__xludf.DUMMYFUNCTION("""COMPUTED_VALUE"""),"Vivek Pathak")</f>
        <v>Vivek Pathak</v>
      </c>
      <c r="C477" s="31" t="str">
        <f>IFERROR(__xludf.DUMMYFUNCTION("""COMPUTED_VALUE"""),"Strategy")</f>
        <v>Strategy</v>
      </c>
      <c r="D477" s="31">
        <f>IFERROR(__xludf.DUMMYFUNCTION("""COMPUTED_VALUE"""),9.717140985E9)</f>
        <v>9717140985</v>
      </c>
      <c r="E477" s="31" t="str">
        <f>IFERROR(__xludf.DUMMYFUNCTION("""COMPUTED_VALUE"""),"Assistant Manager - Strategy")</f>
        <v>Assistant Manager - Strategy</v>
      </c>
      <c r="F477" s="31" t="str">
        <f>IFERROR(__xludf.DUMMYFUNCTION("""COMPUTED_VALUE"""),"Strategy")</f>
        <v>Strategy</v>
      </c>
      <c r="G477" s="31" t="str">
        <f>IFERROR(__xludf.DUMMYFUNCTION("""COMPUTED_VALUE"""),"vivekpathak297@gmail.com")</f>
        <v>vivekpathak297@gmail.com</v>
      </c>
      <c r="H477" s="31" t="str">
        <f>IFERROR(__xludf.DUMMYFUNCTION("""COMPUTED_VALUE"""),"Karan Aggarwal")</f>
        <v>Karan Aggarwal</v>
      </c>
      <c r="I477" s="75">
        <f>IFERROR(__xludf.DUMMYFUNCTION("""COMPUTED_VALUE"""),45779.0)</f>
        <v>45779</v>
      </c>
      <c r="J477" s="31" t="str">
        <f>IFERROR(__xludf.DUMMYFUNCTION("""COMPUTED_VALUE"""),"Naina")</f>
        <v>Naina</v>
      </c>
      <c r="K477" s="31" t="str">
        <f>IFERROR(__xludf.DUMMYFUNCTION("""COMPUTED_VALUE"""),"Offer Declined")</f>
        <v>Offer Declined</v>
      </c>
      <c r="L477" s="31" t="str">
        <f>IFERROR(__xludf.DUMMYFUNCTION("""COMPUTED_VALUE"""),"In Office")</f>
        <v>In Office</v>
      </c>
      <c r="M477" s="31"/>
      <c r="N477" s="31"/>
    </row>
    <row r="478">
      <c r="A478" s="74">
        <f>IFERROR(__xludf.DUMMYFUNCTION("""COMPUTED_VALUE"""),45796.0)</f>
        <v>45796</v>
      </c>
      <c r="B478" s="31" t="str">
        <f>IFERROR(__xludf.DUMMYFUNCTION("""COMPUTED_VALUE"""),"Kashish Rathore")</f>
        <v>Kashish Rathore</v>
      </c>
      <c r="C478" s="31" t="str">
        <f>IFERROR(__xludf.DUMMYFUNCTION("""COMPUTED_VALUE"""),"Data")</f>
        <v>Data</v>
      </c>
      <c r="D478" s="31">
        <f>IFERROR(__xludf.DUMMYFUNCTION("""COMPUTED_VALUE"""),8.768455777E9)</f>
        <v>8768455777</v>
      </c>
      <c r="E478" s="31" t="str">
        <f>IFERROR(__xludf.DUMMYFUNCTION("""COMPUTED_VALUE"""),"Senior Data Analyst")</f>
        <v>Senior Data Analyst</v>
      </c>
      <c r="F478" s="31" t="str">
        <f>IFERROR(__xludf.DUMMYFUNCTION("""COMPUTED_VALUE"""),"Data Analytics")</f>
        <v>Data Analytics</v>
      </c>
      <c r="G478" s="31" t="str">
        <f>IFERROR(__xludf.DUMMYFUNCTION("""COMPUTED_VALUE"""),"kashishrathore12@gmail.com")</f>
        <v>kashishrathore12@gmail.com</v>
      </c>
      <c r="H478" s="31" t="str">
        <f>IFERROR(__xludf.DUMMYFUNCTION("""COMPUTED_VALUE"""),"Raman Malik")</f>
        <v>Raman Malik</v>
      </c>
      <c r="I478" s="75">
        <f>IFERROR(__xludf.DUMMYFUNCTION("""COMPUTED_VALUE"""),45779.0)</f>
        <v>45779</v>
      </c>
      <c r="J478" s="31" t="str">
        <f>IFERROR(__xludf.DUMMYFUNCTION("""COMPUTED_VALUE"""),"Vipin Kumar")</f>
        <v>Vipin Kumar</v>
      </c>
      <c r="K478" s="31" t="str">
        <f>IFERROR(__xludf.DUMMYFUNCTION("""COMPUTED_VALUE"""),"Joined")</f>
        <v>Joined</v>
      </c>
      <c r="L478" s="31" t="str">
        <f>IFERROR(__xludf.DUMMYFUNCTION("""COMPUTED_VALUE"""),"In Office")</f>
        <v>In Office</v>
      </c>
      <c r="M478" s="31" t="str">
        <f>IFERROR(__xludf.DUMMYFUNCTION("""COMPUTED_VALUE"""),"kashish.rathore@zupee.in")</f>
        <v>kashish.rathore@zupee.in</v>
      </c>
      <c r="N478" s="31"/>
    </row>
    <row r="479">
      <c r="A479" s="74">
        <f>IFERROR(__xludf.DUMMYFUNCTION("""COMPUTED_VALUE"""),45831.0)</f>
        <v>45831</v>
      </c>
      <c r="B479" s="31" t="str">
        <f>IFERROR(__xludf.DUMMYFUNCTION("""COMPUTED_VALUE"""),"Akhil Mudgal")</f>
        <v>Akhil Mudgal</v>
      </c>
      <c r="C479" s="31" t="str">
        <f>IFERROR(__xludf.DUMMYFUNCTION("""COMPUTED_VALUE"""),"Technology")</f>
        <v>Technology</v>
      </c>
      <c r="D479" s="31">
        <f>IFERROR(__xludf.DUMMYFUNCTION("""COMPUTED_VALUE"""),9.810385222E9)</f>
        <v>9810385222</v>
      </c>
      <c r="E479" s="31" t="str">
        <f>IFERROR(__xludf.DUMMYFUNCTION("""COMPUTED_VALUE"""),"Engineering Manager- DevOps")</f>
        <v>Engineering Manager- DevOps</v>
      </c>
      <c r="F479" s="31" t="str">
        <f>IFERROR(__xludf.DUMMYFUNCTION("""COMPUTED_VALUE"""),"DevOps")</f>
        <v>DevOps</v>
      </c>
      <c r="G479" s="31" t="str">
        <f>IFERROR(__xludf.DUMMYFUNCTION("""COMPUTED_VALUE"""),"akhil.mud@gmail.com")</f>
        <v>akhil.mud@gmail.com</v>
      </c>
      <c r="H479" s="31" t="str">
        <f>IFERROR(__xludf.DUMMYFUNCTION("""COMPUTED_VALUE"""),"Saurav Yadav")</f>
        <v>Saurav Yadav</v>
      </c>
      <c r="I479" s="75">
        <f>IFERROR(__xludf.DUMMYFUNCTION("""COMPUTED_VALUE"""),45782.0)</f>
        <v>45782</v>
      </c>
      <c r="J479" s="31" t="str">
        <f>IFERROR(__xludf.DUMMYFUNCTION("""COMPUTED_VALUE"""),"Rajneesh Yadav")</f>
        <v>Rajneesh Yadav</v>
      </c>
      <c r="K479" s="31" t="str">
        <f>IFERROR(__xludf.DUMMYFUNCTION("""COMPUTED_VALUE"""),"Joined")</f>
        <v>Joined</v>
      </c>
      <c r="L479" s="31" t="str">
        <f>IFERROR(__xludf.DUMMYFUNCTION("""COMPUTED_VALUE"""),"In Office")</f>
        <v>In Office</v>
      </c>
      <c r="M479" s="31" t="str">
        <f>IFERROR(__xludf.DUMMYFUNCTION("""COMPUTED_VALUE"""),"akhil.mudgal@zupee.in")</f>
        <v>akhil.mudgal@zupee.in</v>
      </c>
      <c r="N479" s="31"/>
    </row>
    <row r="480">
      <c r="A480" s="74">
        <f>IFERROR(__xludf.DUMMYFUNCTION("""COMPUTED_VALUE"""),45824.0)</f>
        <v>45824</v>
      </c>
      <c r="B480" s="31" t="str">
        <f>IFERROR(__xludf.DUMMYFUNCTION("""COMPUTED_VALUE"""),"Aditya Gandhi")</f>
        <v>Aditya Gandhi</v>
      </c>
      <c r="C480" s="31" t="str">
        <f>IFERROR(__xludf.DUMMYFUNCTION("""COMPUTED_VALUE"""),"Founder's Office")</f>
        <v>Founder's Office</v>
      </c>
      <c r="D480" s="31">
        <f>IFERROR(__xludf.DUMMYFUNCTION("""COMPUTED_VALUE"""),7.60210894E9)</f>
        <v>7602108940</v>
      </c>
      <c r="E480" s="31" t="str">
        <f>IFERROR(__xludf.DUMMYFUNCTION("""COMPUTED_VALUE"""),"Associate - Founder's Office")</f>
        <v>Associate - Founder's Office</v>
      </c>
      <c r="F480" s="31" t="str">
        <f>IFERROR(__xludf.DUMMYFUNCTION("""COMPUTED_VALUE"""),"Founder's Office")</f>
        <v>Founder's Office</v>
      </c>
      <c r="G480" s="31" t="str">
        <f>IFERROR(__xludf.DUMMYFUNCTION("""COMPUTED_VALUE"""),"adigandhi011@gmail.com")</f>
        <v>adigandhi011@gmail.com</v>
      </c>
      <c r="H480" s="31" t="str">
        <f>IFERROR(__xludf.DUMMYFUNCTION("""COMPUTED_VALUE"""),"Pratyaksh")</f>
        <v>Pratyaksh</v>
      </c>
      <c r="I480" s="75">
        <f>IFERROR(__xludf.DUMMYFUNCTION("""COMPUTED_VALUE"""),45783.0)</f>
        <v>45783</v>
      </c>
      <c r="J480" s="31" t="str">
        <f>IFERROR(__xludf.DUMMYFUNCTION("""COMPUTED_VALUE"""),"Naina")</f>
        <v>Naina</v>
      </c>
      <c r="K480" s="31" t="str">
        <f>IFERROR(__xludf.DUMMYFUNCTION("""COMPUTED_VALUE"""),"Joined")</f>
        <v>Joined</v>
      </c>
      <c r="L480" s="31" t="str">
        <f>IFERROR(__xludf.DUMMYFUNCTION("""COMPUTED_VALUE"""),"In Office")</f>
        <v>In Office</v>
      </c>
      <c r="M480" s="31" t="str">
        <f>IFERROR(__xludf.DUMMYFUNCTION("""COMPUTED_VALUE"""),"aditya.gandhi@zupee.in")</f>
        <v>aditya.gandhi@zupee.in</v>
      </c>
      <c r="N480" s="31" t="str">
        <f>IFERROR(__xludf.DUMMYFUNCTION("""COMPUTED_VALUE"""),"FV7P5QQ3HD")</f>
        <v>FV7P5QQ3HD</v>
      </c>
    </row>
    <row r="481">
      <c r="A481" s="74">
        <f>IFERROR(__xludf.DUMMYFUNCTION("""COMPUTED_VALUE"""),45817.0)</f>
        <v>45817</v>
      </c>
      <c r="B481" s="31" t="str">
        <f>IFERROR(__xludf.DUMMYFUNCTION("""COMPUTED_VALUE"""),"Vartul Tripathi")</f>
        <v>Vartul Tripathi</v>
      </c>
      <c r="C481" s="31" t="str">
        <f>IFERROR(__xludf.DUMMYFUNCTION("""COMPUTED_VALUE"""),"Technology")</f>
        <v>Technology</v>
      </c>
      <c r="D481" s="31">
        <f>IFERROR(__xludf.DUMMYFUNCTION("""COMPUTED_VALUE"""),9.818592096E9)</f>
        <v>9818592096</v>
      </c>
      <c r="E481" s="31" t="str">
        <f>IFERROR(__xludf.DUMMYFUNCTION("""COMPUTED_VALUE"""),"Senior Software Engineer - Android")</f>
        <v>Senior Software Engineer - Android</v>
      </c>
      <c r="F481" s="31" t="str">
        <f>IFERROR(__xludf.DUMMYFUNCTION("""COMPUTED_VALUE"""),"Engineering")</f>
        <v>Engineering</v>
      </c>
      <c r="G481" s="31" t="str">
        <f>IFERROR(__xludf.DUMMYFUNCTION("""COMPUTED_VALUE"""),"vartult2@gmail.com")</f>
        <v>vartult2@gmail.com</v>
      </c>
      <c r="H481" s="31" t="str">
        <f>IFERROR(__xludf.DUMMYFUNCTION("""COMPUTED_VALUE"""),"Anshul Mittal")</f>
        <v>Anshul Mittal</v>
      </c>
      <c r="I481" s="75">
        <f>IFERROR(__xludf.DUMMYFUNCTION("""COMPUTED_VALUE"""),45785.0)</f>
        <v>45785</v>
      </c>
      <c r="J481" s="31" t="str">
        <f>IFERROR(__xludf.DUMMYFUNCTION("""COMPUTED_VALUE"""),"Harsha Nanwani")</f>
        <v>Harsha Nanwani</v>
      </c>
      <c r="K481" s="31" t="str">
        <f>IFERROR(__xludf.DUMMYFUNCTION("""COMPUTED_VALUE"""),"Offer Declined")</f>
        <v>Offer Declined</v>
      </c>
      <c r="L481" s="31" t="str">
        <f>IFERROR(__xludf.DUMMYFUNCTION("""COMPUTED_VALUE"""),"In Office")</f>
        <v>In Office</v>
      </c>
      <c r="M481" s="31"/>
      <c r="N481" s="31"/>
    </row>
    <row r="482">
      <c r="A482" s="74">
        <f>IFERROR(__xludf.DUMMYFUNCTION("""COMPUTED_VALUE"""),45821.0)</f>
        <v>45821</v>
      </c>
      <c r="B482" s="31" t="str">
        <f>IFERROR(__xludf.DUMMYFUNCTION("""COMPUTED_VALUE"""),"Rishabh Raj")</f>
        <v>Rishabh Raj</v>
      </c>
      <c r="C482" s="31" t="str">
        <f>IFERROR(__xludf.DUMMYFUNCTION("""COMPUTED_VALUE"""),"Technology")</f>
        <v>Technology</v>
      </c>
      <c r="D482" s="31">
        <f>IFERROR(__xludf.DUMMYFUNCTION("""COMPUTED_VALUE"""),9.12311998E9)</f>
        <v>9123119980</v>
      </c>
      <c r="E482" s="31" t="str">
        <f>IFERROR(__xludf.DUMMYFUNCTION("""COMPUTED_VALUE"""),"Senior Software Engineer - Android")</f>
        <v>Senior Software Engineer - Android</v>
      </c>
      <c r="F482" s="31" t="str">
        <f>IFERROR(__xludf.DUMMYFUNCTION("""COMPUTED_VALUE"""),"Engineering")</f>
        <v>Engineering</v>
      </c>
      <c r="G482" s="31" t="str">
        <f>IFERROR(__xludf.DUMMYFUNCTION("""COMPUTED_VALUE"""),"rishabh.nits2020@gmail.com")</f>
        <v>rishabh.nits2020@gmail.com</v>
      </c>
      <c r="H482" s="31" t="str">
        <f>IFERROR(__xludf.DUMMYFUNCTION("""COMPUTED_VALUE"""),"Anshul Mittal")</f>
        <v>Anshul Mittal</v>
      </c>
      <c r="I482" s="75">
        <f>IFERROR(__xludf.DUMMYFUNCTION("""COMPUTED_VALUE"""),45785.0)</f>
        <v>45785</v>
      </c>
      <c r="J482" s="31" t="str">
        <f>IFERROR(__xludf.DUMMYFUNCTION("""COMPUTED_VALUE"""),"Harsha Nanwani")</f>
        <v>Harsha Nanwani</v>
      </c>
      <c r="K482" s="31" t="str">
        <f>IFERROR(__xludf.DUMMYFUNCTION("""COMPUTED_VALUE"""),"Joined")</f>
        <v>Joined</v>
      </c>
      <c r="L482" s="31" t="str">
        <f>IFERROR(__xludf.DUMMYFUNCTION("""COMPUTED_VALUE"""),"In Office")</f>
        <v>In Office</v>
      </c>
      <c r="M482" s="31" t="str">
        <f>IFERROR(__xludf.DUMMYFUNCTION("""COMPUTED_VALUE"""),"rishabh.raj@zupee.in")</f>
        <v>rishabh.raj@zupee.in</v>
      </c>
      <c r="N482" s="31" t="str">
        <f>IFERROR(__xludf.DUMMYFUNCTION("""COMPUTED_VALUE"""),"K9YWL9LP61")</f>
        <v>K9YWL9LP61</v>
      </c>
    </row>
    <row r="483">
      <c r="A483" s="74">
        <f>IFERROR(__xludf.DUMMYFUNCTION("""COMPUTED_VALUE"""),45803.0)</f>
        <v>45803</v>
      </c>
      <c r="B483" s="31" t="str">
        <f>IFERROR(__xludf.DUMMYFUNCTION("""COMPUTED_VALUE"""),"Richa Sahal")</f>
        <v>Richa Sahal</v>
      </c>
      <c r="C483" s="31" t="str">
        <f>IFERROR(__xludf.DUMMYFUNCTION("""COMPUTED_VALUE"""),"Marketing")</f>
        <v>Marketing</v>
      </c>
      <c r="D483" s="31">
        <f>IFERROR(__xludf.DUMMYFUNCTION("""COMPUTED_VALUE"""),7.004606046E9)</f>
        <v>7004606046</v>
      </c>
      <c r="E483" s="31" t="str">
        <f>IFERROR(__xludf.DUMMYFUNCTION("""COMPUTED_VALUE"""),"Manager - SEO")</f>
        <v>Manager - SEO</v>
      </c>
      <c r="F483" s="31" t="str">
        <f>IFERROR(__xludf.DUMMYFUNCTION("""COMPUTED_VALUE"""),"Digital Marketing")</f>
        <v>Digital Marketing</v>
      </c>
      <c r="G483" s="31" t="str">
        <f>IFERROR(__xludf.DUMMYFUNCTION("""COMPUTED_VALUE"""),"richasahal1121@gmail.com")</f>
        <v>richasahal1121@gmail.com</v>
      </c>
      <c r="H483" s="31" t="str">
        <f>IFERROR(__xludf.DUMMYFUNCTION("""COMPUTED_VALUE"""),"Saumil Shah")</f>
        <v>Saumil Shah</v>
      </c>
      <c r="I483" s="75">
        <f>IFERROR(__xludf.DUMMYFUNCTION("""COMPUTED_VALUE"""),45785.0)</f>
        <v>45785</v>
      </c>
      <c r="J483" s="31" t="str">
        <f>IFERROR(__xludf.DUMMYFUNCTION("""COMPUTED_VALUE"""),"Harsha Nanwani")</f>
        <v>Harsha Nanwani</v>
      </c>
      <c r="K483" s="31" t="str">
        <f>IFERROR(__xludf.DUMMYFUNCTION("""COMPUTED_VALUE"""),"Joined")</f>
        <v>Joined</v>
      </c>
      <c r="L483" s="31" t="str">
        <f>IFERROR(__xludf.DUMMYFUNCTION("""COMPUTED_VALUE"""),"In Office")</f>
        <v>In Office</v>
      </c>
      <c r="M483" s="31" t="str">
        <f>IFERROR(__xludf.DUMMYFUNCTION("""COMPUTED_VALUE"""),"richa.sahal@zupee.in")</f>
        <v>richa.sahal@zupee.in</v>
      </c>
      <c r="N483" s="31" t="str">
        <f>IFERROR(__xludf.DUMMYFUNCTION("""COMPUTED_VALUE"""),"K3J46HW9G2")</f>
        <v>K3J46HW9G2</v>
      </c>
    </row>
    <row r="484">
      <c r="A484" s="74">
        <f>IFERROR(__xludf.DUMMYFUNCTION("""COMPUTED_VALUE"""),45818.0)</f>
        <v>45818</v>
      </c>
      <c r="B484" s="31" t="str">
        <f>IFERROR(__xludf.DUMMYFUNCTION("""COMPUTED_VALUE"""),"Rohit Kumar Gupta")</f>
        <v>Rohit Kumar Gupta</v>
      </c>
      <c r="C484" s="31" t="str">
        <f>IFERROR(__xludf.DUMMYFUNCTION("""COMPUTED_VALUE"""),"Technology")</f>
        <v>Technology</v>
      </c>
      <c r="D484" s="31">
        <f>IFERROR(__xludf.DUMMYFUNCTION("""COMPUTED_VALUE"""),7.376496863E9)</f>
        <v>7376496863</v>
      </c>
      <c r="E484" s="31" t="str">
        <f>IFERROR(__xludf.DUMMYFUNCTION("""COMPUTED_VALUE"""),"Senior Software Development Engineer in Test")</f>
        <v>Senior Software Development Engineer in Test</v>
      </c>
      <c r="F484" s="31" t="str">
        <f>IFERROR(__xludf.DUMMYFUNCTION("""COMPUTED_VALUE"""),"SDET")</f>
        <v>SDET</v>
      </c>
      <c r="G484" s="31" t="str">
        <f>IFERROR(__xludf.DUMMYFUNCTION("""COMPUTED_VALUE"""),"rohitkumargupta789@yahoo.com")</f>
        <v>rohitkumargupta789@yahoo.com</v>
      </c>
      <c r="H484" s="31" t="str">
        <f>IFERROR(__xludf.DUMMYFUNCTION("""COMPUTED_VALUE"""),"Sahil Puri")</f>
        <v>Sahil Puri</v>
      </c>
      <c r="I484" s="75">
        <f>IFERROR(__xludf.DUMMYFUNCTION("""COMPUTED_VALUE"""),45785.0)</f>
        <v>45785</v>
      </c>
      <c r="J484" s="31" t="str">
        <f>IFERROR(__xludf.DUMMYFUNCTION("""COMPUTED_VALUE"""),"Vipin Kumar")</f>
        <v>Vipin Kumar</v>
      </c>
      <c r="K484" s="31" t="str">
        <f>IFERROR(__xludf.DUMMYFUNCTION("""COMPUTED_VALUE"""),"Joined")</f>
        <v>Joined</v>
      </c>
      <c r="L484" s="31" t="str">
        <f>IFERROR(__xludf.DUMMYFUNCTION("""COMPUTED_VALUE"""),"In Office")</f>
        <v>In Office</v>
      </c>
      <c r="M484" s="31" t="str">
        <f>IFERROR(__xludf.DUMMYFUNCTION("""COMPUTED_VALUE"""),"rohit.gupta@zupee.in")</f>
        <v>rohit.gupta@zupee.in</v>
      </c>
      <c r="N484" s="31" t="str">
        <f>IFERROR(__xludf.DUMMYFUNCTION("""COMPUTED_VALUE"""),"LFMQ1Y614Y")</f>
        <v>LFMQ1Y614Y</v>
      </c>
    </row>
    <row r="485">
      <c r="A485" s="74">
        <f>IFERROR(__xludf.DUMMYFUNCTION("""COMPUTED_VALUE"""),45870.0)</f>
        <v>45870</v>
      </c>
      <c r="B485" s="31" t="str">
        <f>IFERROR(__xludf.DUMMYFUNCTION("""COMPUTED_VALUE"""),"Devansh Mittal")</f>
        <v>Devansh Mittal</v>
      </c>
      <c r="C485" s="31" t="str">
        <f>IFERROR(__xludf.DUMMYFUNCTION("""COMPUTED_VALUE"""),"Technology")</f>
        <v>Technology</v>
      </c>
      <c r="D485" s="31">
        <f>IFERROR(__xludf.DUMMYFUNCTION("""COMPUTED_VALUE"""),8.936991575E9)</f>
        <v>8936991575</v>
      </c>
      <c r="E485" s="31" t="str">
        <f>IFERROR(__xludf.DUMMYFUNCTION("""COMPUTED_VALUE"""),"Software Engineer- DevOps")</f>
        <v>Software Engineer- DevOps</v>
      </c>
      <c r="F485" s="31" t="str">
        <f>IFERROR(__xludf.DUMMYFUNCTION("""COMPUTED_VALUE"""),"DevOps &amp; Security")</f>
        <v>DevOps &amp; Security</v>
      </c>
      <c r="G485" s="31" t="str">
        <f>IFERROR(__xludf.DUMMYFUNCTION("""COMPUTED_VALUE"""),"mittaldevansh123@gmail.com")</f>
        <v>mittaldevansh123@gmail.com</v>
      </c>
      <c r="H485" s="31" t="str">
        <f>IFERROR(__xludf.DUMMYFUNCTION("""COMPUTED_VALUE"""),"Saurav Yadav")</f>
        <v>Saurav Yadav</v>
      </c>
      <c r="I485" s="75">
        <f>IFERROR(__xludf.DUMMYFUNCTION("""COMPUTED_VALUE"""),45786.0)</f>
        <v>45786</v>
      </c>
      <c r="J485" s="31" t="str">
        <f>IFERROR(__xludf.DUMMYFUNCTION("""COMPUTED_VALUE"""),"Vipin Kumar")</f>
        <v>Vipin Kumar</v>
      </c>
      <c r="K485" s="31" t="str">
        <f>IFERROR(__xludf.DUMMYFUNCTION("""COMPUTED_VALUE"""),"Joined")</f>
        <v>Joined</v>
      </c>
      <c r="L485" s="31" t="str">
        <f>IFERROR(__xludf.DUMMYFUNCTION("""COMPUTED_VALUE"""),"In Office")</f>
        <v>In Office</v>
      </c>
      <c r="M485" s="31" t="str">
        <f>IFERROR(__xludf.DUMMYFUNCTION("""COMPUTED_VALUE"""),"devansh.mittal@zupee.in")</f>
        <v>devansh.mittal@zupee.in</v>
      </c>
      <c r="N485" s="31"/>
    </row>
    <row r="486">
      <c r="A486" s="74">
        <f>IFERROR(__xludf.DUMMYFUNCTION("""COMPUTED_VALUE"""),45816.0)</f>
        <v>45816</v>
      </c>
      <c r="B486" s="31" t="str">
        <f>IFERROR(__xludf.DUMMYFUNCTION("""COMPUTED_VALUE"""),"Syed Zamin Abbas Abidi")</f>
        <v>Syed Zamin Abbas Abidi</v>
      </c>
      <c r="C486" s="31" t="str">
        <f>IFERROR(__xludf.DUMMYFUNCTION("""COMPUTED_VALUE"""),"Technology")</f>
        <v>Technology</v>
      </c>
      <c r="D486" s="31">
        <f>IFERROR(__xludf.DUMMYFUNCTION("""COMPUTED_VALUE"""),8.052992594E9)</f>
        <v>8052992594</v>
      </c>
      <c r="E486" s="31" t="str">
        <f>IFERROR(__xludf.DUMMYFUNCTION("""COMPUTED_VALUE"""),"Software Engineer- DevOps")</f>
        <v>Software Engineer- DevOps</v>
      </c>
      <c r="F486" s="31" t="str">
        <f>IFERROR(__xludf.DUMMYFUNCTION("""COMPUTED_VALUE"""),"DevOps &amp; Security")</f>
        <v>DevOps &amp; Security</v>
      </c>
      <c r="G486" s="31" t="str">
        <f>IFERROR(__xludf.DUMMYFUNCTION("""COMPUTED_VALUE"""),"zaminabbasabidi60@gmail.com")</f>
        <v>zaminabbasabidi60@gmail.com</v>
      </c>
      <c r="H486" s="31" t="str">
        <f>IFERROR(__xludf.DUMMYFUNCTION("""COMPUTED_VALUE"""),"Saurav Yadav")</f>
        <v>Saurav Yadav</v>
      </c>
      <c r="I486" s="75">
        <f>IFERROR(__xludf.DUMMYFUNCTION("""COMPUTED_VALUE"""),45786.0)</f>
        <v>45786</v>
      </c>
      <c r="J486" s="31" t="str">
        <f>IFERROR(__xludf.DUMMYFUNCTION("""COMPUTED_VALUE"""),"Vipin Kumar")</f>
        <v>Vipin Kumar</v>
      </c>
      <c r="K486" s="31" t="str">
        <f>IFERROR(__xludf.DUMMYFUNCTION("""COMPUTED_VALUE"""),"Offer Declined")</f>
        <v>Offer Declined</v>
      </c>
      <c r="L486" s="31" t="str">
        <f>IFERROR(__xludf.DUMMYFUNCTION("""COMPUTED_VALUE"""),"In Office")</f>
        <v>In Office</v>
      </c>
      <c r="M486" s="31"/>
      <c r="N486" s="31"/>
    </row>
    <row r="487">
      <c r="A487" s="74">
        <f>IFERROR(__xludf.DUMMYFUNCTION("""COMPUTED_VALUE"""),45792.0)</f>
        <v>45792</v>
      </c>
      <c r="B487" s="31" t="str">
        <f>IFERROR(__xludf.DUMMYFUNCTION("""COMPUTED_VALUE"""),"Akanksha Anand")</f>
        <v>Akanksha Anand</v>
      </c>
      <c r="C487" s="31" t="str">
        <f>IFERROR(__xludf.DUMMYFUNCTION("""COMPUTED_VALUE"""),"Marketing")</f>
        <v>Marketing</v>
      </c>
      <c r="D487" s="31">
        <f>IFERROR(__xludf.DUMMYFUNCTION("""COMPUTED_VALUE"""),9.650771135E9)</f>
        <v>9650771135</v>
      </c>
      <c r="E487" s="31" t="str">
        <f>IFERROR(__xludf.DUMMYFUNCTION("""COMPUTED_VALUE"""),"Associate - Content Writer")</f>
        <v>Associate - Content Writer</v>
      </c>
      <c r="F487" s="31" t="str">
        <f>IFERROR(__xludf.DUMMYFUNCTION("""COMPUTED_VALUE"""),"Content")</f>
        <v>Content</v>
      </c>
      <c r="G487" s="31" t="str">
        <f>IFERROR(__xludf.DUMMYFUNCTION("""COMPUTED_VALUE"""),"akankshacanand28@gmail.com")</f>
        <v>akankshacanand28@gmail.com</v>
      </c>
      <c r="H487" s="31" t="str">
        <f>IFERROR(__xludf.DUMMYFUNCTION("""COMPUTED_VALUE"""),"Saumil Shah")</f>
        <v>Saumil Shah</v>
      </c>
      <c r="I487" s="75">
        <f>IFERROR(__xludf.DUMMYFUNCTION("""COMPUTED_VALUE"""),45786.0)</f>
        <v>45786</v>
      </c>
      <c r="J487" s="31" t="str">
        <f>IFERROR(__xludf.DUMMYFUNCTION("""COMPUTED_VALUE"""),"Harsha Nanwani")</f>
        <v>Harsha Nanwani</v>
      </c>
      <c r="K487" s="31" t="str">
        <f>IFERROR(__xludf.DUMMYFUNCTION("""COMPUTED_VALUE"""),"Joined")</f>
        <v>Joined</v>
      </c>
      <c r="L487" s="31" t="str">
        <f>IFERROR(__xludf.DUMMYFUNCTION("""COMPUTED_VALUE"""),"In Office")</f>
        <v>In Office</v>
      </c>
      <c r="M487" s="31" t="str">
        <f>IFERROR(__xludf.DUMMYFUNCTION("""COMPUTED_VALUE"""),"akanksha.anand@zupee.in")</f>
        <v>akanksha.anand@zupee.in</v>
      </c>
      <c r="N487" s="31"/>
    </row>
    <row r="488">
      <c r="A488" s="74">
        <f>IFERROR(__xludf.DUMMYFUNCTION("""COMPUTED_VALUE"""),45832.0)</f>
        <v>45832</v>
      </c>
      <c r="B488" s="31" t="str">
        <f>IFERROR(__xludf.DUMMYFUNCTION("""COMPUTED_VALUE"""),"Akhil Bansal")</f>
        <v>Akhil Bansal</v>
      </c>
      <c r="C488" s="31" t="str">
        <f>IFERROR(__xludf.DUMMYFUNCTION("""COMPUTED_VALUE"""),"Data Engineer")</f>
        <v>Data Engineer</v>
      </c>
      <c r="D488" s="31">
        <f>IFERROR(__xludf.DUMMYFUNCTION("""COMPUTED_VALUE"""),9.991200238E9)</f>
        <v>9991200238</v>
      </c>
      <c r="E488" s="31" t="str">
        <f>IFERROR(__xludf.DUMMYFUNCTION("""COMPUTED_VALUE"""),"Staff Data Engineer")</f>
        <v>Staff Data Engineer</v>
      </c>
      <c r="F488" s="31" t="str">
        <f>IFERROR(__xludf.DUMMYFUNCTION("""COMPUTED_VALUE"""),"Data Engineering")</f>
        <v>Data Engineering</v>
      </c>
      <c r="G488" s="31" t="str">
        <f>IFERROR(__xludf.DUMMYFUNCTION("""COMPUTED_VALUE"""),"akhilbansal1090@gmail.com")</f>
        <v>akhilbansal1090@gmail.com</v>
      </c>
      <c r="H488" s="31" t="str">
        <f>IFERROR(__xludf.DUMMYFUNCTION("""COMPUTED_VALUE"""),"Aman Bahl")</f>
        <v>Aman Bahl</v>
      </c>
      <c r="I488" s="75">
        <f>IFERROR(__xludf.DUMMYFUNCTION("""COMPUTED_VALUE"""),45786.0)</f>
        <v>45786</v>
      </c>
      <c r="J488" s="31" t="str">
        <f>IFERROR(__xludf.DUMMYFUNCTION("""COMPUTED_VALUE"""),"Naina")</f>
        <v>Naina</v>
      </c>
      <c r="K488" s="31" t="str">
        <f>IFERROR(__xludf.DUMMYFUNCTION("""COMPUTED_VALUE"""),"Offer Declined")</f>
        <v>Offer Declined</v>
      </c>
      <c r="L488" s="31" t="str">
        <f>IFERROR(__xludf.DUMMYFUNCTION("""COMPUTED_VALUE"""),"In Office")</f>
        <v>In Office</v>
      </c>
      <c r="M488" s="31"/>
      <c r="N488" s="31"/>
    </row>
    <row r="489">
      <c r="A489" s="74">
        <f>IFERROR(__xludf.DUMMYFUNCTION("""COMPUTED_VALUE"""),45789.0)</f>
        <v>45789</v>
      </c>
      <c r="B489" s="31" t="str">
        <f>IFERROR(__xludf.DUMMYFUNCTION("""COMPUTED_VALUE"""),"Sagar Nassa")</f>
        <v>Sagar Nassa</v>
      </c>
      <c r="C489" s="31" t="str">
        <f>IFERROR(__xludf.DUMMYFUNCTION("""COMPUTED_VALUE"""),"Analytics")</f>
        <v>Analytics</v>
      </c>
      <c r="D489" s="31">
        <f>IFERROR(__xludf.DUMMYFUNCTION("""COMPUTED_VALUE"""),9.760825726E9)</f>
        <v>9760825726</v>
      </c>
      <c r="E489" s="31" t="str">
        <f>IFERROR(__xludf.DUMMYFUNCTION("""COMPUTED_VALUE"""),"Senior Data Analyst")</f>
        <v>Senior Data Analyst</v>
      </c>
      <c r="F489" s="31" t="str">
        <f>IFERROR(__xludf.DUMMYFUNCTION("""COMPUTED_VALUE"""),"Product Analytics")</f>
        <v>Product Analytics</v>
      </c>
      <c r="G489" s="31" t="str">
        <f>IFERROR(__xludf.DUMMYFUNCTION("""COMPUTED_VALUE"""),"snassa@ar.iitr.ac.in")</f>
        <v>snassa@ar.iitr.ac.in</v>
      </c>
      <c r="H489" s="31" t="str">
        <f>IFERROR(__xludf.DUMMYFUNCTION("""COMPUTED_VALUE"""),"Raman Malik")</f>
        <v>Raman Malik</v>
      </c>
      <c r="I489" s="75">
        <f>IFERROR(__xludf.DUMMYFUNCTION("""COMPUTED_VALUE"""),45787.0)</f>
        <v>45787</v>
      </c>
      <c r="J489" s="31" t="str">
        <f>IFERROR(__xludf.DUMMYFUNCTION("""COMPUTED_VALUE"""),"Nidhi Khedekar")</f>
        <v>Nidhi Khedekar</v>
      </c>
      <c r="K489" s="31" t="str">
        <f>IFERROR(__xludf.DUMMYFUNCTION("""COMPUTED_VALUE"""),"Joined")</f>
        <v>Joined</v>
      </c>
      <c r="L489" s="31" t="str">
        <f>IFERROR(__xludf.DUMMYFUNCTION("""COMPUTED_VALUE"""),"Virtual")</f>
        <v>Virtual</v>
      </c>
      <c r="M489" s="31" t="str">
        <f>IFERROR(__xludf.DUMMYFUNCTION("""COMPUTED_VALUE"""),"sagar.nassa@zupee.in")</f>
        <v>sagar.nassa@zupee.in</v>
      </c>
      <c r="N489" s="31" t="str">
        <f>IFERROR(__xludf.DUMMYFUNCTION("""COMPUTED_VALUE"""),"GN4NDXC3QJ")</f>
        <v>GN4NDXC3QJ</v>
      </c>
    </row>
    <row r="490">
      <c r="A490" s="74">
        <f>IFERROR(__xludf.DUMMYFUNCTION("""COMPUTED_VALUE"""),45803.0)</f>
        <v>45803</v>
      </c>
      <c r="B490" s="31" t="str">
        <f>IFERROR(__xludf.DUMMYFUNCTION("""COMPUTED_VALUE"""),"Archit Goswami")</f>
        <v>Archit Goswami</v>
      </c>
      <c r="C490" s="31" t="str">
        <f>IFERROR(__xludf.DUMMYFUNCTION("""COMPUTED_VALUE"""),"Technology")</f>
        <v>Technology</v>
      </c>
      <c r="D490" s="31">
        <f>IFERROR(__xludf.DUMMYFUNCTION("""COMPUTED_VALUE"""),7.98262064E9)</f>
        <v>7982620640</v>
      </c>
      <c r="E490" s="31" t="str">
        <f>IFERROR(__xludf.DUMMYFUNCTION("""COMPUTED_VALUE"""),"Senior Software Engineer")</f>
        <v>Senior Software Engineer</v>
      </c>
      <c r="F490" s="31" t="str">
        <f>IFERROR(__xludf.DUMMYFUNCTION("""COMPUTED_VALUE"""),"Engineering")</f>
        <v>Engineering</v>
      </c>
      <c r="G490" s="31" t="str">
        <f>IFERROR(__xludf.DUMMYFUNCTION("""COMPUTED_VALUE""")," architgoswami4@gmail.com")</f>
        <v> architgoswami4@gmail.com</v>
      </c>
      <c r="H490" s="31" t="str">
        <f>IFERROR(__xludf.DUMMYFUNCTION("""COMPUTED_VALUE"""),"Anshul Mittal")</f>
        <v>Anshul Mittal</v>
      </c>
      <c r="I490" s="75">
        <f>IFERROR(__xludf.DUMMYFUNCTION("""COMPUTED_VALUE"""),45786.0)</f>
        <v>45786</v>
      </c>
      <c r="J490" s="31" t="str">
        <f>IFERROR(__xludf.DUMMYFUNCTION("""COMPUTED_VALUE"""),"Shivam Sharma")</f>
        <v>Shivam Sharma</v>
      </c>
      <c r="K490" s="31" t="str">
        <f>IFERROR(__xludf.DUMMYFUNCTION("""COMPUTED_VALUE"""),"Joined")</f>
        <v>Joined</v>
      </c>
      <c r="L490" s="31" t="str">
        <f>IFERROR(__xludf.DUMMYFUNCTION("""COMPUTED_VALUE"""),"In Office")</f>
        <v>In Office</v>
      </c>
      <c r="M490" s="31" t="str">
        <f>IFERROR(__xludf.DUMMYFUNCTION("""COMPUTED_VALUE"""),"archit.goswami@zupee.in")</f>
        <v>archit.goswami@zupee.in</v>
      </c>
      <c r="N490" s="31" t="str">
        <f>IFERROR(__xludf.DUMMYFUNCTION("""COMPUTED_VALUE"""),"H54G2QXMM6")</f>
        <v>H54G2QXMM6</v>
      </c>
    </row>
    <row r="491">
      <c r="A491" s="74">
        <f>IFERROR(__xludf.DUMMYFUNCTION("""COMPUTED_VALUE"""),45790.0)</f>
        <v>45790</v>
      </c>
      <c r="B491" s="31" t="str">
        <f>IFERROR(__xludf.DUMMYFUNCTION("""COMPUTED_VALUE"""),"Nitesh Dagar")</f>
        <v>Nitesh Dagar</v>
      </c>
      <c r="C491" s="31" t="str">
        <f>IFERROR(__xludf.DUMMYFUNCTION("""COMPUTED_VALUE"""),"Data")</f>
        <v>Data</v>
      </c>
      <c r="D491" s="31">
        <f>IFERROR(__xludf.DUMMYFUNCTION("""COMPUTED_VALUE"""),9.999731878E9)</f>
        <v>9999731878</v>
      </c>
      <c r="E491" s="31" t="str">
        <f>IFERROR(__xludf.DUMMYFUNCTION("""COMPUTED_VALUE"""),"Data Analyst")</f>
        <v>Data Analyst</v>
      </c>
      <c r="F491" s="31" t="str">
        <f>IFERROR(__xludf.DUMMYFUNCTION("""COMPUTED_VALUE"""),"Data Analytics")</f>
        <v>Data Analytics</v>
      </c>
      <c r="G491" s="31" t="str">
        <f>IFERROR(__xludf.DUMMYFUNCTION("""COMPUTED_VALUE"""),"niteshkumar731878@gmail.com")</f>
        <v>niteshkumar731878@gmail.com</v>
      </c>
      <c r="H491" s="31" t="str">
        <f>IFERROR(__xludf.DUMMYFUNCTION("""COMPUTED_VALUE"""),"Raman Malik")</f>
        <v>Raman Malik</v>
      </c>
      <c r="I491" s="75">
        <f>IFERROR(__xludf.DUMMYFUNCTION("""COMPUTED_VALUE"""),45789.0)</f>
        <v>45789</v>
      </c>
      <c r="J491" s="31" t="str">
        <f>IFERROR(__xludf.DUMMYFUNCTION("""COMPUTED_VALUE"""),"Vipin Kumar")</f>
        <v>Vipin Kumar</v>
      </c>
      <c r="K491" s="31" t="str">
        <f>IFERROR(__xludf.DUMMYFUNCTION("""COMPUTED_VALUE"""),"Joined")</f>
        <v>Joined</v>
      </c>
      <c r="L491" s="31" t="str">
        <f>IFERROR(__xludf.DUMMYFUNCTION("""COMPUTED_VALUE"""),"In Office")</f>
        <v>In Office</v>
      </c>
      <c r="M491" s="31" t="str">
        <f>IFERROR(__xludf.DUMMYFUNCTION("""COMPUTED_VALUE"""),"nitesh.dagar@zupee.in")</f>
        <v>nitesh.dagar@zupee.in</v>
      </c>
      <c r="N491" s="31" t="str">
        <f>IFERROR(__xludf.DUMMYFUNCTION("""COMPUTED_VALUE"""),"QJT4XNWWLW")</f>
        <v>QJT4XNWWLW</v>
      </c>
    </row>
    <row r="492">
      <c r="A492" s="74">
        <f>IFERROR(__xludf.DUMMYFUNCTION("""COMPUTED_VALUE"""),45796.0)</f>
        <v>45796</v>
      </c>
      <c r="B492" s="31" t="str">
        <f>IFERROR(__xludf.DUMMYFUNCTION("""COMPUTED_VALUE"""),"Priyansh Gupta")</f>
        <v>Priyansh Gupta</v>
      </c>
      <c r="C492" s="31" t="str">
        <f>IFERROR(__xludf.DUMMYFUNCTION("""COMPUTED_VALUE"""),"Technology")</f>
        <v>Technology</v>
      </c>
      <c r="D492" s="31">
        <f>IFERROR(__xludf.DUMMYFUNCTION("""COMPUTED_VALUE"""),9.352410818E9)</f>
        <v>9352410818</v>
      </c>
      <c r="E492" s="31" t="str">
        <f>IFERROR(__xludf.DUMMYFUNCTION("""COMPUTED_VALUE"""),"Software Engineer")</f>
        <v>Software Engineer</v>
      </c>
      <c r="F492" s="31" t="str">
        <f>IFERROR(__xludf.DUMMYFUNCTION("""COMPUTED_VALUE"""),"DevOps &amp; Security")</f>
        <v>DevOps &amp; Security</v>
      </c>
      <c r="G492" s="31" t="str">
        <f>IFERROR(__xludf.DUMMYFUNCTION("""COMPUTED_VALUE"""),"priyanshgupta10508@gmail.com")</f>
        <v>priyanshgupta10508@gmail.com</v>
      </c>
      <c r="H492" s="31" t="str">
        <f>IFERROR(__xludf.DUMMYFUNCTION("""COMPUTED_VALUE"""),"Saurav Yadav")</f>
        <v>Saurav Yadav</v>
      </c>
      <c r="I492" s="75">
        <f>IFERROR(__xludf.DUMMYFUNCTION("""COMPUTED_VALUE"""),45790.0)</f>
        <v>45790</v>
      </c>
      <c r="J492" s="31" t="str">
        <f>IFERROR(__xludf.DUMMYFUNCTION("""COMPUTED_VALUE"""),"Vipin Kumar")</f>
        <v>Vipin Kumar</v>
      </c>
      <c r="K492" s="31" t="str">
        <f>IFERROR(__xludf.DUMMYFUNCTION("""COMPUTED_VALUE"""),"Joined")</f>
        <v>Joined</v>
      </c>
      <c r="L492" s="31" t="str">
        <f>IFERROR(__xludf.DUMMYFUNCTION("""COMPUTED_VALUE"""),"In Office")</f>
        <v>In Office</v>
      </c>
      <c r="M492" s="31" t="str">
        <f>IFERROR(__xludf.DUMMYFUNCTION("""COMPUTED_VALUE"""),"priyansh.gupta@zupee.in")</f>
        <v>priyansh.gupta@zupee.in</v>
      </c>
      <c r="N492" s="31"/>
    </row>
    <row r="493">
      <c r="A493" s="74">
        <f>IFERROR(__xludf.DUMMYFUNCTION("""COMPUTED_VALUE"""),45791.0)</f>
        <v>45791</v>
      </c>
      <c r="B493" s="31" t="str">
        <f>IFERROR(__xludf.DUMMYFUNCTION("""COMPUTED_VALUE"""),"Roma")</f>
        <v>Roma</v>
      </c>
      <c r="C493" s="31" t="str">
        <f>IFERROR(__xludf.DUMMYFUNCTION("""COMPUTED_VALUE"""),"Technology")</f>
        <v>Technology</v>
      </c>
      <c r="D493" s="31">
        <f>IFERROR(__xludf.DUMMYFUNCTION("""COMPUTED_VALUE"""),9.717781317E9)</f>
        <v>9717781317</v>
      </c>
      <c r="E493" s="31" t="str">
        <f>IFERROR(__xludf.DUMMYFUNCTION("""COMPUTED_VALUE"""),"Senior Executive- IT Operations")</f>
        <v>Senior Executive- IT Operations</v>
      </c>
      <c r="F493" s="31" t="str">
        <f>IFERROR(__xludf.DUMMYFUNCTION("""COMPUTED_VALUE"""),"IT Infra")</f>
        <v>IT Infra</v>
      </c>
      <c r="G493" s="31" t="str">
        <f>IFERROR(__xludf.DUMMYFUNCTION("""COMPUTED_VALUE"""),"Romabhardwaj94@gmail.com")</f>
        <v>Romabhardwaj94@gmail.com</v>
      </c>
      <c r="H493" s="31" t="str">
        <f>IFERROR(__xludf.DUMMYFUNCTION("""COMPUTED_VALUE"""),"Rajkumar Singh")</f>
        <v>Rajkumar Singh</v>
      </c>
      <c r="I493" s="75">
        <f>IFERROR(__xludf.DUMMYFUNCTION("""COMPUTED_VALUE"""),45790.0)</f>
        <v>45790</v>
      </c>
      <c r="J493" s="31" t="str">
        <f>IFERROR(__xludf.DUMMYFUNCTION("""COMPUTED_VALUE"""),"Vipin Kumar")</f>
        <v>Vipin Kumar</v>
      </c>
      <c r="K493" s="31" t="str">
        <f>IFERROR(__xludf.DUMMYFUNCTION("""COMPUTED_VALUE"""),"Joined")</f>
        <v>Joined</v>
      </c>
      <c r="L493" s="31" t="str">
        <f>IFERROR(__xludf.DUMMYFUNCTION("""COMPUTED_VALUE"""),"In Office")</f>
        <v>In Office</v>
      </c>
      <c r="M493" s="31"/>
      <c r="N493" s="31"/>
    </row>
    <row r="494">
      <c r="A494" s="74">
        <f>IFERROR(__xludf.DUMMYFUNCTION("""COMPUTED_VALUE"""),45855.0)</f>
        <v>45855</v>
      </c>
      <c r="B494" s="31" t="str">
        <f>IFERROR(__xludf.DUMMYFUNCTION("""COMPUTED_VALUE"""),"Arya Pande")</f>
        <v>Arya Pande</v>
      </c>
      <c r="C494" s="31" t="str">
        <f>IFERROR(__xludf.DUMMYFUNCTION("""COMPUTED_VALUE"""),"Digital Marketing")</f>
        <v>Digital Marketing</v>
      </c>
      <c r="D494" s="31">
        <f>IFERROR(__xludf.DUMMYFUNCTION("""COMPUTED_VALUE"""),8.669989961E9)</f>
        <v>8669989961</v>
      </c>
      <c r="E494" s="31" t="str">
        <f>IFERROR(__xludf.DUMMYFUNCTION("""COMPUTED_VALUE"""),"Senior Associate- Digital Marketing")</f>
        <v>Senior Associate- Digital Marketing</v>
      </c>
      <c r="F494" s="31" t="str">
        <f>IFERROR(__xludf.DUMMYFUNCTION("""COMPUTED_VALUE"""),"Performance Marketing")</f>
        <v>Performance Marketing</v>
      </c>
      <c r="G494" s="31" t="str">
        <f>IFERROR(__xludf.DUMMYFUNCTION("""COMPUTED_VALUE"""),"arya.pande.ngp@gmail.com")</f>
        <v>arya.pande.ngp@gmail.com</v>
      </c>
      <c r="H494" s="31" t="str">
        <f>IFERROR(__xludf.DUMMYFUNCTION("""COMPUTED_VALUE"""),"Ritwika Rai")</f>
        <v>Ritwika Rai</v>
      </c>
      <c r="I494" s="75">
        <f>IFERROR(__xludf.DUMMYFUNCTION("""COMPUTED_VALUE"""),45790.0)</f>
        <v>45790</v>
      </c>
      <c r="J494" s="31" t="str">
        <f>IFERROR(__xludf.DUMMYFUNCTION("""COMPUTED_VALUE"""),"Nidhi Khedekar")</f>
        <v>Nidhi Khedekar</v>
      </c>
      <c r="K494" s="31" t="str">
        <f>IFERROR(__xludf.DUMMYFUNCTION("""COMPUTED_VALUE"""),"Offer Declined")</f>
        <v>Offer Declined</v>
      </c>
      <c r="L494" s="31" t="str">
        <f>IFERROR(__xludf.DUMMYFUNCTION("""COMPUTED_VALUE"""),"In Office")</f>
        <v>In Office</v>
      </c>
      <c r="M494" s="31"/>
      <c r="N494" s="31"/>
    </row>
    <row r="495">
      <c r="A495" s="74">
        <f>IFERROR(__xludf.DUMMYFUNCTION("""COMPUTED_VALUE"""),45853.0)</f>
        <v>45853</v>
      </c>
      <c r="B495" s="31" t="str">
        <f>IFERROR(__xludf.DUMMYFUNCTION("""COMPUTED_VALUE"""),"Akrant Sharma")</f>
        <v>Akrant Sharma</v>
      </c>
      <c r="C495" s="31" t="str">
        <f>IFERROR(__xludf.DUMMYFUNCTION("""COMPUTED_VALUE"""),"Digital Marketing")</f>
        <v>Digital Marketing</v>
      </c>
      <c r="D495" s="31">
        <f>IFERROR(__xludf.DUMMYFUNCTION("""COMPUTED_VALUE"""),9.873871865E9)</f>
        <v>9873871865</v>
      </c>
      <c r="E495" s="31" t="str">
        <f>IFERROR(__xludf.DUMMYFUNCTION("""COMPUTED_VALUE"""),"Senior Associate- Digital Marketing")</f>
        <v>Senior Associate- Digital Marketing</v>
      </c>
      <c r="F495" s="31" t="str">
        <f>IFERROR(__xludf.DUMMYFUNCTION("""COMPUTED_VALUE"""),"Performance Marketing")</f>
        <v>Performance Marketing</v>
      </c>
      <c r="G495" s="31" t="str">
        <f>IFERROR(__xludf.DUMMYFUNCTION("""COMPUTED_VALUE"""),"akrant.sharma@gmail.com")</f>
        <v>akrant.sharma@gmail.com</v>
      </c>
      <c r="H495" s="31" t="str">
        <f>IFERROR(__xludf.DUMMYFUNCTION("""COMPUTED_VALUE"""),"Ritwika Rai")</f>
        <v>Ritwika Rai</v>
      </c>
      <c r="I495" s="75">
        <f>IFERROR(__xludf.DUMMYFUNCTION("""COMPUTED_VALUE"""),45790.0)</f>
        <v>45790</v>
      </c>
      <c r="J495" s="31" t="str">
        <f>IFERROR(__xludf.DUMMYFUNCTION("""COMPUTED_VALUE"""),"Nidhi Khedekar")</f>
        <v>Nidhi Khedekar</v>
      </c>
      <c r="K495" s="31" t="str">
        <f>IFERROR(__xludf.DUMMYFUNCTION("""COMPUTED_VALUE"""),"Joined")</f>
        <v>Joined</v>
      </c>
      <c r="L495" s="31" t="str">
        <f>IFERROR(__xludf.DUMMYFUNCTION("""COMPUTED_VALUE"""),"In Office")</f>
        <v>In Office</v>
      </c>
      <c r="M495" s="31" t="str">
        <f>IFERROR(__xludf.DUMMYFUNCTION("""COMPUTED_VALUE"""),"akrant.sharma@zupee.in")</f>
        <v>akrant.sharma@zupee.in</v>
      </c>
      <c r="N495" s="31"/>
    </row>
    <row r="496">
      <c r="A496" s="74">
        <f>IFERROR(__xludf.DUMMYFUNCTION("""COMPUTED_VALUE"""),45852.0)</f>
        <v>45852</v>
      </c>
      <c r="B496" s="31" t="str">
        <f>IFERROR(__xludf.DUMMYFUNCTION("""COMPUTED_VALUE"""),"Tarun Khandelwal")</f>
        <v>Tarun Khandelwal</v>
      </c>
      <c r="C496" s="31" t="str">
        <f>IFERROR(__xludf.DUMMYFUNCTION("""COMPUTED_VALUE"""),"Analytics")</f>
        <v>Analytics</v>
      </c>
      <c r="D496" s="31">
        <f>IFERROR(__xludf.DUMMYFUNCTION("""COMPUTED_VALUE"""),9.027131902E9)</f>
        <v>9027131902</v>
      </c>
      <c r="E496" s="31" t="str">
        <f>IFERROR(__xludf.DUMMYFUNCTION("""COMPUTED_VALUE"""),"Senior Data Analyst
")</f>
        <v>Senior Data Analyst
</v>
      </c>
      <c r="F496" s="31" t="str">
        <f>IFERROR(__xludf.DUMMYFUNCTION("""COMPUTED_VALUE"""),"Product Analytics")</f>
        <v>Product Analytics</v>
      </c>
      <c r="G496" s="31" t="str">
        <f>IFERROR(__xludf.DUMMYFUNCTION("""COMPUTED_VALUE"""),"tkhandelwal418@gmail.com")</f>
        <v>tkhandelwal418@gmail.com</v>
      </c>
      <c r="H496" s="31" t="str">
        <f>IFERROR(__xludf.DUMMYFUNCTION("""COMPUTED_VALUE"""),"Raman Malik")</f>
        <v>Raman Malik</v>
      </c>
      <c r="I496" s="75">
        <f>IFERROR(__xludf.DUMMYFUNCTION("""COMPUTED_VALUE"""),45790.0)</f>
        <v>45790</v>
      </c>
      <c r="J496" s="31" t="str">
        <f>IFERROR(__xludf.DUMMYFUNCTION("""COMPUTED_VALUE"""),"Mamta Pandey")</f>
        <v>Mamta Pandey</v>
      </c>
      <c r="K496" s="31" t="str">
        <f>IFERROR(__xludf.DUMMYFUNCTION("""COMPUTED_VALUE"""),"Joined")</f>
        <v>Joined</v>
      </c>
      <c r="L496" s="31" t="str">
        <f>IFERROR(__xludf.DUMMYFUNCTION("""COMPUTED_VALUE"""),"In Office")</f>
        <v>In Office</v>
      </c>
      <c r="M496" s="31" t="str">
        <f>IFERROR(__xludf.DUMMYFUNCTION("""COMPUTED_VALUE"""),"tarun.khandelwal@zupee.in")</f>
        <v>tarun.khandelwal@zupee.in</v>
      </c>
      <c r="N496" s="31"/>
    </row>
    <row r="497">
      <c r="A497" s="74">
        <f>IFERROR(__xludf.DUMMYFUNCTION("""COMPUTED_VALUE"""),45803.0)</f>
        <v>45803</v>
      </c>
      <c r="B497" s="31" t="str">
        <f>IFERROR(__xludf.DUMMYFUNCTION("""COMPUTED_VALUE"""),"Kapil Batra")</f>
        <v>Kapil Batra</v>
      </c>
      <c r="C497" s="31" t="str">
        <f>IFERROR(__xludf.DUMMYFUNCTION("""COMPUTED_VALUE"""),"Data")</f>
        <v>Data</v>
      </c>
      <c r="D497" s="31">
        <f>IFERROR(__xludf.DUMMYFUNCTION("""COMPUTED_VALUE"""),9.466840949E9)</f>
        <v>9466840949</v>
      </c>
      <c r="E497" s="31" t="str">
        <f>IFERROR(__xludf.DUMMYFUNCTION("""COMPUTED_VALUE"""),"Manager- Data Analytics")</f>
        <v>Manager- Data Analytics</v>
      </c>
      <c r="F497" s="31" t="str">
        <f>IFERROR(__xludf.DUMMYFUNCTION("""COMPUTED_VALUE"""),"Data Analytics")</f>
        <v>Data Analytics</v>
      </c>
      <c r="G497" s="31" t="str">
        <f>IFERROR(__xludf.DUMMYFUNCTION("""COMPUTED_VALUE"""),"kapil.kumar.batra@gmail.com")</f>
        <v>kapil.kumar.batra@gmail.com</v>
      </c>
      <c r="H497" s="31" t="str">
        <f>IFERROR(__xludf.DUMMYFUNCTION("""COMPUTED_VALUE"""),"Raman Malik")</f>
        <v>Raman Malik</v>
      </c>
      <c r="I497" s="75">
        <f>IFERROR(__xludf.DUMMYFUNCTION("""COMPUTED_VALUE"""),45790.0)</f>
        <v>45790</v>
      </c>
      <c r="J497" s="31" t="str">
        <f>IFERROR(__xludf.DUMMYFUNCTION("""COMPUTED_VALUE"""),"Mamta Pandey")</f>
        <v>Mamta Pandey</v>
      </c>
      <c r="K497" s="31" t="str">
        <f>IFERROR(__xludf.DUMMYFUNCTION("""COMPUTED_VALUE"""),"Offer Declined")</f>
        <v>Offer Declined</v>
      </c>
      <c r="L497" s="31" t="str">
        <f>IFERROR(__xludf.DUMMYFUNCTION("""COMPUTED_VALUE"""),"In Office")</f>
        <v>In Office</v>
      </c>
      <c r="M497" s="31"/>
      <c r="N497" s="31"/>
    </row>
    <row r="498">
      <c r="A498" s="74">
        <f>IFERROR(__xludf.DUMMYFUNCTION("""COMPUTED_VALUE"""),45810.0)</f>
        <v>45810</v>
      </c>
      <c r="B498" s="31" t="str">
        <f>IFERROR(__xludf.DUMMYFUNCTION("""COMPUTED_VALUE"""),"Harsh Anand")</f>
        <v>Harsh Anand</v>
      </c>
      <c r="C498" s="31" t="str">
        <f>IFERROR(__xludf.DUMMYFUNCTION("""COMPUTED_VALUE"""),"Data")</f>
        <v>Data</v>
      </c>
      <c r="D498" s="31">
        <f>IFERROR(__xludf.DUMMYFUNCTION("""COMPUTED_VALUE"""),9.717007291E9)</f>
        <v>9717007291</v>
      </c>
      <c r="E498" s="31" t="str">
        <f>IFERROR(__xludf.DUMMYFUNCTION("""COMPUTED_VALUE"""),"Data Scientist")</f>
        <v>Data Scientist</v>
      </c>
      <c r="F498" s="31" t="str">
        <f>IFERROR(__xludf.DUMMYFUNCTION("""COMPUTED_VALUE"""),"Data Science")</f>
        <v>Data Science</v>
      </c>
      <c r="G498" s="31" t="str">
        <f>IFERROR(__xludf.DUMMYFUNCTION("""COMPUTED_VALUE"""),"anandharsh80@gmail.com")</f>
        <v>anandharsh80@gmail.com</v>
      </c>
      <c r="H498" s="31" t="str">
        <f>IFERROR(__xludf.DUMMYFUNCTION("""COMPUTED_VALUE"""),"Deep Dwivedi")</f>
        <v>Deep Dwivedi</v>
      </c>
      <c r="I498" s="75">
        <f>IFERROR(__xludf.DUMMYFUNCTION("""COMPUTED_VALUE"""),45790.0)</f>
        <v>45790</v>
      </c>
      <c r="J498" s="31" t="str">
        <f>IFERROR(__xludf.DUMMYFUNCTION("""COMPUTED_VALUE"""),"Mamta Pandey")</f>
        <v>Mamta Pandey</v>
      </c>
      <c r="K498" s="31" t="str">
        <f>IFERROR(__xludf.DUMMYFUNCTION("""COMPUTED_VALUE"""),"Joined")</f>
        <v>Joined</v>
      </c>
      <c r="L498" s="31" t="str">
        <f>IFERROR(__xludf.DUMMYFUNCTION("""COMPUTED_VALUE"""),"In Office")</f>
        <v>In Office</v>
      </c>
      <c r="M498" s="31" t="str">
        <f>IFERROR(__xludf.DUMMYFUNCTION("""COMPUTED_VALUE"""),"harsh.anand@zupee.in")</f>
        <v>harsh.anand@zupee.in</v>
      </c>
      <c r="N498" s="31"/>
    </row>
    <row r="499">
      <c r="A499" s="74">
        <f>IFERROR(__xludf.DUMMYFUNCTION("""COMPUTED_VALUE"""),45810.0)</f>
        <v>45810</v>
      </c>
      <c r="B499" s="31" t="str">
        <f>IFERROR(__xludf.DUMMYFUNCTION("""COMPUTED_VALUE"""),"Danish")</f>
        <v>Danish</v>
      </c>
      <c r="C499" s="31" t="str">
        <f>IFERROR(__xludf.DUMMYFUNCTION("""COMPUTED_VALUE"""),"Data")</f>
        <v>Data</v>
      </c>
      <c r="D499" s="31">
        <f>IFERROR(__xludf.DUMMYFUNCTION("""COMPUTED_VALUE"""),7.888310897E9)</f>
        <v>7888310897</v>
      </c>
      <c r="E499" s="31" t="str">
        <f>IFERROR(__xludf.DUMMYFUNCTION("""COMPUTED_VALUE"""),"Data Engineer")</f>
        <v>Data Engineer</v>
      </c>
      <c r="F499" s="31" t="str">
        <f>IFERROR(__xludf.DUMMYFUNCTION("""COMPUTED_VALUE"""),"Data Engineering")</f>
        <v>Data Engineering</v>
      </c>
      <c r="G499" s="31" t="str">
        <f>IFERROR(__xludf.DUMMYFUNCTION("""COMPUTED_VALUE"""),"Danishsharma375@gmail.com")</f>
        <v>Danishsharma375@gmail.com</v>
      </c>
      <c r="H499" s="31" t="str">
        <f>IFERROR(__xludf.DUMMYFUNCTION("""COMPUTED_VALUE"""),"Aman Bahl")</f>
        <v>Aman Bahl</v>
      </c>
      <c r="I499" s="75">
        <f>IFERROR(__xludf.DUMMYFUNCTION("""COMPUTED_VALUE"""),45790.0)</f>
        <v>45790</v>
      </c>
      <c r="J499" s="31" t="str">
        <f>IFERROR(__xludf.DUMMYFUNCTION("""COMPUTED_VALUE"""),"Naina")</f>
        <v>Naina</v>
      </c>
      <c r="K499" s="31" t="str">
        <f>IFERROR(__xludf.DUMMYFUNCTION("""COMPUTED_VALUE"""),"Offer Declined")</f>
        <v>Offer Declined</v>
      </c>
      <c r="L499" s="31" t="str">
        <f>IFERROR(__xludf.DUMMYFUNCTION("""COMPUTED_VALUE"""),"In Office")</f>
        <v>In Office</v>
      </c>
      <c r="M499" s="31"/>
      <c r="N499" s="31"/>
    </row>
    <row r="500">
      <c r="A500" s="74">
        <f>IFERROR(__xludf.DUMMYFUNCTION("""COMPUTED_VALUE"""),45796.0)</f>
        <v>45796</v>
      </c>
      <c r="B500" s="31" t="str">
        <f>IFERROR(__xludf.DUMMYFUNCTION("""COMPUTED_VALUE"""),"Vishal Kumar Lal ")</f>
        <v>Vishal Kumar Lal </v>
      </c>
      <c r="C500" s="31" t="str">
        <f>IFERROR(__xludf.DUMMYFUNCTION("""COMPUTED_VALUE"""),"Data")</f>
        <v>Data</v>
      </c>
      <c r="D500" s="31">
        <f>IFERROR(__xludf.DUMMYFUNCTION("""COMPUTED_VALUE"""),7.428504687E9)</f>
        <v>7428504687</v>
      </c>
      <c r="E500" s="31" t="str">
        <f>IFERROR(__xludf.DUMMYFUNCTION("""COMPUTED_VALUE"""),"Gen AI Intern")</f>
        <v>Gen AI Intern</v>
      </c>
      <c r="F500" s="31" t="str">
        <f>IFERROR(__xludf.DUMMYFUNCTION("""COMPUTED_VALUE"""),"Data Science")</f>
        <v>Data Science</v>
      </c>
      <c r="G500" s="31" t="str">
        <f>IFERROR(__xludf.DUMMYFUNCTION("""COMPUTED_VALUE"""),"vishalkumarlal44@gmail.com")</f>
        <v>vishalkumarlal44@gmail.com</v>
      </c>
      <c r="H500" s="31" t="str">
        <f>IFERROR(__xludf.DUMMYFUNCTION("""COMPUTED_VALUE"""),"Deep Dwivedi")</f>
        <v>Deep Dwivedi</v>
      </c>
      <c r="I500" s="75">
        <f>IFERROR(__xludf.DUMMYFUNCTION("""COMPUTED_VALUE"""),45791.0)</f>
        <v>45791</v>
      </c>
      <c r="J500" s="31" t="str">
        <f>IFERROR(__xludf.DUMMYFUNCTION("""COMPUTED_VALUE"""),"Mamta Pandey")</f>
        <v>Mamta Pandey</v>
      </c>
      <c r="K500" s="31" t="str">
        <f>IFERROR(__xludf.DUMMYFUNCTION("""COMPUTED_VALUE"""),"Joined")</f>
        <v>Joined</v>
      </c>
      <c r="L500" s="31" t="str">
        <f>IFERROR(__xludf.DUMMYFUNCTION("""COMPUTED_VALUE"""),"In Office")</f>
        <v>In Office</v>
      </c>
      <c r="M500" s="31"/>
      <c r="N500" s="31"/>
    </row>
    <row r="501">
      <c r="A501" s="74">
        <f>IFERROR(__xludf.DUMMYFUNCTION("""COMPUTED_VALUE"""),45792.0)</f>
        <v>45792</v>
      </c>
      <c r="B501" s="31" t="str">
        <f>IFERROR(__xludf.DUMMYFUNCTION("""COMPUTED_VALUE"""),"Gurchetan Singh")</f>
        <v>Gurchetan Singh</v>
      </c>
      <c r="C501" s="31" t="str">
        <f>IFERROR(__xludf.DUMMYFUNCTION("""COMPUTED_VALUE"""),"Data")</f>
        <v>Data</v>
      </c>
      <c r="D501" s="31">
        <f>IFERROR(__xludf.DUMMYFUNCTION("""COMPUTED_VALUE"""),9.910380089E9)</f>
        <v>9910380089</v>
      </c>
      <c r="E501" s="31" t="str">
        <f>IFERROR(__xludf.DUMMYFUNCTION("""COMPUTED_VALUE"""),"Senior Data Scientist")</f>
        <v>Senior Data Scientist</v>
      </c>
      <c r="F501" s="31" t="str">
        <f>IFERROR(__xludf.DUMMYFUNCTION("""COMPUTED_VALUE"""),"Data Science")</f>
        <v>Data Science</v>
      </c>
      <c r="G501" s="31" t="str">
        <f>IFERROR(__xludf.DUMMYFUNCTION("""COMPUTED_VALUE"""),"gurchetan1000@gmail. com")</f>
        <v>gurchetan1000@gmail. com</v>
      </c>
      <c r="H501" s="31" t="str">
        <f>IFERROR(__xludf.DUMMYFUNCTION("""COMPUTED_VALUE"""),"Deep Dwivedi")</f>
        <v>Deep Dwivedi</v>
      </c>
      <c r="I501" s="75">
        <f>IFERROR(__xludf.DUMMYFUNCTION("""COMPUTED_VALUE"""),45791.0)</f>
        <v>45791</v>
      </c>
      <c r="J501" s="31" t="str">
        <f>IFERROR(__xludf.DUMMYFUNCTION("""COMPUTED_VALUE"""),"Mamta Pandey")</f>
        <v>Mamta Pandey</v>
      </c>
      <c r="K501" s="31" t="str">
        <f>IFERROR(__xludf.DUMMYFUNCTION("""COMPUTED_VALUE"""),"Joined")</f>
        <v>Joined</v>
      </c>
      <c r="L501" s="31" t="str">
        <f>IFERROR(__xludf.DUMMYFUNCTION("""COMPUTED_VALUE"""),"In Office")</f>
        <v>In Office</v>
      </c>
      <c r="M501" s="31" t="str">
        <f>IFERROR(__xludf.DUMMYFUNCTION("""COMPUTED_VALUE"""),"gurchetan.singh@zupee.in")</f>
        <v>gurchetan.singh@zupee.in</v>
      </c>
      <c r="N501" s="31"/>
    </row>
    <row r="502">
      <c r="A502" s="74">
        <f>IFERROR(__xludf.DUMMYFUNCTION("""COMPUTED_VALUE"""),45792.0)</f>
        <v>45792</v>
      </c>
      <c r="B502" s="31" t="str">
        <f>IFERROR(__xludf.DUMMYFUNCTION("""COMPUTED_VALUE"""),"Himanshu Mittal")</f>
        <v>Himanshu Mittal</v>
      </c>
      <c r="C502" s="31" t="str">
        <f>IFERROR(__xludf.DUMMYFUNCTION("""COMPUTED_VALUE"""),"Data")</f>
        <v>Data</v>
      </c>
      <c r="D502" s="31">
        <f>IFERROR(__xludf.DUMMYFUNCTION("""COMPUTED_VALUE"""),9.929367507E9)</f>
        <v>9929367507</v>
      </c>
      <c r="E502" s="31" t="str">
        <f>IFERROR(__xludf.DUMMYFUNCTION("""COMPUTED_VALUE"""),"Data Analyst")</f>
        <v>Data Analyst</v>
      </c>
      <c r="F502" s="31" t="str">
        <f>IFERROR(__xludf.DUMMYFUNCTION("""COMPUTED_VALUE"""),"Data Analytics")</f>
        <v>Data Analytics</v>
      </c>
      <c r="G502" s="31" t="str">
        <f>IFERROR(__xludf.DUMMYFUNCTION("""COMPUTED_VALUE"""),"himanshusouma@gmail.com")</f>
        <v>himanshusouma@gmail.com</v>
      </c>
      <c r="H502" s="31" t="str">
        <f>IFERROR(__xludf.DUMMYFUNCTION("""COMPUTED_VALUE"""),"Raman Malik")</f>
        <v>Raman Malik</v>
      </c>
      <c r="I502" s="75">
        <f>IFERROR(__xludf.DUMMYFUNCTION("""COMPUTED_VALUE"""),45791.0)</f>
        <v>45791</v>
      </c>
      <c r="J502" s="31" t="str">
        <f>IFERROR(__xludf.DUMMYFUNCTION("""COMPUTED_VALUE"""),"Harsha Nanwani")</f>
        <v>Harsha Nanwani</v>
      </c>
      <c r="K502" s="31" t="str">
        <f>IFERROR(__xludf.DUMMYFUNCTION("""COMPUTED_VALUE"""),"Joined")</f>
        <v>Joined</v>
      </c>
      <c r="L502" s="31" t="str">
        <f>IFERROR(__xludf.DUMMYFUNCTION("""COMPUTED_VALUE"""),"In Office")</f>
        <v>In Office</v>
      </c>
      <c r="M502" s="31" t="str">
        <f>IFERROR(__xludf.DUMMYFUNCTION("""COMPUTED_VALUE"""),"himanshu.mittal@zupee.in")</f>
        <v>himanshu.mittal@zupee.in</v>
      </c>
      <c r="N502" s="31" t="str">
        <f>IFERROR(__xludf.DUMMYFUNCTION("""COMPUTED_VALUE"""),"FY432J99KN")</f>
        <v>FY432J99KN</v>
      </c>
    </row>
    <row r="503">
      <c r="A503" s="74">
        <f>IFERROR(__xludf.DUMMYFUNCTION("""COMPUTED_VALUE"""),45821.0)</f>
        <v>45821</v>
      </c>
      <c r="B503" s="31" t="str">
        <f>IFERROR(__xludf.DUMMYFUNCTION("""COMPUTED_VALUE"""),"Nikhil Kumar Sharma")</f>
        <v>Nikhil Kumar Sharma</v>
      </c>
      <c r="C503" s="31" t="str">
        <f>IFERROR(__xludf.DUMMYFUNCTION("""COMPUTED_VALUE"""),"Data")</f>
        <v>Data</v>
      </c>
      <c r="D503" s="31">
        <f>IFERROR(__xludf.DUMMYFUNCTION("""COMPUTED_VALUE"""),8.619238216E9)</f>
        <v>8619238216</v>
      </c>
      <c r="E503" s="31" t="str">
        <f>IFERROR(__xludf.DUMMYFUNCTION("""COMPUTED_VALUE"""),"Senior Data Analyst
")</f>
        <v>Senior Data Analyst
</v>
      </c>
      <c r="F503" s="31" t="str">
        <f>IFERROR(__xludf.DUMMYFUNCTION("""COMPUTED_VALUE"""),"Data Analytics")</f>
        <v>Data Analytics</v>
      </c>
      <c r="G503" s="31" t="str">
        <f>IFERROR(__xludf.DUMMYFUNCTION("""COMPUTED_VALUE"""),"nikhil0410.sh@gmail.com")</f>
        <v>nikhil0410.sh@gmail.com</v>
      </c>
      <c r="H503" s="31" t="str">
        <f>IFERROR(__xludf.DUMMYFUNCTION("""COMPUTED_VALUE"""),"Raman Malik")</f>
        <v>Raman Malik</v>
      </c>
      <c r="I503" s="75">
        <f>IFERROR(__xludf.DUMMYFUNCTION("""COMPUTED_VALUE"""),45791.0)</f>
        <v>45791</v>
      </c>
      <c r="J503" s="31" t="str">
        <f>IFERROR(__xludf.DUMMYFUNCTION("""COMPUTED_VALUE"""),"Nidhi Khedekar")</f>
        <v>Nidhi Khedekar</v>
      </c>
      <c r="K503" s="31" t="str">
        <f>IFERROR(__xludf.DUMMYFUNCTION("""COMPUTED_VALUE"""),"Joined")</f>
        <v>Joined</v>
      </c>
      <c r="L503" s="31" t="str">
        <f>IFERROR(__xludf.DUMMYFUNCTION("""COMPUTED_VALUE"""),"In Office")</f>
        <v>In Office</v>
      </c>
      <c r="M503" s="31"/>
      <c r="N503" s="31"/>
    </row>
    <row r="504">
      <c r="A504" s="74">
        <f>IFERROR(__xludf.DUMMYFUNCTION("""COMPUTED_VALUE"""),45859.0)</f>
        <v>45859</v>
      </c>
      <c r="B504" s="31" t="str">
        <f>IFERROR(__xludf.DUMMYFUNCTION("""COMPUTED_VALUE"""),"Tarun Kumar Bhardwaj")</f>
        <v>Tarun Kumar Bhardwaj</v>
      </c>
      <c r="C504" s="31" t="str">
        <f>IFERROR(__xludf.DUMMYFUNCTION("""COMPUTED_VALUE"""),"Data")</f>
        <v>Data</v>
      </c>
      <c r="D504" s="31">
        <f>IFERROR(__xludf.DUMMYFUNCTION("""COMPUTED_VALUE"""),8.50496984E9)</f>
        <v>8504969840</v>
      </c>
      <c r="E504" s="31" t="str">
        <f>IFERROR(__xludf.DUMMYFUNCTION("""COMPUTED_VALUE"""),"Data Engineer")</f>
        <v>Data Engineer</v>
      </c>
      <c r="F504" s="31" t="str">
        <f>IFERROR(__xludf.DUMMYFUNCTION("""COMPUTED_VALUE"""),"Data Engineering")</f>
        <v>Data Engineering</v>
      </c>
      <c r="G504" s="31" t="str">
        <f>IFERROR(__xludf.DUMMYFUNCTION("""COMPUTED_VALUE"""),"tarunbhardwaj8504@gmail.com")</f>
        <v>tarunbhardwaj8504@gmail.com</v>
      </c>
      <c r="H504" s="31" t="str">
        <f>IFERROR(__xludf.DUMMYFUNCTION("""COMPUTED_VALUE"""),"Aman Bahl")</f>
        <v>Aman Bahl</v>
      </c>
      <c r="I504" s="75">
        <f>IFERROR(__xludf.DUMMYFUNCTION("""COMPUTED_VALUE"""),45791.0)</f>
        <v>45791</v>
      </c>
      <c r="J504" s="31" t="str">
        <f>IFERROR(__xludf.DUMMYFUNCTION("""COMPUTED_VALUE"""),"Naina")</f>
        <v>Naina</v>
      </c>
      <c r="K504" s="31" t="str">
        <f>IFERROR(__xludf.DUMMYFUNCTION("""COMPUTED_VALUE"""),"Offer Declined")</f>
        <v>Offer Declined</v>
      </c>
      <c r="L504" s="31" t="str">
        <f>IFERROR(__xludf.DUMMYFUNCTION("""COMPUTED_VALUE"""),"In Office")</f>
        <v>In Office</v>
      </c>
      <c r="M504" s="31"/>
      <c r="N504" s="31"/>
    </row>
    <row r="505">
      <c r="A505" s="74">
        <f>IFERROR(__xludf.DUMMYFUNCTION("""COMPUTED_VALUE"""),45859.0)</f>
        <v>45859</v>
      </c>
      <c r="B505" s="31" t="str">
        <f>IFERROR(__xludf.DUMMYFUNCTION("""COMPUTED_VALUE"""),"Radhika Nagpal")</f>
        <v>Radhika Nagpal</v>
      </c>
      <c r="C505" s="31" t="str">
        <f>IFERROR(__xludf.DUMMYFUNCTION("""COMPUTED_VALUE"""),"Data")</f>
        <v>Data</v>
      </c>
      <c r="D505" s="31">
        <f>IFERROR(__xludf.DUMMYFUNCTION("""COMPUTED_VALUE"""),9.999324554E9)</f>
        <v>9999324554</v>
      </c>
      <c r="E505" s="31" t="str">
        <f>IFERROR(__xludf.DUMMYFUNCTION("""COMPUTED_VALUE"""),"Senior Data Analyst")</f>
        <v>Senior Data Analyst</v>
      </c>
      <c r="F505" s="31" t="str">
        <f>IFERROR(__xludf.DUMMYFUNCTION("""COMPUTED_VALUE"""),"Data Analytics")</f>
        <v>Data Analytics</v>
      </c>
      <c r="G505" s="31" t="str">
        <f>IFERROR(__xludf.DUMMYFUNCTION("""COMPUTED_VALUE"""),"radhikanagpal2001@gmail.com")</f>
        <v>radhikanagpal2001@gmail.com</v>
      </c>
      <c r="H505" s="31" t="str">
        <f>IFERROR(__xludf.DUMMYFUNCTION("""COMPUTED_VALUE"""),"Raman Malik")</f>
        <v>Raman Malik</v>
      </c>
      <c r="I505" s="75">
        <f>IFERROR(__xludf.DUMMYFUNCTION("""COMPUTED_VALUE"""),45791.0)</f>
        <v>45791</v>
      </c>
      <c r="J505" s="31" t="str">
        <f>IFERROR(__xludf.DUMMYFUNCTION("""COMPUTED_VALUE"""),"Harsha Nanwani")</f>
        <v>Harsha Nanwani</v>
      </c>
      <c r="K505" s="31" t="str">
        <f>IFERROR(__xludf.DUMMYFUNCTION("""COMPUTED_VALUE"""),"Offer Declined")</f>
        <v>Offer Declined</v>
      </c>
      <c r="L505" s="31" t="str">
        <f>IFERROR(__xludf.DUMMYFUNCTION("""COMPUTED_VALUE"""),"In Office")</f>
        <v>In Office</v>
      </c>
      <c r="M505" s="31"/>
      <c r="N505" s="31"/>
    </row>
    <row r="506">
      <c r="A506" s="74">
        <f>IFERROR(__xludf.DUMMYFUNCTION("""COMPUTED_VALUE"""),45796.0)</f>
        <v>45796</v>
      </c>
      <c r="B506" s="31" t="str">
        <f>IFERROR(__xludf.DUMMYFUNCTION("""COMPUTED_VALUE"""),"Hritik Garg")</f>
        <v>Hritik Garg</v>
      </c>
      <c r="C506" s="31" t="str">
        <f>IFERROR(__xludf.DUMMYFUNCTION("""COMPUTED_VALUE"""),"Data")</f>
        <v>Data</v>
      </c>
      <c r="D506" s="31">
        <f>IFERROR(__xludf.DUMMYFUNCTION("""COMPUTED_VALUE"""),7.837091887E9)</f>
        <v>7837091887</v>
      </c>
      <c r="E506" s="31" t="str">
        <f>IFERROR(__xludf.DUMMYFUNCTION("""COMPUTED_VALUE"""),"Data Analyst")</f>
        <v>Data Analyst</v>
      </c>
      <c r="F506" s="31" t="str">
        <f>IFERROR(__xludf.DUMMYFUNCTION("""COMPUTED_VALUE"""),"Data Analytics")</f>
        <v>Data Analytics</v>
      </c>
      <c r="G506" s="31" t="str">
        <f>IFERROR(__xludf.DUMMYFUNCTION("""COMPUTED_VALUE""")," garg.hritik007@gmail.com")</f>
        <v> garg.hritik007@gmail.com</v>
      </c>
      <c r="H506" s="31" t="str">
        <f>IFERROR(__xludf.DUMMYFUNCTION("""COMPUTED_VALUE"""),"Raman Malik")</f>
        <v>Raman Malik</v>
      </c>
      <c r="I506" s="75">
        <f>IFERROR(__xludf.DUMMYFUNCTION("""COMPUTED_VALUE"""),45792.0)</f>
        <v>45792</v>
      </c>
      <c r="J506" s="31" t="str">
        <f>IFERROR(__xludf.DUMMYFUNCTION("""COMPUTED_VALUE"""),"Shivam Sharma")</f>
        <v>Shivam Sharma</v>
      </c>
      <c r="K506" s="31" t="str">
        <f>IFERROR(__xludf.DUMMYFUNCTION("""COMPUTED_VALUE"""),"Joined")</f>
        <v>Joined</v>
      </c>
      <c r="L506" s="31" t="str">
        <f>IFERROR(__xludf.DUMMYFUNCTION("""COMPUTED_VALUE"""),"In Office")</f>
        <v>In Office</v>
      </c>
      <c r="M506" s="31" t="str">
        <f>IFERROR(__xludf.DUMMYFUNCTION("""COMPUTED_VALUE"""),"hritik.garg@zupee.in")</f>
        <v>hritik.garg@zupee.in</v>
      </c>
      <c r="N506" s="31"/>
    </row>
    <row r="507">
      <c r="A507" s="74">
        <f>IFERROR(__xludf.DUMMYFUNCTION("""COMPUTED_VALUE"""),45839.0)</f>
        <v>45839</v>
      </c>
      <c r="B507" s="31" t="str">
        <f>IFERROR(__xludf.DUMMYFUNCTION("""COMPUTED_VALUE"""),"Abhishek Rawat")</f>
        <v>Abhishek Rawat</v>
      </c>
      <c r="C507" s="31" t="str">
        <f>IFERROR(__xludf.DUMMYFUNCTION("""COMPUTED_VALUE"""),"Technology")</f>
        <v>Technology</v>
      </c>
      <c r="D507" s="31">
        <f>IFERROR(__xludf.DUMMYFUNCTION("""COMPUTED_VALUE"""),9.627856216E9)</f>
        <v>9627856216</v>
      </c>
      <c r="E507" s="31" t="str">
        <f>IFERROR(__xludf.DUMMYFUNCTION("""COMPUTED_VALUE"""),"Senior Software Engineer")</f>
        <v>Senior Software Engineer</v>
      </c>
      <c r="F507" s="31" t="str">
        <f>IFERROR(__xludf.DUMMYFUNCTION("""COMPUTED_VALUE"""),"Engineering")</f>
        <v>Engineering</v>
      </c>
      <c r="G507" s="31" t="str">
        <f>IFERROR(__xludf.DUMMYFUNCTION("""COMPUTED_VALUE"""),"abhiraw01995@gmail.com")</f>
        <v>abhiraw01995@gmail.com</v>
      </c>
      <c r="H507" s="31"/>
      <c r="I507" s="75">
        <f>IFERROR(__xludf.DUMMYFUNCTION("""COMPUTED_VALUE"""),45793.0)</f>
        <v>45793</v>
      </c>
      <c r="J507" s="31" t="str">
        <f>IFERROR(__xludf.DUMMYFUNCTION("""COMPUTED_VALUE"""),"Nidhi Khedekar")</f>
        <v>Nidhi Khedekar</v>
      </c>
      <c r="K507" s="31" t="str">
        <f>IFERROR(__xludf.DUMMYFUNCTION("""COMPUTED_VALUE"""),"Joined")</f>
        <v>Joined</v>
      </c>
      <c r="L507" s="31" t="str">
        <f>IFERROR(__xludf.DUMMYFUNCTION("""COMPUTED_VALUE"""),"In Office")</f>
        <v>In Office</v>
      </c>
      <c r="M507" s="31" t="str">
        <f>IFERROR(__xludf.DUMMYFUNCTION("""COMPUTED_VALUE"""),"abhishek.rawat@zupee.in")</f>
        <v>abhishek.rawat@zupee.in</v>
      </c>
      <c r="N507" s="31" t="str">
        <f>IFERROR(__xludf.DUMMYFUNCTION("""COMPUTED_VALUE"""),"M19KJT729J")</f>
        <v>M19KJT729J</v>
      </c>
    </row>
    <row r="508">
      <c r="A508" s="74">
        <f>IFERROR(__xludf.DUMMYFUNCTION("""COMPUTED_VALUE"""),45796.0)</f>
        <v>45796</v>
      </c>
      <c r="B508" s="31" t="str">
        <f>IFERROR(__xludf.DUMMYFUNCTION("""COMPUTED_VALUE"""),"Harshit Kumar Singh")</f>
        <v>Harshit Kumar Singh</v>
      </c>
      <c r="C508" s="31" t="str">
        <f>IFERROR(__xludf.DUMMYFUNCTION("""COMPUTED_VALUE"""),"Data")</f>
        <v>Data</v>
      </c>
      <c r="D508" s="31">
        <f>IFERROR(__xludf.DUMMYFUNCTION("""COMPUTED_VALUE"""),6.398201452E9)</f>
        <v>6398201452</v>
      </c>
      <c r="E508" s="31" t="str">
        <f>IFERROR(__xludf.DUMMYFUNCTION("""COMPUTED_VALUE""")," Data Science Intern")</f>
        <v> Data Science Intern</v>
      </c>
      <c r="F508" s="31" t="str">
        <f>IFERROR(__xludf.DUMMYFUNCTION("""COMPUTED_VALUE"""),"Data Science")</f>
        <v>Data Science</v>
      </c>
      <c r="G508" s="31" t="str">
        <f>IFERROR(__xludf.DUMMYFUNCTION("""COMPUTED_VALUE"""),"singhgoluharsit494@gmail.com")</f>
        <v>singhgoluharsit494@gmail.com</v>
      </c>
      <c r="H508" s="31" t="str">
        <f>IFERROR(__xludf.DUMMYFUNCTION("""COMPUTED_VALUE"""),"Deep Dwivedi")</f>
        <v>Deep Dwivedi</v>
      </c>
      <c r="I508" s="75">
        <f>IFERROR(__xludf.DUMMYFUNCTION("""COMPUTED_VALUE"""),45793.0)</f>
        <v>45793</v>
      </c>
      <c r="J508" s="31" t="str">
        <f>IFERROR(__xludf.DUMMYFUNCTION("""COMPUTED_VALUE"""),"Mamta Pandey")</f>
        <v>Mamta Pandey</v>
      </c>
      <c r="K508" s="31" t="str">
        <f>IFERROR(__xludf.DUMMYFUNCTION("""COMPUTED_VALUE"""),"Joined")</f>
        <v>Joined</v>
      </c>
      <c r="L508" s="31" t="str">
        <f>IFERROR(__xludf.DUMMYFUNCTION("""COMPUTED_VALUE"""),"In Office")</f>
        <v>In Office</v>
      </c>
      <c r="M508" s="31" t="str">
        <f>IFERROR(__xludf.DUMMYFUNCTION("""COMPUTED_VALUE"""),"harshit.singh@zupee.in")</f>
        <v>harshit.singh@zupee.in</v>
      </c>
      <c r="N508" s="31" t="str">
        <f>IFERROR(__xludf.DUMMYFUNCTION("""COMPUTED_VALUE"""),"CD917XGFWL")</f>
        <v>CD917XGFWL</v>
      </c>
    </row>
    <row r="509">
      <c r="A509" s="74">
        <f>IFERROR(__xludf.DUMMYFUNCTION("""COMPUTED_VALUE"""),45798.0)</f>
        <v>45798</v>
      </c>
      <c r="B509" s="31" t="str">
        <f>IFERROR(__xludf.DUMMYFUNCTION("""COMPUTED_VALUE"""),"Shubham Singhal")</f>
        <v>Shubham Singhal</v>
      </c>
      <c r="C509" s="31" t="str">
        <f>IFERROR(__xludf.DUMMYFUNCTION("""COMPUTED_VALUE"""),"Technology")</f>
        <v>Technology</v>
      </c>
      <c r="D509" s="31">
        <f>IFERROR(__xludf.DUMMYFUNCTION("""COMPUTED_VALUE"""),9.00921218E9)</f>
        <v>9009212180</v>
      </c>
      <c r="E509" s="31" t="str">
        <f>IFERROR(__xludf.DUMMYFUNCTION("""COMPUTED_VALUE"""),"Senior Software Engineer")</f>
        <v>Senior Software Engineer</v>
      </c>
      <c r="F509" s="31" t="str">
        <f>IFERROR(__xludf.DUMMYFUNCTION("""COMPUTED_VALUE"""),"Engineering")</f>
        <v>Engineering</v>
      </c>
      <c r="G509" s="31" t="str">
        <f>IFERROR(__xludf.DUMMYFUNCTION("""COMPUTED_VALUE"""),"shsinghal1997@gmail.com")</f>
        <v>shsinghal1997@gmail.com</v>
      </c>
      <c r="H509" s="31"/>
      <c r="I509" s="75">
        <f>IFERROR(__xludf.DUMMYFUNCTION("""COMPUTED_VALUE"""),45793.0)</f>
        <v>45793</v>
      </c>
      <c r="J509" s="31" t="str">
        <f>IFERROR(__xludf.DUMMYFUNCTION("""COMPUTED_VALUE"""),"Nidhi Khedekar")</f>
        <v>Nidhi Khedekar</v>
      </c>
      <c r="K509" s="31" t="str">
        <f>IFERROR(__xludf.DUMMYFUNCTION("""COMPUTED_VALUE"""),"Offer Declined")</f>
        <v>Offer Declined</v>
      </c>
      <c r="L509" s="31" t="str">
        <f>IFERROR(__xludf.DUMMYFUNCTION("""COMPUTED_VALUE"""),"In Office")</f>
        <v>In Office</v>
      </c>
      <c r="M509" s="31"/>
      <c r="N509" s="31"/>
    </row>
    <row r="510">
      <c r="A510" s="74">
        <f>IFERROR(__xludf.DUMMYFUNCTION("""COMPUTED_VALUE"""),45870.0)</f>
        <v>45870</v>
      </c>
      <c r="B510" s="31" t="str">
        <f>IFERROR(__xludf.DUMMYFUNCTION("""COMPUTED_VALUE"""),"Saransh Bankiwal")</f>
        <v>Saransh Bankiwal</v>
      </c>
      <c r="C510" s="31" t="str">
        <f>IFERROR(__xludf.DUMMYFUNCTION("""COMPUTED_VALUE"""),"Technology")</f>
        <v>Technology</v>
      </c>
      <c r="D510" s="31">
        <f>IFERROR(__xludf.DUMMYFUNCTION("""COMPUTED_VALUE"""),7.014410598E9)</f>
        <v>7014410598</v>
      </c>
      <c r="E510" s="31" t="str">
        <f>IFERROR(__xludf.DUMMYFUNCTION("""COMPUTED_VALUE"""),"Senior Software Engineer- DevOps")</f>
        <v>Senior Software Engineer- DevOps</v>
      </c>
      <c r="F510" s="31" t="str">
        <f>IFERROR(__xludf.DUMMYFUNCTION("""COMPUTED_VALUE"""),"DevOps &amp; Security")</f>
        <v>DevOps &amp; Security</v>
      </c>
      <c r="G510" s="31" t="str">
        <f>IFERROR(__xludf.DUMMYFUNCTION("""COMPUTED_VALUE"""),"saranshbankiwal@gmail.com")</f>
        <v>saranshbankiwal@gmail.com</v>
      </c>
      <c r="H510" s="31" t="str">
        <f>IFERROR(__xludf.DUMMYFUNCTION("""COMPUTED_VALUE"""),"Saurav Yadav")</f>
        <v>Saurav Yadav</v>
      </c>
      <c r="I510" s="75">
        <f>IFERROR(__xludf.DUMMYFUNCTION("""COMPUTED_VALUE"""),45793.0)</f>
        <v>45793</v>
      </c>
      <c r="J510" s="31" t="str">
        <f>IFERROR(__xludf.DUMMYFUNCTION("""COMPUTED_VALUE"""),"Vipin Kumar")</f>
        <v>Vipin Kumar</v>
      </c>
      <c r="K510" s="31" t="str">
        <f>IFERROR(__xludf.DUMMYFUNCTION("""COMPUTED_VALUE"""),"Joined")</f>
        <v>Joined</v>
      </c>
      <c r="L510" s="31" t="str">
        <f>IFERROR(__xludf.DUMMYFUNCTION("""COMPUTED_VALUE"""),"In Office")</f>
        <v>In Office</v>
      </c>
      <c r="M510" s="31" t="str">
        <f>IFERROR(__xludf.DUMMYFUNCTION("""COMPUTED_VALUE"""),"saransh.bankiwal@zupee.in")</f>
        <v>saransh.bankiwal@zupee.in</v>
      </c>
      <c r="N510" s="31" t="str">
        <f>IFERROR(__xludf.DUMMYFUNCTION("""COMPUTED_VALUE"""),"K7G06JWVVH")</f>
        <v>K7G06JWVVH</v>
      </c>
    </row>
    <row r="511">
      <c r="A511" s="74">
        <f>IFERROR(__xludf.DUMMYFUNCTION("""COMPUTED_VALUE"""),45824.0)</f>
        <v>45824</v>
      </c>
      <c r="B511" s="31" t="str">
        <f>IFERROR(__xludf.DUMMYFUNCTION("""COMPUTED_VALUE"""),"Aditya Soni")</f>
        <v>Aditya Soni</v>
      </c>
      <c r="C511" s="31" t="str">
        <f>IFERROR(__xludf.DUMMYFUNCTION("""COMPUTED_VALUE"""),"Technology")</f>
        <v>Technology</v>
      </c>
      <c r="D511" s="31">
        <f>IFERROR(__xludf.DUMMYFUNCTION("""COMPUTED_VALUE"""),9.983795363E9)</f>
        <v>9983795363</v>
      </c>
      <c r="E511" s="31" t="str">
        <f>IFERROR(__xludf.DUMMYFUNCTION("""COMPUTED_VALUE"""),"Senior Software Engineer- DevOps")</f>
        <v>Senior Software Engineer- DevOps</v>
      </c>
      <c r="F511" s="31" t="str">
        <f>IFERROR(__xludf.DUMMYFUNCTION("""COMPUTED_VALUE"""),"DevOps &amp; Security")</f>
        <v>DevOps &amp; Security</v>
      </c>
      <c r="G511" s="31" t="str">
        <f>IFERROR(__xludf.DUMMYFUNCTION("""COMPUTED_VALUE"""),"theadisoni@gmail.com")</f>
        <v>theadisoni@gmail.com</v>
      </c>
      <c r="H511" s="31" t="str">
        <f>IFERROR(__xludf.DUMMYFUNCTION("""COMPUTED_VALUE"""),"Saurav Yadav")</f>
        <v>Saurav Yadav</v>
      </c>
      <c r="I511" s="75">
        <f>IFERROR(__xludf.DUMMYFUNCTION("""COMPUTED_VALUE"""),45796.0)</f>
        <v>45796</v>
      </c>
      <c r="J511" s="31" t="str">
        <f>IFERROR(__xludf.DUMMYFUNCTION("""COMPUTED_VALUE"""),"Vipin Kumar")</f>
        <v>Vipin Kumar</v>
      </c>
      <c r="K511" s="31" t="str">
        <f>IFERROR(__xludf.DUMMYFUNCTION("""COMPUTED_VALUE"""),"Offer Declined")</f>
        <v>Offer Declined</v>
      </c>
      <c r="L511" s="31" t="str">
        <f>IFERROR(__xludf.DUMMYFUNCTION("""COMPUTED_VALUE"""),"In Office")</f>
        <v>In Office</v>
      </c>
      <c r="M511" s="31"/>
      <c r="N511" s="31"/>
    </row>
    <row r="512">
      <c r="A512" s="74">
        <f>IFERROR(__xludf.DUMMYFUNCTION("""COMPUTED_VALUE"""),45852.0)</f>
        <v>45852</v>
      </c>
      <c r="B512" s="31" t="str">
        <f>IFERROR(__xludf.DUMMYFUNCTION("""COMPUTED_VALUE"""),"Divyanshu Rastogi")</f>
        <v>Divyanshu Rastogi</v>
      </c>
      <c r="C512" s="31" t="str">
        <f>IFERROR(__xludf.DUMMYFUNCTION("""COMPUTED_VALUE"""),"Product")</f>
        <v>Product</v>
      </c>
      <c r="D512" s="31">
        <f>IFERROR(__xludf.DUMMYFUNCTION("""COMPUTED_VALUE"""),8.336947134E9)</f>
        <v>8336947134</v>
      </c>
      <c r="E512" s="31" t="str">
        <f>IFERROR(__xludf.DUMMYFUNCTION("""COMPUTED_VALUE"""),"Principal Product manager")</f>
        <v>Principal Product manager</v>
      </c>
      <c r="F512" s="31" t="str">
        <f>IFERROR(__xludf.DUMMYFUNCTION("""COMPUTED_VALUE"""),"Product Management")</f>
        <v>Product Management</v>
      </c>
      <c r="G512" s="31" t="str">
        <f>IFERROR(__xludf.DUMMYFUNCTION("""COMPUTED_VALUE"""),"divyanshur2017@email.iimcal.ac.in")</f>
        <v>divyanshur2017@email.iimcal.ac.in</v>
      </c>
      <c r="H512" s="31" t="str">
        <f>IFERROR(__xludf.DUMMYFUNCTION("""COMPUTED_VALUE"""),"Naveen Kadyan")</f>
        <v>Naveen Kadyan</v>
      </c>
      <c r="I512" s="75">
        <f>IFERROR(__xludf.DUMMYFUNCTION("""COMPUTED_VALUE"""),45796.0)</f>
        <v>45796</v>
      </c>
      <c r="J512" s="31" t="str">
        <f>IFERROR(__xludf.DUMMYFUNCTION("""COMPUTED_VALUE"""),"Naina")</f>
        <v>Naina</v>
      </c>
      <c r="K512" s="31" t="str">
        <f>IFERROR(__xludf.DUMMYFUNCTION("""COMPUTED_VALUE"""),"Joined")</f>
        <v>Joined</v>
      </c>
      <c r="L512" s="31" t="str">
        <f>IFERROR(__xludf.DUMMYFUNCTION("""COMPUTED_VALUE"""),"In Office")</f>
        <v>In Office</v>
      </c>
      <c r="M512" s="31" t="str">
        <f>IFERROR(__xludf.DUMMYFUNCTION("""COMPUTED_VALUE"""),"divyanshu.rastogi@zupee.in")</f>
        <v>divyanshu.rastogi@zupee.in</v>
      </c>
      <c r="N512" s="31" t="str">
        <f>IFERROR(__xludf.DUMMYFUNCTION("""COMPUTED_VALUE"""),"LW9CC7944D")</f>
        <v>LW9CC7944D</v>
      </c>
    </row>
    <row r="513">
      <c r="A513" s="74">
        <f>IFERROR(__xludf.DUMMYFUNCTION("""COMPUTED_VALUE"""),45859.0)</f>
        <v>45859</v>
      </c>
      <c r="B513" s="31" t="str">
        <f>IFERROR(__xludf.DUMMYFUNCTION("""COMPUTED_VALUE"""),"Varen Gupta")</f>
        <v>Varen Gupta</v>
      </c>
      <c r="C513" s="31" t="str">
        <f>IFERROR(__xludf.DUMMYFUNCTION("""COMPUTED_VALUE"""),"Data")</f>
        <v>Data</v>
      </c>
      <c r="D513" s="31">
        <f>IFERROR(__xludf.DUMMYFUNCTION("""COMPUTED_VALUE"""),9.452766237E9)</f>
        <v>9452766237</v>
      </c>
      <c r="E513" s="31" t="str">
        <f>IFERROR(__xludf.DUMMYFUNCTION("""COMPUTED_VALUE"""),"Lead Data Scientist")</f>
        <v>Lead Data Scientist</v>
      </c>
      <c r="F513" s="31" t="str">
        <f>IFERROR(__xludf.DUMMYFUNCTION("""COMPUTED_VALUE"""),"Data Science")</f>
        <v>Data Science</v>
      </c>
      <c r="G513" s="31" t="str">
        <f>IFERROR(__xludf.DUMMYFUNCTION("""COMPUTED_VALUE"""),"varen.du.or.17@gmail.com")</f>
        <v>varen.du.or.17@gmail.com</v>
      </c>
      <c r="H513" s="31" t="str">
        <f>IFERROR(__xludf.DUMMYFUNCTION("""COMPUTED_VALUE"""),"Deep Dwivedi")</f>
        <v>Deep Dwivedi</v>
      </c>
      <c r="I513" s="75">
        <f>IFERROR(__xludf.DUMMYFUNCTION("""COMPUTED_VALUE"""),45796.0)</f>
        <v>45796</v>
      </c>
      <c r="J513" s="31" t="str">
        <f>IFERROR(__xludf.DUMMYFUNCTION("""COMPUTED_VALUE"""),"Mamta Pandey")</f>
        <v>Mamta Pandey</v>
      </c>
      <c r="K513" s="31" t="str">
        <f>IFERROR(__xludf.DUMMYFUNCTION("""COMPUTED_VALUE"""),"Joined")</f>
        <v>Joined</v>
      </c>
      <c r="L513" s="31" t="str">
        <f>IFERROR(__xludf.DUMMYFUNCTION("""COMPUTED_VALUE"""),"In Office")</f>
        <v>In Office</v>
      </c>
      <c r="M513" s="31" t="str">
        <f>IFERROR(__xludf.DUMMYFUNCTION("""COMPUTED_VALUE"""),"varen.gupta@zupee.in")</f>
        <v>varen.gupta@zupee.in</v>
      </c>
      <c r="N513" s="31"/>
    </row>
    <row r="514">
      <c r="A514" s="74">
        <f>IFERROR(__xludf.DUMMYFUNCTION("""COMPUTED_VALUE"""),45854.0)</f>
        <v>45854</v>
      </c>
      <c r="B514" s="31" t="str">
        <f>IFERROR(__xludf.DUMMYFUNCTION("""COMPUTED_VALUE"""),"Ankit Madan")</f>
        <v>Ankit Madan</v>
      </c>
      <c r="C514" s="31" t="str">
        <f>IFERROR(__xludf.DUMMYFUNCTION("""COMPUTED_VALUE"""),"Strategy")</f>
        <v>Strategy</v>
      </c>
      <c r="D514" s="31">
        <f>IFERROR(__xludf.DUMMYFUNCTION("""COMPUTED_VALUE"""),9.971165914E9)</f>
        <v>9971165914</v>
      </c>
      <c r="E514" s="31" t="str">
        <f>IFERROR(__xludf.DUMMYFUNCTION("""COMPUTED_VALUE"""),"Director- Strategy and Growth")</f>
        <v>Director- Strategy and Growth</v>
      </c>
      <c r="F514" s="31" t="str">
        <f>IFERROR(__xludf.DUMMYFUNCTION("""COMPUTED_VALUE"""),"Growth &amp; Revenue")</f>
        <v>Growth &amp; Revenue</v>
      </c>
      <c r="G514" s="31" t="str">
        <f>IFERROR(__xludf.DUMMYFUNCTION("""COMPUTED_VALUE"""),"ankitmadaan013@gmail.com")</f>
        <v>ankitmadaan013@gmail.com</v>
      </c>
      <c r="H514" s="31" t="str">
        <f>IFERROR(__xludf.DUMMYFUNCTION("""COMPUTED_VALUE"""),"Akanksha Dhamija")</f>
        <v>Akanksha Dhamija</v>
      </c>
      <c r="I514" s="75">
        <f>IFERROR(__xludf.DUMMYFUNCTION("""COMPUTED_VALUE"""),45797.0)</f>
        <v>45797</v>
      </c>
      <c r="J514" s="31" t="str">
        <f>IFERROR(__xludf.DUMMYFUNCTION("""COMPUTED_VALUE"""),"Rajneesh Yadav")</f>
        <v>Rajneesh Yadav</v>
      </c>
      <c r="K514" s="31" t="str">
        <f>IFERROR(__xludf.DUMMYFUNCTION("""COMPUTED_VALUE"""),"Joined")</f>
        <v>Joined</v>
      </c>
      <c r="L514" s="31" t="str">
        <f>IFERROR(__xludf.DUMMYFUNCTION("""COMPUTED_VALUE"""),"In Office")</f>
        <v>In Office</v>
      </c>
      <c r="M514" s="31" t="str">
        <f>IFERROR(__xludf.DUMMYFUNCTION("""COMPUTED_VALUE"""),"ankit.madan@zupee.in")</f>
        <v>ankit.madan@zupee.in</v>
      </c>
      <c r="N514" s="31" t="str">
        <f>IFERROR(__xludf.DUMMYFUNCTION("""COMPUTED_VALUE"""),"FPWKF77YDJ")</f>
        <v>FPWKF77YDJ</v>
      </c>
    </row>
    <row r="515">
      <c r="A515" s="74">
        <f>IFERROR(__xludf.DUMMYFUNCTION("""COMPUTED_VALUE"""),45818.0)</f>
        <v>45818</v>
      </c>
      <c r="B515" s="31" t="str">
        <f>IFERROR(__xludf.DUMMYFUNCTION("""COMPUTED_VALUE"""),"Gaurav Gautam")</f>
        <v>Gaurav Gautam</v>
      </c>
      <c r="C515" s="31" t="str">
        <f>IFERROR(__xludf.DUMMYFUNCTION("""COMPUTED_VALUE"""),"Technology")</f>
        <v>Technology</v>
      </c>
      <c r="D515" s="31">
        <f>IFERROR(__xludf.DUMMYFUNCTION("""COMPUTED_VALUE"""),9.711011771E9)</f>
        <v>9711011771</v>
      </c>
      <c r="E515" s="31" t="str">
        <f>IFERROR(__xludf.DUMMYFUNCTION("""COMPUTED_VALUE"""),"Database Administrator")</f>
        <v>Database Administrator</v>
      </c>
      <c r="F515" s="31" t="str">
        <f>IFERROR(__xludf.DUMMYFUNCTION("""COMPUTED_VALUE"""),"DBA")</f>
        <v>DBA</v>
      </c>
      <c r="G515" s="31" t="str">
        <f>IFERROR(__xludf.DUMMYFUNCTION("""COMPUTED_VALUE"""),"gauravgautam976@gmail.com")</f>
        <v>gauravgautam976@gmail.com</v>
      </c>
      <c r="H515" s="31" t="str">
        <f>IFERROR(__xludf.DUMMYFUNCTION("""COMPUTED_VALUE"""),"Saurav Yadav")</f>
        <v>Saurav Yadav</v>
      </c>
      <c r="I515" s="75">
        <f>IFERROR(__xludf.DUMMYFUNCTION("""COMPUTED_VALUE"""),45799.0)</f>
        <v>45799</v>
      </c>
      <c r="J515" s="31" t="str">
        <f>IFERROR(__xludf.DUMMYFUNCTION("""COMPUTED_VALUE"""),"Vipin Kumar")</f>
        <v>Vipin Kumar</v>
      </c>
      <c r="K515" s="31" t="str">
        <f>IFERROR(__xludf.DUMMYFUNCTION("""COMPUTED_VALUE"""),"Offer Declined")</f>
        <v>Offer Declined</v>
      </c>
      <c r="L515" s="31" t="str">
        <f>IFERROR(__xludf.DUMMYFUNCTION("""COMPUTED_VALUE"""),"In Office")</f>
        <v>In Office</v>
      </c>
      <c r="M515" s="31"/>
      <c r="N515" s="31"/>
    </row>
    <row r="516">
      <c r="A516" s="74">
        <f>IFERROR(__xludf.DUMMYFUNCTION("""COMPUTED_VALUE"""),45805.0)</f>
        <v>45805</v>
      </c>
      <c r="B516" s="31" t="str">
        <f>IFERROR(__xludf.DUMMYFUNCTION("""COMPUTED_VALUE"""),"Raghavv M Garg")</f>
        <v>Raghavv M Garg</v>
      </c>
      <c r="C516" s="31" t="str">
        <f>IFERROR(__xludf.DUMMYFUNCTION("""COMPUTED_VALUE"""),"Org")</f>
        <v>Org</v>
      </c>
      <c r="D516" s="31"/>
      <c r="E516" s="31" t="str">
        <f>IFERROR(__xludf.DUMMYFUNCTION("""COMPUTED_VALUE"""),"Founder's Office Intern")</f>
        <v>Founder's Office Intern</v>
      </c>
      <c r="F516" s="31" t="str">
        <f>IFERROR(__xludf.DUMMYFUNCTION("""COMPUTED_VALUE"""),"Founder's Office")</f>
        <v>Founder's Office</v>
      </c>
      <c r="G516" s="31" t="str">
        <f>IFERROR(__xludf.DUMMYFUNCTION("""COMPUTED_VALUE"""),"	raghavvmgarg@gmail.com")</f>
        <v>	raghavvmgarg@gmail.com</v>
      </c>
      <c r="H516" s="31" t="str">
        <f>IFERROR(__xludf.DUMMYFUNCTION("""COMPUTED_VALUE"""),"Pratyaksh Rawat")</f>
        <v>Pratyaksh Rawat</v>
      </c>
      <c r="I516" s="75">
        <f>IFERROR(__xludf.DUMMYFUNCTION("""COMPUTED_VALUE"""),45799.0)</f>
        <v>45799</v>
      </c>
      <c r="J516" s="31" t="str">
        <f>IFERROR(__xludf.DUMMYFUNCTION("""COMPUTED_VALUE"""),"Harsha Nanwani")</f>
        <v>Harsha Nanwani</v>
      </c>
      <c r="K516" s="31" t="str">
        <f>IFERROR(__xludf.DUMMYFUNCTION("""COMPUTED_VALUE"""),"Joined")</f>
        <v>Joined</v>
      </c>
      <c r="L516" s="31" t="str">
        <f>IFERROR(__xludf.DUMMYFUNCTION("""COMPUTED_VALUE"""),"In Office")</f>
        <v>In Office</v>
      </c>
      <c r="M516" s="31" t="str">
        <f>IFERROR(__xludf.DUMMYFUNCTION("""COMPUTED_VALUE"""),"raghavv.garg@zupee.in")</f>
        <v>raghavv.garg@zupee.in</v>
      </c>
      <c r="N516" s="31"/>
    </row>
    <row r="517">
      <c r="A517" s="74">
        <f>IFERROR(__xludf.DUMMYFUNCTION("""COMPUTED_VALUE"""),45810.0)</f>
        <v>45810</v>
      </c>
      <c r="B517" s="31" t="str">
        <f>IFERROR(__xludf.DUMMYFUNCTION("""COMPUTED_VALUE"""),"Gargi Singh Bhadu")</f>
        <v>Gargi Singh Bhadu</v>
      </c>
      <c r="C517" s="31" t="str">
        <f>IFERROR(__xludf.DUMMYFUNCTION("""COMPUTED_VALUE"""),"Brand Marketing")</f>
        <v>Brand Marketing</v>
      </c>
      <c r="D517" s="31">
        <f>IFERROR(__xludf.DUMMYFUNCTION("""COMPUTED_VALUE"""),8.529311129E9)</f>
        <v>8529311129</v>
      </c>
      <c r="E517" s="31" t="str">
        <f>IFERROR(__xludf.DUMMYFUNCTION("""COMPUTED_VALUE"""),"Brand Marketing Intern")</f>
        <v>Brand Marketing Intern</v>
      </c>
      <c r="F517" s="31" t="str">
        <f>IFERROR(__xludf.DUMMYFUNCTION("""COMPUTED_VALUE"""),"Content / Social")</f>
        <v>Content / Social</v>
      </c>
      <c r="G517" s="31" t="str">
        <f>IFERROR(__xludf.DUMMYFUNCTION("""COMPUTED_VALUE"""),"gargi26singh@gmail.com")</f>
        <v>gargi26singh@gmail.com</v>
      </c>
      <c r="H517" s="31" t="str">
        <f>IFERROR(__xludf.DUMMYFUNCTION("""COMPUTED_VALUE"""),"Katha Tara")</f>
        <v>Katha Tara</v>
      </c>
      <c r="I517" s="75">
        <f>IFERROR(__xludf.DUMMYFUNCTION("""COMPUTED_VALUE"""),45800.0)</f>
        <v>45800</v>
      </c>
      <c r="J517" s="31" t="str">
        <f>IFERROR(__xludf.DUMMYFUNCTION("""COMPUTED_VALUE"""),"Harsha Nanwani")</f>
        <v>Harsha Nanwani</v>
      </c>
      <c r="K517" s="31" t="str">
        <f>IFERROR(__xludf.DUMMYFUNCTION("""COMPUTED_VALUE"""),"Joined")</f>
        <v>Joined</v>
      </c>
      <c r="L517" s="31" t="str">
        <f>IFERROR(__xludf.DUMMYFUNCTION("""COMPUTED_VALUE"""),"In Office")</f>
        <v>In Office</v>
      </c>
      <c r="M517" s="31" t="str">
        <f>IFERROR(__xludf.DUMMYFUNCTION("""COMPUTED_VALUE"""),"gargi.bhadu@zupee.in")</f>
        <v>gargi.bhadu@zupee.in</v>
      </c>
      <c r="N517" s="31"/>
    </row>
    <row r="518">
      <c r="A518" s="74">
        <f>IFERROR(__xludf.DUMMYFUNCTION("""COMPUTED_VALUE"""),45803.0)</f>
        <v>45803</v>
      </c>
      <c r="B518" s="31" t="str">
        <f>IFERROR(__xludf.DUMMYFUNCTION("""COMPUTED_VALUE"""),"Renuka Sarvaiya")</f>
        <v>Renuka Sarvaiya</v>
      </c>
      <c r="C518" s="31" t="str">
        <f>IFERROR(__xludf.DUMMYFUNCTION("""COMPUTED_VALUE"""),"Data")</f>
        <v>Data</v>
      </c>
      <c r="D518" s="31">
        <f>IFERROR(__xludf.DUMMYFUNCTION("""COMPUTED_VALUE"""),9.999024536E9)</f>
        <v>9999024536</v>
      </c>
      <c r="E518" s="31" t="str">
        <f>IFERROR(__xludf.DUMMYFUNCTION("""COMPUTED_VALUE"""),"Senior Business Intelligence Engineer")</f>
        <v>Senior Business Intelligence Engineer</v>
      </c>
      <c r="F518" s="31" t="str">
        <f>IFERROR(__xludf.DUMMYFUNCTION("""COMPUTED_VALUE"""),"Business Intelligence")</f>
        <v>Business Intelligence</v>
      </c>
      <c r="G518" s="31" t="str">
        <f>IFERROR(__xludf.DUMMYFUNCTION("""COMPUTED_VALUE""")," srenuka24@gmail.com")</f>
        <v> srenuka24@gmail.com</v>
      </c>
      <c r="H518" s="31" t="str">
        <f>IFERROR(__xludf.DUMMYFUNCTION("""COMPUTED_VALUE"""),"Saurabh Khurana")</f>
        <v>Saurabh Khurana</v>
      </c>
      <c r="I518" s="75">
        <f>IFERROR(__xludf.DUMMYFUNCTION("""COMPUTED_VALUE"""),45800.0)</f>
        <v>45800</v>
      </c>
      <c r="J518" s="31" t="str">
        <f>IFERROR(__xludf.DUMMYFUNCTION("""COMPUTED_VALUE"""),"Shivam Sharma")</f>
        <v>Shivam Sharma</v>
      </c>
      <c r="K518" s="31" t="str">
        <f>IFERROR(__xludf.DUMMYFUNCTION("""COMPUTED_VALUE"""),"Joined")</f>
        <v>Joined</v>
      </c>
      <c r="L518" s="31" t="str">
        <f>IFERROR(__xludf.DUMMYFUNCTION("""COMPUTED_VALUE"""),"In Office")</f>
        <v>In Office</v>
      </c>
      <c r="M518" s="31" t="str">
        <f>IFERROR(__xludf.DUMMYFUNCTION("""COMPUTED_VALUE"""),"renuka.sarvaiya@zupee.in")</f>
        <v>renuka.sarvaiya@zupee.in</v>
      </c>
      <c r="N518" s="31" t="str">
        <f>IFERROR(__xludf.DUMMYFUNCTION("""COMPUTED_VALUE"""),"FG9QQL9THQ")</f>
        <v>FG9QQL9THQ</v>
      </c>
    </row>
    <row r="519">
      <c r="A519" s="74">
        <f>IFERROR(__xludf.DUMMYFUNCTION("""COMPUTED_VALUE"""),45810.0)</f>
        <v>45810</v>
      </c>
      <c r="B519" s="31" t="str">
        <f>IFERROR(__xludf.DUMMYFUNCTION("""COMPUTED_VALUE"""),"Sheetal Kapkoti")</f>
        <v>Sheetal Kapkoti</v>
      </c>
      <c r="C519" s="31" t="str">
        <f>IFERROR(__xludf.DUMMYFUNCTION("""COMPUTED_VALUE"""),"Finance")</f>
        <v>Finance</v>
      </c>
      <c r="D519" s="31">
        <f>IFERROR(__xludf.DUMMYFUNCTION("""COMPUTED_VALUE"""),9.599826978E9)</f>
        <v>9599826978</v>
      </c>
      <c r="E519" s="31" t="str">
        <f>IFERROR(__xludf.DUMMYFUNCTION("""COMPUTED_VALUE"""),"CA Intern")</f>
        <v>CA Intern</v>
      </c>
      <c r="F519" s="31" t="str">
        <f>IFERROR(__xludf.DUMMYFUNCTION("""COMPUTED_VALUE"""),"Partnership &amp; New Initiatives")</f>
        <v>Partnership &amp; New Initiatives</v>
      </c>
      <c r="G519" s="31" t="str">
        <f>IFERROR(__xludf.DUMMYFUNCTION("""COMPUTED_VALUE"""),"kapkotisheetal15@gmail.com")</f>
        <v>kapkotisheetal15@gmail.com</v>
      </c>
      <c r="H519" s="31" t="str">
        <f>IFERROR(__xludf.DUMMYFUNCTION("""COMPUTED_VALUE"""),"Hitesh Vats")</f>
        <v>Hitesh Vats</v>
      </c>
      <c r="I519" s="75">
        <f>IFERROR(__xludf.DUMMYFUNCTION("""COMPUTED_VALUE"""),45800.0)</f>
        <v>45800</v>
      </c>
      <c r="J519" s="31" t="str">
        <f>IFERROR(__xludf.DUMMYFUNCTION("""COMPUTED_VALUE"""),"Mamta Pandey")</f>
        <v>Mamta Pandey</v>
      </c>
      <c r="K519" s="31" t="str">
        <f>IFERROR(__xludf.DUMMYFUNCTION("""COMPUTED_VALUE"""),"Offer Declined")</f>
        <v>Offer Declined</v>
      </c>
      <c r="L519" s="31" t="str">
        <f>IFERROR(__xludf.DUMMYFUNCTION("""COMPUTED_VALUE"""),"In Office")</f>
        <v>In Office</v>
      </c>
      <c r="M519" s="31"/>
      <c r="N519" s="31"/>
    </row>
    <row r="520">
      <c r="A520" s="74">
        <f>IFERROR(__xludf.DUMMYFUNCTION("""COMPUTED_VALUE"""),45866.0)</f>
        <v>45866</v>
      </c>
      <c r="B520" s="31" t="str">
        <f>IFERROR(__xludf.DUMMYFUNCTION("""COMPUTED_VALUE"""),"Swati Kandhari")</f>
        <v>Swati Kandhari</v>
      </c>
      <c r="C520" s="31" t="str">
        <f>IFERROR(__xludf.DUMMYFUNCTION("""COMPUTED_VALUE"""),"Product")</f>
        <v>Product</v>
      </c>
      <c r="D520" s="31">
        <f>IFERROR(__xludf.DUMMYFUNCTION("""COMPUTED_VALUE"""),9.999788409E9)</f>
        <v>9999788409</v>
      </c>
      <c r="E520" s="31" t="str">
        <f>IFERROR(__xludf.DUMMYFUNCTION("""COMPUTED_VALUE"""),"Principal Product manager")</f>
        <v>Principal Product manager</v>
      </c>
      <c r="F520" s="31" t="str">
        <f>IFERROR(__xludf.DUMMYFUNCTION("""COMPUTED_VALUE"""),"Product Management")</f>
        <v>Product Management</v>
      </c>
      <c r="G520" s="31" t="str">
        <f>IFERROR(__xludf.DUMMYFUNCTION("""COMPUTED_VALUE"""),"swatikandhari97@gmail.com")</f>
        <v>swatikandhari97@gmail.com</v>
      </c>
      <c r="H520" s="31" t="str">
        <f>IFERROR(__xludf.DUMMYFUNCTION("""COMPUTED_VALUE"""),"Naveen Kadyan")</f>
        <v>Naveen Kadyan</v>
      </c>
      <c r="I520" s="75">
        <f>IFERROR(__xludf.DUMMYFUNCTION("""COMPUTED_VALUE"""),45800.0)</f>
        <v>45800</v>
      </c>
      <c r="J520" s="31" t="str">
        <f>IFERROR(__xludf.DUMMYFUNCTION("""COMPUTED_VALUE"""),"Naina")</f>
        <v>Naina</v>
      </c>
      <c r="K520" s="31" t="str">
        <f>IFERROR(__xludf.DUMMYFUNCTION("""COMPUTED_VALUE"""),"Offer Declined")</f>
        <v>Offer Declined</v>
      </c>
      <c r="L520" s="31" t="str">
        <f>IFERROR(__xludf.DUMMYFUNCTION("""COMPUTED_VALUE"""),"In Office")</f>
        <v>In Office</v>
      </c>
      <c r="M520" s="31"/>
      <c r="N520" s="31"/>
    </row>
    <row r="521">
      <c r="A521" s="74">
        <f>IFERROR(__xludf.DUMMYFUNCTION("""COMPUTED_VALUE"""),45894.0)</f>
        <v>45894</v>
      </c>
      <c r="B521" s="31" t="str">
        <f>IFERROR(__xludf.DUMMYFUNCTION("""COMPUTED_VALUE"""),"Milind Tyagi")</f>
        <v>Milind Tyagi</v>
      </c>
      <c r="C521" s="31" t="str">
        <f>IFERROR(__xludf.DUMMYFUNCTION("""COMPUTED_VALUE"""),"Finance")</f>
        <v>Finance</v>
      </c>
      <c r="D521" s="31">
        <f>IFERROR(__xludf.DUMMYFUNCTION("""COMPUTED_VALUE"""),8.384898547E9)</f>
        <v>8384898547</v>
      </c>
      <c r="E521" s="31" t="str">
        <f>IFERROR(__xludf.DUMMYFUNCTION("""COMPUTED_VALUE"""),"Manager- Finance")</f>
        <v>Manager- Finance</v>
      </c>
      <c r="F521" s="31" t="str">
        <f>IFERROR(__xludf.DUMMYFUNCTION("""COMPUTED_VALUE"""),"Controllership")</f>
        <v>Controllership</v>
      </c>
      <c r="G521" s="31" t="str">
        <f>IFERROR(__xludf.DUMMYFUNCTION("""COMPUTED_VALUE"""),"milind.tyagi@outlook.com")</f>
        <v>milind.tyagi@outlook.com</v>
      </c>
      <c r="H521" s="31" t="str">
        <f>IFERROR(__xludf.DUMMYFUNCTION("""COMPUTED_VALUE"""),"Sarthak Jain")</f>
        <v>Sarthak Jain</v>
      </c>
      <c r="I521" s="75">
        <f>IFERROR(__xludf.DUMMYFUNCTION("""COMPUTED_VALUE"""),45800.0)</f>
        <v>45800</v>
      </c>
      <c r="J521" s="31" t="str">
        <f>IFERROR(__xludf.DUMMYFUNCTION("""COMPUTED_VALUE"""),"Rajneesh Yadav")</f>
        <v>Rajneesh Yadav</v>
      </c>
      <c r="K521" s="31" t="str">
        <f>IFERROR(__xludf.DUMMYFUNCTION("""COMPUTED_VALUE"""),"Offer Revoked")</f>
        <v>Offer Revoked</v>
      </c>
      <c r="L521" s="31" t="str">
        <f>IFERROR(__xludf.DUMMYFUNCTION("""COMPUTED_VALUE"""),"In Office")</f>
        <v>In Office</v>
      </c>
      <c r="M521" s="31"/>
      <c r="N521" s="31"/>
    </row>
    <row r="522">
      <c r="A522" s="74">
        <f>IFERROR(__xludf.DUMMYFUNCTION("""COMPUTED_VALUE"""),45853.0)</f>
        <v>45853</v>
      </c>
      <c r="B522" s="31" t="str">
        <f>IFERROR(__xludf.DUMMYFUNCTION("""COMPUTED_VALUE"""),"Vishakha Deshwal")</f>
        <v>Vishakha Deshwal</v>
      </c>
      <c r="C522" s="31" t="str">
        <f>IFERROR(__xludf.DUMMYFUNCTION("""COMPUTED_VALUE"""),"Public Policy")</f>
        <v>Public Policy</v>
      </c>
      <c r="D522" s="31">
        <f>IFERROR(__xludf.DUMMYFUNCTION("""COMPUTED_VALUE"""),9.717979459E9)</f>
        <v>9717979459</v>
      </c>
      <c r="E522" s="31" t="str">
        <f>IFERROR(__xludf.DUMMYFUNCTION("""COMPUTED_VALUE"""),"Manager - Public Policy")</f>
        <v>Manager - Public Policy</v>
      </c>
      <c r="F522" s="31" t="str">
        <f>IFERROR(__xludf.DUMMYFUNCTION("""COMPUTED_VALUE"""),"Public Policy")</f>
        <v>Public Policy</v>
      </c>
      <c r="G522" s="31" t="str">
        <f>IFERROR(__xludf.DUMMYFUNCTION("""COMPUTED_VALUE"""),"vishakhapg21906@nujs.edu")</f>
        <v>vishakhapg21906@nujs.edu</v>
      </c>
      <c r="H522" s="31" t="str">
        <f>IFERROR(__xludf.DUMMYFUNCTION("""COMPUTED_VALUE"""),"Ravi Jha")</f>
        <v>Ravi Jha</v>
      </c>
      <c r="I522" s="75">
        <f>IFERROR(__xludf.DUMMYFUNCTION("""COMPUTED_VALUE"""),45800.0)</f>
        <v>45800</v>
      </c>
      <c r="J522" s="31" t="str">
        <f>IFERROR(__xludf.DUMMYFUNCTION("""COMPUTED_VALUE"""),"Harsha Nanwani")</f>
        <v>Harsha Nanwani</v>
      </c>
      <c r="K522" s="31" t="str">
        <f>IFERROR(__xludf.DUMMYFUNCTION("""COMPUTED_VALUE"""),"Offer Declined")</f>
        <v>Offer Declined</v>
      </c>
      <c r="L522" s="31" t="str">
        <f>IFERROR(__xludf.DUMMYFUNCTION("""COMPUTED_VALUE"""),"In Office")</f>
        <v>In Office</v>
      </c>
      <c r="M522" s="31"/>
      <c r="N522" s="31"/>
    </row>
    <row r="523">
      <c r="A523" s="74">
        <f>IFERROR(__xludf.DUMMYFUNCTION("""COMPUTED_VALUE"""),45805.0)</f>
        <v>45805</v>
      </c>
      <c r="B523" s="31" t="str">
        <f>IFERROR(__xludf.DUMMYFUNCTION("""COMPUTED_VALUE"""),"Rohan Negi")</f>
        <v>Rohan Negi</v>
      </c>
      <c r="C523" s="31" t="str">
        <f>IFERROR(__xludf.DUMMYFUNCTION("""COMPUTED_VALUE"""),"Data")</f>
        <v>Data</v>
      </c>
      <c r="D523" s="31">
        <f>IFERROR(__xludf.DUMMYFUNCTION("""COMPUTED_VALUE"""),8.700345226E9)</f>
        <v>8700345226</v>
      </c>
      <c r="E523" s="31" t="str">
        <f>IFERROR(__xludf.DUMMYFUNCTION("""COMPUTED_VALUE"""),"Data Engineer")</f>
        <v>Data Engineer</v>
      </c>
      <c r="F523" s="31" t="str">
        <f>IFERROR(__xludf.DUMMYFUNCTION("""COMPUTED_VALUE"""),"Data Engineering")</f>
        <v>Data Engineering</v>
      </c>
      <c r="G523" s="31" t="str">
        <f>IFERROR(__xludf.DUMMYFUNCTION("""COMPUTED_VALUE"""),"rohan.negi.ofc@gmail.com")</f>
        <v>rohan.negi.ofc@gmail.com</v>
      </c>
      <c r="H523" s="31" t="str">
        <f>IFERROR(__xludf.DUMMYFUNCTION("""COMPUTED_VALUE"""),"Aman Bahl")</f>
        <v>Aman Bahl</v>
      </c>
      <c r="I523" s="75">
        <f>IFERROR(__xludf.DUMMYFUNCTION("""COMPUTED_VALUE"""),45803.0)</f>
        <v>45803</v>
      </c>
      <c r="J523" s="31" t="str">
        <f>IFERROR(__xludf.DUMMYFUNCTION("""COMPUTED_VALUE"""),"Naina")</f>
        <v>Naina</v>
      </c>
      <c r="K523" s="31" t="str">
        <f>IFERROR(__xludf.DUMMYFUNCTION("""COMPUTED_VALUE"""),"Joined")</f>
        <v>Joined</v>
      </c>
      <c r="L523" s="31" t="str">
        <f>IFERROR(__xludf.DUMMYFUNCTION("""COMPUTED_VALUE"""),"In Office")</f>
        <v>In Office</v>
      </c>
      <c r="M523" s="31" t="str">
        <f>IFERROR(__xludf.DUMMYFUNCTION("""COMPUTED_VALUE"""),"rohan.negi@zupee.in")</f>
        <v>rohan.negi@zupee.in</v>
      </c>
      <c r="N523" s="31" t="str">
        <f>IFERROR(__xludf.DUMMYFUNCTION("""COMPUTED_VALUE"""),"CHQFXC9QJL")</f>
        <v>CHQFXC9QJL</v>
      </c>
    </row>
    <row r="524">
      <c r="A524" s="74">
        <f>IFERROR(__xludf.DUMMYFUNCTION("""COMPUTED_VALUE"""),45810.0)</f>
        <v>45810</v>
      </c>
      <c r="B524" s="31" t="str">
        <f>IFERROR(__xludf.DUMMYFUNCTION("""COMPUTED_VALUE"""),"Arun A R")</f>
        <v>Arun A R</v>
      </c>
      <c r="C524" s="31" t="str">
        <f>IFERROR(__xludf.DUMMYFUNCTION("""COMPUTED_VALUE"""),"Customer Experience")</f>
        <v>Customer Experience</v>
      </c>
      <c r="D524" s="31">
        <f>IFERROR(__xludf.DUMMYFUNCTION("""COMPUTED_VALUE"""),9.818530843E9)</f>
        <v>9818530843</v>
      </c>
      <c r="E524" s="31" t="str">
        <f>IFERROR(__xludf.DUMMYFUNCTION("""COMPUTED_VALUE"""),"Relationship Manager")</f>
        <v>Relationship Manager</v>
      </c>
      <c r="F524" s="31" t="str">
        <f>IFERROR(__xludf.DUMMYFUNCTION("""COMPUTED_VALUE"""),"CRM")</f>
        <v>CRM</v>
      </c>
      <c r="G524" s="31" t="str">
        <f>IFERROR(__xludf.DUMMYFUNCTION("""COMPUTED_VALUE"""),"ararun666@gmail.com")</f>
        <v>ararun666@gmail.com</v>
      </c>
      <c r="H524" s="31" t="str">
        <f>IFERROR(__xludf.DUMMYFUNCTION("""COMPUTED_VALUE"""),"Shivam Bali")</f>
        <v>Shivam Bali</v>
      </c>
      <c r="I524" s="75">
        <f>IFERROR(__xludf.DUMMYFUNCTION("""COMPUTED_VALUE"""),45804.0)</f>
        <v>45804</v>
      </c>
      <c r="J524" s="31" t="str">
        <f>IFERROR(__xludf.DUMMYFUNCTION("""COMPUTED_VALUE"""),"Nidhi Khedekar")</f>
        <v>Nidhi Khedekar</v>
      </c>
      <c r="K524" s="31" t="str">
        <f>IFERROR(__xludf.DUMMYFUNCTION("""COMPUTED_VALUE"""),"Joined")</f>
        <v>Joined</v>
      </c>
      <c r="L524" s="31" t="str">
        <f>IFERROR(__xludf.DUMMYFUNCTION("""COMPUTED_VALUE"""),"In Office")</f>
        <v>In Office</v>
      </c>
      <c r="M524" s="31" t="str">
        <f>IFERROR(__xludf.DUMMYFUNCTION("""COMPUTED_VALUE"""),"arun.r@zupee.in")</f>
        <v>arun.r@zupee.in</v>
      </c>
      <c r="N524" s="31" t="str">
        <f>IFERROR(__xludf.DUMMYFUNCTION("""COMPUTED_VALUE"""),"PG04R7HG")</f>
        <v>PG04R7HG</v>
      </c>
    </row>
    <row r="525">
      <c r="A525" s="74">
        <f>IFERROR(__xludf.DUMMYFUNCTION("""COMPUTED_VALUE"""),45870.0)</f>
        <v>45870</v>
      </c>
      <c r="B525" s="31" t="str">
        <f>IFERROR(__xludf.DUMMYFUNCTION("""COMPUTED_VALUE"""),"Hardik Kumar")</f>
        <v>Hardik Kumar</v>
      </c>
      <c r="C525" s="31" t="str">
        <f>IFERROR(__xludf.DUMMYFUNCTION("""COMPUTED_VALUE"""),"Data")</f>
        <v>Data</v>
      </c>
      <c r="D525" s="31">
        <f>IFERROR(__xludf.DUMMYFUNCTION("""COMPUTED_VALUE"""),9.654131905E9)</f>
        <v>9654131905</v>
      </c>
      <c r="E525" s="31" t="str">
        <f>IFERROR(__xludf.DUMMYFUNCTION("""COMPUTED_VALUE"""),"Senior Data Scientist")</f>
        <v>Senior Data Scientist</v>
      </c>
      <c r="F525" s="31" t="str">
        <f>IFERROR(__xludf.DUMMYFUNCTION("""COMPUTED_VALUE"""),"Data Science")</f>
        <v>Data Science</v>
      </c>
      <c r="G525" s="31" t="str">
        <f>IFERROR(__xludf.DUMMYFUNCTION("""COMPUTED_VALUE"""),"hardikkumardtu@gmail.com")</f>
        <v>hardikkumardtu@gmail.com</v>
      </c>
      <c r="H525" s="31" t="str">
        <f>IFERROR(__xludf.DUMMYFUNCTION("""COMPUTED_VALUE"""),"Nitesh Vijay")</f>
        <v>Nitesh Vijay</v>
      </c>
      <c r="I525" s="75">
        <f>IFERROR(__xludf.DUMMYFUNCTION("""COMPUTED_VALUE"""),45804.0)</f>
        <v>45804</v>
      </c>
      <c r="J525" s="31" t="str">
        <f>IFERROR(__xludf.DUMMYFUNCTION("""COMPUTED_VALUE"""),"Mamta Pandey")</f>
        <v>Mamta Pandey</v>
      </c>
      <c r="K525" s="31" t="str">
        <f>IFERROR(__xludf.DUMMYFUNCTION("""COMPUTED_VALUE"""),"Joined")</f>
        <v>Joined</v>
      </c>
      <c r="L525" s="31" t="str">
        <f>IFERROR(__xludf.DUMMYFUNCTION("""COMPUTED_VALUE"""),"In Office")</f>
        <v>In Office</v>
      </c>
      <c r="M525" s="31" t="str">
        <f>IFERROR(__xludf.DUMMYFUNCTION("""COMPUTED_VALUE"""),"hardik.kumar@zupee.in")</f>
        <v>hardik.kumar@zupee.in</v>
      </c>
      <c r="N525" s="31" t="str">
        <f>IFERROR(__xludf.DUMMYFUNCTION("""COMPUTED_VALUE"""),"FW34FMGYD4")</f>
        <v>FW34FMGYD4</v>
      </c>
    </row>
    <row r="526">
      <c r="A526" s="74">
        <f>IFERROR(__xludf.DUMMYFUNCTION("""COMPUTED_VALUE"""),45870.0)</f>
        <v>45870</v>
      </c>
      <c r="B526" s="31" t="str">
        <f>IFERROR(__xludf.DUMMYFUNCTION("""COMPUTED_VALUE"""),"Siddharth Sahu")</f>
        <v>Siddharth Sahu</v>
      </c>
      <c r="C526" s="31" t="str">
        <f>IFERROR(__xludf.DUMMYFUNCTION("""COMPUTED_VALUE"""),"Data")</f>
        <v>Data</v>
      </c>
      <c r="D526" s="31">
        <f>IFERROR(__xludf.DUMMYFUNCTION("""COMPUTED_VALUE"""),6.369009578E9)</f>
        <v>6369009578</v>
      </c>
      <c r="E526" s="31" t="str">
        <f>IFERROR(__xludf.DUMMYFUNCTION("""COMPUTED_VALUE"""),"Senior Data Engineer")</f>
        <v>Senior Data Engineer</v>
      </c>
      <c r="F526" s="31" t="str">
        <f>IFERROR(__xludf.DUMMYFUNCTION("""COMPUTED_VALUE"""),"Data Engineering")</f>
        <v>Data Engineering</v>
      </c>
      <c r="G526" s="31" t="str">
        <f>IFERROR(__xludf.DUMMYFUNCTION("""COMPUTED_VALUE"""),"siddharth.sahu675@gmail.com")</f>
        <v>siddharth.sahu675@gmail.com</v>
      </c>
      <c r="H526" s="31" t="str">
        <f>IFERROR(__xludf.DUMMYFUNCTION("""COMPUTED_VALUE"""),"Aman Bahl")</f>
        <v>Aman Bahl</v>
      </c>
      <c r="I526" s="75">
        <f>IFERROR(__xludf.DUMMYFUNCTION("""COMPUTED_VALUE"""),45804.0)</f>
        <v>45804</v>
      </c>
      <c r="J526" s="31" t="str">
        <f>IFERROR(__xludf.DUMMYFUNCTION("""COMPUTED_VALUE"""),"Naina")</f>
        <v>Naina</v>
      </c>
      <c r="K526" s="31" t="str">
        <f>IFERROR(__xludf.DUMMYFUNCTION("""COMPUTED_VALUE"""),"Offer Declined")</f>
        <v>Offer Declined</v>
      </c>
      <c r="L526" s="31" t="str">
        <f>IFERROR(__xludf.DUMMYFUNCTION("""COMPUTED_VALUE"""),"In Office")</f>
        <v>In Office</v>
      </c>
      <c r="M526" s="31"/>
      <c r="N526" s="31"/>
    </row>
    <row r="527">
      <c r="A527" s="74">
        <f>IFERROR(__xludf.DUMMYFUNCTION("""COMPUTED_VALUE"""),45811.0)</f>
        <v>45811</v>
      </c>
      <c r="B527" s="31" t="str">
        <f>IFERROR(__xludf.DUMMYFUNCTION("""COMPUTED_VALUE"""),"Gunjan Kejriwal")</f>
        <v>Gunjan Kejriwal</v>
      </c>
      <c r="C527" s="31" t="str">
        <f>IFERROR(__xludf.DUMMYFUNCTION("""COMPUTED_VALUE"""),"Org")</f>
        <v>Org</v>
      </c>
      <c r="D527" s="31">
        <f>IFERROR(__xludf.DUMMYFUNCTION("""COMPUTED_VALUE"""),9.986629019E9)</f>
        <v>9986629019</v>
      </c>
      <c r="E527" s="31" t="str">
        <f>IFERROR(__xludf.DUMMYFUNCTION("""COMPUTED_VALUE"""),"Head-New Initiatives")</f>
        <v>Head-New Initiatives</v>
      </c>
      <c r="F527" s="31" t="str">
        <f>IFERROR(__xludf.DUMMYFUNCTION("""COMPUTED_VALUE"""),"Founder's Office")</f>
        <v>Founder's Office</v>
      </c>
      <c r="G527" s="31" t="str">
        <f>IFERROR(__xludf.DUMMYFUNCTION("""COMPUTED_VALUE"""),"gunjan@ryse.one")</f>
        <v>gunjan@ryse.one</v>
      </c>
      <c r="H527" s="31" t="str">
        <f>IFERROR(__xludf.DUMMYFUNCTION("""COMPUTED_VALUE"""),"Dilsher Malhi")</f>
        <v>Dilsher Malhi</v>
      </c>
      <c r="I527" s="75">
        <f>IFERROR(__xludf.DUMMYFUNCTION("""COMPUTED_VALUE"""),45804.0)</f>
        <v>45804</v>
      </c>
      <c r="J527" s="31" t="str">
        <f>IFERROR(__xludf.DUMMYFUNCTION("""COMPUTED_VALUE"""),"M Sangeetha")</f>
        <v>M Sangeetha</v>
      </c>
      <c r="K527" s="31" t="str">
        <f>IFERROR(__xludf.DUMMYFUNCTION("""COMPUTED_VALUE"""),"Offer Declined")</f>
        <v>Offer Declined</v>
      </c>
      <c r="L527" s="31" t="str">
        <f>IFERROR(__xludf.DUMMYFUNCTION("""COMPUTED_VALUE"""),"In Office")</f>
        <v>In Office</v>
      </c>
      <c r="M527" s="31"/>
      <c r="N527" s="31"/>
    </row>
    <row r="528">
      <c r="A528" s="74">
        <f>IFERROR(__xludf.DUMMYFUNCTION("""COMPUTED_VALUE"""),45827.0)</f>
        <v>45827</v>
      </c>
      <c r="B528" s="31" t="str">
        <f>IFERROR(__xludf.DUMMYFUNCTION("""COMPUTED_VALUE"""),"Neha Jain")</f>
        <v>Neha Jain</v>
      </c>
      <c r="C528" s="31" t="str">
        <f>IFERROR(__xludf.DUMMYFUNCTION("""COMPUTED_VALUE"""),"Data")</f>
        <v>Data</v>
      </c>
      <c r="D528" s="31">
        <f>IFERROR(__xludf.DUMMYFUNCTION("""COMPUTED_VALUE"""),9.71526573352E11)</f>
        <v>971526573352</v>
      </c>
      <c r="E528" s="31" t="str">
        <f>IFERROR(__xludf.DUMMYFUNCTION("""COMPUTED_VALUE"""),"Associate Director- Analytics")</f>
        <v>Associate Director- Analytics</v>
      </c>
      <c r="F528" s="31" t="str">
        <f>IFERROR(__xludf.DUMMYFUNCTION("""COMPUTED_VALUE"""),"Data Analytics")</f>
        <v>Data Analytics</v>
      </c>
      <c r="G528" s="31" t="str">
        <f>IFERROR(__xludf.DUMMYFUNCTION("""COMPUTED_VALUE"""),"nj1404@gmail.com")</f>
        <v>nj1404@gmail.com</v>
      </c>
      <c r="H528" s="31" t="str">
        <f>IFERROR(__xludf.DUMMYFUNCTION("""COMPUTED_VALUE"""),"Sairam Mushyam")</f>
        <v>Sairam Mushyam</v>
      </c>
      <c r="I528" s="75">
        <f>IFERROR(__xludf.DUMMYFUNCTION("""COMPUTED_VALUE"""),45804.0)</f>
        <v>45804</v>
      </c>
      <c r="J528" s="31" t="str">
        <f>IFERROR(__xludf.DUMMYFUNCTION("""COMPUTED_VALUE"""),"Rajneesh Yadav")</f>
        <v>Rajneesh Yadav</v>
      </c>
      <c r="K528" s="31" t="str">
        <f>IFERROR(__xludf.DUMMYFUNCTION("""COMPUTED_VALUE"""),"Joined")</f>
        <v>Joined</v>
      </c>
      <c r="L528" s="31" t="str">
        <f>IFERROR(__xludf.DUMMYFUNCTION("""COMPUTED_VALUE"""),"In Office")</f>
        <v>In Office</v>
      </c>
      <c r="M528" s="31" t="str">
        <f>IFERROR(__xludf.DUMMYFUNCTION("""COMPUTED_VALUE"""),"neha.jain@zupee.in")</f>
        <v>neha.jain@zupee.in</v>
      </c>
      <c r="N528" s="31"/>
    </row>
    <row r="529">
      <c r="A529" s="74">
        <f>IFERROR(__xludf.DUMMYFUNCTION("""COMPUTED_VALUE"""),45810.0)</f>
        <v>45810</v>
      </c>
      <c r="B529" s="31" t="str">
        <f>IFERROR(__xludf.DUMMYFUNCTION("""COMPUTED_VALUE"""),"Jaya Tiwari")</f>
        <v>Jaya Tiwari</v>
      </c>
      <c r="C529" s="31" t="str">
        <f>IFERROR(__xludf.DUMMYFUNCTION("""COMPUTED_VALUE"""),"HR")</f>
        <v>HR</v>
      </c>
      <c r="D529" s="31"/>
      <c r="E529" s="31" t="str">
        <f>IFERROR(__xludf.DUMMYFUNCTION("""COMPUTED_VALUE"""),"Assistant Manager- Talent Acquisition")</f>
        <v>Assistant Manager- Talent Acquisition</v>
      </c>
      <c r="F529" s="31" t="str">
        <f>IFERROR(__xludf.DUMMYFUNCTION("""COMPUTED_VALUE"""),"HR TA")</f>
        <v>HR TA</v>
      </c>
      <c r="G529" s="31" t="str">
        <f>IFERROR(__xludf.DUMMYFUNCTION("""COMPUTED_VALUE"""),"tiwarijaya4@gmail.com")</f>
        <v>tiwarijaya4@gmail.com</v>
      </c>
      <c r="H529" s="31" t="str">
        <f>IFERROR(__xludf.DUMMYFUNCTION("""COMPUTED_VALUE"""),"Sangeetha")</f>
        <v>Sangeetha</v>
      </c>
      <c r="I529" s="75">
        <f>IFERROR(__xludf.DUMMYFUNCTION("""COMPUTED_VALUE"""),45804.0)</f>
        <v>45804</v>
      </c>
      <c r="J529" s="31" t="str">
        <f>IFERROR(__xludf.DUMMYFUNCTION("""COMPUTED_VALUE"""),"Naina")</f>
        <v>Naina</v>
      </c>
      <c r="K529" s="31" t="str">
        <f>IFERROR(__xludf.DUMMYFUNCTION("""COMPUTED_VALUE"""),"Joined")</f>
        <v>Joined</v>
      </c>
      <c r="L529" s="31" t="str">
        <f>IFERROR(__xludf.DUMMYFUNCTION("""COMPUTED_VALUE"""),"In Office")</f>
        <v>In Office</v>
      </c>
      <c r="M529" s="31" t="str">
        <f>IFERROR(__xludf.DUMMYFUNCTION("""COMPUTED_VALUE"""),"jaya.tiwari@zupee.in")</f>
        <v>jaya.tiwari@zupee.in</v>
      </c>
      <c r="N529" s="31" t="str">
        <f>IFERROR(__xludf.DUMMYFUNCTION("""COMPUTED_VALUE"""),"PG04CSWH")</f>
        <v>PG04CSWH</v>
      </c>
    </row>
    <row r="530">
      <c r="A530" s="74">
        <f>IFERROR(__xludf.DUMMYFUNCTION("""COMPUTED_VALUE"""),45824.0)</f>
        <v>45824</v>
      </c>
      <c r="B530" s="31" t="str">
        <f>IFERROR(__xludf.DUMMYFUNCTION("""COMPUTED_VALUE"""),"Dhiraj Kumar")</f>
        <v>Dhiraj Kumar</v>
      </c>
      <c r="C530" s="31" t="str">
        <f>IFERROR(__xludf.DUMMYFUNCTION("""COMPUTED_VALUE"""),"Technology")</f>
        <v>Technology</v>
      </c>
      <c r="D530" s="31">
        <f>IFERROR(__xludf.DUMMYFUNCTION("""COMPUTED_VALUE"""),9.031310861E9)</f>
        <v>9031310861</v>
      </c>
      <c r="E530" s="31" t="str">
        <f>IFERROR(__xludf.DUMMYFUNCTION("""COMPUTED_VALUE"""),"Software Development Engineer in Test")</f>
        <v>Software Development Engineer in Test</v>
      </c>
      <c r="F530" s="31" t="str">
        <f>IFERROR(__xludf.DUMMYFUNCTION("""COMPUTED_VALUE"""),"SDET")</f>
        <v>SDET</v>
      </c>
      <c r="G530" s="31" t="str">
        <f>IFERROR(__xludf.DUMMYFUNCTION("""COMPUTED_VALUE"""),"dhirajkumar.dt51@gmail.com")</f>
        <v>dhirajkumar.dt51@gmail.com</v>
      </c>
      <c r="H530" s="31" t="str">
        <f>IFERROR(__xludf.DUMMYFUNCTION("""COMPUTED_VALUE"""),"Sahil Puri")</f>
        <v>Sahil Puri</v>
      </c>
      <c r="I530" s="75">
        <f>IFERROR(__xludf.DUMMYFUNCTION("""COMPUTED_VALUE"""),45804.0)</f>
        <v>45804</v>
      </c>
      <c r="J530" s="31" t="str">
        <f>IFERROR(__xludf.DUMMYFUNCTION("""COMPUTED_VALUE"""),"Vipin Kumar")</f>
        <v>Vipin Kumar</v>
      </c>
      <c r="K530" s="31" t="str">
        <f>IFERROR(__xludf.DUMMYFUNCTION("""COMPUTED_VALUE"""),"Joined")</f>
        <v>Joined</v>
      </c>
      <c r="L530" s="31" t="str">
        <f>IFERROR(__xludf.DUMMYFUNCTION("""COMPUTED_VALUE"""),"In Office")</f>
        <v>In Office</v>
      </c>
      <c r="M530" s="31" t="str">
        <f>IFERROR(__xludf.DUMMYFUNCTION("""COMPUTED_VALUE"""),"dhiraj.kumar@zupee.in")</f>
        <v>dhiraj.kumar@zupee.in</v>
      </c>
      <c r="N530" s="31" t="str">
        <f>IFERROR(__xludf.DUMMYFUNCTION("""COMPUTED_VALUE"""),"J4TX2V32CG")</f>
        <v>J4TX2V32CG</v>
      </c>
    </row>
    <row r="531">
      <c r="A531" s="74">
        <f>IFERROR(__xludf.DUMMYFUNCTION("""COMPUTED_VALUE"""),45806.0)</f>
        <v>45806</v>
      </c>
      <c r="B531" s="31" t="str">
        <f>IFERROR(__xludf.DUMMYFUNCTION("""COMPUTED_VALUE"""),"Sagar Rohi")</f>
        <v>Sagar Rohi</v>
      </c>
      <c r="C531" s="31" t="str">
        <f>IFERROR(__xludf.DUMMYFUNCTION("""COMPUTED_VALUE"""),"Technology")</f>
        <v>Technology</v>
      </c>
      <c r="D531" s="31">
        <f>IFERROR(__xludf.DUMMYFUNCTION("""COMPUTED_VALUE"""),7.838806675E9)</f>
        <v>7838806675</v>
      </c>
      <c r="E531" s="31" t="str">
        <f>IFERROR(__xludf.DUMMYFUNCTION("""COMPUTED_VALUE"""),"Software Engineer")</f>
        <v>Software Engineer</v>
      </c>
      <c r="F531" s="31" t="str">
        <f>IFERROR(__xludf.DUMMYFUNCTION("""COMPUTED_VALUE"""),"Engineering ")</f>
        <v>Engineering </v>
      </c>
      <c r="G531" s="31" t="str">
        <f>IFERROR(__xludf.DUMMYFUNCTION("""COMPUTED_VALUE"""),"sagar.rohi369@gmail.com")</f>
        <v>sagar.rohi369@gmail.com</v>
      </c>
      <c r="H531" s="31" t="str">
        <f>IFERROR(__xludf.DUMMYFUNCTION("""COMPUTED_VALUE"""),"Abhishek Gupta")</f>
        <v>Abhishek Gupta</v>
      </c>
      <c r="I531" s="75">
        <f>IFERROR(__xludf.DUMMYFUNCTION("""COMPUTED_VALUE"""),45804.0)</f>
        <v>45804</v>
      </c>
      <c r="J531" s="31" t="str">
        <f>IFERROR(__xludf.DUMMYFUNCTION("""COMPUTED_VALUE"""),"Vipin Kumar")</f>
        <v>Vipin Kumar</v>
      </c>
      <c r="K531" s="31" t="str">
        <f>IFERROR(__xludf.DUMMYFUNCTION("""COMPUTED_VALUE"""),"Joined")</f>
        <v>Joined</v>
      </c>
      <c r="L531" s="31" t="str">
        <f>IFERROR(__xludf.DUMMYFUNCTION("""COMPUTED_VALUE"""),"In Office")</f>
        <v>In Office</v>
      </c>
      <c r="M531" s="31" t="str">
        <f>IFERROR(__xludf.DUMMYFUNCTION("""COMPUTED_VALUE"""),"sagar.rohi@zupee.in")</f>
        <v>sagar.rohi@zupee.in</v>
      </c>
      <c r="N531" s="31" t="str">
        <f>IFERROR(__xludf.DUMMYFUNCTION("""COMPUTED_VALUE"""),"DKJTF392LW")</f>
        <v>DKJTF392LW</v>
      </c>
    </row>
    <row r="532">
      <c r="A532" s="74">
        <f>IFERROR(__xludf.DUMMYFUNCTION("""COMPUTED_VALUE"""),45839.0)</f>
        <v>45839</v>
      </c>
      <c r="B532" s="31" t="str">
        <f>IFERROR(__xludf.DUMMYFUNCTION("""COMPUTED_VALUE"""),"AARYAN SARASWAT")</f>
        <v>AARYAN SARASWAT</v>
      </c>
      <c r="C532" s="31" t="str">
        <f>IFERROR(__xludf.DUMMYFUNCTION("""COMPUTED_VALUE"""),"Technology")</f>
        <v>Technology</v>
      </c>
      <c r="D532" s="31">
        <f>IFERROR(__xludf.DUMMYFUNCTION("""COMPUTED_VALUE"""),9.205768564E9)</f>
        <v>9205768564</v>
      </c>
      <c r="E532" s="31" t="str">
        <f>IFERROR(__xludf.DUMMYFUNCTION("""COMPUTED_VALUE"""),"Software Engineer")</f>
        <v>Software Engineer</v>
      </c>
      <c r="F532" s="31" t="str">
        <f>IFERROR(__xludf.DUMMYFUNCTION("""COMPUTED_VALUE"""),"Engineering ")</f>
        <v>Engineering </v>
      </c>
      <c r="G532" s="31" t="str">
        <f>IFERROR(__xludf.DUMMYFUNCTION("""COMPUTED_VALUE"""),"aaryansaraswat1109@gmail.com")</f>
        <v>aaryansaraswat1109@gmail.com</v>
      </c>
      <c r="H532" s="31" t="str">
        <f>IFERROR(__xludf.DUMMYFUNCTION("""COMPUTED_VALUE"""),"Abhishek Gupta")</f>
        <v>Abhishek Gupta</v>
      </c>
      <c r="I532" s="75">
        <f>IFERROR(__xludf.DUMMYFUNCTION("""COMPUTED_VALUE"""),45804.0)</f>
        <v>45804</v>
      </c>
      <c r="J532" s="31" t="str">
        <f>IFERROR(__xludf.DUMMYFUNCTION("""COMPUTED_VALUE"""),"Vipin Kumar")</f>
        <v>Vipin Kumar</v>
      </c>
      <c r="K532" s="31" t="str">
        <f>IFERROR(__xludf.DUMMYFUNCTION("""COMPUTED_VALUE"""),"Offer Declined")</f>
        <v>Offer Declined</v>
      </c>
      <c r="L532" s="31" t="str">
        <f>IFERROR(__xludf.DUMMYFUNCTION("""COMPUTED_VALUE"""),"In Office")</f>
        <v>In Office</v>
      </c>
      <c r="M532" s="31"/>
      <c r="N532" s="31"/>
    </row>
    <row r="533">
      <c r="A533" s="74">
        <f>IFERROR(__xludf.DUMMYFUNCTION("""COMPUTED_VALUE"""),45845.0)</f>
        <v>45845</v>
      </c>
      <c r="B533" s="31" t="str">
        <f>IFERROR(__xludf.DUMMYFUNCTION("""COMPUTED_VALUE"""),"Jay Patel")</f>
        <v>Jay Patel</v>
      </c>
      <c r="C533" s="31" t="str">
        <f>IFERROR(__xludf.DUMMYFUNCTION("""COMPUTED_VALUE"""),"Technology")</f>
        <v>Technology</v>
      </c>
      <c r="D533" s="31">
        <f>IFERROR(__xludf.DUMMYFUNCTION("""COMPUTED_VALUE"""),7.016704521E9)</f>
        <v>7016704521</v>
      </c>
      <c r="E533" s="31" t="str">
        <f>IFERROR(__xludf.DUMMYFUNCTION("""COMPUTED_VALUE"""),"Software Engineer")</f>
        <v>Software Engineer</v>
      </c>
      <c r="F533" s="31" t="str">
        <f>IFERROR(__xludf.DUMMYFUNCTION("""COMPUTED_VALUE"""),"Engineering ")</f>
        <v>Engineering </v>
      </c>
      <c r="G533" s="31" t="str">
        <f>IFERROR(__xludf.DUMMYFUNCTION("""COMPUTED_VALUE"""),"jaynpatel222@gmail.com")</f>
        <v>jaynpatel222@gmail.com</v>
      </c>
      <c r="H533" s="31" t="str">
        <f>IFERROR(__xludf.DUMMYFUNCTION("""COMPUTED_VALUE"""),"Abhishek Gupta")</f>
        <v>Abhishek Gupta</v>
      </c>
      <c r="I533" s="75">
        <f>IFERROR(__xludf.DUMMYFUNCTION("""COMPUTED_VALUE"""),45804.0)</f>
        <v>45804</v>
      </c>
      <c r="J533" s="31" t="str">
        <f>IFERROR(__xludf.DUMMYFUNCTION("""COMPUTED_VALUE"""),"Vipin Kumar")</f>
        <v>Vipin Kumar</v>
      </c>
      <c r="K533" s="31" t="str">
        <f>IFERROR(__xludf.DUMMYFUNCTION("""COMPUTED_VALUE"""),"Joined")</f>
        <v>Joined</v>
      </c>
      <c r="L533" s="31" t="str">
        <f>IFERROR(__xludf.DUMMYFUNCTION("""COMPUTED_VALUE"""),"In Office")</f>
        <v>In Office</v>
      </c>
      <c r="M533" s="31" t="str">
        <f>IFERROR(__xludf.DUMMYFUNCTION("""COMPUTED_VALUE"""),"jay.patel@zupee.in")</f>
        <v>jay.patel@zupee.in</v>
      </c>
      <c r="N533" s="31"/>
    </row>
    <row r="534">
      <c r="A534" s="74">
        <f>IFERROR(__xludf.DUMMYFUNCTION("""COMPUTED_VALUE"""),45839.0)</f>
        <v>45839</v>
      </c>
      <c r="B534" s="31" t="str">
        <f>IFERROR(__xludf.DUMMYFUNCTION("""COMPUTED_VALUE"""),"Akansha Rajawat")</f>
        <v>Akansha Rajawat</v>
      </c>
      <c r="C534" s="31" t="str">
        <f>IFERROR(__xludf.DUMMYFUNCTION("""COMPUTED_VALUE"""),"Strategy")</f>
        <v>Strategy</v>
      </c>
      <c r="D534" s="31">
        <f>IFERROR(__xludf.DUMMYFUNCTION("""COMPUTED_VALUE"""),7.042560555E9)</f>
        <v>7042560555</v>
      </c>
      <c r="E534" s="31" t="str">
        <f>IFERROR(__xludf.DUMMYFUNCTION("""COMPUTED_VALUE"""),"Assistant Manager- Product Marketing")</f>
        <v>Assistant Manager- Product Marketing</v>
      </c>
      <c r="F534" s="31" t="str">
        <f>IFERROR(__xludf.DUMMYFUNCTION("""COMPUTED_VALUE"""),"Product Marketing")</f>
        <v>Product Marketing</v>
      </c>
      <c r="G534" s="31" t="str">
        <f>IFERROR(__xludf.DUMMYFUNCTION("""COMPUTED_VALUE"""),"akansha.rajawat99@gmail.com")</f>
        <v>akansha.rajawat99@gmail.com</v>
      </c>
      <c r="H534" s="31" t="str">
        <f>IFERROR(__xludf.DUMMYFUNCTION("""COMPUTED_VALUE"""),"Aditya Jha")</f>
        <v>Aditya Jha</v>
      </c>
      <c r="I534" s="75">
        <f>IFERROR(__xludf.DUMMYFUNCTION("""COMPUTED_VALUE"""),45805.0)</f>
        <v>45805</v>
      </c>
      <c r="J534" s="31" t="str">
        <f>IFERROR(__xludf.DUMMYFUNCTION("""COMPUTED_VALUE"""),"Nidhi Khedekar")</f>
        <v>Nidhi Khedekar</v>
      </c>
      <c r="K534" s="31" t="str">
        <f>IFERROR(__xludf.DUMMYFUNCTION("""COMPUTED_VALUE"""),"Joined")</f>
        <v>Joined</v>
      </c>
      <c r="L534" s="31" t="str">
        <f>IFERROR(__xludf.DUMMYFUNCTION("""COMPUTED_VALUE"""),"In Office")</f>
        <v>In Office</v>
      </c>
      <c r="M534" s="31" t="str">
        <f>IFERROR(__xludf.DUMMYFUNCTION("""COMPUTED_VALUE"""),"akansha.rajawat@zupee.in")</f>
        <v>akansha.rajawat@zupee.in</v>
      </c>
      <c r="N534" s="31"/>
    </row>
    <row r="535">
      <c r="A535" s="74">
        <f>IFERROR(__xludf.DUMMYFUNCTION("""COMPUTED_VALUE"""),45839.0)</f>
        <v>45839</v>
      </c>
      <c r="B535" s="31" t="str">
        <f>IFERROR(__xludf.DUMMYFUNCTION("""COMPUTED_VALUE"""),"Arpan Garg")</f>
        <v>Arpan Garg</v>
      </c>
      <c r="C535" s="31" t="str">
        <f>IFERROR(__xludf.DUMMYFUNCTION("""COMPUTED_VALUE"""),"Technology")</f>
        <v>Technology</v>
      </c>
      <c r="D535" s="31">
        <f>IFERROR(__xludf.DUMMYFUNCTION("""COMPUTED_VALUE"""),7.08266058E9)</f>
        <v>7082660580</v>
      </c>
      <c r="E535" s="31" t="str">
        <f>IFERROR(__xludf.DUMMYFUNCTION("""COMPUTED_VALUE"""),"Software Engineer")</f>
        <v>Software Engineer</v>
      </c>
      <c r="F535" s="31" t="str">
        <f>IFERROR(__xludf.DUMMYFUNCTION("""COMPUTED_VALUE"""),"Engineering ")</f>
        <v>Engineering </v>
      </c>
      <c r="G535" s="31" t="str">
        <f>IFERROR(__xludf.DUMMYFUNCTION("""COMPUTED_VALUE"""),"work.arpangarg@gmail.com")</f>
        <v>work.arpangarg@gmail.com</v>
      </c>
      <c r="H535" s="31" t="str">
        <f>IFERROR(__xludf.DUMMYFUNCTION("""COMPUTED_VALUE"""),"Abhishek Gupta")</f>
        <v>Abhishek Gupta</v>
      </c>
      <c r="I535" s="75">
        <f>IFERROR(__xludf.DUMMYFUNCTION("""COMPUTED_VALUE"""),45805.0)</f>
        <v>45805</v>
      </c>
      <c r="J535" s="31" t="str">
        <f>IFERROR(__xludf.DUMMYFUNCTION("""COMPUTED_VALUE"""),"Nidhi Khedekar")</f>
        <v>Nidhi Khedekar</v>
      </c>
      <c r="K535" s="31" t="str">
        <f>IFERROR(__xludf.DUMMYFUNCTION("""COMPUTED_VALUE"""),"Joined")</f>
        <v>Joined</v>
      </c>
      <c r="L535" s="31" t="str">
        <f>IFERROR(__xludf.DUMMYFUNCTION("""COMPUTED_VALUE"""),"In Office")</f>
        <v>In Office</v>
      </c>
      <c r="M535" s="31" t="str">
        <f>IFERROR(__xludf.DUMMYFUNCTION("""COMPUTED_VALUE"""),"arpan.garg@zupee.in")</f>
        <v>arpan.garg@zupee.in</v>
      </c>
      <c r="N535" s="31"/>
    </row>
    <row r="536">
      <c r="A536" s="74">
        <f>IFERROR(__xludf.DUMMYFUNCTION("""COMPUTED_VALUE"""),45810.0)</f>
        <v>45810</v>
      </c>
      <c r="B536" s="31" t="str">
        <f>IFERROR(__xludf.DUMMYFUNCTION("""COMPUTED_VALUE"""),"Piyush Bansal")</f>
        <v>Piyush Bansal</v>
      </c>
      <c r="C536" s="31" t="str">
        <f>IFERROR(__xludf.DUMMYFUNCTION("""COMPUTED_VALUE"""),"Technology")</f>
        <v>Technology</v>
      </c>
      <c r="D536" s="31">
        <f>IFERROR(__xludf.DUMMYFUNCTION("""COMPUTED_VALUE"""),9.354933745E9)</f>
        <v>9354933745</v>
      </c>
      <c r="E536" s="31" t="str">
        <f>IFERROR(__xludf.DUMMYFUNCTION("""COMPUTED_VALUE"""),"Software Engineer Intern ")</f>
        <v>Software Engineer Intern </v>
      </c>
      <c r="F536" s="31" t="str">
        <f>IFERROR(__xludf.DUMMYFUNCTION("""COMPUTED_VALUE"""),"Engineering ")</f>
        <v>Engineering </v>
      </c>
      <c r="G536" s="31" t="str">
        <f>IFERROR(__xludf.DUMMYFUNCTION("""COMPUTED_VALUE"""),"77piyushbansal77@gmail.com")</f>
        <v>77piyushbansal77@gmail.com</v>
      </c>
      <c r="H536" s="31" t="str">
        <f>IFERROR(__xludf.DUMMYFUNCTION("""COMPUTED_VALUE"""),"Abhishek Gupta")</f>
        <v>Abhishek Gupta</v>
      </c>
      <c r="I536" s="75">
        <f>IFERROR(__xludf.DUMMYFUNCTION("""COMPUTED_VALUE"""),45805.0)</f>
        <v>45805</v>
      </c>
      <c r="J536" s="31" t="str">
        <f>IFERROR(__xludf.DUMMYFUNCTION("""COMPUTED_VALUE"""),"Nidhi Khedekar")</f>
        <v>Nidhi Khedekar</v>
      </c>
      <c r="K536" s="31" t="str">
        <f>IFERROR(__xludf.DUMMYFUNCTION("""COMPUTED_VALUE"""),"Joined")</f>
        <v>Joined</v>
      </c>
      <c r="L536" s="31" t="str">
        <f>IFERROR(__xludf.DUMMYFUNCTION("""COMPUTED_VALUE"""),"In Office")</f>
        <v>In Office</v>
      </c>
      <c r="M536" s="31" t="str">
        <f>IFERROR(__xludf.DUMMYFUNCTION("""COMPUTED_VALUE"""),"piyush.bansal@zupee.in")</f>
        <v>piyush.bansal@zupee.in</v>
      </c>
      <c r="N536" s="31"/>
    </row>
    <row r="537">
      <c r="A537" s="74">
        <f>IFERROR(__xludf.DUMMYFUNCTION("""COMPUTED_VALUE"""),45840.0)</f>
        <v>45840</v>
      </c>
      <c r="B537" s="31" t="str">
        <f>IFERROR(__xludf.DUMMYFUNCTION("""COMPUTED_VALUE"""),"Animesh Jain")</f>
        <v>Animesh Jain</v>
      </c>
      <c r="C537" s="31" t="str">
        <f>IFERROR(__xludf.DUMMYFUNCTION("""COMPUTED_VALUE"""),"Technology")</f>
        <v>Technology</v>
      </c>
      <c r="D537" s="31">
        <f>IFERROR(__xludf.DUMMYFUNCTION("""COMPUTED_VALUE"""),8.058777117E9)</f>
        <v>8058777117</v>
      </c>
      <c r="E537" s="31" t="str">
        <f>IFERROR(__xludf.DUMMYFUNCTION("""COMPUTED_VALUE"""),"Software Engineer")</f>
        <v>Software Engineer</v>
      </c>
      <c r="F537" s="31" t="str">
        <f>IFERROR(__xludf.DUMMYFUNCTION("""COMPUTED_VALUE"""),"Engineering ")</f>
        <v>Engineering </v>
      </c>
      <c r="G537" s="31" t="str">
        <f>IFERROR(__xludf.DUMMYFUNCTION("""COMPUTED_VALUE"""),"animeshjain0706@gmail.com")</f>
        <v>animeshjain0706@gmail.com</v>
      </c>
      <c r="H537" s="31" t="str">
        <f>IFERROR(__xludf.DUMMYFUNCTION("""COMPUTED_VALUE"""),"Abhishek Gupta")</f>
        <v>Abhishek Gupta</v>
      </c>
      <c r="I537" s="75">
        <f>IFERROR(__xludf.DUMMYFUNCTION("""COMPUTED_VALUE"""),45805.0)</f>
        <v>45805</v>
      </c>
      <c r="J537" s="31" t="str">
        <f>IFERROR(__xludf.DUMMYFUNCTION("""COMPUTED_VALUE"""),"Harsha Nanwani")</f>
        <v>Harsha Nanwani</v>
      </c>
      <c r="K537" s="31" t="str">
        <f>IFERROR(__xludf.DUMMYFUNCTION("""COMPUTED_VALUE"""),"Joined")</f>
        <v>Joined</v>
      </c>
      <c r="L537" s="31" t="str">
        <f>IFERROR(__xludf.DUMMYFUNCTION("""COMPUTED_VALUE"""),"In Office")</f>
        <v>In Office</v>
      </c>
      <c r="M537" s="31" t="str">
        <f>IFERROR(__xludf.DUMMYFUNCTION("""COMPUTED_VALUE"""),"animesh.jain@zupee.in")</f>
        <v>animesh.jain@zupee.in</v>
      </c>
      <c r="N537" s="31"/>
    </row>
    <row r="538">
      <c r="A538" s="74">
        <f>IFERROR(__xludf.DUMMYFUNCTION("""COMPUTED_VALUE"""),45841.0)</f>
        <v>45841</v>
      </c>
      <c r="B538" s="31" t="str">
        <f>IFERROR(__xludf.DUMMYFUNCTION("""COMPUTED_VALUE"""),"Suyash Kumar")</f>
        <v>Suyash Kumar</v>
      </c>
      <c r="C538" s="31" t="str">
        <f>IFERROR(__xludf.DUMMYFUNCTION("""COMPUTED_VALUE"""),"Data")</f>
        <v>Data</v>
      </c>
      <c r="D538" s="31">
        <f>IFERROR(__xludf.DUMMYFUNCTION("""COMPUTED_VALUE"""),8.505851867E9)</f>
        <v>8505851867</v>
      </c>
      <c r="E538" s="31" t="str">
        <f>IFERROR(__xludf.DUMMYFUNCTION("""COMPUTED_VALUE"""),"Senior Data Scientist")</f>
        <v>Senior Data Scientist</v>
      </c>
      <c r="F538" s="31" t="str">
        <f>IFERROR(__xludf.DUMMYFUNCTION("""COMPUTED_VALUE"""),"Data Science")</f>
        <v>Data Science</v>
      </c>
      <c r="G538" s="31" t="str">
        <f>IFERROR(__xludf.DUMMYFUNCTION("""COMPUTED_VALUE"""),"suyashk869@gmail.com")</f>
        <v>suyashk869@gmail.com</v>
      </c>
      <c r="H538" s="31" t="str">
        <f>IFERROR(__xludf.DUMMYFUNCTION("""COMPUTED_VALUE"""),"Deep Dwivedi ")</f>
        <v>Deep Dwivedi </v>
      </c>
      <c r="I538" s="75">
        <f>IFERROR(__xludf.DUMMYFUNCTION("""COMPUTED_VALUE"""),45805.0)</f>
        <v>45805</v>
      </c>
      <c r="J538" s="31" t="str">
        <f>IFERROR(__xludf.DUMMYFUNCTION("""COMPUTED_VALUE"""),"Mamta Pandey")</f>
        <v>Mamta Pandey</v>
      </c>
      <c r="K538" s="31" t="str">
        <f>IFERROR(__xludf.DUMMYFUNCTION("""COMPUTED_VALUE"""),"Joined")</f>
        <v>Joined</v>
      </c>
      <c r="L538" s="31" t="str">
        <f>IFERROR(__xludf.DUMMYFUNCTION("""COMPUTED_VALUE"""),"In Office")</f>
        <v>In Office</v>
      </c>
      <c r="M538" s="31" t="str">
        <f>IFERROR(__xludf.DUMMYFUNCTION("""COMPUTED_VALUE"""),"suyash.kumar@zupee.in")</f>
        <v>suyash.kumar@zupee.in</v>
      </c>
      <c r="N538" s="31"/>
    </row>
    <row r="539">
      <c r="A539" s="74">
        <f>IFERROR(__xludf.DUMMYFUNCTION("""COMPUTED_VALUE"""),45854.0)</f>
        <v>45854</v>
      </c>
      <c r="B539" s="31" t="str">
        <f>IFERROR(__xludf.DUMMYFUNCTION("""COMPUTED_VALUE"""),"Mohim Singla")</f>
        <v>Mohim Singla</v>
      </c>
      <c r="C539" s="31" t="str">
        <f>IFERROR(__xludf.DUMMYFUNCTION("""COMPUTED_VALUE"""),"Technology")</f>
        <v>Technology</v>
      </c>
      <c r="D539" s="31">
        <f>IFERROR(__xludf.DUMMYFUNCTION("""COMPUTED_VALUE"""),7.814693142E9)</f>
        <v>7814693142</v>
      </c>
      <c r="E539" s="31" t="str">
        <f>IFERROR(__xludf.DUMMYFUNCTION("""COMPUTED_VALUE"""),"Software Engineer")</f>
        <v>Software Engineer</v>
      </c>
      <c r="F539" s="31" t="str">
        <f>IFERROR(__xludf.DUMMYFUNCTION("""COMPUTED_VALUE"""),"Engineering ")</f>
        <v>Engineering </v>
      </c>
      <c r="G539" s="31" t="str">
        <f>IFERROR(__xludf.DUMMYFUNCTION("""COMPUTED_VALUE"""),"mohimsingla@gmail.com ")</f>
        <v>mohimsingla@gmail.com </v>
      </c>
      <c r="H539" s="31" t="str">
        <f>IFERROR(__xludf.DUMMYFUNCTION("""COMPUTED_VALUE"""),"Abhishek Gupta")</f>
        <v>Abhishek Gupta</v>
      </c>
      <c r="I539" s="75">
        <f>IFERROR(__xludf.DUMMYFUNCTION("""COMPUTED_VALUE"""),45806.0)</f>
        <v>45806</v>
      </c>
      <c r="J539" s="31" t="str">
        <f>IFERROR(__xludf.DUMMYFUNCTION("""COMPUTED_VALUE"""),"Nidhi Khedekar")</f>
        <v>Nidhi Khedekar</v>
      </c>
      <c r="K539" s="31" t="str">
        <f>IFERROR(__xludf.DUMMYFUNCTION("""COMPUTED_VALUE"""),"Joined")</f>
        <v>Joined</v>
      </c>
      <c r="L539" s="31" t="str">
        <f>IFERROR(__xludf.DUMMYFUNCTION("""COMPUTED_VALUE"""),"In Office")</f>
        <v>In Office</v>
      </c>
      <c r="M539" s="31" t="str">
        <f>IFERROR(__xludf.DUMMYFUNCTION("""COMPUTED_VALUE"""),"mohim.singla@zupee.in")</f>
        <v>mohim.singla@zupee.in</v>
      </c>
      <c r="N539" s="31" t="str">
        <f>IFERROR(__xludf.DUMMYFUNCTION("""COMPUTED_VALUE"""),"LJHW9W79H2")</f>
        <v>LJHW9W79H2</v>
      </c>
    </row>
    <row r="540">
      <c r="A540" s="74">
        <f>IFERROR(__xludf.DUMMYFUNCTION("""COMPUTED_VALUE"""),45810.0)</f>
        <v>45810</v>
      </c>
      <c r="B540" s="31" t="str">
        <f>IFERROR(__xludf.DUMMYFUNCTION("""COMPUTED_VALUE"""),"Aakash Phogat")</f>
        <v>Aakash Phogat</v>
      </c>
      <c r="C540" s="31" t="str">
        <f>IFERROR(__xludf.DUMMYFUNCTION("""COMPUTED_VALUE"""),"Technology")</f>
        <v>Technology</v>
      </c>
      <c r="D540" s="31">
        <f>IFERROR(__xludf.DUMMYFUNCTION("""COMPUTED_VALUE"""),7.876734403E9)</f>
        <v>7876734403</v>
      </c>
      <c r="E540" s="31" t="str">
        <f>IFERROR(__xludf.DUMMYFUNCTION("""COMPUTED_VALUE"""),"Software Engineer")</f>
        <v>Software Engineer</v>
      </c>
      <c r="F540" s="31" t="str">
        <f>IFERROR(__xludf.DUMMYFUNCTION("""COMPUTED_VALUE"""),"Engineering ")</f>
        <v>Engineering </v>
      </c>
      <c r="G540" s="31" t="str">
        <f>IFERROR(__xludf.DUMMYFUNCTION("""COMPUTED_VALUE"""),"aakashphogat16@gmail.com ")</f>
        <v>aakashphogat16@gmail.com </v>
      </c>
      <c r="H540" s="31" t="str">
        <f>IFERROR(__xludf.DUMMYFUNCTION("""COMPUTED_VALUE"""),"Abhishek Gupta")</f>
        <v>Abhishek Gupta</v>
      </c>
      <c r="I540" s="75">
        <f>IFERROR(__xludf.DUMMYFUNCTION("""COMPUTED_VALUE"""),45806.0)</f>
        <v>45806</v>
      </c>
      <c r="J540" s="31" t="str">
        <f>IFERROR(__xludf.DUMMYFUNCTION("""COMPUTED_VALUE"""),"Nidhi Khedekar")</f>
        <v>Nidhi Khedekar</v>
      </c>
      <c r="K540" s="31" t="str">
        <f>IFERROR(__xludf.DUMMYFUNCTION("""COMPUTED_VALUE"""),"Joined")</f>
        <v>Joined</v>
      </c>
      <c r="L540" s="31" t="str">
        <f>IFERROR(__xludf.DUMMYFUNCTION("""COMPUTED_VALUE"""),"In Office")</f>
        <v>In Office</v>
      </c>
      <c r="M540" s="31" t="str">
        <f>IFERROR(__xludf.DUMMYFUNCTION("""COMPUTED_VALUE"""),"aakash.phogat@zupee.in")</f>
        <v>aakash.phogat@zupee.in</v>
      </c>
      <c r="N540" s="31"/>
    </row>
    <row r="541">
      <c r="A541" s="74">
        <f>IFERROR(__xludf.DUMMYFUNCTION("""COMPUTED_VALUE"""),45870.0)</f>
        <v>45870</v>
      </c>
      <c r="B541" s="31" t="str">
        <f>IFERROR(__xludf.DUMMYFUNCTION("""COMPUTED_VALUE"""),"Aditya Gupta")</f>
        <v>Aditya Gupta</v>
      </c>
      <c r="C541" s="31" t="str">
        <f>IFERROR(__xludf.DUMMYFUNCTION("""COMPUTED_VALUE"""),"Data")</f>
        <v>Data</v>
      </c>
      <c r="D541" s="31">
        <f>IFERROR(__xludf.DUMMYFUNCTION("""COMPUTED_VALUE"""),9.31003049E9)</f>
        <v>9310030490</v>
      </c>
      <c r="E541" s="31" t="str">
        <f>IFERROR(__xludf.DUMMYFUNCTION("""COMPUTED_VALUE""")," Lead Data Analyst")</f>
        <v> Lead Data Analyst</v>
      </c>
      <c r="F541" s="31" t="str">
        <f>IFERROR(__xludf.DUMMYFUNCTION("""COMPUTED_VALUE"""),"Data Analytics")</f>
        <v>Data Analytics</v>
      </c>
      <c r="G541" s="31" t="str">
        <f>IFERROR(__xludf.DUMMYFUNCTION("""COMPUTED_VALUE"""),"adityagupta97.ag@gmail.com")</f>
        <v>adityagupta97.ag@gmail.com</v>
      </c>
      <c r="H541" s="31" t="str">
        <f>IFERROR(__xludf.DUMMYFUNCTION("""COMPUTED_VALUE"""),"Raman Malik    ")</f>
        <v>Raman Malik    </v>
      </c>
      <c r="I541" s="75">
        <f>IFERROR(__xludf.DUMMYFUNCTION("""COMPUTED_VALUE"""),45806.0)</f>
        <v>45806</v>
      </c>
      <c r="J541" s="31" t="str">
        <f>IFERROR(__xludf.DUMMYFUNCTION("""COMPUTED_VALUE"""),"Mamta Pandey")</f>
        <v>Mamta Pandey</v>
      </c>
      <c r="K541" s="31" t="str">
        <f>IFERROR(__xludf.DUMMYFUNCTION("""COMPUTED_VALUE"""),"Joined")</f>
        <v>Joined</v>
      </c>
      <c r="L541" s="31" t="str">
        <f>IFERROR(__xludf.DUMMYFUNCTION("""COMPUTED_VALUE"""),"In Office")</f>
        <v>In Office</v>
      </c>
      <c r="M541" s="31" t="str">
        <f>IFERROR(__xludf.DUMMYFUNCTION("""COMPUTED_VALUE"""),"aditya.gupta@zupee.in")</f>
        <v>aditya.gupta@zupee.in</v>
      </c>
      <c r="N541" s="31" t="str">
        <f>IFERROR(__xludf.DUMMYFUNCTION("""COMPUTED_VALUE"""),"M24XXR5WYR")</f>
        <v>M24XXR5WYR</v>
      </c>
    </row>
    <row r="542">
      <c r="A542" s="74">
        <f>IFERROR(__xludf.DUMMYFUNCTION("""COMPUTED_VALUE"""),45870.0)</f>
        <v>45870</v>
      </c>
      <c r="B542" s="31" t="str">
        <f>IFERROR(__xludf.DUMMYFUNCTION("""COMPUTED_VALUE"""),"Ashish Khandelwal")</f>
        <v>Ashish Khandelwal</v>
      </c>
      <c r="C542" s="31" t="str">
        <f>IFERROR(__xludf.DUMMYFUNCTION("""COMPUTED_VALUE"""),"Data")</f>
        <v>Data</v>
      </c>
      <c r="D542" s="31">
        <f>IFERROR(__xludf.DUMMYFUNCTION("""COMPUTED_VALUE"""),8.510863745E9)</f>
        <v>8510863745</v>
      </c>
      <c r="E542" s="31" t="str">
        <f>IFERROR(__xludf.DUMMYFUNCTION("""COMPUTED_VALUE"""),"Senior Machine Learning Engineer")</f>
        <v>Senior Machine Learning Engineer</v>
      </c>
      <c r="F542" s="31" t="str">
        <f>IFERROR(__xludf.DUMMYFUNCTION("""COMPUTED_VALUE"""),"Data Science")</f>
        <v>Data Science</v>
      </c>
      <c r="G542" s="31" t="str">
        <f>IFERROR(__xludf.DUMMYFUNCTION("""COMPUTED_VALUE"""),"khandelwalashish392@gmail.com")</f>
        <v>khandelwalashish392@gmail.com</v>
      </c>
      <c r="H542" s="31" t="str">
        <f>IFERROR(__xludf.DUMMYFUNCTION("""COMPUTED_VALUE"""),"Nandeshwar Gupta")</f>
        <v>Nandeshwar Gupta</v>
      </c>
      <c r="I542" s="75">
        <f>IFERROR(__xludf.DUMMYFUNCTION("""COMPUTED_VALUE"""),45807.0)</f>
        <v>45807</v>
      </c>
      <c r="J542" s="31" t="str">
        <f>IFERROR(__xludf.DUMMYFUNCTION("""COMPUTED_VALUE"""),"Mamta Pandey")</f>
        <v>Mamta Pandey</v>
      </c>
      <c r="K542" s="31" t="str">
        <f>IFERROR(__xludf.DUMMYFUNCTION("""COMPUTED_VALUE"""),"Offer Declined")</f>
        <v>Offer Declined</v>
      </c>
      <c r="L542" s="31" t="str">
        <f>IFERROR(__xludf.DUMMYFUNCTION("""COMPUTED_VALUE"""),"In Office")</f>
        <v>In Office</v>
      </c>
      <c r="M542" s="31"/>
      <c r="N542" s="31"/>
    </row>
    <row r="543">
      <c r="A543" s="74">
        <f>IFERROR(__xludf.DUMMYFUNCTION("""COMPUTED_VALUE"""),45824.0)</f>
        <v>45824</v>
      </c>
      <c r="B543" s="31" t="str">
        <f>IFERROR(__xludf.DUMMYFUNCTION("""COMPUTED_VALUE"""),"Nitin Kaplas
")</f>
        <v>Nitin Kaplas
</v>
      </c>
      <c r="C543" s="31" t="str">
        <f>IFERROR(__xludf.DUMMYFUNCTION("""COMPUTED_VALUE"""),"Technology")</f>
        <v>Technology</v>
      </c>
      <c r="D543" s="31">
        <f>IFERROR(__xludf.DUMMYFUNCTION("""COMPUTED_VALUE"""),8.837700899E9)</f>
        <v>8837700899</v>
      </c>
      <c r="E543" s="31" t="str">
        <f>IFERROR(__xludf.DUMMYFUNCTION("""COMPUTED_VALUE"""),"Software Engineer")</f>
        <v>Software Engineer</v>
      </c>
      <c r="F543" s="31" t="str">
        <f>IFERROR(__xludf.DUMMYFUNCTION("""COMPUTED_VALUE"""),"Engineering ")</f>
        <v>Engineering </v>
      </c>
      <c r="G543" s="31" t="str">
        <f>IFERROR(__xludf.DUMMYFUNCTION("""COMPUTED_VALUE"""),"nitinkaplas90643@gmail.com")</f>
        <v>nitinkaplas90643@gmail.com</v>
      </c>
      <c r="H543" s="31" t="str">
        <f>IFERROR(__xludf.DUMMYFUNCTION("""COMPUTED_VALUE"""),"Abhishek Gupta")</f>
        <v>Abhishek Gupta</v>
      </c>
      <c r="I543" s="75">
        <f>IFERROR(__xludf.DUMMYFUNCTION("""COMPUTED_VALUE"""),45807.0)</f>
        <v>45807</v>
      </c>
      <c r="J543" s="31" t="str">
        <f>IFERROR(__xludf.DUMMYFUNCTION("""COMPUTED_VALUE"""),"Mamta Pandey")</f>
        <v>Mamta Pandey</v>
      </c>
      <c r="K543" s="31" t="str">
        <f>IFERROR(__xludf.DUMMYFUNCTION("""COMPUTED_VALUE"""),"Joined")</f>
        <v>Joined</v>
      </c>
      <c r="L543" s="31" t="str">
        <f>IFERROR(__xludf.DUMMYFUNCTION("""COMPUTED_VALUE"""),"In Office")</f>
        <v>In Office</v>
      </c>
      <c r="M543" s="31"/>
      <c r="N543" s="31"/>
    </row>
    <row r="544">
      <c r="A544" s="74">
        <f>IFERROR(__xludf.DUMMYFUNCTION("""COMPUTED_VALUE"""),45810.0)</f>
        <v>45810</v>
      </c>
      <c r="B544" s="31" t="str">
        <f>IFERROR(__xludf.DUMMYFUNCTION("""COMPUTED_VALUE"""),"YOGENDRA TIWARI")</f>
        <v>YOGENDRA TIWARI</v>
      </c>
      <c r="C544" s="31" t="str">
        <f>IFERROR(__xludf.DUMMYFUNCTION("""COMPUTED_VALUE"""),"Technology")</f>
        <v>Technology</v>
      </c>
      <c r="D544" s="31">
        <f>IFERROR(__xludf.DUMMYFUNCTION("""COMPUTED_VALUE"""),8.707552045E9)</f>
        <v>8707552045</v>
      </c>
      <c r="E544" s="31" t="str">
        <f>IFERROR(__xludf.DUMMYFUNCTION("""COMPUTED_VALUE"""),"Software Engineer Intern ")</f>
        <v>Software Engineer Intern </v>
      </c>
      <c r="F544" s="31" t="str">
        <f>IFERROR(__xludf.DUMMYFUNCTION("""COMPUTED_VALUE"""),"Engineering ")</f>
        <v>Engineering </v>
      </c>
      <c r="G544" s="31" t="str">
        <f>IFERROR(__xludf.DUMMYFUNCTION("""COMPUTED_VALUE"""),"yteewari@gmail.com")</f>
        <v>yteewari@gmail.com</v>
      </c>
      <c r="H544" s="31" t="str">
        <f>IFERROR(__xludf.DUMMYFUNCTION("""COMPUTED_VALUE"""),"Abhishek Gupta")</f>
        <v>Abhishek Gupta</v>
      </c>
      <c r="I544" s="75">
        <f>IFERROR(__xludf.DUMMYFUNCTION("""COMPUTED_VALUE"""),45807.0)</f>
        <v>45807</v>
      </c>
      <c r="J544" s="31" t="str">
        <f>IFERROR(__xludf.DUMMYFUNCTION("""COMPUTED_VALUE"""),"Nidhi Khedekar")</f>
        <v>Nidhi Khedekar</v>
      </c>
      <c r="K544" s="31" t="str">
        <f>IFERROR(__xludf.DUMMYFUNCTION("""COMPUTED_VALUE"""),"Joined")</f>
        <v>Joined</v>
      </c>
      <c r="L544" s="31" t="str">
        <f>IFERROR(__xludf.DUMMYFUNCTION("""COMPUTED_VALUE"""),"In Office")</f>
        <v>In Office</v>
      </c>
      <c r="M544" s="31" t="str">
        <f>IFERROR(__xludf.DUMMYFUNCTION("""COMPUTED_VALUE"""),"yogendra.tiwari@zupee.in")</f>
        <v>yogendra.tiwari@zupee.in</v>
      </c>
      <c r="N544" s="31" t="str">
        <f>IFERROR(__xludf.DUMMYFUNCTION("""COMPUTED_VALUE"""),"D4R40Q6C9M")</f>
        <v>D4R40Q6C9M</v>
      </c>
    </row>
    <row r="545">
      <c r="A545" s="74">
        <f>IFERROR(__xludf.DUMMYFUNCTION("""COMPUTED_VALUE"""),45839.0)</f>
        <v>45839</v>
      </c>
      <c r="B545" s="31" t="str">
        <f>IFERROR(__xludf.DUMMYFUNCTION("""COMPUTED_VALUE"""),"YOGENDRA TIWARI")</f>
        <v>YOGENDRA TIWARI</v>
      </c>
      <c r="C545" s="31" t="str">
        <f>IFERROR(__xludf.DUMMYFUNCTION("""COMPUTED_VALUE"""),"Technology")</f>
        <v>Technology</v>
      </c>
      <c r="D545" s="31">
        <f>IFERROR(__xludf.DUMMYFUNCTION("""COMPUTED_VALUE"""),8.707552045E9)</f>
        <v>8707552045</v>
      </c>
      <c r="E545" s="31" t="str">
        <f>IFERROR(__xludf.DUMMYFUNCTION("""COMPUTED_VALUE"""),"Software Engineer")</f>
        <v>Software Engineer</v>
      </c>
      <c r="F545" s="31" t="str">
        <f>IFERROR(__xludf.DUMMYFUNCTION("""COMPUTED_VALUE"""),"Engineering ")</f>
        <v>Engineering </v>
      </c>
      <c r="G545" s="31" t="str">
        <f>IFERROR(__xludf.DUMMYFUNCTION("""COMPUTED_VALUE"""),"yteewari@gmail.com")</f>
        <v>yteewari@gmail.com</v>
      </c>
      <c r="H545" s="31" t="str">
        <f>IFERROR(__xludf.DUMMYFUNCTION("""COMPUTED_VALUE"""),"Abhishek Gupta")</f>
        <v>Abhishek Gupta</v>
      </c>
      <c r="I545" s="75">
        <f>IFERROR(__xludf.DUMMYFUNCTION("""COMPUTED_VALUE"""),45807.0)</f>
        <v>45807</v>
      </c>
      <c r="J545" s="31" t="str">
        <f>IFERROR(__xludf.DUMMYFUNCTION("""COMPUTED_VALUE"""),"Nidhi Khedekar")</f>
        <v>Nidhi Khedekar</v>
      </c>
      <c r="K545" s="31" t="str">
        <f>IFERROR(__xludf.DUMMYFUNCTION("""COMPUTED_VALUE"""),"Joined")</f>
        <v>Joined</v>
      </c>
      <c r="L545" s="31" t="str">
        <f>IFERROR(__xludf.DUMMYFUNCTION("""COMPUTED_VALUE"""),"In Office")</f>
        <v>In Office</v>
      </c>
      <c r="M545" s="31" t="str">
        <f>IFERROR(__xludf.DUMMYFUNCTION("""COMPUTED_VALUE"""),"yogendra.tiwari@zupee.in")</f>
        <v>yogendra.tiwari@zupee.in</v>
      </c>
      <c r="N545" s="31" t="str">
        <f>IFERROR(__xludf.DUMMYFUNCTION("""COMPUTED_VALUE"""),"D4R40Q6C9M")</f>
        <v>D4R40Q6C9M</v>
      </c>
    </row>
    <row r="546">
      <c r="A546" s="74">
        <f>IFERROR(__xludf.DUMMYFUNCTION("""COMPUTED_VALUE"""),45817.0)</f>
        <v>45817</v>
      </c>
      <c r="B546" s="31" t="str">
        <f>IFERROR(__xludf.DUMMYFUNCTION("""COMPUTED_VALUE"""),"Sahil Brahmania")</f>
        <v>Sahil Brahmania</v>
      </c>
      <c r="C546" s="31" t="str">
        <f>IFERROR(__xludf.DUMMYFUNCTION("""COMPUTED_VALUE"""),"Digital Marketing")</f>
        <v>Digital Marketing</v>
      </c>
      <c r="D546" s="31">
        <f>IFERROR(__xludf.DUMMYFUNCTION("""COMPUTED_VALUE"""),9.041228695E9)</f>
        <v>9041228695</v>
      </c>
      <c r="E546" s="31" t="str">
        <f>IFERROR(__xludf.DUMMYFUNCTION("""COMPUTED_VALUE"""),"Genral Manager- Digital Marketing")</f>
        <v>Genral Manager- Digital Marketing</v>
      </c>
      <c r="F546" s="31" t="str">
        <f>IFERROR(__xludf.DUMMYFUNCTION("""COMPUTED_VALUE"""),"Performance Marketing")</f>
        <v>Performance Marketing</v>
      </c>
      <c r="G546" s="31" t="str">
        <f>IFERROR(__xludf.DUMMYFUNCTION("""COMPUTED_VALUE"""),"sahilbm.brahmania19@gmail.com")</f>
        <v>sahilbm.brahmania19@gmail.com</v>
      </c>
      <c r="H546" s="31" t="str">
        <f>IFERROR(__xludf.DUMMYFUNCTION("""COMPUTED_VALUE"""),"Nishant Jaiswal")</f>
        <v>Nishant Jaiswal</v>
      </c>
      <c r="I546" s="75">
        <f>IFERROR(__xludf.DUMMYFUNCTION("""COMPUTED_VALUE"""),45807.0)</f>
        <v>45807</v>
      </c>
      <c r="J546" s="31" t="str">
        <f>IFERROR(__xludf.DUMMYFUNCTION("""COMPUTED_VALUE"""),"Rajneesh Yadav")</f>
        <v>Rajneesh Yadav</v>
      </c>
      <c r="K546" s="31" t="str">
        <f>IFERROR(__xludf.DUMMYFUNCTION("""COMPUTED_VALUE"""),"Joined")</f>
        <v>Joined</v>
      </c>
      <c r="L546" s="31" t="str">
        <f>IFERROR(__xludf.DUMMYFUNCTION("""COMPUTED_VALUE"""),"In Office")</f>
        <v>In Office</v>
      </c>
      <c r="M546" s="31" t="str">
        <f>IFERROR(__xludf.DUMMYFUNCTION("""COMPUTED_VALUE"""),"sahil.brahmania@zupee.in")</f>
        <v>sahil.brahmania@zupee.in</v>
      </c>
      <c r="N546" s="31" t="str">
        <f>IFERROR(__xludf.DUMMYFUNCTION("""COMPUTED_VALUE"""),"G9KY2J6HGJ")</f>
        <v>G9KY2J6HGJ</v>
      </c>
    </row>
    <row r="547">
      <c r="A547" s="74">
        <f>IFERROR(__xludf.DUMMYFUNCTION("""COMPUTED_VALUE"""),45810.0)</f>
        <v>45810</v>
      </c>
      <c r="B547" s="31" t="str">
        <f>IFERROR(__xludf.DUMMYFUNCTION("""COMPUTED_VALUE"""),"Karan Goyal")</f>
        <v>Karan Goyal</v>
      </c>
      <c r="C547" s="31" t="str">
        <f>IFERROR(__xludf.DUMMYFUNCTION("""COMPUTED_VALUE"""),"Product")</f>
        <v>Product</v>
      </c>
      <c r="D547" s="31">
        <f>IFERROR(__xludf.DUMMYFUNCTION("""COMPUTED_VALUE"""),9.46319427E9)</f>
        <v>9463194270</v>
      </c>
      <c r="E547" s="31" t="str">
        <f>IFERROR(__xludf.DUMMYFUNCTION("""COMPUTED_VALUE"""),"Product management Intern")</f>
        <v>Product management Intern</v>
      </c>
      <c r="F547" s="31" t="str">
        <f>IFERROR(__xludf.DUMMYFUNCTION("""COMPUTED_VALUE"""),"Product Management")</f>
        <v>Product Management</v>
      </c>
      <c r="G547" s="31" t="str">
        <f>IFERROR(__xludf.DUMMYFUNCTION("""COMPUTED_VALUE"""),"kg14goyal@gmail.com")</f>
        <v>kg14goyal@gmail.com</v>
      </c>
      <c r="H547" s="31" t="str">
        <f>IFERROR(__xludf.DUMMYFUNCTION("""COMPUTED_VALUE"""),"Maneesha Negi")</f>
        <v>Maneesha Negi</v>
      </c>
      <c r="I547" s="75">
        <f>IFERROR(__xludf.DUMMYFUNCTION("""COMPUTED_VALUE"""),45807.0)</f>
        <v>45807</v>
      </c>
      <c r="J547" s="31" t="str">
        <f>IFERROR(__xludf.DUMMYFUNCTION("""COMPUTED_VALUE"""),"Naina")</f>
        <v>Naina</v>
      </c>
      <c r="K547" s="31" t="str">
        <f>IFERROR(__xludf.DUMMYFUNCTION("""COMPUTED_VALUE"""),"Joined")</f>
        <v>Joined</v>
      </c>
      <c r="L547" s="31" t="str">
        <f>IFERROR(__xludf.DUMMYFUNCTION("""COMPUTED_VALUE"""),"In Office")</f>
        <v>In Office</v>
      </c>
      <c r="M547" s="31" t="str">
        <f>IFERROR(__xludf.DUMMYFUNCTION("""COMPUTED_VALUE"""),"karan.goyal@zupee.in")</f>
        <v>karan.goyal@zupee.in</v>
      </c>
      <c r="N547" s="31"/>
    </row>
    <row r="548">
      <c r="A548" s="74">
        <f>IFERROR(__xludf.DUMMYFUNCTION("""COMPUTED_VALUE"""),45819.0)</f>
        <v>45819</v>
      </c>
      <c r="B548" s="31" t="str">
        <f>IFERROR(__xludf.DUMMYFUNCTION("""COMPUTED_VALUE"""),"Manas Singh")</f>
        <v>Manas Singh</v>
      </c>
      <c r="C548" s="31" t="str">
        <f>IFERROR(__xludf.DUMMYFUNCTION("""COMPUTED_VALUE"""),"Technology")</f>
        <v>Technology</v>
      </c>
      <c r="D548" s="31">
        <f>IFERROR(__xludf.DUMMYFUNCTION("""COMPUTED_VALUE"""),8.130577549E9)</f>
        <v>8130577549</v>
      </c>
      <c r="E548" s="31" t="str">
        <f>IFERROR(__xludf.DUMMYFUNCTION("""COMPUTED_VALUE"""),"Software Engineer")</f>
        <v>Software Engineer</v>
      </c>
      <c r="F548" s="31" t="str">
        <f>IFERROR(__xludf.DUMMYFUNCTION("""COMPUTED_VALUE"""),"Engineering ")</f>
        <v>Engineering </v>
      </c>
      <c r="G548" s="31" t="str">
        <f>IFERROR(__xludf.DUMMYFUNCTION("""COMPUTED_VALUE"""),"manassingh910@gmail.com")</f>
        <v>manassingh910@gmail.com</v>
      </c>
      <c r="H548" s="31" t="str">
        <f>IFERROR(__xludf.DUMMYFUNCTION("""COMPUTED_VALUE"""),"Abhishek Gupta")</f>
        <v>Abhishek Gupta</v>
      </c>
      <c r="I548" s="75">
        <f>IFERROR(__xludf.DUMMYFUNCTION("""COMPUTED_VALUE"""),45810.0)</f>
        <v>45810</v>
      </c>
      <c r="J548" s="31" t="str">
        <f>IFERROR(__xludf.DUMMYFUNCTION("""COMPUTED_VALUE"""),"Nidhi Khedekar")</f>
        <v>Nidhi Khedekar</v>
      </c>
      <c r="K548" s="31" t="str">
        <f>IFERROR(__xludf.DUMMYFUNCTION("""COMPUTED_VALUE"""),"Joined")</f>
        <v>Joined</v>
      </c>
      <c r="L548" s="31" t="str">
        <f>IFERROR(__xludf.DUMMYFUNCTION("""COMPUTED_VALUE"""),"In Office")</f>
        <v>In Office</v>
      </c>
      <c r="M548" s="31" t="str">
        <f>IFERROR(__xludf.DUMMYFUNCTION("""COMPUTED_VALUE"""),"manas.singh@zupee.in")</f>
        <v>manas.singh@zupee.in</v>
      </c>
      <c r="N548" s="31"/>
    </row>
    <row r="549">
      <c r="A549" s="74">
        <f>IFERROR(__xludf.DUMMYFUNCTION("""COMPUTED_VALUE"""),45826.0)</f>
        <v>45826</v>
      </c>
      <c r="B549" s="31" t="str">
        <f>IFERROR(__xludf.DUMMYFUNCTION("""COMPUTED_VALUE"""),"Shivam Bansal")</f>
        <v>Shivam Bansal</v>
      </c>
      <c r="C549" s="31" t="str">
        <f>IFERROR(__xludf.DUMMYFUNCTION("""COMPUTED_VALUE"""),"Data")</f>
        <v>Data</v>
      </c>
      <c r="D549" s="31">
        <f>IFERROR(__xludf.DUMMYFUNCTION("""COMPUTED_VALUE"""),8.370046642E9)</f>
        <v>8370046642</v>
      </c>
      <c r="E549" s="31" t="str">
        <f>IFERROR(__xludf.DUMMYFUNCTION("""COMPUTED_VALUE"""),"Senior Data Engineer")</f>
        <v>Senior Data Engineer</v>
      </c>
      <c r="F549" s="31" t="str">
        <f>IFERROR(__xludf.DUMMYFUNCTION("""COMPUTED_VALUE"""),"Data Engineering")</f>
        <v>Data Engineering</v>
      </c>
      <c r="G549" s="31" t="str">
        <f>IFERROR(__xludf.DUMMYFUNCTION("""COMPUTED_VALUE"""),"bshivam648@gmail.com")</f>
        <v>bshivam648@gmail.com</v>
      </c>
      <c r="H549" s="31" t="str">
        <f>IFERROR(__xludf.DUMMYFUNCTION("""COMPUTED_VALUE"""),"Aman Bahl")</f>
        <v>Aman Bahl</v>
      </c>
      <c r="I549" s="75">
        <f>IFERROR(__xludf.DUMMYFUNCTION("""COMPUTED_VALUE"""),45810.0)</f>
        <v>45810</v>
      </c>
      <c r="J549" s="31" t="str">
        <f>IFERROR(__xludf.DUMMYFUNCTION("""COMPUTED_VALUE"""),"Naina")</f>
        <v>Naina</v>
      </c>
      <c r="K549" s="31" t="str">
        <f>IFERROR(__xludf.DUMMYFUNCTION("""COMPUTED_VALUE"""),"Offer Declined")</f>
        <v>Offer Declined</v>
      </c>
      <c r="L549" s="31" t="str">
        <f>IFERROR(__xludf.DUMMYFUNCTION("""COMPUTED_VALUE"""),"In Office")</f>
        <v>In Office</v>
      </c>
      <c r="M549" s="31"/>
      <c r="N549" s="31"/>
    </row>
    <row r="550">
      <c r="A550" s="74">
        <f>IFERROR(__xludf.DUMMYFUNCTION("""COMPUTED_VALUE"""),45841.0)</f>
        <v>45841</v>
      </c>
      <c r="B550" s="31" t="str">
        <f>IFERROR(__xludf.DUMMYFUNCTION("""COMPUTED_VALUE"""),"Chirag Goyal")</f>
        <v>Chirag Goyal</v>
      </c>
      <c r="C550" s="31" t="str">
        <f>IFERROR(__xludf.DUMMYFUNCTION("""COMPUTED_VALUE"""),"Technology")</f>
        <v>Technology</v>
      </c>
      <c r="D550" s="31">
        <f>IFERROR(__xludf.DUMMYFUNCTION("""COMPUTED_VALUE"""),9.91008153E9)</f>
        <v>9910081530</v>
      </c>
      <c r="E550" s="31" t="str">
        <f>IFERROR(__xludf.DUMMYFUNCTION("""COMPUTED_VALUE"""),"Software Engineer")</f>
        <v>Software Engineer</v>
      </c>
      <c r="F550" s="31" t="str">
        <f>IFERROR(__xludf.DUMMYFUNCTION("""COMPUTED_VALUE"""),"Engineering ")</f>
        <v>Engineering </v>
      </c>
      <c r="G550" s="31" t="str">
        <f>IFERROR(__xludf.DUMMYFUNCTION("""COMPUTED_VALUE"""),"chiraggoyel98@gmail.com")</f>
        <v>chiraggoyel98@gmail.com</v>
      </c>
      <c r="H550" s="31" t="str">
        <f>IFERROR(__xludf.DUMMYFUNCTION("""COMPUTED_VALUE"""),"Abhishek Gupta")</f>
        <v>Abhishek Gupta</v>
      </c>
      <c r="I550" s="75">
        <f>IFERROR(__xludf.DUMMYFUNCTION("""COMPUTED_VALUE"""),45810.0)</f>
        <v>45810</v>
      </c>
      <c r="J550" s="31" t="str">
        <f>IFERROR(__xludf.DUMMYFUNCTION("""COMPUTED_VALUE"""),"Harsha Nanwani")</f>
        <v>Harsha Nanwani</v>
      </c>
      <c r="K550" s="31" t="str">
        <f>IFERROR(__xludf.DUMMYFUNCTION("""COMPUTED_VALUE"""),"Joined")</f>
        <v>Joined</v>
      </c>
      <c r="L550" s="31" t="str">
        <f>IFERROR(__xludf.DUMMYFUNCTION("""COMPUTED_VALUE"""),"In Office")</f>
        <v>In Office</v>
      </c>
      <c r="M550" s="31" t="str">
        <f>IFERROR(__xludf.DUMMYFUNCTION("""COMPUTED_VALUE"""),"chirag.goyal@zupee.in")</f>
        <v>chirag.goyal@zupee.in</v>
      </c>
      <c r="N550" s="31"/>
    </row>
    <row r="551">
      <c r="A551" s="74">
        <f>IFERROR(__xludf.DUMMYFUNCTION("""COMPUTED_VALUE"""),45813.0)</f>
        <v>45813</v>
      </c>
      <c r="B551" s="31" t="str">
        <f>IFERROR(__xludf.DUMMYFUNCTION("""COMPUTED_VALUE"""),"Shailja Tiwari")</f>
        <v>Shailja Tiwari</v>
      </c>
      <c r="C551" s="31" t="str">
        <f>IFERROR(__xludf.DUMMYFUNCTION("""COMPUTED_VALUE"""),"Public Relations &amp; Corporate Communications ")</f>
        <v>Public Relations &amp; Corporate Communications </v>
      </c>
      <c r="D551" s="31">
        <f>IFERROR(__xludf.DUMMYFUNCTION("""COMPUTED_VALUE"""),8.769986995E9)</f>
        <v>8769986995</v>
      </c>
      <c r="E551" s="31" t="str">
        <f>IFERROR(__xludf.DUMMYFUNCTION("""COMPUTED_VALUE"""),"Senior Public Relations Executive")</f>
        <v>Senior Public Relations Executive</v>
      </c>
      <c r="F551" s="31" t="str">
        <f>IFERROR(__xludf.DUMMYFUNCTION("""COMPUTED_VALUE"""),"PR &amp; Corp Comm.")</f>
        <v>PR &amp; Corp Comm.</v>
      </c>
      <c r="G551" s="31" t="str">
        <f>IFERROR(__xludf.DUMMYFUNCTION("""COMPUTED_VALUE""")," tiwarishailja06@gmail.com")</f>
        <v> tiwarishailja06@gmail.com</v>
      </c>
      <c r="H551" s="31" t="str">
        <f>IFERROR(__xludf.DUMMYFUNCTION("""COMPUTED_VALUE"""),"Prachi Kabthiyal")</f>
        <v>Prachi Kabthiyal</v>
      </c>
      <c r="I551" s="75">
        <f>IFERROR(__xludf.DUMMYFUNCTION("""COMPUTED_VALUE"""),45812.0)</f>
        <v>45812</v>
      </c>
      <c r="J551" s="31" t="str">
        <f>IFERROR(__xludf.DUMMYFUNCTION("""COMPUTED_VALUE"""),"Shivam Sharma")</f>
        <v>Shivam Sharma</v>
      </c>
      <c r="K551" s="31" t="str">
        <f>IFERROR(__xludf.DUMMYFUNCTION("""COMPUTED_VALUE"""),"Joined")</f>
        <v>Joined</v>
      </c>
      <c r="L551" s="31" t="str">
        <f>IFERROR(__xludf.DUMMYFUNCTION("""COMPUTED_VALUE"""),"In Office")</f>
        <v>In Office</v>
      </c>
      <c r="M551" s="31" t="str">
        <f>IFERROR(__xludf.DUMMYFUNCTION("""COMPUTED_VALUE"""),"shailja.tiwari@zupee.in")</f>
        <v>shailja.tiwari@zupee.in</v>
      </c>
      <c r="N551" s="31" t="str">
        <f>IFERROR(__xludf.DUMMYFUNCTION("""COMPUTED_VALUE"""),"PW03VMKP")</f>
        <v>PW03VMKP</v>
      </c>
    </row>
    <row r="552">
      <c r="A552" s="74">
        <f>IFERROR(__xludf.DUMMYFUNCTION("""COMPUTED_VALUE"""),45824.0)</f>
        <v>45824</v>
      </c>
      <c r="B552" s="31" t="str">
        <f>IFERROR(__xludf.DUMMYFUNCTION("""COMPUTED_VALUE"""),"Mohit Garg")</f>
        <v>Mohit Garg</v>
      </c>
      <c r="C552" s="31" t="str">
        <f>IFERROR(__xludf.DUMMYFUNCTION("""COMPUTED_VALUE"""),"Digital Marketing")</f>
        <v>Digital Marketing</v>
      </c>
      <c r="D552" s="31">
        <f>IFERROR(__xludf.DUMMYFUNCTION("""COMPUTED_VALUE"""),8.88232818E9)</f>
        <v>8882328180</v>
      </c>
      <c r="E552" s="31" t="str">
        <f>IFERROR(__xludf.DUMMYFUNCTION("""COMPUTED_VALUE"""),"Director- Marketing")</f>
        <v>Director- Marketing</v>
      </c>
      <c r="F552" s="31" t="str">
        <f>IFERROR(__xludf.DUMMYFUNCTION("""COMPUTED_VALUE"""),"Performance Marketing")</f>
        <v>Performance Marketing</v>
      </c>
      <c r="G552" s="31" t="str">
        <f>IFERROR(__xludf.DUMMYFUNCTION("""COMPUTED_VALUE"""),"mohitgarg10999@gmail.com")</f>
        <v>mohitgarg10999@gmail.com</v>
      </c>
      <c r="H552" s="31" t="str">
        <f>IFERROR(__xludf.DUMMYFUNCTION("""COMPUTED_VALUE"""),"Akanksha Dhamija")</f>
        <v>Akanksha Dhamija</v>
      </c>
      <c r="I552" s="75">
        <f>IFERROR(__xludf.DUMMYFUNCTION("""COMPUTED_VALUE"""),45812.0)</f>
        <v>45812</v>
      </c>
      <c r="J552" s="31" t="str">
        <f>IFERROR(__xludf.DUMMYFUNCTION("""COMPUTED_VALUE"""),"Rajneesh Yadav")</f>
        <v>Rajneesh Yadav</v>
      </c>
      <c r="K552" s="31" t="str">
        <f>IFERROR(__xludf.DUMMYFUNCTION("""COMPUTED_VALUE"""),"Joined")</f>
        <v>Joined</v>
      </c>
      <c r="L552" s="31" t="str">
        <f>IFERROR(__xludf.DUMMYFUNCTION("""COMPUTED_VALUE"""),"In Office")</f>
        <v>In Office</v>
      </c>
      <c r="M552" s="31" t="str">
        <f>IFERROR(__xludf.DUMMYFUNCTION("""COMPUTED_VALUE"""),"mohit.garg@zupee.in")</f>
        <v>mohit.garg@zupee.in</v>
      </c>
      <c r="N552" s="31" t="str">
        <f>IFERROR(__xludf.DUMMYFUNCTION("""COMPUTED_VALUE"""),"JRK7DQMR4R")</f>
        <v>JRK7DQMR4R</v>
      </c>
    </row>
    <row r="553">
      <c r="A553" s="74">
        <f>IFERROR(__xludf.DUMMYFUNCTION("""COMPUTED_VALUE"""),45874.0)</f>
        <v>45874</v>
      </c>
      <c r="B553" s="31" t="str">
        <f>IFERROR(__xludf.DUMMYFUNCTION("""COMPUTED_VALUE"""),"Vishal Raj")</f>
        <v>Vishal Raj</v>
      </c>
      <c r="C553" s="31" t="str">
        <f>IFERROR(__xludf.DUMMYFUNCTION("""COMPUTED_VALUE"""),"Data")</f>
        <v>Data</v>
      </c>
      <c r="D553" s="31">
        <f>IFERROR(__xludf.DUMMYFUNCTION("""COMPUTED_VALUE"""),6.20524417E9)</f>
        <v>6205244170</v>
      </c>
      <c r="E553" s="31" t="str">
        <f>IFERROR(__xludf.DUMMYFUNCTION("""COMPUTED_VALUE"""),"Senior Data Engineer")</f>
        <v>Senior Data Engineer</v>
      </c>
      <c r="F553" s="31" t="str">
        <f>IFERROR(__xludf.DUMMYFUNCTION("""COMPUTED_VALUE"""),"Data Engineering")</f>
        <v>Data Engineering</v>
      </c>
      <c r="G553" s="31" t="str">
        <f>IFERROR(__xludf.DUMMYFUNCTION("""COMPUTED_VALUE"""),"vishalr.ug18.cs@nitp.ac.in")</f>
        <v>vishalr.ug18.cs@nitp.ac.in</v>
      </c>
      <c r="H553" s="31" t="str">
        <f>IFERROR(__xludf.DUMMYFUNCTION("""COMPUTED_VALUE"""),"Rahul Sharma (Data)")</f>
        <v>Rahul Sharma (Data)</v>
      </c>
      <c r="I553" s="75">
        <f>IFERROR(__xludf.DUMMYFUNCTION("""COMPUTED_VALUE"""),45812.0)</f>
        <v>45812</v>
      </c>
      <c r="J553" s="31" t="str">
        <f>IFERROR(__xludf.DUMMYFUNCTION("""COMPUTED_VALUE"""),"Naina")</f>
        <v>Naina</v>
      </c>
      <c r="K553" s="31" t="str">
        <f>IFERROR(__xludf.DUMMYFUNCTION("""COMPUTED_VALUE"""),"Joined")</f>
        <v>Joined</v>
      </c>
      <c r="L553" s="31" t="str">
        <f>IFERROR(__xludf.DUMMYFUNCTION("""COMPUTED_VALUE"""),"In Office")</f>
        <v>In Office</v>
      </c>
      <c r="M553" s="31" t="str">
        <f>IFERROR(__xludf.DUMMYFUNCTION("""COMPUTED_VALUE"""),"vishal.raj@zupee.in")</f>
        <v>vishal.raj@zupee.in</v>
      </c>
      <c r="N553" s="31" t="str">
        <f>IFERROR(__xludf.DUMMYFUNCTION("""COMPUTED_VALUE"""),"FQY67Y90C9")</f>
        <v>FQY67Y90C9</v>
      </c>
    </row>
    <row r="554">
      <c r="A554" s="74">
        <f>IFERROR(__xludf.DUMMYFUNCTION("""COMPUTED_VALUE"""),45880.0)</f>
        <v>45880</v>
      </c>
      <c r="B554" s="31" t="str">
        <f>IFERROR(__xludf.DUMMYFUNCTION("""COMPUTED_VALUE"""),"Khushank Tayal")</f>
        <v>Khushank Tayal</v>
      </c>
      <c r="C554" s="31" t="str">
        <f>IFERROR(__xludf.DUMMYFUNCTION("""COMPUTED_VALUE"""),"Data")</f>
        <v>Data</v>
      </c>
      <c r="D554" s="31">
        <f>IFERROR(__xludf.DUMMYFUNCTION("""COMPUTED_VALUE"""),9.65028027E9)</f>
        <v>9650280270</v>
      </c>
      <c r="E554" s="31" t="str">
        <f>IFERROR(__xludf.DUMMYFUNCTION("""COMPUTED_VALUE""")," Lead Data Analyst")</f>
        <v> Lead Data Analyst</v>
      </c>
      <c r="F554" s="31" t="str">
        <f>IFERROR(__xludf.DUMMYFUNCTION("""COMPUTED_VALUE"""),"Data Analytics")</f>
        <v>Data Analytics</v>
      </c>
      <c r="G554" s="31" t="str">
        <f>IFERROR(__xludf.DUMMYFUNCTION("""COMPUTED_VALUE"""),"khushank94@gmail.com ")</f>
        <v>khushank94@gmail.com </v>
      </c>
      <c r="H554" s="31" t="str">
        <f>IFERROR(__xludf.DUMMYFUNCTION("""COMPUTED_VALUE"""),"Neha Jain")</f>
        <v>Neha Jain</v>
      </c>
      <c r="I554" s="75">
        <f>IFERROR(__xludf.DUMMYFUNCTION("""COMPUTED_VALUE"""),45813.0)</f>
        <v>45813</v>
      </c>
      <c r="J554" s="31" t="str">
        <f>IFERROR(__xludf.DUMMYFUNCTION("""COMPUTED_VALUE"""),"Mamta Pandey")</f>
        <v>Mamta Pandey</v>
      </c>
      <c r="K554" s="31" t="str">
        <f>IFERROR(__xludf.DUMMYFUNCTION("""COMPUTED_VALUE"""),"Joined")</f>
        <v>Joined</v>
      </c>
      <c r="L554" s="31" t="str">
        <f>IFERROR(__xludf.DUMMYFUNCTION("""COMPUTED_VALUE"""),"In Office")</f>
        <v>In Office</v>
      </c>
      <c r="M554" s="31" t="str">
        <f>IFERROR(__xludf.DUMMYFUNCTION("""COMPUTED_VALUE"""),"khushank.tayal@zupee.in")</f>
        <v>khushank.tayal@zupee.in</v>
      </c>
      <c r="N554" s="31"/>
    </row>
    <row r="555">
      <c r="A555" s="74">
        <f>IFERROR(__xludf.DUMMYFUNCTION("""COMPUTED_VALUE"""),45833.0)</f>
        <v>45833</v>
      </c>
      <c r="B555" s="31" t="str">
        <f>IFERROR(__xludf.DUMMYFUNCTION("""COMPUTED_VALUE"""),"Tanmay Tyagi")</f>
        <v>Tanmay Tyagi</v>
      </c>
      <c r="C555" s="31" t="str">
        <f>IFERROR(__xludf.DUMMYFUNCTION("""COMPUTED_VALUE"""),"Technology")</f>
        <v>Technology</v>
      </c>
      <c r="D555" s="31">
        <f>IFERROR(__xludf.DUMMYFUNCTION("""COMPUTED_VALUE"""),9.828171369E9)</f>
        <v>9828171369</v>
      </c>
      <c r="E555" s="31" t="str">
        <f>IFERROR(__xludf.DUMMYFUNCTION("""COMPUTED_VALUE"""),"Senior Software Engineer
")</f>
        <v>Senior Software Engineer
</v>
      </c>
      <c r="F555" s="31" t="str">
        <f>IFERROR(__xludf.DUMMYFUNCTION("""COMPUTED_VALUE"""),"Engineering ")</f>
        <v>Engineering </v>
      </c>
      <c r="G555" s="31" t="str">
        <f>IFERROR(__xludf.DUMMYFUNCTION("""COMPUTED_VALUE"""),"tanmaytyagi222@gmail.com")</f>
        <v>tanmaytyagi222@gmail.com</v>
      </c>
      <c r="H555" s="31" t="str">
        <f>IFERROR(__xludf.DUMMYFUNCTION("""COMPUTED_VALUE"""),"Abhishek Gupta")</f>
        <v>Abhishek Gupta</v>
      </c>
      <c r="I555" s="75">
        <f>IFERROR(__xludf.DUMMYFUNCTION("""COMPUTED_VALUE"""),45813.0)</f>
        <v>45813</v>
      </c>
      <c r="J555" s="31" t="str">
        <f>IFERROR(__xludf.DUMMYFUNCTION("""COMPUTED_VALUE"""),"Nidhi Khedekar")</f>
        <v>Nidhi Khedekar</v>
      </c>
      <c r="K555" s="31" t="str">
        <f>IFERROR(__xludf.DUMMYFUNCTION("""COMPUTED_VALUE"""),"Offer Declined")</f>
        <v>Offer Declined</v>
      </c>
      <c r="L555" s="31" t="str">
        <f>IFERROR(__xludf.DUMMYFUNCTION("""COMPUTED_VALUE"""),"In Office")</f>
        <v>In Office</v>
      </c>
      <c r="M555" s="31"/>
      <c r="N555" s="31"/>
    </row>
    <row r="556">
      <c r="A556" s="74">
        <f>IFERROR(__xludf.DUMMYFUNCTION("""COMPUTED_VALUE"""),45870.0)</f>
        <v>45870</v>
      </c>
      <c r="B556" s="31" t="str">
        <f>IFERROR(__xludf.DUMMYFUNCTION("""COMPUTED_VALUE"""),"Shiv Kumar")</f>
        <v>Shiv Kumar</v>
      </c>
      <c r="C556" s="31" t="str">
        <f>IFERROR(__xludf.DUMMYFUNCTION("""COMPUTED_VALUE"""),"Technology")</f>
        <v>Technology</v>
      </c>
      <c r="D556" s="31">
        <f>IFERROR(__xludf.DUMMYFUNCTION("""COMPUTED_VALUE"""),9.306009854E9)</f>
        <v>9306009854</v>
      </c>
      <c r="E556" s="31" t="str">
        <f>IFERROR(__xludf.DUMMYFUNCTION("""COMPUTED_VALUE"""),"Software Engineer")</f>
        <v>Software Engineer</v>
      </c>
      <c r="F556" s="31" t="str">
        <f>IFERROR(__xludf.DUMMYFUNCTION("""COMPUTED_VALUE"""),"Engineering ")</f>
        <v>Engineering </v>
      </c>
      <c r="G556" s="31" t="str">
        <f>IFERROR(__xludf.DUMMYFUNCTION("""COMPUTED_VALUE"""),"yshiv4573@gmail.com")</f>
        <v>yshiv4573@gmail.com</v>
      </c>
      <c r="H556" s="31" t="str">
        <f>IFERROR(__xludf.DUMMYFUNCTION("""COMPUTED_VALUE"""),"Abhishek Gupta")</f>
        <v>Abhishek Gupta</v>
      </c>
      <c r="I556" s="75">
        <f>IFERROR(__xludf.DUMMYFUNCTION("""COMPUTED_VALUE"""),45813.0)</f>
        <v>45813</v>
      </c>
      <c r="J556" s="31" t="str">
        <f>IFERROR(__xludf.DUMMYFUNCTION("""COMPUTED_VALUE"""),"Nidhi Khedekar")</f>
        <v>Nidhi Khedekar</v>
      </c>
      <c r="K556" s="31" t="str">
        <f>IFERROR(__xludf.DUMMYFUNCTION("""COMPUTED_VALUE"""),"Joined")</f>
        <v>Joined</v>
      </c>
      <c r="L556" s="31" t="str">
        <f>IFERROR(__xludf.DUMMYFUNCTION("""COMPUTED_VALUE"""),"In Office")</f>
        <v>In Office</v>
      </c>
      <c r="M556" s="31" t="str">
        <f>IFERROR(__xludf.DUMMYFUNCTION("""COMPUTED_VALUE"""),"shiv.kumar1@zupee.in")</f>
        <v>shiv.kumar1@zupee.in</v>
      </c>
      <c r="N556" s="31"/>
    </row>
    <row r="557">
      <c r="A557" s="74">
        <f>IFERROR(__xludf.DUMMYFUNCTION("""COMPUTED_VALUE"""),45824.0)</f>
        <v>45824</v>
      </c>
      <c r="B557" s="31" t="str">
        <f>IFERROR(__xludf.DUMMYFUNCTION("""COMPUTED_VALUE"""),"Srishti Seth")</f>
        <v>Srishti Seth</v>
      </c>
      <c r="C557" s="31" t="str">
        <f>IFERROR(__xludf.DUMMYFUNCTION("""COMPUTED_VALUE"""),"Brand Marketing")</f>
        <v>Brand Marketing</v>
      </c>
      <c r="D557" s="31">
        <f>IFERROR(__xludf.DUMMYFUNCTION("""COMPUTED_VALUE"""),9.560372335E9)</f>
        <v>9560372335</v>
      </c>
      <c r="E557" s="31" t="str">
        <f>IFERROR(__xludf.DUMMYFUNCTION("""COMPUTED_VALUE"""),"Content Lead &amp; Strategist")</f>
        <v>Content Lead &amp; Strategist</v>
      </c>
      <c r="F557" s="31" t="str">
        <f>IFERROR(__xludf.DUMMYFUNCTION("""COMPUTED_VALUE"""),"Content")</f>
        <v>Content</v>
      </c>
      <c r="G557" s="31" t="str">
        <f>IFERROR(__xludf.DUMMYFUNCTION("""COMPUTED_VALUE"""),"srishtiseth47@gmail.com")</f>
        <v>srishtiseth47@gmail.com</v>
      </c>
      <c r="H557" s="31" t="str">
        <f>IFERROR(__xludf.DUMMYFUNCTION("""COMPUTED_VALUE"""),"Katha Tara")</f>
        <v>Katha Tara</v>
      </c>
      <c r="I557" s="75">
        <f>IFERROR(__xludf.DUMMYFUNCTION("""COMPUTED_VALUE"""),45813.0)</f>
        <v>45813</v>
      </c>
      <c r="J557" s="31" t="str">
        <f>IFERROR(__xludf.DUMMYFUNCTION("""COMPUTED_VALUE"""),"Rajneesh Yadav")</f>
        <v>Rajneesh Yadav</v>
      </c>
      <c r="K557" s="31" t="str">
        <f>IFERROR(__xludf.DUMMYFUNCTION("""COMPUTED_VALUE"""),"Joined")</f>
        <v>Joined</v>
      </c>
      <c r="L557" s="31" t="str">
        <f>IFERROR(__xludf.DUMMYFUNCTION("""COMPUTED_VALUE"""),"In Office")</f>
        <v>In Office</v>
      </c>
      <c r="M557" s="31" t="str">
        <f>IFERROR(__xludf.DUMMYFUNCTION("""COMPUTED_VALUE"""),"srishti.seth@zupee.in")</f>
        <v>srishti.seth@zupee.in</v>
      </c>
      <c r="N557" s="31" t="str">
        <f>IFERROR(__xludf.DUMMYFUNCTION("""COMPUTED_VALUE"""),"G3D67CK06R")</f>
        <v>G3D67CK06R</v>
      </c>
    </row>
    <row r="558">
      <c r="A558" s="74">
        <f>IFERROR(__xludf.DUMMYFUNCTION("""COMPUTED_VALUE"""),45870.0)</f>
        <v>45870</v>
      </c>
      <c r="B558" s="31" t="str">
        <f>IFERROR(__xludf.DUMMYFUNCTION("""COMPUTED_VALUE"""),"Yogesh Jangir")</f>
        <v>Yogesh Jangir</v>
      </c>
      <c r="C558" s="31" t="str">
        <f>IFERROR(__xludf.DUMMYFUNCTION("""COMPUTED_VALUE"""),"Technology")</f>
        <v>Technology</v>
      </c>
      <c r="D558" s="31">
        <f>IFERROR(__xludf.DUMMYFUNCTION("""COMPUTED_VALUE"""),9.875183713E9)</f>
        <v>9875183713</v>
      </c>
      <c r="E558" s="31" t="str">
        <f>IFERROR(__xludf.DUMMYFUNCTION("""COMPUTED_VALUE"""),"Software Engineer - Android")</f>
        <v>Software Engineer - Android</v>
      </c>
      <c r="F558" s="31" t="str">
        <f>IFERROR(__xludf.DUMMYFUNCTION("""COMPUTED_VALUE"""),"Engineering ")</f>
        <v>Engineering </v>
      </c>
      <c r="G558" s="31" t="str">
        <f>IFERROR(__xludf.DUMMYFUNCTION("""COMPUTED_VALUE"""),"yjangir789@gmail.com")</f>
        <v>yjangir789@gmail.com</v>
      </c>
      <c r="H558" s="31" t="str">
        <f>IFERROR(__xludf.DUMMYFUNCTION("""COMPUTED_VALUE"""),"Anshul Mittal")</f>
        <v>Anshul Mittal</v>
      </c>
      <c r="I558" s="75">
        <f>IFERROR(__xludf.DUMMYFUNCTION("""COMPUTED_VALUE"""),45813.0)</f>
        <v>45813</v>
      </c>
      <c r="J558" s="31" t="str">
        <f>IFERROR(__xludf.DUMMYFUNCTION("""COMPUTED_VALUE"""),"Harsha Nanwani")</f>
        <v>Harsha Nanwani</v>
      </c>
      <c r="K558" s="31" t="str">
        <f>IFERROR(__xludf.DUMMYFUNCTION("""COMPUTED_VALUE"""),"Offer Declined")</f>
        <v>Offer Declined</v>
      </c>
      <c r="L558" s="31" t="str">
        <f>IFERROR(__xludf.DUMMYFUNCTION("""COMPUTED_VALUE"""),"In Office")</f>
        <v>In Office</v>
      </c>
      <c r="M558" s="31"/>
      <c r="N558" s="31"/>
    </row>
    <row r="559">
      <c r="A559" s="74">
        <f>IFERROR(__xludf.DUMMYFUNCTION("""COMPUTED_VALUE"""),45840.0)</f>
        <v>45840</v>
      </c>
      <c r="B559" s="31" t="str">
        <f>IFERROR(__xludf.DUMMYFUNCTION("""COMPUTED_VALUE"""),"Disha Somani")</f>
        <v>Disha Somani</v>
      </c>
      <c r="C559" s="31" t="str">
        <f>IFERROR(__xludf.DUMMYFUNCTION("""COMPUTED_VALUE"""),"Finance")</f>
        <v>Finance</v>
      </c>
      <c r="D559" s="31">
        <f>IFERROR(__xludf.DUMMYFUNCTION("""COMPUTED_VALUE"""),9.81005932E9)</f>
        <v>9810059320</v>
      </c>
      <c r="E559" s="31" t="str">
        <f>IFERROR(__xludf.DUMMYFUNCTION("""COMPUTED_VALUE"""),"CA Intern")</f>
        <v>CA Intern</v>
      </c>
      <c r="F559" s="31" t="str">
        <f>IFERROR(__xludf.DUMMYFUNCTION("""COMPUTED_VALUE"""),"Controllership")</f>
        <v>Controllership</v>
      </c>
      <c r="G559" s="31" t="str">
        <f>IFERROR(__xludf.DUMMYFUNCTION("""COMPUTED_VALUE"""),"dishasomani33@gmail.com")</f>
        <v>dishasomani33@gmail.com</v>
      </c>
      <c r="H559" s="31" t="str">
        <f>IFERROR(__xludf.DUMMYFUNCTION("""COMPUTED_VALUE"""),"Mohit Arora")</f>
        <v>Mohit Arora</v>
      </c>
      <c r="I559" s="75">
        <f>IFERROR(__xludf.DUMMYFUNCTION("""COMPUTED_VALUE"""),45813.0)</f>
        <v>45813</v>
      </c>
      <c r="J559" s="31" t="str">
        <f>IFERROR(__xludf.DUMMYFUNCTION("""COMPUTED_VALUE"""),"Nidhi Khedekar")</f>
        <v>Nidhi Khedekar</v>
      </c>
      <c r="K559" s="31" t="str">
        <f>IFERROR(__xludf.DUMMYFUNCTION("""COMPUTED_VALUE"""),"Offer Declined")</f>
        <v>Offer Declined</v>
      </c>
      <c r="L559" s="31" t="str">
        <f>IFERROR(__xludf.DUMMYFUNCTION("""COMPUTED_VALUE"""),"In Office")</f>
        <v>In Office</v>
      </c>
      <c r="M559" s="31"/>
      <c r="N559" s="31"/>
    </row>
    <row r="560">
      <c r="A560" s="74">
        <f>IFERROR(__xludf.DUMMYFUNCTION("""COMPUTED_VALUE"""),45831.0)</f>
        <v>45831</v>
      </c>
      <c r="B560" s="31" t="str">
        <f>IFERROR(__xludf.DUMMYFUNCTION("""COMPUTED_VALUE"""),"Bharat Gupta")</f>
        <v>Bharat Gupta</v>
      </c>
      <c r="C560" s="31" t="str">
        <f>IFERROR(__xludf.DUMMYFUNCTION("""COMPUTED_VALUE"""),"Technology")</f>
        <v>Technology</v>
      </c>
      <c r="D560" s="31">
        <f>IFERROR(__xludf.DUMMYFUNCTION("""COMPUTED_VALUE"""),6.377898557E9)</f>
        <v>6377898557</v>
      </c>
      <c r="E560" s="31" t="str">
        <f>IFERROR(__xludf.DUMMYFUNCTION("""COMPUTED_VALUE"""),"Software Engineer")</f>
        <v>Software Engineer</v>
      </c>
      <c r="F560" s="31" t="str">
        <f>IFERROR(__xludf.DUMMYFUNCTION("""COMPUTED_VALUE"""),"Engineering ")</f>
        <v>Engineering </v>
      </c>
      <c r="G560" s="31" t="str">
        <f>IFERROR(__xludf.DUMMYFUNCTION("""COMPUTED_VALUE"""),"bharatgupta68823@gmail.com")</f>
        <v>bharatgupta68823@gmail.com</v>
      </c>
      <c r="H560" s="31" t="str">
        <f>IFERROR(__xludf.DUMMYFUNCTION("""COMPUTED_VALUE"""),"Abhishek Gupta")</f>
        <v>Abhishek Gupta</v>
      </c>
      <c r="I560" s="75">
        <f>IFERROR(__xludf.DUMMYFUNCTION("""COMPUTED_VALUE"""),45813.0)</f>
        <v>45813</v>
      </c>
      <c r="J560" s="31" t="str">
        <f>IFERROR(__xludf.DUMMYFUNCTION("""COMPUTED_VALUE"""),"Mamta Pandey")</f>
        <v>Mamta Pandey</v>
      </c>
      <c r="K560" s="31" t="str">
        <f>IFERROR(__xludf.DUMMYFUNCTION("""COMPUTED_VALUE"""),"Joined")</f>
        <v>Joined</v>
      </c>
      <c r="L560" s="31" t="str">
        <f>IFERROR(__xludf.DUMMYFUNCTION("""COMPUTED_VALUE"""),"In Office")</f>
        <v>In Office</v>
      </c>
      <c r="M560" s="31" t="str">
        <f>IFERROR(__xludf.DUMMYFUNCTION("""COMPUTED_VALUE"""),"bharat.gupta@zupee.in")</f>
        <v>bharat.gupta@zupee.in</v>
      </c>
      <c r="N560" s="31" t="str">
        <f>IFERROR(__xludf.DUMMYFUNCTION("""COMPUTED_VALUE"""),"G4VPXFW9XC")</f>
        <v>G4VPXFW9XC</v>
      </c>
    </row>
    <row r="561">
      <c r="A561" s="74">
        <f>IFERROR(__xludf.DUMMYFUNCTION("""COMPUTED_VALUE"""),45824.0)</f>
        <v>45824</v>
      </c>
      <c r="B561" s="31" t="str">
        <f>IFERROR(__xludf.DUMMYFUNCTION("""COMPUTED_VALUE"""),"Goldee Arora")</f>
        <v>Goldee Arora</v>
      </c>
      <c r="C561" s="31" t="str">
        <f>IFERROR(__xludf.DUMMYFUNCTION("""COMPUTED_VALUE"""),"Technology")</f>
        <v>Technology</v>
      </c>
      <c r="D561" s="31">
        <f>IFERROR(__xludf.DUMMYFUNCTION("""COMPUTED_VALUE"""),8.69631967E9)</f>
        <v>8696319670</v>
      </c>
      <c r="E561" s="31" t="str">
        <f>IFERROR(__xludf.DUMMYFUNCTION("""COMPUTED_VALUE"""),"Software Engineer")</f>
        <v>Software Engineer</v>
      </c>
      <c r="F561" s="31" t="str">
        <f>IFERROR(__xludf.DUMMYFUNCTION("""COMPUTED_VALUE"""),"Engineering ")</f>
        <v>Engineering </v>
      </c>
      <c r="G561" s="31" t="str">
        <f>IFERROR(__xludf.DUMMYFUNCTION("""COMPUTED_VALUE"""),"goldieearora26@gmail.com")</f>
        <v>goldieearora26@gmail.com</v>
      </c>
      <c r="H561" s="31" t="str">
        <f>IFERROR(__xludf.DUMMYFUNCTION("""COMPUTED_VALUE"""),"Abhishek Gupta")</f>
        <v>Abhishek Gupta</v>
      </c>
      <c r="I561" s="75">
        <f>IFERROR(__xludf.DUMMYFUNCTION("""COMPUTED_VALUE"""),45813.0)</f>
        <v>45813</v>
      </c>
      <c r="J561" s="31" t="str">
        <f>IFERROR(__xludf.DUMMYFUNCTION("""COMPUTED_VALUE"""),"Mamta Pandey")</f>
        <v>Mamta Pandey</v>
      </c>
      <c r="K561" s="31" t="str">
        <f>IFERROR(__xludf.DUMMYFUNCTION("""COMPUTED_VALUE"""),"Joined")</f>
        <v>Joined</v>
      </c>
      <c r="L561" s="31" t="str">
        <f>IFERROR(__xludf.DUMMYFUNCTION("""COMPUTED_VALUE"""),"In Office")</f>
        <v>In Office</v>
      </c>
      <c r="M561" s="31" t="str">
        <f>IFERROR(__xludf.DUMMYFUNCTION("""COMPUTED_VALUE"""),"goldee.arora@zupee.in")</f>
        <v>goldee.arora@zupee.in</v>
      </c>
      <c r="N561" s="31"/>
    </row>
    <row r="562">
      <c r="A562" s="74">
        <f>IFERROR(__xludf.DUMMYFUNCTION("""COMPUTED_VALUE"""),45852.0)</f>
        <v>45852</v>
      </c>
      <c r="B562" s="31" t="str">
        <f>IFERROR(__xludf.DUMMYFUNCTION("""COMPUTED_VALUE"""),"Abhinav Pant")</f>
        <v>Abhinav Pant</v>
      </c>
      <c r="C562" s="31" t="str">
        <f>IFERROR(__xludf.DUMMYFUNCTION("""COMPUTED_VALUE"""),"Strategy")</f>
        <v>Strategy</v>
      </c>
      <c r="D562" s="31">
        <f>IFERROR(__xludf.DUMMYFUNCTION("""COMPUTED_VALUE"""),9.789930425E9)</f>
        <v>9789930425</v>
      </c>
      <c r="E562" s="31" t="str">
        <f>IFERROR(__xludf.DUMMYFUNCTION("""COMPUTED_VALUE"""),"Senior Manager Strategy")</f>
        <v>Senior Manager Strategy</v>
      </c>
      <c r="F562" s="31" t="str">
        <f>IFERROR(__xludf.DUMMYFUNCTION("""COMPUTED_VALUE"""),"Growth &amp; Revenue")</f>
        <v>Growth &amp; Revenue</v>
      </c>
      <c r="G562" s="31" t="str">
        <f>IFERROR(__xludf.DUMMYFUNCTION("""COMPUTED_VALUE"""),"abhinav.pant@hotmail.com")</f>
        <v>abhinav.pant@hotmail.com</v>
      </c>
      <c r="H562" s="31"/>
      <c r="I562" s="75">
        <f>IFERROR(__xludf.DUMMYFUNCTION("""COMPUTED_VALUE"""),45814.0)</f>
        <v>45814</v>
      </c>
      <c r="J562" s="31" t="str">
        <f>IFERROR(__xludf.DUMMYFUNCTION("""COMPUTED_VALUE"""),"Naina")</f>
        <v>Naina</v>
      </c>
      <c r="K562" s="31" t="str">
        <f>IFERROR(__xludf.DUMMYFUNCTION("""COMPUTED_VALUE"""),"Joined")</f>
        <v>Joined</v>
      </c>
      <c r="L562" s="31" t="str">
        <f>IFERROR(__xludf.DUMMYFUNCTION("""COMPUTED_VALUE"""),"In Office")</f>
        <v>In Office</v>
      </c>
      <c r="M562" s="31" t="str">
        <f>IFERROR(__xludf.DUMMYFUNCTION("""COMPUTED_VALUE"""),"abhinav.pant@zupee.in")</f>
        <v>abhinav.pant@zupee.in</v>
      </c>
      <c r="N562" s="31" t="str">
        <f>IFERROR(__xludf.DUMMYFUNCTION("""COMPUTED_VALUE"""),"M6D2C6M7TW")</f>
        <v>M6D2C6M7TW</v>
      </c>
    </row>
    <row r="563">
      <c r="A563" s="74">
        <f>IFERROR(__xludf.DUMMYFUNCTION("""COMPUTED_VALUE"""),45849.0)</f>
        <v>45849</v>
      </c>
      <c r="B563" s="31" t="str">
        <f>IFERROR(__xludf.DUMMYFUNCTION("""COMPUTED_VALUE"""),"Yash Agarwal")</f>
        <v>Yash Agarwal</v>
      </c>
      <c r="C563" s="31" t="str">
        <f>IFERROR(__xludf.DUMMYFUNCTION("""COMPUTED_VALUE"""),"Technology")</f>
        <v>Technology</v>
      </c>
      <c r="D563" s="31">
        <f>IFERROR(__xludf.DUMMYFUNCTION("""COMPUTED_VALUE"""),8.290725134E9)</f>
        <v>8290725134</v>
      </c>
      <c r="E563" s="31" t="str">
        <f>IFERROR(__xludf.DUMMYFUNCTION("""COMPUTED_VALUE"""),"Senior Software Engineer")</f>
        <v>Senior Software Engineer</v>
      </c>
      <c r="F563" s="31" t="str">
        <f>IFERROR(__xludf.DUMMYFUNCTION("""COMPUTED_VALUE"""),"Engineering ")</f>
        <v>Engineering </v>
      </c>
      <c r="G563" s="31" t="str">
        <f>IFERROR(__xludf.DUMMYFUNCTION("""COMPUTED_VALUE"""),"ya86442sh@gmail.com")</f>
        <v>ya86442sh@gmail.com</v>
      </c>
      <c r="H563" s="31" t="str">
        <f>IFERROR(__xludf.DUMMYFUNCTION("""COMPUTED_VALUE"""),"Abhishek Gupta")</f>
        <v>Abhishek Gupta</v>
      </c>
      <c r="I563" s="75">
        <f>IFERROR(__xludf.DUMMYFUNCTION("""COMPUTED_VALUE"""),45814.0)</f>
        <v>45814</v>
      </c>
      <c r="J563" s="31" t="str">
        <f>IFERROR(__xludf.DUMMYFUNCTION("""COMPUTED_VALUE"""),"Harsha Nanwani")</f>
        <v>Harsha Nanwani</v>
      </c>
      <c r="K563" s="31" t="str">
        <f>IFERROR(__xludf.DUMMYFUNCTION("""COMPUTED_VALUE"""),"Joined")</f>
        <v>Joined</v>
      </c>
      <c r="L563" s="31" t="str">
        <f>IFERROR(__xludf.DUMMYFUNCTION("""COMPUTED_VALUE"""),"In Office")</f>
        <v>In Office</v>
      </c>
      <c r="M563" s="31" t="str">
        <f>IFERROR(__xludf.DUMMYFUNCTION("""COMPUTED_VALUE"""),"yash.agarwal@zupee.in")</f>
        <v>yash.agarwal@zupee.in</v>
      </c>
      <c r="N563" s="31"/>
    </row>
    <row r="564">
      <c r="A564" s="74">
        <f>IFERROR(__xludf.DUMMYFUNCTION("""COMPUTED_VALUE"""),45826.0)</f>
        <v>45826</v>
      </c>
      <c r="B564" s="31" t="str">
        <f>IFERROR(__xludf.DUMMYFUNCTION("""COMPUTED_VALUE"""),"Nisha Yadav")</f>
        <v>Nisha Yadav</v>
      </c>
      <c r="C564" s="31" t="str">
        <f>IFERROR(__xludf.DUMMYFUNCTION("""COMPUTED_VALUE"""),"Technology")</f>
        <v>Technology</v>
      </c>
      <c r="D564" s="31">
        <f>IFERROR(__xludf.DUMMYFUNCTION("""COMPUTED_VALUE"""),7.905281157E9)</f>
        <v>7905281157</v>
      </c>
      <c r="E564" s="31" t="str">
        <f>IFERROR(__xludf.DUMMYFUNCTION("""COMPUTED_VALUE"""),"Software Development Engineer in Test")</f>
        <v>Software Development Engineer in Test</v>
      </c>
      <c r="F564" s="31" t="str">
        <f>IFERROR(__xludf.DUMMYFUNCTION("""COMPUTED_VALUE"""),"SDET")</f>
        <v>SDET</v>
      </c>
      <c r="G564" s="31" t="str">
        <f>IFERROR(__xludf.DUMMYFUNCTION("""COMPUTED_VALUE"""),"nishayadav17123@gmail.com")</f>
        <v>nishayadav17123@gmail.com</v>
      </c>
      <c r="H564" s="31" t="str">
        <f>IFERROR(__xludf.DUMMYFUNCTION("""COMPUTED_VALUE"""),"Sahil Puri")</f>
        <v>Sahil Puri</v>
      </c>
      <c r="I564" s="75">
        <f>IFERROR(__xludf.DUMMYFUNCTION("""COMPUTED_VALUE"""),45817.0)</f>
        <v>45817</v>
      </c>
      <c r="J564" s="31" t="str">
        <f>IFERROR(__xludf.DUMMYFUNCTION("""COMPUTED_VALUE"""),"Vipin Kumar")</f>
        <v>Vipin Kumar</v>
      </c>
      <c r="K564" s="31" t="str">
        <f>IFERROR(__xludf.DUMMYFUNCTION("""COMPUTED_VALUE"""),"Joined")</f>
        <v>Joined</v>
      </c>
      <c r="L564" s="31" t="str">
        <f>IFERROR(__xludf.DUMMYFUNCTION("""COMPUTED_VALUE"""),"In Office")</f>
        <v>In Office</v>
      </c>
      <c r="M564" s="31" t="str">
        <f>IFERROR(__xludf.DUMMYFUNCTION("""COMPUTED_VALUE"""),"nisha.yadav@zupee.in")</f>
        <v>nisha.yadav@zupee.in</v>
      </c>
      <c r="N564" s="31"/>
    </row>
    <row r="565">
      <c r="A565" s="74">
        <f>IFERROR(__xludf.DUMMYFUNCTION("""COMPUTED_VALUE"""),45873.0)</f>
        <v>45873</v>
      </c>
      <c r="B565" s="31" t="str">
        <f>IFERROR(__xludf.DUMMYFUNCTION("""COMPUTED_VALUE"""),"Rishi Patidar")</f>
        <v>Rishi Patidar</v>
      </c>
      <c r="C565" s="31" t="str">
        <f>IFERROR(__xludf.DUMMYFUNCTION("""COMPUTED_VALUE"""),"IT Infra")</f>
        <v>IT Infra</v>
      </c>
      <c r="D565" s="31">
        <f>IFERROR(__xludf.DUMMYFUNCTION("""COMPUTED_VALUE"""),7.879651191E9)</f>
        <v>7879651191</v>
      </c>
      <c r="E565" s="31" t="str">
        <f>IFERROR(__xludf.DUMMYFUNCTION("""COMPUTED_VALUE"""),"Endpoint Security Engineer")</f>
        <v>Endpoint Security Engineer</v>
      </c>
      <c r="F565" s="31" t="str">
        <f>IFERROR(__xludf.DUMMYFUNCTION("""COMPUTED_VALUE"""),"IT Infra")</f>
        <v>IT Infra</v>
      </c>
      <c r="G565" s="31" t="str">
        <f>IFERROR(__xludf.DUMMYFUNCTION("""COMPUTED_VALUE""")," rishipatidar1810@gmail.com")</f>
        <v> rishipatidar1810@gmail.com</v>
      </c>
      <c r="H565" s="31" t="str">
        <f>IFERROR(__xludf.DUMMYFUNCTION("""COMPUTED_VALUE"""),"Rajkumar Singh")</f>
        <v>Rajkumar Singh</v>
      </c>
      <c r="I565" s="75">
        <f>IFERROR(__xludf.DUMMYFUNCTION("""COMPUTED_VALUE"""),45817.0)</f>
        <v>45817</v>
      </c>
      <c r="J565" s="31" t="str">
        <f>IFERROR(__xludf.DUMMYFUNCTION("""COMPUTED_VALUE"""),"Shivam Sharma")</f>
        <v>Shivam Sharma</v>
      </c>
      <c r="K565" s="31" t="str">
        <f>IFERROR(__xludf.DUMMYFUNCTION("""COMPUTED_VALUE"""),"Joined")</f>
        <v>Joined</v>
      </c>
      <c r="L565" s="31" t="str">
        <f>IFERROR(__xludf.DUMMYFUNCTION("""COMPUTED_VALUE"""),"In Office")</f>
        <v>In Office</v>
      </c>
      <c r="M565" s="31" t="str">
        <f>IFERROR(__xludf.DUMMYFUNCTION("""COMPUTED_VALUE"""),"rishi.patidar@zupee.in")</f>
        <v>rishi.patidar@zupee.in</v>
      </c>
      <c r="N565" s="31" t="str">
        <f>IFERROR(__xludf.DUMMYFUNCTION("""COMPUTED_VALUE"""),"DQ33V046G4")</f>
        <v>DQ33V046G4</v>
      </c>
    </row>
    <row r="566">
      <c r="A566" s="74">
        <f>IFERROR(__xludf.DUMMYFUNCTION("""COMPUTED_VALUE"""),45839.0)</f>
        <v>45839</v>
      </c>
      <c r="B566" s="31" t="str">
        <f>IFERROR(__xludf.DUMMYFUNCTION("""COMPUTED_VALUE"""),"Lakshya Gupta")</f>
        <v>Lakshya Gupta</v>
      </c>
      <c r="C566" s="31" t="str">
        <f>IFERROR(__xludf.DUMMYFUNCTION("""COMPUTED_VALUE"""),"Technology")</f>
        <v>Technology</v>
      </c>
      <c r="D566" s="31">
        <f>IFERROR(__xludf.DUMMYFUNCTION("""COMPUTED_VALUE"""),9.91114076E9)</f>
        <v>9911140760</v>
      </c>
      <c r="E566" s="31" t="str">
        <f>IFERROR(__xludf.DUMMYFUNCTION("""COMPUTED_VALUE"""),"Software Engineer")</f>
        <v>Software Engineer</v>
      </c>
      <c r="F566" s="31" t="str">
        <f>IFERROR(__xludf.DUMMYFUNCTION("""COMPUTED_VALUE"""),"Engineering")</f>
        <v>Engineering</v>
      </c>
      <c r="G566" s="31" t="str">
        <f>IFERROR(__xludf.DUMMYFUNCTION("""COMPUTED_VALUE"""),"lakshyagupta432@gmail.com")</f>
        <v>lakshyagupta432@gmail.com</v>
      </c>
      <c r="H566" s="31" t="str">
        <f>IFERROR(__xludf.DUMMYFUNCTION("""COMPUTED_VALUE"""),"Rahul Sharma ")</f>
        <v>Rahul Sharma </v>
      </c>
      <c r="I566" s="75">
        <f>IFERROR(__xludf.DUMMYFUNCTION("""COMPUTED_VALUE"""),45818.0)</f>
        <v>45818</v>
      </c>
      <c r="J566" s="31" t="str">
        <f>IFERROR(__xludf.DUMMYFUNCTION("""COMPUTED_VALUE"""),"Nidhi Khedekar")</f>
        <v>Nidhi Khedekar</v>
      </c>
      <c r="K566" s="31" t="str">
        <f>IFERROR(__xludf.DUMMYFUNCTION("""COMPUTED_VALUE"""),"Joined")</f>
        <v>Joined</v>
      </c>
      <c r="L566" s="31" t="str">
        <f>IFERROR(__xludf.DUMMYFUNCTION("""COMPUTED_VALUE"""),"In Office")</f>
        <v>In Office</v>
      </c>
      <c r="M566" s="31" t="str">
        <f>IFERROR(__xludf.DUMMYFUNCTION("""COMPUTED_VALUE"""),"lakshya.gupta@zupee.in")</f>
        <v>lakshya.gupta@zupee.in</v>
      </c>
      <c r="N566" s="31"/>
    </row>
    <row r="567">
      <c r="A567" s="74">
        <f>IFERROR(__xludf.DUMMYFUNCTION("""COMPUTED_VALUE"""),45859.0)</f>
        <v>45859</v>
      </c>
      <c r="B567" s="31" t="str">
        <f>IFERROR(__xludf.DUMMYFUNCTION("""COMPUTED_VALUE"""),"Harshit Singh Negi")</f>
        <v>Harshit Singh Negi</v>
      </c>
      <c r="C567" s="31" t="str">
        <f>IFERROR(__xludf.DUMMYFUNCTION("""COMPUTED_VALUE"""),"Strategy")</f>
        <v>Strategy</v>
      </c>
      <c r="D567" s="31">
        <f>IFERROR(__xludf.DUMMYFUNCTION("""COMPUTED_VALUE"""),8.756475324E9)</f>
        <v>8756475324</v>
      </c>
      <c r="E567" s="31" t="str">
        <f>IFERROR(__xludf.DUMMYFUNCTION("""COMPUTED_VALUE"""),"Senior Executive- Product Marketing")</f>
        <v>Senior Executive- Product Marketing</v>
      </c>
      <c r="F567" s="31" t="str">
        <f>IFERROR(__xludf.DUMMYFUNCTION("""COMPUTED_VALUE"""),"Product Marketing")</f>
        <v>Product Marketing</v>
      </c>
      <c r="G567" s="31" t="str">
        <f>IFERROR(__xludf.DUMMYFUNCTION("""COMPUTED_VALUE"""),"harshit280399@gmail.com")</f>
        <v>harshit280399@gmail.com</v>
      </c>
      <c r="H567" s="31" t="str">
        <f>IFERROR(__xludf.DUMMYFUNCTION("""COMPUTED_VALUE"""),"Aditya Jha")</f>
        <v>Aditya Jha</v>
      </c>
      <c r="I567" s="75">
        <f>IFERROR(__xludf.DUMMYFUNCTION("""COMPUTED_VALUE"""),45818.0)</f>
        <v>45818</v>
      </c>
      <c r="J567" s="31" t="str">
        <f>IFERROR(__xludf.DUMMYFUNCTION("""COMPUTED_VALUE"""),"Nidhi Khedekar")</f>
        <v>Nidhi Khedekar</v>
      </c>
      <c r="K567" s="31" t="str">
        <f>IFERROR(__xludf.DUMMYFUNCTION("""COMPUTED_VALUE"""),"Joined")</f>
        <v>Joined</v>
      </c>
      <c r="L567" s="31" t="str">
        <f>IFERROR(__xludf.DUMMYFUNCTION("""COMPUTED_VALUE"""),"In Office")</f>
        <v>In Office</v>
      </c>
      <c r="M567" s="31" t="str">
        <f>IFERROR(__xludf.DUMMYFUNCTION("""COMPUTED_VALUE"""),"harshit.negi@zupee.in")</f>
        <v>harshit.negi@zupee.in</v>
      </c>
      <c r="N567" s="31" t="str">
        <f>IFERROR(__xludf.DUMMYFUNCTION("""COMPUTED_VALUE"""),"FK74FV4X65")</f>
        <v>FK74FV4X65</v>
      </c>
    </row>
    <row r="568">
      <c r="A568" s="74">
        <f>IFERROR(__xludf.DUMMYFUNCTION("""COMPUTED_VALUE"""),45824.0)</f>
        <v>45824</v>
      </c>
      <c r="B568" s="31" t="str">
        <f>IFERROR(__xludf.DUMMYFUNCTION("""COMPUTED_VALUE"""),"Vedaant Magow")</f>
        <v>Vedaant Magow</v>
      </c>
      <c r="C568" s="31" t="str">
        <f>IFERROR(__xludf.DUMMYFUNCTION("""COMPUTED_VALUE"""),"Technology")</f>
        <v>Technology</v>
      </c>
      <c r="D568" s="31"/>
      <c r="E568" s="31" t="str">
        <f>IFERROR(__xludf.DUMMYFUNCTION("""COMPUTED_VALUE"""),"Software Engineer Intern ")</f>
        <v>Software Engineer Intern </v>
      </c>
      <c r="F568" s="31" t="str">
        <f>IFERROR(__xludf.DUMMYFUNCTION("""COMPUTED_VALUE"""),"Engineering")</f>
        <v>Engineering</v>
      </c>
      <c r="G568" s="31" t="str">
        <f>IFERROR(__xludf.DUMMYFUNCTION("""COMPUTED_VALUE"""),"magowvedaant@gmail.com")</f>
        <v>magowvedaant@gmail.com</v>
      </c>
      <c r="H568" s="31" t="str">
        <f>IFERROR(__xludf.DUMMYFUNCTION("""COMPUTED_VALUE"""),"Piyush Shukla")</f>
        <v>Piyush Shukla</v>
      </c>
      <c r="I568" s="75">
        <f>IFERROR(__xludf.DUMMYFUNCTION("""COMPUTED_VALUE"""),45818.0)</f>
        <v>45818</v>
      </c>
      <c r="J568" s="31" t="str">
        <f>IFERROR(__xludf.DUMMYFUNCTION("""COMPUTED_VALUE"""),"Nidhi Khedekar")</f>
        <v>Nidhi Khedekar</v>
      </c>
      <c r="K568" s="31" t="str">
        <f>IFERROR(__xludf.DUMMYFUNCTION("""COMPUTED_VALUE"""),"Joined")</f>
        <v>Joined</v>
      </c>
      <c r="L568" s="31" t="str">
        <f>IFERROR(__xludf.DUMMYFUNCTION("""COMPUTED_VALUE"""),"In Office")</f>
        <v>In Office</v>
      </c>
      <c r="M568" s="31" t="str">
        <f>IFERROR(__xludf.DUMMYFUNCTION("""COMPUTED_VALUE"""),"vedaant.magow@zupee.in")</f>
        <v>vedaant.magow@zupee.in</v>
      </c>
      <c r="N568" s="31"/>
    </row>
    <row r="569">
      <c r="A569" s="74">
        <f>IFERROR(__xludf.DUMMYFUNCTION("""COMPUTED_VALUE"""),45845.0)</f>
        <v>45845</v>
      </c>
      <c r="B569" s="31" t="str">
        <f>IFERROR(__xludf.DUMMYFUNCTION("""COMPUTED_VALUE"""),"Kamal Dixit")</f>
        <v>Kamal Dixit</v>
      </c>
      <c r="C569" s="31" t="str">
        <f>IFERROR(__xludf.DUMMYFUNCTION("""COMPUTED_VALUE"""),"Technology")</f>
        <v>Technology</v>
      </c>
      <c r="D569" s="31">
        <f>IFERROR(__xludf.DUMMYFUNCTION("""COMPUTED_VALUE"""),8.076926601E9)</f>
        <v>8076926601</v>
      </c>
      <c r="E569" s="31" t="str">
        <f>IFERROR(__xludf.DUMMYFUNCTION("""COMPUTED_VALUE"""),"SeniorSoftware Engineer- Android")</f>
        <v>SeniorSoftware Engineer- Android</v>
      </c>
      <c r="F569" s="31" t="str">
        <f>IFERROR(__xludf.DUMMYFUNCTION("""COMPUTED_VALUE"""),"Engineering ")</f>
        <v>Engineering </v>
      </c>
      <c r="G569" s="31" t="str">
        <f>IFERROR(__xludf.DUMMYFUNCTION("""COMPUTED_VALUE"""),"arrexdev@gmail.com")</f>
        <v>arrexdev@gmail.com</v>
      </c>
      <c r="H569" s="31" t="str">
        <f>IFERROR(__xludf.DUMMYFUNCTION("""COMPUTED_VALUE"""),"Anshul Mittal")</f>
        <v>Anshul Mittal</v>
      </c>
      <c r="I569" s="75">
        <f>IFERROR(__xludf.DUMMYFUNCTION("""COMPUTED_VALUE"""),45818.0)</f>
        <v>45818</v>
      </c>
      <c r="J569" s="31" t="str">
        <f>IFERROR(__xludf.DUMMYFUNCTION("""COMPUTED_VALUE"""),"Rajneesh Yadav")</f>
        <v>Rajneesh Yadav</v>
      </c>
      <c r="K569" s="31" t="str">
        <f>IFERROR(__xludf.DUMMYFUNCTION("""COMPUTED_VALUE"""),"Joined")</f>
        <v>Joined</v>
      </c>
      <c r="L569" s="31" t="str">
        <f>IFERROR(__xludf.DUMMYFUNCTION("""COMPUTED_VALUE"""),"In Office")</f>
        <v>In Office</v>
      </c>
      <c r="M569" s="31" t="str">
        <f>IFERROR(__xludf.DUMMYFUNCTION("""COMPUTED_VALUE"""),"kamal.dixit@zupee.in")</f>
        <v>kamal.dixit@zupee.in</v>
      </c>
      <c r="N569" s="31" t="str">
        <f>IFERROR(__xludf.DUMMYFUNCTION("""COMPUTED_VALUE"""),"KJ33Y4GQP4")</f>
        <v>KJ33Y4GQP4</v>
      </c>
    </row>
    <row r="570">
      <c r="A570" s="74">
        <f>IFERROR(__xludf.DUMMYFUNCTION("""COMPUTED_VALUE"""),45839.0)</f>
        <v>45839</v>
      </c>
      <c r="B570" s="31" t="str">
        <f>IFERROR(__xludf.DUMMYFUNCTION("""COMPUTED_VALUE"""),"Pratham Bansal")</f>
        <v>Pratham Bansal</v>
      </c>
      <c r="C570" s="31" t="str">
        <f>IFERROR(__xludf.DUMMYFUNCTION("""COMPUTED_VALUE"""),"Technology")</f>
        <v>Technology</v>
      </c>
      <c r="D570" s="31">
        <f>IFERROR(__xludf.DUMMYFUNCTION("""COMPUTED_VALUE"""),8.38381803E9)</f>
        <v>8383818030</v>
      </c>
      <c r="E570" s="31" t="str">
        <f>IFERROR(__xludf.DUMMYFUNCTION("""COMPUTED_VALUE"""),"Software Engineer")</f>
        <v>Software Engineer</v>
      </c>
      <c r="F570" s="31" t="str">
        <f>IFERROR(__xludf.DUMMYFUNCTION("""COMPUTED_VALUE"""),"Engineering ")</f>
        <v>Engineering </v>
      </c>
      <c r="G570" s="31" t="str">
        <f>IFERROR(__xludf.DUMMYFUNCTION("""COMPUTED_VALUE""")," bansalpratham8383@gmail.com")</f>
        <v> bansalpratham8383@gmail.com</v>
      </c>
      <c r="H570" s="31" t="str">
        <f>IFERROR(__xludf.DUMMYFUNCTION("""COMPUTED_VALUE"""),"Rahul Sharma ")</f>
        <v>Rahul Sharma </v>
      </c>
      <c r="I570" s="75">
        <f>IFERROR(__xludf.DUMMYFUNCTION("""COMPUTED_VALUE"""),45818.0)</f>
        <v>45818</v>
      </c>
      <c r="J570" s="31" t="str">
        <f>IFERROR(__xludf.DUMMYFUNCTION("""COMPUTED_VALUE"""),"Mamta Pandey")</f>
        <v>Mamta Pandey</v>
      </c>
      <c r="K570" s="31" t="str">
        <f>IFERROR(__xludf.DUMMYFUNCTION("""COMPUTED_VALUE"""),"Joined")</f>
        <v>Joined</v>
      </c>
      <c r="L570" s="31" t="str">
        <f>IFERROR(__xludf.DUMMYFUNCTION("""COMPUTED_VALUE"""),"In Office")</f>
        <v>In Office</v>
      </c>
      <c r="M570" s="31" t="str">
        <f>IFERROR(__xludf.DUMMYFUNCTION("""COMPUTED_VALUE"""),"pratham.bansal@zupee.in")</f>
        <v>pratham.bansal@zupee.in</v>
      </c>
      <c r="N570" s="31"/>
    </row>
    <row r="571">
      <c r="A571" s="74">
        <f>IFERROR(__xludf.DUMMYFUNCTION("""COMPUTED_VALUE"""),45839.0)</f>
        <v>45839</v>
      </c>
      <c r="B571" s="31" t="str">
        <f>IFERROR(__xludf.DUMMYFUNCTION("""COMPUTED_VALUE"""),"Chandi Agarwal")</f>
        <v>Chandi Agarwal</v>
      </c>
      <c r="C571" s="31" t="str">
        <f>IFERROR(__xludf.DUMMYFUNCTION("""COMPUTED_VALUE"""),"Product Design")</f>
        <v>Product Design</v>
      </c>
      <c r="D571" s="31">
        <f>IFERROR(__xludf.DUMMYFUNCTION("""COMPUTED_VALUE"""),7.906627883E9)</f>
        <v>7906627883</v>
      </c>
      <c r="E571" s="31" t="str">
        <f>IFERROR(__xludf.DUMMYFUNCTION("""COMPUTED_VALUE"""),"Senior Product Designer")</f>
        <v>Senior Product Designer</v>
      </c>
      <c r="F571" s="31" t="str">
        <f>IFERROR(__xludf.DUMMYFUNCTION("""COMPUTED_VALUE"""),"Design")</f>
        <v>Design</v>
      </c>
      <c r="G571" s="31" t="str">
        <f>IFERROR(__xludf.DUMMYFUNCTION("""COMPUTED_VALUE""")," chandi9622@gmail.com")</f>
        <v> chandi9622@gmail.com</v>
      </c>
      <c r="H571" s="31" t="str">
        <f>IFERROR(__xludf.DUMMYFUNCTION("""COMPUTED_VALUE"""),"Aish Abraham")</f>
        <v>Aish Abraham</v>
      </c>
      <c r="I571" s="75">
        <f>IFERROR(__xludf.DUMMYFUNCTION("""COMPUTED_VALUE"""),45818.0)</f>
        <v>45818</v>
      </c>
      <c r="J571" s="31" t="str">
        <f>IFERROR(__xludf.DUMMYFUNCTION("""COMPUTED_VALUE"""),"Shivam Sharma")</f>
        <v>Shivam Sharma</v>
      </c>
      <c r="K571" s="31" t="str">
        <f>IFERROR(__xludf.DUMMYFUNCTION("""COMPUTED_VALUE"""),"Offer Declined")</f>
        <v>Offer Declined</v>
      </c>
      <c r="L571" s="31" t="str">
        <f>IFERROR(__xludf.DUMMYFUNCTION("""COMPUTED_VALUE"""),"In Office")</f>
        <v>In Office</v>
      </c>
      <c r="M571" s="31"/>
      <c r="N571" s="31"/>
    </row>
    <row r="572">
      <c r="A572" s="74">
        <f>IFERROR(__xludf.DUMMYFUNCTION("""COMPUTED_VALUE"""),45881.0)</f>
        <v>45881</v>
      </c>
      <c r="B572" s="31" t="str">
        <f>IFERROR(__xludf.DUMMYFUNCTION("""COMPUTED_VALUE"""),"Aashit Dua ")</f>
        <v>Aashit Dua </v>
      </c>
      <c r="C572" s="31" t="str">
        <f>IFERROR(__xludf.DUMMYFUNCTION("""COMPUTED_VALUE"""),"Data")</f>
        <v>Data</v>
      </c>
      <c r="D572" s="31">
        <f>IFERROR(__xludf.DUMMYFUNCTION("""COMPUTED_VALUE"""),9.18585925454E11)</f>
        <v>918585925454</v>
      </c>
      <c r="E572" s="31" t="str">
        <f>IFERROR(__xludf.DUMMYFUNCTION("""COMPUTED_VALUE"""),"Senior Data Analyst ")</f>
        <v>Senior Data Analyst </v>
      </c>
      <c r="F572" s="31" t="str">
        <f>IFERROR(__xludf.DUMMYFUNCTION("""COMPUTED_VALUE"""),"Data Analytics")</f>
        <v>Data Analytics</v>
      </c>
      <c r="G572" s="31" t="str">
        <f>IFERROR(__xludf.DUMMYFUNCTION("""COMPUTED_VALUE"""),"aashitdua@gmail.com")</f>
        <v>aashitdua@gmail.com</v>
      </c>
      <c r="H572" s="31" t="str">
        <f>IFERROR(__xludf.DUMMYFUNCTION("""COMPUTED_VALUE"""),"Raman Malik")</f>
        <v>Raman Malik</v>
      </c>
      <c r="I572" s="75">
        <f>IFERROR(__xludf.DUMMYFUNCTION("""COMPUTED_VALUE"""),45819.0)</f>
        <v>45819</v>
      </c>
      <c r="J572" s="31" t="str">
        <f>IFERROR(__xludf.DUMMYFUNCTION("""COMPUTED_VALUE"""),"Naina")</f>
        <v>Naina</v>
      </c>
      <c r="K572" s="31" t="str">
        <f>IFERROR(__xludf.DUMMYFUNCTION("""COMPUTED_VALUE"""),"Joined")</f>
        <v>Joined</v>
      </c>
      <c r="L572" s="31" t="str">
        <f>IFERROR(__xludf.DUMMYFUNCTION("""COMPUTED_VALUE"""),"In Office")</f>
        <v>In Office</v>
      </c>
      <c r="M572" s="31"/>
      <c r="N572" s="31"/>
    </row>
    <row r="573">
      <c r="A573" s="74">
        <f>IFERROR(__xludf.DUMMYFUNCTION("""COMPUTED_VALUE"""),45853.0)</f>
        <v>45853</v>
      </c>
      <c r="B573" s="31" t="str">
        <f>IFERROR(__xludf.DUMMYFUNCTION("""COMPUTED_VALUE"""),"Deepankar Rao ")</f>
        <v>Deepankar Rao </v>
      </c>
      <c r="C573" s="31" t="str">
        <f>IFERROR(__xludf.DUMMYFUNCTION("""COMPUTED_VALUE"""),"Data")</f>
        <v>Data</v>
      </c>
      <c r="D573" s="31"/>
      <c r="E573" s="31" t="str">
        <f>IFERROR(__xludf.DUMMYFUNCTION("""COMPUTED_VALUE"""),"Senior Data Engineer")</f>
        <v>Senior Data Engineer</v>
      </c>
      <c r="F573" s="31" t="str">
        <f>IFERROR(__xludf.DUMMYFUNCTION("""COMPUTED_VALUE"""),"Data Engineering")</f>
        <v>Data Engineering</v>
      </c>
      <c r="G573" s="31" t="str">
        <f>IFERROR(__xludf.DUMMYFUNCTION("""COMPUTED_VALUE"""),"deepankar.dakshana16@gmail.com")</f>
        <v>deepankar.dakshana16@gmail.com</v>
      </c>
      <c r="H573" s="31" t="str">
        <f>IFERROR(__xludf.DUMMYFUNCTION("""COMPUTED_VALUE"""),"Aman Bahl")</f>
        <v>Aman Bahl</v>
      </c>
      <c r="I573" s="75">
        <f>IFERROR(__xludf.DUMMYFUNCTION("""COMPUTED_VALUE"""),45820.0)</f>
        <v>45820</v>
      </c>
      <c r="J573" s="31" t="str">
        <f>IFERROR(__xludf.DUMMYFUNCTION("""COMPUTED_VALUE"""),"Naina")</f>
        <v>Naina</v>
      </c>
      <c r="K573" s="31" t="str">
        <f>IFERROR(__xludf.DUMMYFUNCTION("""COMPUTED_VALUE"""),"Joined")</f>
        <v>Joined</v>
      </c>
      <c r="L573" s="31" t="str">
        <f>IFERROR(__xludf.DUMMYFUNCTION("""COMPUTED_VALUE"""),"In Office")</f>
        <v>In Office</v>
      </c>
      <c r="M573" s="31"/>
      <c r="N573" s="31"/>
    </row>
    <row r="574">
      <c r="A574" s="74">
        <f>IFERROR(__xludf.DUMMYFUNCTION("""COMPUTED_VALUE"""),45824.0)</f>
        <v>45824</v>
      </c>
      <c r="B574" s="31" t="str">
        <f>IFERROR(__xludf.DUMMYFUNCTION("""COMPUTED_VALUE"""),"Prashant Kumar Jha")</f>
        <v>Prashant Kumar Jha</v>
      </c>
      <c r="C574" s="31" t="str">
        <f>IFERROR(__xludf.DUMMYFUNCTION("""COMPUTED_VALUE"""),"Technology")</f>
        <v>Technology</v>
      </c>
      <c r="D574" s="31">
        <f>IFERROR(__xludf.DUMMYFUNCTION("""COMPUTED_VALUE"""),9.911906465E9)</f>
        <v>9911906465</v>
      </c>
      <c r="E574" s="31" t="str">
        <f>IFERROR(__xludf.DUMMYFUNCTION("""COMPUTED_VALUE"""),"Software Development Engineer in Test")</f>
        <v>Software Development Engineer in Test</v>
      </c>
      <c r="F574" s="31" t="str">
        <f>IFERROR(__xludf.DUMMYFUNCTION("""COMPUTED_VALUE"""),"SDET")</f>
        <v>SDET</v>
      </c>
      <c r="G574" s="31" t="str">
        <f>IFERROR(__xludf.DUMMYFUNCTION("""COMPUTED_VALUE"""),"itspjprashant07@gmail.com")</f>
        <v>itspjprashant07@gmail.com</v>
      </c>
      <c r="H574" s="31" t="str">
        <f>IFERROR(__xludf.DUMMYFUNCTION("""COMPUTED_VALUE"""),"Sahil Puri")</f>
        <v>Sahil Puri</v>
      </c>
      <c r="I574" s="75">
        <f>IFERROR(__xludf.DUMMYFUNCTION("""COMPUTED_VALUE"""),45821.0)</f>
        <v>45821</v>
      </c>
      <c r="J574" s="31" t="str">
        <f>IFERROR(__xludf.DUMMYFUNCTION("""COMPUTED_VALUE"""),"Vipin Kumar")</f>
        <v>Vipin Kumar</v>
      </c>
      <c r="K574" s="31" t="str">
        <f>IFERROR(__xludf.DUMMYFUNCTION("""COMPUTED_VALUE"""),"Joined")</f>
        <v>Joined</v>
      </c>
      <c r="L574" s="31" t="str">
        <f>IFERROR(__xludf.DUMMYFUNCTION("""COMPUTED_VALUE"""),"In Office")</f>
        <v>In Office</v>
      </c>
      <c r="M574" s="31"/>
      <c r="N574" s="31"/>
    </row>
    <row r="575">
      <c r="A575" s="74">
        <f>IFERROR(__xludf.DUMMYFUNCTION("""COMPUTED_VALUE"""),45826.0)</f>
        <v>45826</v>
      </c>
      <c r="B575" s="31" t="str">
        <f>IFERROR(__xludf.DUMMYFUNCTION("""COMPUTED_VALUE"""),"Varun Sahu")</f>
        <v>Varun Sahu</v>
      </c>
      <c r="C575" s="31" t="str">
        <f>IFERROR(__xludf.DUMMYFUNCTION("""COMPUTED_VALUE"""),"Technology")</f>
        <v>Technology</v>
      </c>
      <c r="D575" s="31">
        <f>IFERROR(__xludf.DUMMYFUNCTION("""COMPUTED_VALUE"""),9.425161255E9)</f>
        <v>9425161255</v>
      </c>
      <c r="E575" s="31" t="str">
        <f>IFERROR(__xludf.DUMMYFUNCTION("""COMPUTED_VALUE"""),"Software Engineer")</f>
        <v>Software Engineer</v>
      </c>
      <c r="F575" s="31" t="str">
        <f>IFERROR(__xludf.DUMMYFUNCTION("""COMPUTED_VALUE"""),"Engineering ")</f>
        <v>Engineering </v>
      </c>
      <c r="G575" s="31" t="str">
        <f>IFERROR(__xludf.DUMMYFUNCTION("""COMPUTED_VALUE"""),"varunsahu29.vs@gmail.com")</f>
        <v>varunsahu29.vs@gmail.com</v>
      </c>
      <c r="H575" s="31" t="str">
        <f>IFERROR(__xludf.DUMMYFUNCTION("""COMPUTED_VALUE"""),"Abhishek Gupta")</f>
        <v>Abhishek Gupta</v>
      </c>
      <c r="I575" s="75">
        <f>IFERROR(__xludf.DUMMYFUNCTION("""COMPUTED_VALUE"""),45821.0)</f>
        <v>45821</v>
      </c>
      <c r="J575" s="31" t="str">
        <f>IFERROR(__xludf.DUMMYFUNCTION("""COMPUTED_VALUE"""),"Nidhi Khedekar")</f>
        <v>Nidhi Khedekar</v>
      </c>
      <c r="K575" s="31" t="str">
        <f>IFERROR(__xludf.DUMMYFUNCTION("""COMPUTED_VALUE"""),"Joined")</f>
        <v>Joined</v>
      </c>
      <c r="L575" s="31" t="str">
        <f>IFERROR(__xludf.DUMMYFUNCTION("""COMPUTED_VALUE"""),"In Office")</f>
        <v>In Office</v>
      </c>
      <c r="M575" s="31" t="str">
        <f>IFERROR(__xludf.DUMMYFUNCTION("""COMPUTED_VALUE"""),"varun.sahu@zupee.in")</f>
        <v>varun.sahu@zupee.in</v>
      </c>
      <c r="N575" s="31" t="str">
        <f>IFERROR(__xludf.DUMMYFUNCTION("""COMPUTED_VALUE"""),"L6WWH04HHM")</f>
        <v>L6WWH04HHM</v>
      </c>
    </row>
    <row r="576">
      <c r="A576" s="74">
        <f>IFERROR(__xludf.DUMMYFUNCTION("""COMPUTED_VALUE"""),45826.0)</f>
        <v>45826</v>
      </c>
      <c r="B576" s="31" t="str">
        <f>IFERROR(__xludf.DUMMYFUNCTION("""COMPUTED_VALUE"""),"Sushmita Murlidhar Kannadi")</f>
        <v>Sushmita Murlidhar Kannadi</v>
      </c>
      <c r="C576" s="31" t="str">
        <f>IFERROR(__xludf.DUMMYFUNCTION("""COMPUTED_VALUE"""),"Customer Experience")</f>
        <v>Customer Experience</v>
      </c>
      <c r="D576" s="31">
        <f>IFERROR(__xludf.DUMMYFUNCTION("""COMPUTED_VALUE"""),9.620902465E9)</f>
        <v>9620902465</v>
      </c>
      <c r="E576" s="31" t="str">
        <f>IFERROR(__xludf.DUMMYFUNCTION("""COMPUTED_VALUE"""),"Relationship Manager")</f>
        <v>Relationship Manager</v>
      </c>
      <c r="F576" s="31" t="str">
        <f>IFERROR(__xludf.DUMMYFUNCTION("""COMPUTED_VALUE"""),"CRM")</f>
        <v>CRM</v>
      </c>
      <c r="G576" s="31" t="str">
        <f>IFERROR(__xludf.DUMMYFUNCTION("""COMPUTED_VALUE"""),"Jaysushmita1519@gmail.com")</f>
        <v>Jaysushmita1519@gmail.com</v>
      </c>
      <c r="H576" s="31" t="str">
        <f>IFERROR(__xludf.DUMMYFUNCTION("""COMPUTED_VALUE"""),"Shivam Bali")</f>
        <v>Shivam Bali</v>
      </c>
      <c r="I576" s="75">
        <f>IFERROR(__xludf.DUMMYFUNCTION("""COMPUTED_VALUE"""),45821.0)</f>
        <v>45821</v>
      </c>
      <c r="J576" s="31" t="str">
        <f>IFERROR(__xludf.DUMMYFUNCTION("""COMPUTED_VALUE"""),"Nidhi Khedekar")</f>
        <v>Nidhi Khedekar</v>
      </c>
      <c r="K576" s="31" t="str">
        <f>IFERROR(__xludf.DUMMYFUNCTION("""COMPUTED_VALUE"""),"Joined")</f>
        <v>Joined</v>
      </c>
      <c r="L576" s="31" t="str">
        <f>IFERROR(__xludf.DUMMYFUNCTION("""COMPUTED_VALUE"""),"In Office")</f>
        <v>In Office</v>
      </c>
      <c r="M576" s="31"/>
      <c r="N576" s="31"/>
    </row>
    <row r="577">
      <c r="A577" s="74">
        <f>IFERROR(__xludf.DUMMYFUNCTION("""COMPUTED_VALUE"""),45824.0)</f>
        <v>45824</v>
      </c>
      <c r="B577" s="31" t="str">
        <f>IFERROR(__xludf.DUMMYFUNCTION("""COMPUTED_VALUE"""),"	Kushagra Agrawal")</f>
        <v>	Kushagra Agrawal</v>
      </c>
      <c r="C577" s="31" t="str">
        <f>IFERROR(__xludf.DUMMYFUNCTION("""COMPUTED_VALUE"""),"Technology")</f>
        <v>Technology</v>
      </c>
      <c r="D577" s="31">
        <f>IFERROR(__xludf.DUMMYFUNCTION("""COMPUTED_VALUE"""),8.529708049E9)</f>
        <v>8529708049</v>
      </c>
      <c r="E577" s="31" t="str">
        <f>IFERROR(__xludf.DUMMYFUNCTION("""COMPUTED_VALUE"""),"Software Engineer")</f>
        <v>Software Engineer</v>
      </c>
      <c r="F577" s="31" t="str">
        <f>IFERROR(__xludf.DUMMYFUNCTION("""COMPUTED_VALUE"""),"Engineering ")</f>
        <v>Engineering </v>
      </c>
      <c r="G577" s="31" t="str">
        <f>IFERROR(__xludf.DUMMYFUNCTION("""COMPUTED_VALUE"""),"agrawalkush2023@gmail.com")</f>
        <v>agrawalkush2023@gmail.com</v>
      </c>
      <c r="H577" s="31" t="str">
        <f>IFERROR(__xludf.DUMMYFUNCTION("""COMPUTED_VALUE"""),"Abhishek Gupta")</f>
        <v>Abhishek Gupta</v>
      </c>
      <c r="I577" s="75">
        <f>IFERROR(__xludf.DUMMYFUNCTION("""COMPUTED_VALUE"""),45821.0)</f>
        <v>45821</v>
      </c>
      <c r="J577" s="31" t="str">
        <f>IFERROR(__xludf.DUMMYFUNCTION("""COMPUTED_VALUE"""),"Nidhi Khedekar")</f>
        <v>Nidhi Khedekar</v>
      </c>
      <c r="K577" s="31" t="str">
        <f>IFERROR(__xludf.DUMMYFUNCTION("""COMPUTED_VALUE"""),"Joined")</f>
        <v>Joined</v>
      </c>
      <c r="L577" s="31" t="str">
        <f>IFERROR(__xludf.DUMMYFUNCTION("""COMPUTED_VALUE"""),"In Office")</f>
        <v>In Office</v>
      </c>
      <c r="M577" s="31"/>
      <c r="N577" s="31"/>
    </row>
    <row r="578">
      <c r="A578" s="74">
        <f>IFERROR(__xludf.DUMMYFUNCTION("""COMPUTED_VALUE"""),45824.0)</f>
        <v>45824</v>
      </c>
      <c r="B578" s="31" t="str">
        <f>IFERROR(__xludf.DUMMYFUNCTION("""COMPUTED_VALUE"""),"Snigdha Tyagi")</f>
        <v>Snigdha Tyagi</v>
      </c>
      <c r="C578" s="31" t="str">
        <f>IFERROR(__xludf.DUMMYFUNCTION("""COMPUTED_VALUE"""),"Technology")</f>
        <v>Technology</v>
      </c>
      <c r="D578" s="31">
        <f>IFERROR(__xludf.DUMMYFUNCTION("""COMPUTED_VALUE"""),7.895804128E9)</f>
        <v>7895804128</v>
      </c>
      <c r="E578" s="31" t="str">
        <f>IFERROR(__xludf.DUMMYFUNCTION("""COMPUTED_VALUE"""),"Software Engineer")</f>
        <v>Software Engineer</v>
      </c>
      <c r="F578" s="31" t="str">
        <f>IFERROR(__xludf.DUMMYFUNCTION("""COMPUTED_VALUE"""),"Engineering ")</f>
        <v>Engineering </v>
      </c>
      <c r="G578" s="31" t="str">
        <f>IFERROR(__xludf.DUMMYFUNCTION("""COMPUTED_VALUE"""),"snigdhatyagi2001@gmail.com ")</f>
        <v>snigdhatyagi2001@gmail.com </v>
      </c>
      <c r="H578" s="31" t="str">
        <f>IFERROR(__xludf.DUMMYFUNCTION("""COMPUTED_VALUE"""),"Abhishek Gupta")</f>
        <v>Abhishek Gupta</v>
      </c>
      <c r="I578" s="75">
        <f>IFERROR(__xludf.DUMMYFUNCTION("""COMPUTED_VALUE"""),45821.0)</f>
        <v>45821</v>
      </c>
      <c r="J578" s="31" t="str">
        <f>IFERROR(__xludf.DUMMYFUNCTION("""COMPUTED_VALUE"""),"Nidhi Khedekar")</f>
        <v>Nidhi Khedekar</v>
      </c>
      <c r="K578" s="31" t="str">
        <f>IFERROR(__xludf.DUMMYFUNCTION("""COMPUTED_VALUE"""),"Offer Declined")</f>
        <v>Offer Declined</v>
      </c>
      <c r="L578" s="31" t="str">
        <f>IFERROR(__xludf.DUMMYFUNCTION("""COMPUTED_VALUE"""),"In Office")</f>
        <v>In Office</v>
      </c>
      <c r="M578" s="31"/>
      <c r="N578" s="31"/>
    </row>
    <row r="579">
      <c r="A579" s="74">
        <f>IFERROR(__xludf.DUMMYFUNCTION("""COMPUTED_VALUE"""),45839.0)</f>
        <v>45839</v>
      </c>
      <c r="B579" s="31" t="str">
        <f>IFERROR(__xludf.DUMMYFUNCTION("""COMPUTED_VALUE"""),"Priyanshu Tripathi")</f>
        <v>Priyanshu Tripathi</v>
      </c>
      <c r="C579" s="31" t="str">
        <f>IFERROR(__xludf.DUMMYFUNCTION("""COMPUTED_VALUE"""),"Strategy")</f>
        <v>Strategy</v>
      </c>
      <c r="D579" s="31">
        <f>IFERROR(__xludf.DUMMYFUNCTION("""COMPUTED_VALUE"""),8.052818224E9)</f>
        <v>8052818224</v>
      </c>
      <c r="E579" s="31" t="str">
        <f>IFERROR(__xludf.DUMMYFUNCTION("""COMPUTED_VALUE"""),"Content Writer")</f>
        <v>Content Writer</v>
      </c>
      <c r="F579" s="31" t="str">
        <f>IFERROR(__xludf.DUMMYFUNCTION("""COMPUTED_VALUE"""),"Product Marketing")</f>
        <v>Product Marketing</v>
      </c>
      <c r="G579" s="31" t="str">
        <f>IFERROR(__xludf.DUMMYFUNCTION("""COMPUTED_VALUE"""),"works.priyanshu@outlook.com")</f>
        <v>works.priyanshu@outlook.com</v>
      </c>
      <c r="H579" s="31" t="str">
        <f>IFERROR(__xludf.DUMMYFUNCTION("""COMPUTED_VALUE"""),"Aditya JHa")</f>
        <v>Aditya JHa</v>
      </c>
      <c r="I579" s="75">
        <f>IFERROR(__xludf.DUMMYFUNCTION("""COMPUTED_VALUE"""),45821.0)</f>
        <v>45821</v>
      </c>
      <c r="J579" s="31" t="str">
        <f>IFERROR(__xludf.DUMMYFUNCTION("""COMPUTED_VALUE"""),"Nidhi Khedekar")</f>
        <v>Nidhi Khedekar</v>
      </c>
      <c r="K579" s="31" t="str">
        <f>IFERROR(__xludf.DUMMYFUNCTION("""COMPUTED_VALUE"""),"Joined")</f>
        <v>Joined</v>
      </c>
      <c r="L579" s="31" t="str">
        <f>IFERROR(__xludf.DUMMYFUNCTION("""COMPUTED_VALUE"""),"In Office")</f>
        <v>In Office</v>
      </c>
      <c r="M579" s="31" t="str">
        <f>IFERROR(__xludf.DUMMYFUNCTION("""COMPUTED_VALUE"""),"priyanshu.tripathi@zupee.in")</f>
        <v>priyanshu.tripathi@zupee.in</v>
      </c>
      <c r="N579" s="31" t="str">
        <f>IFERROR(__xludf.DUMMYFUNCTION("""COMPUTED_VALUE"""),"MQM3X1XMC4")</f>
        <v>MQM3X1XMC4</v>
      </c>
    </row>
    <row r="580">
      <c r="A580" s="74">
        <f>IFERROR(__xludf.DUMMYFUNCTION("""COMPUTED_VALUE"""),45831.0)</f>
        <v>45831</v>
      </c>
      <c r="B580" s="31" t="str">
        <f>IFERROR(__xludf.DUMMYFUNCTION("""COMPUTED_VALUE"""),"Arti Mangla")</f>
        <v>Arti Mangla</v>
      </c>
      <c r="C580" s="31" t="str">
        <f>IFERROR(__xludf.DUMMYFUNCTION("""COMPUTED_VALUE"""),"Finance")</f>
        <v>Finance</v>
      </c>
      <c r="D580" s="31">
        <f>IFERROR(__xludf.DUMMYFUNCTION("""COMPUTED_VALUE"""),8.307508841E9)</f>
        <v>8307508841</v>
      </c>
      <c r="E580" s="31" t="str">
        <f>IFERROR(__xludf.DUMMYFUNCTION("""COMPUTED_VALUE"""),"Assistant Manager- Finance")</f>
        <v>Assistant Manager- Finance</v>
      </c>
      <c r="F580" s="31" t="str">
        <f>IFERROR(__xludf.DUMMYFUNCTION("""COMPUTED_VALUE"""),"Procurement")</f>
        <v>Procurement</v>
      </c>
      <c r="G580" s="31" t="str">
        <f>IFERROR(__xludf.DUMMYFUNCTION("""COMPUTED_VALUE"""),"artimangla2000@gmail.com")</f>
        <v>artimangla2000@gmail.com</v>
      </c>
      <c r="H580" s="31" t="str">
        <f>IFERROR(__xludf.DUMMYFUNCTION("""COMPUTED_VALUE"""),"Siddharth Monga")</f>
        <v>Siddharth Monga</v>
      </c>
      <c r="I580" s="75">
        <f>IFERROR(__xludf.DUMMYFUNCTION("""COMPUTED_VALUE"""),45821.0)</f>
        <v>45821</v>
      </c>
      <c r="J580" s="31" t="str">
        <f>IFERROR(__xludf.DUMMYFUNCTION("""COMPUTED_VALUE"""),"Nidhi Khedekar")</f>
        <v>Nidhi Khedekar</v>
      </c>
      <c r="K580" s="31" t="str">
        <f>IFERROR(__xludf.DUMMYFUNCTION("""COMPUTED_VALUE"""),"Joined")</f>
        <v>Joined</v>
      </c>
      <c r="L580" s="31" t="str">
        <f>IFERROR(__xludf.DUMMYFUNCTION("""COMPUTED_VALUE"""),"In Office")</f>
        <v>In Office</v>
      </c>
      <c r="M580" s="31"/>
      <c r="N580" s="31"/>
    </row>
    <row r="581">
      <c r="A581" s="74">
        <f>IFERROR(__xludf.DUMMYFUNCTION("""COMPUTED_VALUE"""),45845.0)</f>
        <v>45845</v>
      </c>
      <c r="B581" s="31" t="str">
        <f>IFERROR(__xludf.DUMMYFUNCTION("""COMPUTED_VALUE"""),"Tarun Bhardwaj")</f>
        <v>Tarun Bhardwaj</v>
      </c>
      <c r="C581" s="31" t="str">
        <f>IFERROR(__xludf.DUMMYFUNCTION("""COMPUTED_VALUE"""),"Technology")</f>
        <v>Technology</v>
      </c>
      <c r="D581" s="31">
        <f>IFERROR(__xludf.DUMMYFUNCTION("""COMPUTED_VALUE"""),7.022004732E9)</f>
        <v>7022004732</v>
      </c>
      <c r="E581" s="31" t="str">
        <f>IFERROR(__xludf.DUMMYFUNCTION("""COMPUTED_VALUE"""),"Software Engineer - Devops")</f>
        <v>Software Engineer - Devops</v>
      </c>
      <c r="F581" s="31" t="str">
        <f>IFERROR(__xludf.DUMMYFUNCTION("""COMPUTED_VALUE"""),"DevOps &amp; Security")</f>
        <v>DevOps &amp; Security</v>
      </c>
      <c r="G581" s="31" t="str">
        <f>IFERROR(__xludf.DUMMYFUNCTION("""COMPUTED_VALUE"""),"tarunht6@gmail.com")</f>
        <v>tarunht6@gmail.com</v>
      </c>
      <c r="H581" s="31" t="str">
        <f>IFERROR(__xludf.DUMMYFUNCTION("""COMPUTED_VALUE"""),"Saurav Yadav")</f>
        <v>Saurav Yadav</v>
      </c>
      <c r="I581" s="75">
        <f>IFERROR(__xludf.DUMMYFUNCTION("""COMPUTED_VALUE"""),45821.0)</f>
        <v>45821</v>
      </c>
      <c r="J581" s="31" t="str">
        <f>IFERROR(__xludf.DUMMYFUNCTION("""COMPUTED_VALUE"""),"Harsha Nanwani")</f>
        <v>Harsha Nanwani</v>
      </c>
      <c r="K581" s="31" t="str">
        <f>IFERROR(__xludf.DUMMYFUNCTION("""COMPUTED_VALUE"""),"Offer Declined")</f>
        <v>Offer Declined</v>
      </c>
      <c r="L581" s="31" t="str">
        <f>IFERROR(__xludf.DUMMYFUNCTION("""COMPUTED_VALUE"""),"In Office")</f>
        <v>In Office</v>
      </c>
      <c r="M581" s="31"/>
      <c r="N581" s="31"/>
    </row>
    <row r="582">
      <c r="A582" s="74">
        <f>IFERROR(__xludf.DUMMYFUNCTION("""COMPUTED_VALUE"""),45845.0)</f>
        <v>45845</v>
      </c>
      <c r="B582" s="31" t="str">
        <f>IFERROR(__xludf.DUMMYFUNCTION("""COMPUTED_VALUE"""),"Piyush Saraf")</f>
        <v>Piyush Saraf</v>
      </c>
      <c r="C582" s="31" t="str">
        <f>IFERROR(__xludf.DUMMYFUNCTION("""COMPUTED_VALUE"""),"Technology")</f>
        <v>Technology</v>
      </c>
      <c r="D582" s="31">
        <f>IFERROR(__xludf.DUMMYFUNCTION("""COMPUTED_VALUE"""),9.079032566E9)</f>
        <v>9079032566</v>
      </c>
      <c r="E582" s="31" t="str">
        <f>IFERROR(__xludf.DUMMYFUNCTION("""COMPUTED_VALUE"""),"Software Engineer-Devops")</f>
        <v>Software Engineer-Devops</v>
      </c>
      <c r="F582" s="31" t="str">
        <f>IFERROR(__xludf.DUMMYFUNCTION("""COMPUTED_VALUE"""),"DevOps &amp; Security")</f>
        <v>DevOps &amp; Security</v>
      </c>
      <c r="G582" s="31" t="str">
        <f>IFERROR(__xludf.DUMMYFUNCTION("""COMPUTED_VALUE""")," piyushsaraf76@gmail.com")</f>
        <v> piyushsaraf76@gmail.com</v>
      </c>
      <c r="H582" s="31" t="str">
        <f>IFERROR(__xludf.DUMMYFUNCTION("""COMPUTED_VALUE"""),"Saurav Yadav")</f>
        <v>Saurav Yadav</v>
      </c>
      <c r="I582" s="75">
        <f>IFERROR(__xludf.DUMMYFUNCTION("""COMPUTED_VALUE"""),45821.0)</f>
        <v>45821</v>
      </c>
      <c r="J582" s="31" t="str">
        <f>IFERROR(__xludf.DUMMYFUNCTION("""COMPUTED_VALUE"""),"Shivam Sharma")</f>
        <v>Shivam Sharma</v>
      </c>
      <c r="K582" s="31" t="str">
        <f>IFERROR(__xludf.DUMMYFUNCTION("""COMPUTED_VALUE"""),"Joined")</f>
        <v>Joined</v>
      </c>
      <c r="L582" s="31" t="str">
        <f>IFERROR(__xludf.DUMMYFUNCTION("""COMPUTED_VALUE"""),"In Office")</f>
        <v>In Office</v>
      </c>
      <c r="M582" s="31" t="str">
        <f>IFERROR(__xludf.DUMMYFUNCTION("""COMPUTED_VALUE"""),"piyush.saraf@zupee.in")</f>
        <v>piyush.saraf@zupee.in</v>
      </c>
      <c r="N582" s="31"/>
    </row>
    <row r="583">
      <c r="A583" s="74">
        <f>IFERROR(__xludf.DUMMYFUNCTION("""COMPUTED_VALUE"""),45825.0)</f>
        <v>45825</v>
      </c>
      <c r="B583" s="31" t="str">
        <f>IFERROR(__xludf.DUMMYFUNCTION("""COMPUTED_VALUE"""),"Utkarsh Sharma")</f>
        <v>Utkarsh Sharma</v>
      </c>
      <c r="C583" s="31" t="str">
        <f>IFERROR(__xludf.DUMMYFUNCTION("""COMPUTED_VALUE"""),"Digital Marketing")</f>
        <v>Digital Marketing</v>
      </c>
      <c r="D583" s="31">
        <f>IFERROR(__xludf.DUMMYFUNCTION("""COMPUTED_VALUE"""),9.816696116E9)</f>
        <v>9816696116</v>
      </c>
      <c r="E583" s="31" t="str">
        <f>IFERROR(__xludf.DUMMYFUNCTION("""COMPUTED_VALUE"""),"Associate - SEO")</f>
        <v>Associate - SEO</v>
      </c>
      <c r="F583" s="31"/>
      <c r="G583" s="31" t="str">
        <f>IFERROR(__xludf.DUMMYFUNCTION("""COMPUTED_VALUE"""),"utkarsharma020@gmail.com")</f>
        <v>utkarsharma020@gmail.com</v>
      </c>
      <c r="H583" s="31" t="str">
        <f>IFERROR(__xludf.DUMMYFUNCTION("""COMPUTED_VALUE"""),"Saumil Shah")</f>
        <v>Saumil Shah</v>
      </c>
      <c r="I583" s="75">
        <f>IFERROR(__xludf.DUMMYFUNCTION("""COMPUTED_VALUE"""),45824.0)</f>
        <v>45824</v>
      </c>
      <c r="J583" s="31" t="str">
        <f>IFERROR(__xludf.DUMMYFUNCTION("""COMPUTED_VALUE"""),"Harsha Nanwani")</f>
        <v>Harsha Nanwani</v>
      </c>
      <c r="K583" s="31" t="str">
        <f>IFERROR(__xludf.DUMMYFUNCTION("""COMPUTED_VALUE"""),"Joined")</f>
        <v>Joined</v>
      </c>
      <c r="L583" s="31" t="str">
        <f>IFERROR(__xludf.DUMMYFUNCTION("""COMPUTED_VALUE"""),"In Office")</f>
        <v>In Office</v>
      </c>
      <c r="M583" s="31" t="str">
        <f>IFERROR(__xludf.DUMMYFUNCTION("""COMPUTED_VALUE"""),"utkarsh.sharma@zupee.in")</f>
        <v>utkarsh.sharma@zupee.in</v>
      </c>
      <c r="N583" s="31"/>
    </row>
    <row r="584">
      <c r="A584" s="74">
        <f>IFERROR(__xludf.DUMMYFUNCTION("""COMPUTED_VALUE"""),45827.0)</f>
        <v>45827</v>
      </c>
      <c r="B584" s="31" t="str">
        <f>IFERROR(__xludf.DUMMYFUNCTION("""COMPUTED_VALUE"""),"Aman Kumar Srivastav")</f>
        <v>Aman Kumar Srivastav</v>
      </c>
      <c r="C584" s="31" t="str">
        <f>IFERROR(__xludf.DUMMYFUNCTION("""COMPUTED_VALUE"""),"Technology")</f>
        <v>Technology</v>
      </c>
      <c r="D584" s="31">
        <f>IFERROR(__xludf.DUMMYFUNCTION("""COMPUTED_VALUE"""),8.707324037E9)</f>
        <v>8707324037</v>
      </c>
      <c r="E584" s="31" t="str">
        <f>IFERROR(__xludf.DUMMYFUNCTION("""COMPUTED_VALUE"""),"Technical Lead")</f>
        <v>Technical Lead</v>
      </c>
      <c r="F584" s="31" t="str">
        <f>IFERROR(__xludf.DUMMYFUNCTION("""COMPUTED_VALUE"""),"Engineering ")</f>
        <v>Engineering </v>
      </c>
      <c r="G584" s="31" t="str">
        <f>IFERROR(__xludf.DUMMYFUNCTION("""COMPUTED_VALUE"""),"amansri29@gmail.com")</f>
        <v>amansri29@gmail.com</v>
      </c>
      <c r="H584" s="31" t="str">
        <f>IFERROR(__xludf.DUMMYFUNCTION("""COMPUTED_VALUE"""),"Abhishek Gupta")</f>
        <v>Abhishek Gupta</v>
      </c>
      <c r="I584" s="75">
        <f>IFERROR(__xludf.DUMMYFUNCTION("""COMPUTED_VALUE"""),45824.0)</f>
        <v>45824</v>
      </c>
      <c r="J584" s="31" t="str">
        <f>IFERROR(__xludf.DUMMYFUNCTION("""COMPUTED_VALUE"""),"Nidhi Khedekar")</f>
        <v>Nidhi Khedekar</v>
      </c>
      <c r="K584" s="31" t="str">
        <f>IFERROR(__xludf.DUMMYFUNCTION("""COMPUTED_VALUE"""),"Joined")</f>
        <v>Joined</v>
      </c>
      <c r="L584" s="31" t="str">
        <f>IFERROR(__xludf.DUMMYFUNCTION("""COMPUTED_VALUE"""),"Virtual")</f>
        <v>Virtual</v>
      </c>
      <c r="M584" s="31"/>
      <c r="N584" s="31"/>
    </row>
    <row r="585">
      <c r="A585" s="74">
        <f>IFERROR(__xludf.DUMMYFUNCTION("""COMPUTED_VALUE"""),45870.0)</f>
        <v>45870</v>
      </c>
      <c r="B585" s="31" t="str">
        <f>IFERROR(__xludf.DUMMYFUNCTION("""COMPUTED_VALUE"""),"Shivank Chaturvedi")</f>
        <v>Shivank Chaturvedi</v>
      </c>
      <c r="C585" s="31" t="str">
        <f>IFERROR(__xludf.DUMMYFUNCTION("""COMPUTED_VALUE"""),"Data")</f>
        <v>Data</v>
      </c>
      <c r="D585" s="31">
        <f>IFERROR(__xludf.DUMMYFUNCTION("""COMPUTED_VALUE"""),6.260652688E9)</f>
        <v>6260652688</v>
      </c>
      <c r="E585" s="31" t="str">
        <f>IFERROR(__xludf.DUMMYFUNCTION("""COMPUTED_VALUE"""),"Senior Data Engineer")</f>
        <v>Senior Data Engineer</v>
      </c>
      <c r="F585" s="31" t="str">
        <f>IFERROR(__xludf.DUMMYFUNCTION("""COMPUTED_VALUE"""),"Data Engineering")</f>
        <v>Data Engineering</v>
      </c>
      <c r="G585" s="31" t="str">
        <f>IFERROR(__xludf.DUMMYFUNCTION("""COMPUTED_VALUE"""),"shivank9753@gmail.com")</f>
        <v>shivank9753@gmail.com</v>
      </c>
      <c r="H585" s="31" t="str">
        <f>IFERROR(__xludf.DUMMYFUNCTION("""COMPUTED_VALUE"""),"Rahul Sharma ")</f>
        <v>Rahul Sharma </v>
      </c>
      <c r="I585" s="75">
        <f>IFERROR(__xludf.DUMMYFUNCTION("""COMPUTED_VALUE"""),45826.0)</f>
        <v>45826</v>
      </c>
      <c r="J585" s="31" t="str">
        <f>IFERROR(__xludf.DUMMYFUNCTION("""COMPUTED_VALUE"""),"Naina")</f>
        <v>Naina</v>
      </c>
      <c r="K585" s="31" t="str">
        <f>IFERROR(__xludf.DUMMYFUNCTION("""COMPUTED_VALUE"""),"Offer Declined")</f>
        <v>Offer Declined</v>
      </c>
      <c r="L585" s="31" t="str">
        <f>IFERROR(__xludf.DUMMYFUNCTION("""COMPUTED_VALUE"""),"In Office")</f>
        <v>In Office</v>
      </c>
      <c r="M585" s="31"/>
      <c r="N585" s="31"/>
    </row>
    <row r="586">
      <c r="A586" s="74">
        <f>IFERROR(__xludf.DUMMYFUNCTION("""COMPUTED_VALUE"""),45908.0)</f>
        <v>45908</v>
      </c>
      <c r="B586" s="31" t="str">
        <f>IFERROR(__xludf.DUMMYFUNCTION("""COMPUTED_VALUE"""),"Mubashira Panhalkar")</f>
        <v>Mubashira Panhalkar</v>
      </c>
      <c r="C586" s="31" t="str">
        <f>IFERROR(__xludf.DUMMYFUNCTION("""COMPUTED_VALUE"""),"Digital Marketing")</f>
        <v>Digital Marketing</v>
      </c>
      <c r="D586" s="31">
        <f>IFERROR(__xludf.DUMMYFUNCTION("""COMPUTED_VALUE"""),9.420422922E9)</f>
        <v>9420422922</v>
      </c>
      <c r="E586" s="31" t="str">
        <f>IFERROR(__xludf.DUMMYFUNCTION("""COMPUTED_VALUE"""),"Senior Associate-Digital Marketing")</f>
        <v>Senior Associate-Digital Marketing</v>
      </c>
      <c r="F586" s="31" t="str">
        <f>IFERROR(__xludf.DUMMYFUNCTION("""COMPUTED_VALUE"""),"Performance Marketing")</f>
        <v>Performance Marketing</v>
      </c>
      <c r="G586" s="31" t="str">
        <f>IFERROR(__xludf.DUMMYFUNCTION("""COMPUTED_VALUE"""),"panhalkarmubashira16@gmail.com")</f>
        <v>panhalkarmubashira16@gmail.com</v>
      </c>
      <c r="H586" s="31" t="str">
        <f>IFERROR(__xludf.DUMMYFUNCTION("""COMPUTED_VALUE"""),"Ritwika Rai")</f>
        <v>Ritwika Rai</v>
      </c>
      <c r="I586" s="75">
        <f>IFERROR(__xludf.DUMMYFUNCTION("""COMPUTED_VALUE"""),45826.0)</f>
        <v>45826</v>
      </c>
      <c r="J586" s="31" t="str">
        <f>IFERROR(__xludf.DUMMYFUNCTION("""COMPUTED_VALUE"""),"Nidhi Khedekar")</f>
        <v>Nidhi Khedekar</v>
      </c>
      <c r="K586" s="31" t="str">
        <f>IFERROR(__xludf.DUMMYFUNCTION("""COMPUTED_VALUE"""),"Offer Revoked")</f>
        <v>Offer Revoked</v>
      </c>
      <c r="L586" s="31" t="str">
        <f>IFERROR(__xludf.DUMMYFUNCTION("""COMPUTED_VALUE"""),"In Office")</f>
        <v>In Office</v>
      </c>
      <c r="M586" s="31"/>
      <c r="N586" s="31"/>
    </row>
    <row r="587">
      <c r="A587" s="74">
        <f>IFERROR(__xludf.DUMMYFUNCTION("""COMPUTED_VALUE"""),45887.0)</f>
        <v>45887</v>
      </c>
      <c r="B587" s="31" t="str">
        <f>IFERROR(__xludf.DUMMYFUNCTION("""COMPUTED_VALUE"""),"Sarthak Saluja")</f>
        <v>Sarthak Saluja</v>
      </c>
      <c r="C587" s="31" t="str">
        <f>IFERROR(__xludf.DUMMYFUNCTION("""COMPUTED_VALUE"""),"Data")</f>
        <v>Data</v>
      </c>
      <c r="D587" s="31">
        <f>IFERROR(__xludf.DUMMYFUNCTION("""COMPUTED_VALUE"""),9.999761847E9)</f>
        <v>9999761847</v>
      </c>
      <c r="E587" s="31" t="str">
        <f>IFERROR(__xludf.DUMMYFUNCTION("""COMPUTED_VALUE"""),"Lead Data Analyst")</f>
        <v>Lead Data Analyst</v>
      </c>
      <c r="F587" s="31" t="str">
        <f>IFERROR(__xludf.DUMMYFUNCTION("""COMPUTED_VALUE"""),"Data Analytics")</f>
        <v>Data Analytics</v>
      </c>
      <c r="G587" s="31" t="str">
        <f>IFERROR(__xludf.DUMMYFUNCTION("""COMPUTED_VALUE"""),"salujas.1296@gmail.com")</f>
        <v>salujas.1296@gmail.com</v>
      </c>
      <c r="H587" s="31" t="str">
        <f>IFERROR(__xludf.DUMMYFUNCTION("""COMPUTED_VALUE"""),"Raman Malik")</f>
        <v>Raman Malik</v>
      </c>
      <c r="I587" s="75">
        <f>IFERROR(__xludf.DUMMYFUNCTION("""COMPUTED_VALUE"""),45826.0)</f>
        <v>45826</v>
      </c>
      <c r="J587" s="31" t="str">
        <f>IFERROR(__xludf.DUMMYFUNCTION("""COMPUTED_VALUE"""),"Mamta Pandey")</f>
        <v>Mamta Pandey</v>
      </c>
      <c r="K587" s="31" t="str">
        <f>IFERROR(__xludf.DUMMYFUNCTION("""COMPUTED_VALUE"""),"Joined")</f>
        <v>Joined</v>
      </c>
      <c r="L587" s="31" t="str">
        <f>IFERROR(__xludf.DUMMYFUNCTION("""COMPUTED_VALUE"""),"In Office")</f>
        <v>In Office</v>
      </c>
      <c r="M587" s="31" t="str">
        <f>IFERROR(__xludf.DUMMYFUNCTION("""COMPUTED_VALUE"""),"sarthak.saluja@zupee.in")</f>
        <v>sarthak.saluja@zupee.in</v>
      </c>
      <c r="N587" s="31"/>
    </row>
    <row r="588">
      <c r="A588" s="74">
        <f>IFERROR(__xludf.DUMMYFUNCTION("""COMPUTED_VALUE"""),45887.0)</f>
        <v>45887</v>
      </c>
      <c r="B588" s="31" t="str">
        <f>IFERROR(__xludf.DUMMYFUNCTION("""COMPUTED_VALUE"""),"Nitesh Gupta")</f>
        <v>Nitesh Gupta</v>
      </c>
      <c r="C588" s="31" t="str">
        <f>IFERROR(__xludf.DUMMYFUNCTION("""COMPUTED_VALUE"""),"Technology")</f>
        <v>Technology</v>
      </c>
      <c r="D588" s="31">
        <f>IFERROR(__xludf.DUMMYFUNCTION("""COMPUTED_VALUE"""),8.860377218E9)</f>
        <v>8860377218</v>
      </c>
      <c r="E588" s="31" t="str">
        <f>IFERROR(__xludf.DUMMYFUNCTION("""COMPUTED_VALUE"""),"Software Engineer-Android")</f>
        <v>Software Engineer-Android</v>
      </c>
      <c r="F588" s="31" t="str">
        <f>IFERROR(__xludf.DUMMYFUNCTION("""COMPUTED_VALUE"""),"Engineering ")</f>
        <v>Engineering </v>
      </c>
      <c r="G588" s="31" t="str">
        <f>IFERROR(__xludf.DUMMYFUNCTION("""COMPUTED_VALUE""")," niteshg2000@gmail.com")</f>
        <v> niteshg2000@gmail.com</v>
      </c>
      <c r="H588" s="31" t="str">
        <f>IFERROR(__xludf.DUMMYFUNCTION("""COMPUTED_VALUE"""),"Anshul Mittal")</f>
        <v>Anshul Mittal</v>
      </c>
      <c r="I588" s="75">
        <f>IFERROR(__xludf.DUMMYFUNCTION("""COMPUTED_VALUE"""),45827.0)</f>
        <v>45827</v>
      </c>
      <c r="J588" s="31" t="str">
        <f>IFERROR(__xludf.DUMMYFUNCTION("""COMPUTED_VALUE"""),"Shivam Sharma")</f>
        <v>Shivam Sharma</v>
      </c>
      <c r="K588" s="31" t="str">
        <f>IFERROR(__xludf.DUMMYFUNCTION("""COMPUTED_VALUE"""),"Joined")</f>
        <v>Joined</v>
      </c>
      <c r="L588" s="31" t="str">
        <f>IFERROR(__xludf.DUMMYFUNCTION("""COMPUTED_VALUE"""),"In Office")</f>
        <v>In Office</v>
      </c>
      <c r="M588" s="31" t="str">
        <f>IFERROR(__xludf.DUMMYFUNCTION("""COMPUTED_VALUE"""),"nitesh.gupta@zupee.in")</f>
        <v>nitesh.gupta@zupee.in</v>
      </c>
      <c r="N588" s="31" t="str">
        <f>IFERROR(__xludf.DUMMYFUNCTION("""COMPUTED_VALUE"""),"KJL2L7HFHM")</f>
        <v>KJL2L7HFHM</v>
      </c>
    </row>
    <row r="589">
      <c r="A589" s="74">
        <f>IFERROR(__xludf.DUMMYFUNCTION("""COMPUTED_VALUE"""),45839.0)</f>
        <v>45839</v>
      </c>
      <c r="B589" s="31" t="str">
        <f>IFERROR(__xludf.DUMMYFUNCTION("""COMPUTED_VALUE"""),"Shyam S Warrier")</f>
        <v>Shyam S Warrier</v>
      </c>
      <c r="C589" s="31" t="str">
        <f>IFERROR(__xludf.DUMMYFUNCTION("""COMPUTED_VALUE"""),"Digital Marketing")</f>
        <v>Digital Marketing</v>
      </c>
      <c r="D589" s="31">
        <f>IFERROR(__xludf.DUMMYFUNCTION("""COMPUTED_VALUE"""),8.28175943E9)</f>
        <v>8281759430</v>
      </c>
      <c r="E589" s="31" t="str">
        <f>IFERROR(__xludf.DUMMYFUNCTION("""COMPUTED_VALUE"""),"Associate-Digital Marketing")</f>
        <v>Associate-Digital Marketing</v>
      </c>
      <c r="F589" s="31" t="str">
        <f>IFERROR(__xludf.DUMMYFUNCTION("""COMPUTED_VALUE"""),"Performance Marketing")</f>
        <v>Performance Marketing</v>
      </c>
      <c r="G589" s="31" t="str">
        <f>IFERROR(__xludf.DUMMYFUNCTION("""COMPUTED_VALUE"""),"shyamshashiwarrier@gmail.com")</f>
        <v>shyamshashiwarrier@gmail.com</v>
      </c>
      <c r="H589" s="31" t="str">
        <f>IFERROR(__xludf.DUMMYFUNCTION("""COMPUTED_VALUE"""),"Ritwika Maitra")</f>
        <v>Ritwika Maitra</v>
      </c>
      <c r="I589" s="75">
        <f>IFERROR(__xludf.DUMMYFUNCTION("""COMPUTED_VALUE"""),45827.0)</f>
        <v>45827</v>
      </c>
      <c r="J589" s="31" t="str">
        <f>IFERROR(__xludf.DUMMYFUNCTION("""COMPUTED_VALUE"""),"Nidhi Khedekar")</f>
        <v>Nidhi Khedekar</v>
      </c>
      <c r="K589" s="31" t="str">
        <f>IFERROR(__xludf.DUMMYFUNCTION("""COMPUTED_VALUE"""),"Joined")</f>
        <v>Joined</v>
      </c>
      <c r="L589" s="31" t="str">
        <f>IFERROR(__xludf.DUMMYFUNCTION("""COMPUTED_VALUE"""),"In Office")</f>
        <v>In Office</v>
      </c>
      <c r="M589" s="31"/>
      <c r="N589" s="31"/>
    </row>
    <row r="590">
      <c r="A590" s="74">
        <f>IFERROR(__xludf.DUMMYFUNCTION("""COMPUTED_VALUE"""),45854.0)</f>
        <v>45854</v>
      </c>
      <c r="B590" s="31" t="str">
        <f>IFERROR(__xludf.DUMMYFUNCTION("""COMPUTED_VALUE"""),"Harsh Mehta")</f>
        <v>Harsh Mehta</v>
      </c>
      <c r="C590" s="31" t="str">
        <f>IFERROR(__xludf.DUMMYFUNCTION("""COMPUTED_VALUE"""),"Digital Marketing")</f>
        <v>Digital Marketing</v>
      </c>
      <c r="D590" s="31">
        <f>IFERROR(__xludf.DUMMYFUNCTION("""COMPUTED_VALUE"""),9.833759353E9)</f>
        <v>9833759353</v>
      </c>
      <c r="E590" s="31" t="str">
        <f>IFERROR(__xludf.DUMMYFUNCTION("""COMPUTED_VALUE"""),"Manager-Digital Marketing")</f>
        <v>Manager-Digital Marketing</v>
      </c>
      <c r="F590" s="31" t="str">
        <f>IFERROR(__xludf.DUMMYFUNCTION("""COMPUTED_VALUE"""),"Performance Marketing")</f>
        <v>Performance Marketing</v>
      </c>
      <c r="G590" s="31" t="str">
        <f>IFERROR(__xludf.DUMMYFUNCTION("""COMPUTED_VALUE"""),"mehtaharsh0601@gmail.com")</f>
        <v>mehtaharsh0601@gmail.com</v>
      </c>
      <c r="H590" s="31" t="str">
        <f>IFERROR(__xludf.DUMMYFUNCTION("""COMPUTED_VALUE"""),"Ritwika Maitra")</f>
        <v>Ritwika Maitra</v>
      </c>
      <c r="I590" s="75">
        <f>IFERROR(__xludf.DUMMYFUNCTION("""COMPUTED_VALUE"""),45827.0)</f>
        <v>45827</v>
      </c>
      <c r="J590" s="31" t="str">
        <f>IFERROR(__xludf.DUMMYFUNCTION("""COMPUTED_VALUE"""),"Nidhi Khedekar")</f>
        <v>Nidhi Khedekar</v>
      </c>
      <c r="K590" s="31" t="str">
        <f>IFERROR(__xludf.DUMMYFUNCTION("""COMPUTED_VALUE"""),"Offer Declined")</f>
        <v>Offer Declined</v>
      </c>
      <c r="L590" s="31" t="str">
        <f>IFERROR(__xludf.DUMMYFUNCTION("""COMPUTED_VALUE"""),"In Office")</f>
        <v>In Office</v>
      </c>
      <c r="M590" s="31" t="str">
        <f>IFERROR(__xludf.DUMMYFUNCTION("""COMPUTED_VALUE"""),"harsh.m@zupee.in")</f>
        <v>harsh.m@zupee.in</v>
      </c>
      <c r="N590" s="31"/>
    </row>
    <row r="591">
      <c r="A591" s="74">
        <f>IFERROR(__xludf.DUMMYFUNCTION("""COMPUTED_VALUE"""),45845.0)</f>
        <v>45845</v>
      </c>
      <c r="B591" s="31" t="str">
        <f>IFERROR(__xludf.DUMMYFUNCTION("""COMPUTED_VALUE"""),"Rahul Kumar Singh")</f>
        <v>Rahul Kumar Singh</v>
      </c>
      <c r="C591" s="31" t="str">
        <f>IFERROR(__xludf.DUMMYFUNCTION("""COMPUTED_VALUE"""),"Technology")</f>
        <v>Technology</v>
      </c>
      <c r="D591" s="31">
        <f>IFERROR(__xludf.DUMMYFUNCTION("""COMPUTED_VALUE"""),7.355048616E9)</f>
        <v>7355048616</v>
      </c>
      <c r="E591" s="31" t="str">
        <f>IFERROR(__xludf.DUMMYFUNCTION("""COMPUTED_VALUE"""),"Software Engineer-Devops")</f>
        <v>Software Engineer-Devops</v>
      </c>
      <c r="F591" s="31" t="str">
        <f>IFERROR(__xludf.DUMMYFUNCTION("""COMPUTED_VALUE"""),"DevOps &amp; Security")</f>
        <v>DevOps &amp; Security</v>
      </c>
      <c r="G591" s="31" t="str">
        <f>IFERROR(__xludf.DUMMYFUNCTION("""COMPUTED_VALUE"""),"rsingh08003@gmail.com")</f>
        <v>rsingh08003@gmail.com</v>
      </c>
      <c r="H591" s="31" t="str">
        <f>IFERROR(__xludf.DUMMYFUNCTION("""COMPUTED_VALUE"""),"Saurav Yadav")</f>
        <v>Saurav Yadav</v>
      </c>
      <c r="I591" s="75">
        <f>IFERROR(__xludf.DUMMYFUNCTION("""COMPUTED_VALUE"""),45827.0)</f>
        <v>45827</v>
      </c>
      <c r="J591" s="31" t="str">
        <f>IFERROR(__xludf.DUMMYFUNCTION("""COMPUTED_VALUE"""),"Nidhi Khedekar")</f>
        <v>Nidhi Khedekar</v>
      </c>
      <c r="K591" s="31" t="str">
        <f>IFERROR(__xludf.DUMMYFUNCTION("""COMPUTED_VALUE"""),"Offer Declined")</f>
        <v>Offer Declined</v>
      </c>
      <c r="L591" s="31" t="str">
        <f>IFERROR(__xludf.DUMMYFUNCTION("""COMPUTED_VALUE"""),"In Office")</f>
        <v>In Office</v>
      </c>
      <c r="M591" s="31"/>
      <c r="N591" s="31"/>
    </row>
    <row r="592">
      <c r="A592" s="74">
        <f>IFERROR(__xludf.DUMMYFUNCTION("""COMPUTED_VALUE"""),45832.0)</f>
        <v>45832</v>
      </c>
      <c r="B592" s="31" t="str">
        <f>IFERROR(__xludf.DUMMYFUNCTION("""COMPUTED_VALUE"""),"Abhisar Gautam")</f>
        <v>Abhisar Gautam</v>
      </c>
      <c r="C592" s="31" t="str">
        <f>IFERROR(__xludf.DUMMYFUNCTION("""COMPUTED_VALUE"""),"Technology")</f>
        <v>Technology</v>
      </c>
      <c r="D592" s="31">
        <f>IFERROR(__xludf.DUMMYFUNCTION("""COMPUTED_VALUE"""),9.818721712E9)</f>
        <v>9818721712</v>
      </c>
      <c r="E592" s="31" t="str">
        <f>IFERROR(__xludf.DUMMYFUNCTION("""COMPUTED_VALUE"""),"Software Engineer")</f>
        <v>Software Engineer</v>
      </c>
      <c r="F592" s="31" t="str">
        <f>IFERROR(__xludf.DUMMYFUNCTION("""COMPUTED_VALUE"""),"Engineering ")</f>
        <v>Engineering </v>
      </c>
      <c r="G592" s="31" t="str">
        <f>IFERROR(__xludf.DUMMYFUNCTION("""COMPUTED_VALUE"""),"abhisar.gautam1712@gmail.com")</f>
        <v>abhisar.gautam1712@gmail.com</v>
      </c>
      <c r="H592" s="31" t="str">
        <f>IFERROR(__xludf.DUMMYFUNCTION("""COMPUTED_VALUE"""),"Arun Prabhakaran")</f>
        <v>Arun Prabhakaran</v>
      </c>
      <c r="I592" s="75">
        <f>IFERROR(__xludf.DUMMYFUNCTION("""COMPUTED_VALUE"""),45831.0)</f>
        <v>45831</v>
      </c>
      <c r="J592" s="31" t="str">
        <f>IFERROR(__xludf.DUMMYFUNCTION("""COMPUTED_VALUE"""),"Jaya Tiwari")</f>
        <v>Jaya Tiwari</v>
      </c>
      <c r="K592" s="31" t="str">
        <f>IFERROR(__xludf.DUMMYFUNCTION("""COMPUTED_VALUE"""),"Joined")</f>
        <v>Joined</v>
      </c>
      <c r="L592" s="31" t="str">
        <f>IFERROR(__xludf.DUMMYFUNCTION("""COMPUTED_VALUE"""),"In Office")</f>
        <v>In Office</v>
      </c>
      <c r="M592" s="31" t="str">
        <f>IFERROR(__xludf.DUMMYFUNCTION("""COMPUTED_VALUE"""),"abhisar.gautam@zupee.in")</f>
        <v>abhisar.gautam@zupee.in</v>
      </c>
      <c r="N592" s="31"/>
    </row>
    <row r="593">
      <c r="A593" s="74">
        <f>IFERROR(__xludf.DUMMYFUNCTION("""COMPUTED_VALUE"""),45832.0)</f>
        <v>45832</v>
      </c>
      <c r="B593" s="31" t="str">
        <f>IFERROR(__xludf.DUMMYFUNCTION("""COMPUTED_VALUE"""),"Cheshtha Sharma")</f>
        <v>Cheshtha Sharma</v>
      </c>
      <c r="C593" s="31" t="str">
        <f>IFERROR(__xludf.DUMMYFUNCTION("""COMPUTED_VALUE"""),"HR")</f>
        <v>HR</v>
      </c>
      <c r="D593" s="31">
        <f>IFERROR(__xludf.DUMMYFUNCTION("""COMPUTED_VALUE"""),8.920697235E9)</f>
        <v>8920697235</v>
      </c>
      <c r="E593" s="31" t="str">
        <f>IFERROR(__xludf.DUMMYFUNCTION("""COMPUTED_VALUE"""),"Associate - Talent Acquisition")</f>
        <v>Associate - Talent Acquisition</v>
      </c>
      <c r="F593" s="31" t="str">
        <f>IFERROR(__xludf.DUMMYFUNCTION("""COMPUTED_VALUE"""),"HR TA")</f>
        <v>HR TA</v>
      </c>
      <c r="G593" s="31" t="str">
        <f>IFERROR(__xludf.DUMMYFUNCTION("""COMPUTED_VALUE"""),"sharmacheshtha98@gmail.com")</f>
        <v>sharmacheshtha98@gmail.com</v>
      </c>
      <c r="H593" s="31" t="str">
        <f>IFERROR(__xludf.DUMMYFUNCTION("""COMPUTED_VALUE"""),"M Sangeetha")</f>
        <v>M Sangeetha</v>
      </c>
      <c r="I593" s="75">
        <f>IFERROR(__xludf.DUMMYFUNCTION("""COMPUTED_VALUE"""),45831.0)</f>
        <v>45831</v>
      </c>
      <c r="J593" s="31" t="str">
        <f>IFERROR(__xludf.DUMMYFUNCTION("""COMPUTED_VALUE"""),"Jaya Tiwari")</f>
        <v>Jaya Tiwari</v>
      </c>
      <c r="K593" s="31" t="str">
        <f>IFERROR(__xludf.DUMMYFUNCTION("""COMPUTED_VALUE"""),"Joined")</f>
        <v>Joined</v>
      </c>
      <c r="L593" s="31" t="str">
        <f>IFERROR(__xludf.DUMMYFUNCTION("""COMPUTED_VALUE"""),"In Office")</f>
        <v>In Office</v>
      </c>
      <c r="M593" s="31" t="str">
        <f>IFERROR(__xludf.DUMMYFUNCTION("""COMPUTED_VALUE"""),"cheshtha.sharma@zupee.in.")</f>
        <v>cheshtha.sharma@zupee.in.</v>
      </c>
      <c r="N593" s="31"/>
    </row>
    <row r="594">
      <c r="A594" s="74">
        <f>IFERROR(__xludf.DUMMYFUNCTION("""COMPUTED_VALUE"""),45833.0)</f>
        <v>45833</v>
      </c>
      <c r="B594" s="31" t="str">
        <f>IFERROR(__xludf.DUMMYFUNCTION("""COMPUTED_VALUE"""),"Samir Halder")</f>
        <v>Samir Halder</v>
      </c>
      <c r="C594" s="31" t="str">
        <f>IFERROR(__xludf.DUMMYFUNCTION("""COMPUTED_VALUE"""),"Brand Marketing")</f>
        <v>Brand Marketing</v>
      </c>
      <c r="D594" s="31">
        <f>IFERROR(__xludf.DUMMYFUNCTION("""COMPUTED_VALUE"""),8.800929377E9)</f>
        <v>8800929377</v>
      </c>
      <c r="E594" s="31" t="str">
        <f>IFERROR(__xludf.DUMMYFUNCTION("""COMPUTED_VALUE"""),"Video Editor - Contractual")</f>
        <v>Video Editor - Contractual</v>
      </c>
      <c r="F594" s="31"/>
      <c r="G594" s="31" t="str">
        <f>IFERROR(__xludf.DUMMYFUNCTION("""COMPUTED_VALUE"""),"haldersamir5447@gmail.com")</f>
        <v>haldersamir5447@gmail.com</v>
      </c>
      <c r="H594" s="31" t="str">
        <f>IFERROR(__xludf.DUMMYFUNCTION("""COMPUTED_VALUE"""),"Rijul Sehgal")</f>
        <v>Rijul Sehgal</v>
      </c>
      <c r="I594" s="75">
        <f>IFERROR(__xludf.DUMMYFUNCTION("""COMPUTED_VALUE"""),45832.0)</f>
        <v>45832</v>
      </c>
      <c r="J594" s="31" t="str">
        <f>IFERROR(__xludf.DUMMYFUNCTION("""COMPUTED_VALUE"""),"Harsha Nanwani")</f>
        <v>Harsha Nanwani</v>
      </c>
      <c r="K594" s="31" t="str">
        <f>IFERROR(__xludf.DUMMYFUNCTION("""COMPUTED_VALUE"""),"Joined")</f>
        <v>Joined</v>
      </c>
      <c r="L594" s="31" t="str">
        <f>IFERROR(__xludf.DUMMYFUNCTION("""COMPUTED_VALUE"""),"In Office")</f>
        <v>In Office</v>
      </c>
      <c r="M594" s="31" t="str">
        <f>IFERROR(__xludf.DUMMYFUNCTION("""COMPUTED_VALUE"""),"samir.h@zupee.in")</f>
        <v>samir.h@zupee.in</v>
      </c>
      <c r="N594" s="31" t="str">
        <f>IFERROR(__xludf.DUMMYFUNCTION("""COMPUTED_VALUE"""),"LY5WVJ4LT7")</f>
        <v>LY5WVJ4LT7</v>
      </c>
    </row>
    <row r="595">
      <c r="A595" s="74">
        <f>IFERROR(__xludf.DUMMYFUNCTION("""COMPUTED_VALUE"""),45881.0)</f>
        <v>45881</v>
      </c>
      <c r="B595" s="31" t="str">
        <f>IFERROR(__xludf.DUMMYFUNCTION("""COMPUTED_VALUE"""),"Palak Dua")</f>
        <v>Palak Dua</v>
      </c>
      <c r="C595" s="31" t="str">
        <f>IFERROR(__xludf.DUMMYFUNCTION("""COMPUTED_VALUE"""),"Technology")</f>
        <v>Technology</v>
      </c>
      <c r="D595" s="31">
        <f>IFERROR(__xludf.DUMMYFUNCTION("""COMPUTED_VALUE"""),7.017021315E9)</f>
        <v>7017021315</v>
      </c>
      <c r="E595" s="31" t="str">
        <f>IFERROR(__xludf.DUMMYFUNCTION("""COMPUTED_VALUE"""),"Engineering Manager- Frontend")</f>
        <v>Engineering Manager- Frontend</v>
      </c>
      <c r="F595" s="31" t="str">
        <f>IFERROR(__xludf.DUMMYFUNCTION("""COMPUTED_VALUE"""),"Engineering ")</f>
        <v>Engineering </v>
      </c>
      <c r="G595" s="31" t="str">
        <f>IFERROR(__xludf.DUMMYFUNCTION("""COMPUTED_VALUE"""),"palakdua31@gmail.com")</f>
        <v>palakdua31@gmail.com</v>
      </c>
      <c r="H595" s="31" t="str">
        <f>IFERROR(__xludf.DUMMYFUNCTION("""COMPUTED_VALUE"""),"Anshul Mittal")</f>
        <v>Anshul Mittal</v>
      </c>
      <c r="I595" s="75">
        <f>IFERROR(__xludf.DUMMYFUNCTION("""COMPUTED_VALUE"""),45832.0)</f>
        <v>45832</v>
      </c>
      <c r="J595" s="31" t="str">
        <f>IFERROR(__xludf.DUMMYFUNCTION("""COMPUTED_VALUE"""),"Rajneesh Yadav")</f>
        <v>Rajneesh Yadav</v>
      </c>
      <c r="K595" s="31" t="str">
        <f>IFERROR(__xludf.DUMMYFUNCTION("""COMPUTED_VALUE"""),"Joined")</f>
        <v>Joined</v>
      </c>
      <c r="L595" s="31" t="str">
        <f>IFERROR(__xludf.DUMMYFUNCTION("""COMPUTED_VALUE"""),"In Office")</f>
        <v>In Office</v>
      </c>
      <c r="M595" s="31" t="str">
        <f>IFERROR(__xludf.DUMMYFUNCTION("""COMPUTED_VALUE"""),"palak.dua@zupee.in")</f>
        <v>palak.dua@zupee.in</v>
      </c>
      <c r="N595" s="31" t="str">
        <f>IFERROR(__xludf.DUMMYFUNCTION("""COMPUTED_VALUE"""),"DYTG24X1X2")</f>
        <v>DYTG24X1X2</v>
      </c>
    </row>
    <row r="596">
      <c r="A596" s="74">
        <f>IFERROR(__xludf.DUMMYFUNCTION("""COMPUTED_VALUE"""),45833.0)</f>
        <v>45833</v>
      </c>
      <c r="B596" s="31" t="str">
        <f>IFERROR(__xludf.DUMMYFUNCTION("""COMPUTED_VALUE"""),"Gaurav Singh")</f>
        <v>Gaurav Singh</v>
      </c>
      <c r="C596" s="31" t="str">
        <f>IFERROR(__xludf.DUMMYFUNCTION("""COMPUTED_VALUE"""),"HR")</f>
        <v>HR</v>
      </c>
      <c r="D596" s="31">
        <f>IFERROR(__xludf.DUMMYFUNCTION("""COMPUTED_VALUE"""),8.860553986E9)</f>
        <v>8860553986</v>
      </c>
      <c r="E596" s="31" t="str">
        <f>IFERROR(__xludf.DUMMYFUNCTION("""COMPUTED_VALUE"""),"Associate - Talent Acquisition")</f>
        <v>Associate - Talent Acquisition</v>
      </c>
      <c r="F596" s="31" t="str">
        <f>IFERROR(__xludf.DUMMYFUNCTION("""COMPUTED_VALUE"""),"HR TA")</f>
        <v>HR TA</v>
      </c>
      <c r="G596" s="31" t="str">
        <f>IFERROR(__xludf.DUMMYFUNCTION("""COMPUTED_VALUE"""),"singhgaurav8898@gmail.com")</f>
        <v>singhgaurav8898@gmail.com</v>
      </c>
      <c r="H596" s="31" t="str">
        <f>IFERROR(__xludf.DUMMYFUNCTION("""COMPUTED_VALUE"""),"M Sangeetha")</f>
        <v>M Sangeetha</v>
      </c>
      <c r="I596" s="75">
        <f>IFERROR(__xludf.DUMMYFUNCTION("""COMPUTED_VALUE"""),45832.0)</f>
        <v>45832</v>
      </c>
      <c r="J596" s="31" t="str">
        <f>IFERROR(__xludf.DUMMYFUNCTION("""COMPUTED_VALUE"""),"Naina")</f>
        <v>Naina</v>
      </c>
      <c r="K596" s="31" t="str">
        <f>IFERROR(__xludf.DUMMYFUNCTION("""COMPUTED_VALUE"""),"Joined")</f>
        <v>Joined</v>
      </c>
      <c r="L596" s="31" t="str">
        <f>IFERROR(__xludf.DUMMYFUNCTION("""COMPUTED_VALUE"""),"In Office")</f>
        <v>In Office</v>
      </c>
      <c r="M596" s="31" t="str">
        <f>IFERROR(__xludf.DUMMYFUNCTION("""COMPUTED_VALUE"""),"gaurav.singh@zupee.in")</f>
        <v>gaurav.singh@zupee.in</v>
      </c>
      <c r="N596" s="31"/>
    </row>
    <row r="597">
      <c r="A597" s="74">
        <f>IFERROR(__xludf.DUMMYFUNCTION("""COMPUTED_VALUE"""),45845.0)</f>
        <v>45845</v>
      </c>
      <c r="B597" s="31" t="str">
        <f>IFERROR(__xludf.DUMMYFUNCTION("""COMPUTED_VALUE"""),"Rishabh Sharma")</f>
        <v>Rishabh Sharma</v>
      </c>
      <c r="C597" s="31" t="str">
        <f>IFERROR(__xludf.DUMMYFUNCTION("""COMPUTED_VALUE"""),"Data")</f>
        <v>Data</v>
      </c>
      <c r="D597" s="31">
        <f>IFERROR(__xludf.DUMMYFUNCTION("""COMPUTED_VALUE"""),7.011994789E9)</f>
        <v>7011994789</v>
      </c>
      <c r="E597" s="31" t="str">
        <f>IFERROR(__xludf.DUMMYFUNCTION("""COMPUTED_VALUE"""),"Lead Data Analyst")</f>
        <v>Lead Data Analyst</v>
      </c>
      <c r="F597" s="31" t="str">
        <f>IFERROR(__xludf.DUMMYFUNCTION("""COMPUTED_VALUE"""),"Data Analytics")</f>
        <v>Data Analytics</v>
      </c>
      <c r="G597" s="31" t="str">
        <f>IFERROR(__xludf.DUMMYFUNCTION("""COMPUTED_VALUE"""),"ris096@gmail.com")</f>
        <v>ris096@gmail.com</v>
      </c>
      <c r="H597" s="31" t="str">
        <f>IFERROR(__xludf.DUMMYFUNCTION("""COMPUTED_VALUE"""),"Raman Malik")</f>
        <v>Raman Malik</v>
      </c>
      <c r="I597" s="75">
        <f>IFERROR(__xludf.DUMMYFUNCTION("""COMPUTED_VALUE"""),45833.0)</f>
        <v>45833</v>
      </c>
      <c r="J597" s="31" t="str">
        <f>IFERROR(__xludf.DUMMYFUNCTION("""COMPUTED_VALUE"""),"Vipin Kumar")</f>
        <v>Vipin Kumar</v>
      </c>
      <c r="K597" s="31" t="str">
        <f>IFERROR(__xludf.DUMMYFUNCTION("""COMPUTED_VALUE"""),"Joined")</f>
        <v>Joined</v>
      </c>
      <c r="L597" s="31" t="str">
        <f>IFERROR(__xludf.DUMMYFUNCTION("""COMPUTED_VALUE"""),"In Office")</f>
        <v>In Office</v>
      </c>
      <c r="M597" s="31" t="str">
        <f>IFERROR(__xludf.DUMMYFUNCTION("""COMPUTED_VALUE"""),"rishabh.sharma@zupee.in")</f>
        <v>rishabh.sharma@zupee.in</v>
      </c>
      <c r="N597" s="31" t="str">
        <f>IFERROR(__xludf.DUMMYFUNCTION("""COMPUTED_VALUE"""),"DQK7DWHX3J")</f>
        <v>DQK7DWHX3J</v>
      </c>
    </row>
    <row r="598">
      <c r="A598" s="74">
        <f>IFERROR(__xludf.DUMMYFUNCTION("""COMPUTED_VALUE"""),45894.0)</f>
        <v>45894</v>
      </c>
      <c r="B598" s="31" t="str">
        <f>IFERROR(__xludf.DUMMYFUNCTION("""COMPUTED_VALUE"""),"Rushikesh Shivaji Chavan")</f>
        <v>Rushikesh Shivaji Chavan</v>
      </c>
      <c r="C598" s="31" t="str">
        <f>IFERROR(__xludf.DUMMYFUNCTION("""COMPUTED_VALUE"""),"Technology")</f>
        <v>Technology</v>
      </c>
      <c r="D598" s="31">
        <f>IFERROR(__xludf.DUMMYFUNCTION("""COMPUTED_VALUE"""),8.788163249E9)</f>
        <v>8788163249</v>
      </c>
      <c r="E598" s="31" t="str">
        <f>IFERROR(__xludf.DUMMYFUNCTION("""COMPUTED_VALUE"""),"Software Engineer")</f>
        <v>Software Engineer</v>
      </c>
      <c r="F598" s="31" t="str">
        <f>IFERROR(__xludf.DUMMYFUNCTION("""COMPUTED_VALUE"""),"Engineering ")</f>
        <v>Engineering </v>
      </c>
      <c r="G598" s="31" t="str">
        <f>IFERROR(__xludf.DUMMYFUNCTION("""COMPUTED_VALUE"""),"rushijsc30@gmail.com")</f>
        <v>rushijsc30@gmail.com</v>
      </c>
      <c r="H598" s="31" t="str">
        <f>IFERROR(__xludf.DUMMYFUNCTION("""COMPUTED_VALUE"""),"Rajneet Kumar")</f>
        <v>Rajneet Kumar</v>
      </c>
      <c r="I598" s="75">
        <f>IFERROR(__xludf.DUMMYFUNCTION("""COMPUTED_VALUE"""),45833.0)</f>
        <v>45833</v>
      </c>
      <c r="J598" s="31" t="str">
        <f>IFERROR(__xludf.DUMMYFUNCTION("""COMPUTED_VALUE"""),"Jaya Tiwari")</f>
        <v>Jaya Tiwari</v>
      </c>
      <c r="K598" s="31" t="str">
        <f>IFERROR(__xludf.DUMMYFUNCTION("""COMPUTED_VALUE"""),"Offer Revoked")</f>
        <v>Offer Revoked</v>
      </c>
      <c r="L598" s="31" t="str">
        <f>IFERROR(__xludf.DUMMYFUNCTION("""COMPUTED_VALUE"""),"In Office")</f>
        <v>In Office</v>
      </c>
      <c r="M598" s="31"/>
      <c r="N598" s="31"/>
    </row>
    <row r="599">
      <c r="A599" s="74">
        <f>IFERROR(__xludf.DUMMYFUNCTION("""COMPUTED_VALUE"""),45840.0)</f>
        <v>45840</v>
      </c>
      <c r="B599" s="31" t="str">
        <f>IFERROR(__xludf.DUMMYFUNCTION("""COMPUTED_VALUE"""),"Abhishek Bajiya")</f>
        <v>Abhishek Bajiya</v>
      </c>
      <c r="C599" s="31" t="str">
        <f>IFERROR(__xludf.DUMMYFUNCTION("""COMPUTED_VALUE"""),"Data")</f>
        <v>Data</v>
      </c>
      <c r="D599" s="31">
        <f>IFERROR(__xludf.DUMMYFUNCTION("""COMPUTED_VALUE"""),8.107707491E9)</f>
        <v>8107707491</v>
      </c>
      <c r="E599" s="31" t="str">
        <f>IFERROR(__xludf.DUMMYFUNCTION("""COMPUTED_VALUE"""),"Lead Data Analyst")</f>
        <v>Lead Data Analyst</v>
      </c>
      <c r="F599" s="31" t="str">
        <f>IFERROR(__xludf.DUMMYFUNCTION("""COMPUTED_VALUE"""),"Data Analytics")</f>
        <v>Data Analytics</v>
      </c>
      <c r="G599" s="31" t="str">
        <f>IFERROR(__xludf.DUMMYFUNCTION("""COMPUTED_VALUE"""),"abhishek.bajiya.che16@itbhu.ac.in")</f>
        <v>abhishek.bajiya.che16@itbhu.ac.in</v>
      </c>
      <c r="H599" s="31" t="str">
        <f>IFERROR(__xludf.DUMMYFUNCTION("""COMPUTED_VALUE"""),"Raman Malik")</f>
        <v>Raman Malik</v>
      </c>
      <c r="I599" s="75">
        <f>IFERROR(__xludf.DUMMYFUNCTION("""COMPUTED_VALUE"""),45834.0)</f>
        <v>45834</v>
      </c>
      <c r="J599" s="31" t="str">
        <f>IFERROR(__xludf.DUMMYFUNCTION("""COMPUTED_VALUE"""),"Vipin Kumar")</f>
        <v>Vipin Kumar</v>
      </c>
      <c r="K599" s="31" t="str">
        <f>IFERROR(__xludf.DUMMYFUNCTION("""COMPUTED_VALUE"""),"Joined")</f>
        <v>Joined</v>
      </c>
      <c r="L599" s="31" t="str">
        <f>IFERROR(__xludf.DUMMYFUNCTION("""COMPUTED_VALUE"""),"In Office")</f>
        <v>In Office</v>
      </c>
      <c r="M599" s="31" t="str">
        <f>IFERROR(__xludf.DUMMYFUNCTION("""COMPUTED_VALUE"""),"abhishek.bajiya@zupee.in")</f>
        <v>abhishek.bajiya@zupee.in</v>
      </c>
      <c r="N599" s="31" t="str">
        <f>IFERROR(__xludf.DUMMYFUNCTION("""COMPUTED_VALUE"""),"C6DN4YJ6FL")</f>
        <v>C6DN4YJ6FL</v>
      </c>
    </row>
    <row r="600">
      <c r="A600" s="74">
        <f>IFERROR(__xludf.DUMMYFUNCTION("""COMPUTED_VALUE"""),45839.0)</f>
        <v>45839</v>
      </c>
      <c r="B600" s="31" t="str">
        <f>IFERROR(__xludf.DUMMYFUNCTION("""COMPUTED_VALUE"""),"Bhavin Gupta")</f>
        <v>Bhavin Gupta</v>
      </c>
      <c r="C600" s="31" t="str">
        <f>IFERROR(__xludf.DUMMYFUNCTION("""COMPUTED_VALUE"""),"Technology")</f>
        <v>Technology</v>
      </c>
      <c r="D600" s="31">
        <f>IFERROR(__xludf.DUMMYFUNCTION("""COMPUTED_VALUE"""),9.739732141E9)</f>
        <v>9739732141</v>
      </c>
      <c r="E600" s="31" t="str">
        <f>IFERROR(__xludf.DUMMYFUNCTION("""COMPUTED_VALUE"""),"Senior Software Engineer")</f>
        <v>Senior Software Engineer</v>
      </c>
      <c r="F600" s="31" t="str">
        <f>IFERROR(__xludf.DUMMYFUNCTION("""COMPUTED_VALUE"""),"Engineering ")</f>
        <v>Engineering </v>
      </c>
      <c r="G600" s="31" t="str">
        <f>IFERROR(__xludf.DUMMYFUNCTION("""COMPUTED_VALUE"""),"guptabhavin60@gmail.com ")</f>
        <v>guptabhavin60@gmail.com </v>
      </c>
      <c r="H600" s="31" t="str">
        <f>IFERROR(__xludf.DUMMYFUNCTION("""COMPUTED_VALUE"""),"Abhishek Gupta")</f>
        <v>Abhishek Gupta</v>
      </c>
      <c r="I600" s="75">
        <f>IFERROR(__xludf.DUMMYFUNCTION("""COMPUTED_VALUE"""),45834.0)</f>
        <v>45834</v>
      </c>
      <c r="J600" s="31" t="str">
        <f>IFERROR(__xludf.DUMMYFUNCTION("""COMPUTED_VALUE"""),"Nidhi Khedekar")</f>
        <v>Nidhi Khedekar</v>
      </c>
      <c r="K600" s="31" t="str">
        <f>IFERROR(__xludf.DUMMYFUNCTION("""COMPUTED_VALUE"""),"Offer Declined")</f>
        <v>Offer Declined</v>
      </c>
      <c r="L600" s="31" t="str">
        <f>IFERROR(__xludf.DUMMYFUNCTION("""COMPUTED_VALUE"""),"Virtual")</f>
        <v>Virtual</v>
      </c>
      <c r="M600" s="31"/>
      <c r="N600" s="31"/>
    </row>
    <row r="601">
      <c r="A601" s="74">
        <f>IFERROR(__xludf.DUMMYFUNCTION("""COMPUTED_VALUE"""),45887.0)</f>
        <v>45887</v>
      </c>
      <c r="B601" s="31" t="str">
        <f>IFERROR(__xludf.DUMMYFUNCTION("""COMPUTED_VALUE"""),"Divas Gupta")</f>
        <v>Divas Gupta</v>
      </c>
      <c r="C601" s="31" t="str">
        <f>IFERROR(__xludf.DUMMYFUNCTION("""COMPUTED_VALUE"""),"Technology")</f>
        <v>Technology</v>
      </c>
      <c r="D601" s="31">
        <f>IFERROR(__xludf.DUMMYFUNCTION("""COMPUTED_VALUE"""),7.09093892E9)</f>
        <v>7090938920</v>
      </c>
      <c r="E601" s="31" t="str">
        <f>IFERROR(__xludf.DUMMYFUNCTION("""COMPUTED_VALUE"""),"Senior Software Engineer")</f>
        <v>Senior Software Engineer</v>
      </c>
      <c r="F601" s="31" t="str">
        <f>IFERROR(__xludf.DUMMYFUNCTION("""COMPUTED_VALUE"""),"Engineering ")</f>
        <v>Engineering </v>
      </c>
      <c r="G601" s="31" t="str">
        <f>IFERROR(__xludf.DUMMYFUNCTION("""COMPUTED_VALUE"""),"divasgupta.enggr@gmail.com")</f>
        <v>divasgupta.enggr@gmail.com</v>
      </c>
      <c r="H601" s="31" t="str">
        <f>IFERROR(__xludf.DUMMYFUNCTION("""COMPUTED_VALUE"""),"Rahul Sharma ")</f>
        <v>Rahul Sharma </v>
      </c>
      <c r="I601" s="75">
        <f>IFERROR(__xludf.DUMMYFUNCTION("""COMPUTED_VALUE"""),45834.0)</f>
        <v>45834</v>
      </c>
      <c r="J601" s="31" t="str">
        <f>IFERROR(__xludf.DUMMYFUNCTION("""COMPUTED_VALUE"""),"Mamta Pandey")</f>
        <v>Mamta Pandey</v>
      </c>
      <c r="K601" s="31" t="str">
        <f>IFERROR(__xludf.DUMMYFUNCTION("""COMPUTED_VALUE"""),"Joined")</f>
        <v>Joined</v>
      </c>
      <c r="L601" s="31" t="str">
        <f>IFERROR(__xludf.DUMMYFUNCTION("""COMPUTED_VALUE"""),"In Office")</f>
        <v>In Office</v>
      </c>
      <c r="M601" s="31" t="str">
        <f>IFERROR(__xludf.DUMMYFUNCTION("""COMPUTED_VALUE"""),"divas.gupta@zupee.in")</f>
        <v>divas.gupta@zupee.in</v>
      </c>
      <c r="N601" s="31"/>
    </row>
    <row r="602">
      <c r="A602" s="74">
        <f>IFERROR(__xludf.DUMMYFUNCTION("""COMPUTED_VALUE"""),45854.0)</f>
        <v>45854</v>
      </c>
      <c r="B602" s="31" t="str">
        <f>IFERROR(__xludf.DUMMYFUNCTION("""COMPUTED_VALUE"""),"Prakrati gupta")</f>
        <v>Prakrati gupta</v>
      </c>
      <c r="C602" s="31" t="str">
        <f>IFERROR(__xludf.DUMMYFUNCTION("""COMPUTED_VALUE"""),"Technology")</f>
        <v>Technology</v>
      </c>
      <c r="D602" s="31">
        <f>IFERROR(__xludf.DUMMYFUNCTION("""COMPUTED_VALUE"""),8.989845685E9)</f>
        <v>8989845685</v>
      </c>
      <c r="E602" s="31" t="str">
        <f>IFERROR(__xludf.DUMMYFUNCTION("""COMPUTED_VALUE"""),"Senior Software Engineer")</f>
        <v>Senior Software Engineer</v>
      </c>
      <c r="F602" s="31" t="str">
        <f>IFERROR(__xludf.DUMMYFUNCTION("""COMPUTED_VALUE"""),"Engineering ")</f>
        <v>Engineering </v>
      </c>
      <c r="G602" s="31" t="str">
        <f>IFERROR(__xludf.DUMMYFUNCTION("""COMPUTED_VALUE"""),"prakratigupta507@gmail.com")</f>
        <v>prakratigupta507@gmail.com</v>
      </c>
      <c r="H602" s="31" t="str">
        <f>IFERROR(__xludf.DUMMYFUNCTION("""COMPUTED_VALUE"""),"Abhishek Gupta")</f>
        <v>Abhishek Gupta</v>
      </c>
      <c r="I602" s="75">
        <f>IFERROR(__xludf.DUMMYFUNCTION("""COMPUTED_VALUE"""),45835.0)</f>
        <v>45835</v>
      </c>
      <c r="J602" s="31" t="str">
        <f>IFERROR(__xludf.DUMMYFUNCTION("""COMPUTED_VALUE"""),"Harsha Nanwani")</f>
        <v>Harsha Nanwani</v>
      </c>
      <c r="K602" s="31" t="str">
        <f>IFERROR(__xludf.DUMMYFUNCTION("""COMPUTED_VALUE"""),"Joined")</f>
        <v>Joined</v>
      </c>
      <c r="L602" s="31" t="str">
        <f>IFERROR(__xludf.DUMMYFUNCTION("""COMPUTED_VALUE"""),"In Office")</f>
        <v>In Office</v>
      </c>
      <c r="M602" s="31" t="str">
        <f>IFERROR(__xludf.DUMMYFUNCTION("""COMPUTED_VALUE"""),"prakrati.gupta@zupee.in")</f>
        <v>prakrati.gupta@zupee.in</v>
      </c>
      <c r="N602" s="31" t="str">
        <f>IFERROR(__xludf.DUMMYFUNCTION("""COMPUTED_VALUE"""),"FMV02PRHV9")</f>
        <v>FMV02PRHV9</v>
      </c>
    </row>
    <row r="603">
      <c r="A603" s="74">
        <f>IFERROR(__xludf.DUMMYFUNCTION("""COMPUTED_VALUE"""),45839.0)</f>
        <v>45839</v>
      </c>
      <c r="B603" s="31" t="str">
        <f>IFERROR(__xludf.DUMMYFUNCTION("""COMPUTED_VALUE"""),"Dipankar Yadav")</f>
        <v>Dipankar Yadav</v>
      </c>
      <c r="C603" s="31" t="str">
        <f>IFERROR(__xludf.DUMMYFUNCTION("""COMPUTED_VALUE"""),"Technology")</f>
        <v>Technology</v>
      </c>
      <c r="D603" s="31">
        <f>IFERROR(__xludf.DUMMYFUNCTION("""COMPUTED_VALUE"""),9.996553546E9)</f>
        <v>9996553546</v>
      </c>
      <c r="E603" s="31" t="str">
        <f>IFERROR(__xludf.DUMMYFUNCTION("""COMPUTED_VALUE"""),"Software Engineer")</f>
        <v>Software Engineer</v>
      </c>
      <c r="F603" s="31" t="str">
        <f>IFERROR(__xludf.DUMMYFUNCTION("""COMPUTED_VALUE"""),"Engineering ")</f>
        <v>Engineering </v>
      </c>
      <c r="G603" s="31" t="str">
        <f>IFERROR(__xludf.DUMMYFUNCTION("""COMPUTED_VALUE"""),"dipankaryadav1234@gmail.com")</f>
        <v>dipankaryadav1234@gmail.com</v>
      </c>
      <c r="H603" s="31" t="str">
        <f>IFERROR(__xludf.DUMMYFUNCTION("""COMPUTED_VALUE"""),"Aman Gupta")</f>
        <v>Aman Gupta</v>
      </c>
      <c r="I603" s="75">
        <f>IFERROR(__xludf.DUMMYFUNCTION("""COMPUTED_VALUE"""),45792.0)</f>
        <v>45792</v>
      </c>
      <c r="J603" s="31" t="str">
        <f>IFERROR(__xludf.DUMMYFUNCTION("""COMPUTED_VALUE"""),"Shivam Sharma")</f>
        <v>Shivam Sharma</v>
      </c>
      <c r="K603" s="31" t="str">
        <f>IFERROR(__xludf.DUMMYFUNCTION("""COMPUTED_VALUE"""),"Joined")</f>
        <v>Joined</v>
      </c>
      <c r="L603" s="31" t="str">
        <f>IFERROR(__xludf.DUMMYFUNCTION("""COMPUTED_VALUE"""),"In Office")</f>
        <v>In Office</v>
      </c>
      <c r="M603" s="31"/>
      <c r="N603" s="31"/>
    </row>
    <row r="604">
      <c r="A604" s="74">
        <f>IFERROR(__xludf.DUMMYFUNCTION("""COMPUTED_VALUE"""),45839.0)</f>
        <v>45839</v>
      </c>
      <c r="B604" s="31" t="str">
        <f>IFERROR(__xludf.DUMMYFUNCTION("""COMPUTED_VALUE"""),"Dhruv Gupta")</f>
        <v>Dhruv Gupta</v>
      </c>
      <c r="C604" s="31" t="str">
        <f>IFERROR(__xludf.DUMMYFUNCTION("""COMPUTED_VALUE"""),"Data")</f>
        <v>Data</v>
      </c>
      <c r="D604" s="31">
        <f>IFERROR(__xludf.DUMMYFUNCTION("""COMPUTED_VALUE"""),8.178059447E9)</f>
        <v>8178059447</v>
      </c>
      <c r="E604" s="31" t="str">
        <f>IFERROR(__xludf.DUMMYFUNCTION("""COMPUTED_VALUE"""),"Machine Learning Engineer")</f>
        <v>Machine Learning Engineer</v>
      </c>
      <c r="F604" s="31" t="str">
        <f>IFERROR(__xludf.DUMMYFUNCTION("""COMPUTED_VALUE"""),"Data Science")</f>
        <v>Data Science</v>
      </c>
      <c r="G604" s="31" t="str">
        <f>IFERROR(__xludf.DUMMYFUNCTION("""COMPUTED_VALUE"""),"guptadhruv643@gmail.com")</f>
        <v>guptadhruv643@gmail.com</v>
      </c>
      <c r="H604" s="31" t="str">
        <f>IFERROR(__xludf.DUMMYFUNCTION("""COMPUTED_VALUE"""),"Nandeshwar Gupta")</f>
        <v>Nandeshwar Gupta</v>
      </c>
      <c r="I604" s="75">
        <f>IFERROR(__xludf.DUMMYFUNCTION("""COMPUTED_VALUE"""),45833.0)</f>
        <v>45833</v>
      </c>
      <c r="J604" s="31" t="str">
        <f>IFERROR(__xludf.DUMMYFUNCTION("""COMPUTED_VALUE"""),"Shivam Sharma")</f>
        <v>Shivam Sharma</v>
      </c>
      <c r="K604" s="31" t="str">
        <f>IFERROR(__xludf.DUMMYFUNCTION("""COMPUTED_VALUE"""),"Joined")</f>
        <v>Joined</v>
      </c>
      <c r="L604" s="31" t="str">
        <f>IFERROR(__xludf.DUMMYFUNCTION("""COMPUTED_VALUE"""),"In Office")</f>
        <v>In Office</v>
      </c>
      <c r="M604" s="31" t="str">
        <f>IFERROR(__xludf.DUMMYFUNCTION("""COMPUTED_VALUE"""),"dhruv.gupta@zupee.in")</f>
        <v>dhruv.gupta@zupee.in</v>
      </c>
      <c r="N604" s="31" t="str">
        <f>IFERROR(__xludf.DUMMYFUNCTION("""COMPUTED_VALUE"""),"JH07F2R6K5")</f>
        <v>JH07F2R6K5</v>
      </c>
    </row>
    <row r="605">
      <c r="A605" s="74">
        <f>IFERROR(__xludf.DUMMYFUNCTION("""COMPUTED_VALUE"""),45841.0)</f>
        <v>45841</v>
      </c>
      <c r="B605" s="31" t="str">
        <f>IFERROR(__xludf.DUMMYFUNCTION("""COMPUTED_VALUE"""),"Akhil NR")</f>
        <v>Akhil NR</v>
      </c>
      <c r="C605" s="31" t="str">
        <f>IFERROR(__xludf.DUMMYFUNCTION("""COMPUTED_VALUE"""),"Public Policy")</f>
        <v>Public Policy</v>
      </c>
      <c r="D605" s="31">
        <f>IFERROR(__xludf.DUMMYFUNCTION("""COMPUTED_VALUE"""),8.377983498E9)</f>
        <v>8377983498</v>
      </c>
      <c r="E605" s="31" t="str">
        <f>IFERROR(__xludf.DUMMYFUNCTION("""COMPUTED_VALUE"""),"Manager- Government Affairs")</f>
        <v>Manager- Government Affairs</v>
      </c>
      <c r="F605" s="31" t="str">
        <f>IFERROR(__xludf.DUMMYFUNCTION("""COMPUTED_VALUE"""),"Public Policy")</f>
        <v>Public Policy</v>
      </c>
      <c r="G605" s="31" t="str">
        <f>IFERROR(__xludf.DUMMYFUNCTION("""COMPUTED_VALUE"""),"nrakhil17@gmail.com")</f>
        <v>nrakhil17@gmail.com</v>
      </c>
      <c r="H605" s="31" t="str">
        <f>IFERROR(__xludf.DUMMYFUNCTION("""COMPUTED_VALUE"""),"Govind Mittal")</f>
        <v>Govind Mittal</v>
      </c>
      <c r="I605" s="75">
        <f>IFERROR(__xludf.DUMMYFUNCTION("""COMPUTED_VALUE"""),45835.0)</f>
        <v>45835</v>
      </c>
      <c r="J605" s="31" t="str">
        <f>IFERROR(__xludf.DUMMYFUNCTION("""COMPUTED_VALUE"""),"Rajneesh Yadav")</f>
        <v>Rajneesh Yadav</v>
      </c>
      <c r="K605" s="31" t="str">
        <f>IFERROR(__xludf.DUMMYFUNCTION("""COMPUTED_VALUE"""),"Joined")</f>
        <v>Joined</v>
      </c>
      <c r="L605" s="31" t="str">
        <f>IFERROR(__xludf.DUMMYFUNCTION("""COMPUTED_VALUE"""),"In Office")</f>
        <v>In Office</v>
      </c>
      <c r="M605" s="31" t="str">
        <f>IFERROR(__xludf.DUMMYFUNCTION("""COMPUTED_VALUE"""),"akhil.nr@zupee.in")</f>
        <v>akhil.nr@zupee.in</v>
      </c>
      <c r="N605" s="31"/>
    </row>
    <row r="606">
      <c r="A606" s="74">
        <f>IFERROR(__xludf.DUMMYFUNCTION("""COMPUTED_VALUE"""),45839.0)</f>
        <v>45839</v>
      </c>
      <c r="B606" s="31" t="str">
        <f>IFERROR(__xludf.DUMMYFUNCTION("""COMPUTED_VALUE"""),"Kinjal Sharma")</f>
        <v>Kinjal Sharma</v>
      </c>
      <c r="C606" s="31" t="str">
        <f>IFERROR(__xludf.DUMMYFUNCTION("""COMPUTED_VALUE"""),"Digital Marketing")</f>
        <v>Digital Marketing</v>
      </c>
      <c r="D606" s="31">
        <f>IFERROR(__xludf.DUMMYFUNCTION("""COMPUTED_VALUE"""),6.306812055E9)</f>
        <v>6306812055</v>
      </c>
      <c r="E606" s="31" t="str">
        <f>IFERROR(__xludf.DUMMYFUNCTION("""COMPUTED_VALUE"""),"Associate - Content Writer")</f>
        <v>Associate - Content Writer</v>
      </c>
      <c r="F606" s="31" t="str">
        <f>IFERROR(__xludf.DUMMYFUNCTION("""COMPUTED_VALUE"""),"Content")</f>
        <v>Content</v>
      </c>
      <c r="G606" s="31" t="str">
        <f>IFERROR(__xludf.DUMMYFUNCTION("""COMPUTED_VALUE"""),"kinjal10oct@gmail.com")</f>
        <v>kinjal10oct@gmail.com</v>
      </c>
      <c r="H606" s="31" t="str">
        <f>IFERROR(__xludf.DUMMYFUNCTION("""COMPUTED_VALUE"""),"Saumil Shah")</f>
        <v>Saumil Shah</v>
      </c>
      <c r="I606" s="75">
        <f>IFERROR(__xludf.DUMMYFUNCTION("""COMPUTED_VALUE"""),45838.0)</f>
        <v>45838</v>
      </c>
      <c r="J606" s="31" t="str">
        <f>IFERROR(__xludf.DUMMYFUNCTION("""COMPUTED_VALUE"""),"Harsha Nanwani")</f>
        <v>Harsha Nanwani</v>
      </c>
      <c r="K606" s="31" t="str">
        <f>IFERROR(__xludf.DUMMYFUNCTION("""COMPUTED_VALUE"""),"Joined")</f>
        <v>Joined</v>
      </c>
      <c r="L606" s="31" t="str">
        <f>IFERROR(__xludf.DUMMYFUNCTION("""COMPUTED_VALUE"""),"In Office")</f>
        <v>In Office</v>
      </c>
      <c r="M606" s="31" t="str">
        <f>IFERROR(__xludf.DUMMYFUNCTION("""COMPUTED_VALUE"""),"kinjal.sharma@zupee.in")</f>
        <v>kinjal.sharma@zupee.in</v>
      </c>
      <c r="N606" s="31" t="str">
        <f>IFERROR(__xludf.DUMMYFUNCTION("""COMPUTED_VALUE"""),"PG04QR8P")</f>
        <v>PG04QR8P</v>
      </c>
    </row>
    <row r="607">
      <c r="A607" s="74">
        <f>IFERROR(__xludf.DUMMYFUNCTION("""COMPUTED_VALUE"""),45846.0)</f>
        <v>45846</v>
      </c>
      <c r="B607" s="31" t="str">
        <f>IFERROR(__xludf.DUMMYFUNCTION("""COMPUTED_VALUE"""),"Lovleen Thapar")</f>
        <v>Lovleen Thapar</v>
      </c>
      <c r="C607" s="31" t="str">
        <f>IFERROR(__xludf.DUMMYFUNCTION("""COMPUTED_VALUE"""),"Product Design")</f>
        <v>Product Design</v>
      </c>
      <c r="D607" s="31">
        <f>IFERROR(__xludf.DUMMYFUNCTION("""COMPUTED_VALUE"""),9.810057361E9)</f>
        <v>9810057361</v>
      </c>
      <c r="E607" s="31" t="str">
        <f>IFERROR(__xludf.DUMMYFUNCTION("""COMPUTED_VALUE"""),"Product Designer")</f>
        <v>Product Designer</v>
      </c>
      <c r="F607" s="31" t="str">
        <f>IFERROR(__xludf.DUMMYFUNCTION("""COMPUTED_VALUE"""),"UI/UX Design")</f>
        <v>UI/UX Design</v>
      </c>
      <c r="G607" s="31" t="str">
        <f>IFERROR(__xludf.DUMMYFUNCTION("""COMPUTED_VALUE""")," lovleenthapar15@gmail.com")</f>
        <v> lovleenthapar15@gmail.com</v>
      </c>
      <c r="H607" s="31" t="str">
        <f>IFERROR(__xludf.DUMMYFUNCTION("""COMPUTED_VALUE"""),"Anish Abraham")</f>
        <v>Anish Abraham</v>
      </c>
      <c r="I607" s="75">
        <f>IFERROR(__xludf.DUMMYFUNCTION("""COMPUTED_VALUE"""),45838.0)</f>
        <v>45838</v>
      </c>
      <c r="J607" s="31" t="str">
        <f>IFERROR(__xludf.DUMMYFUNCTION("""COMPUTED_VALUE"""),"Shivam Sharma")</f>
        <v>Shivam Sharma</v>
      </c>
      <c r="K607" s="31" t="str">
        <f>IFERROR(__xludf.DUMMYFUNCTION("""COMPUTED_VALUE"""),"Joined")</f>
        <v>Joined</v>
      </c>
      <c r="L607" s="31" t="str">
        <f>IFERROR(__xludf.DUMMYFUNCTION("""COMPUTED_VALUE"""),"In Office")</f>
        <v>In Office</v>
      </c>
      <c r="M607" s="31" t="str">
        <f>IFERROR(__xludf.DUMMYFUNCTION("""COMPUTED_VALUE"""),"lovleen.thapar@zupee.in")</f>
        <v>lovleen.thapar@zupee.in</v>
      </c>
      <c r="N607" s="31" t="str">
        <f>IFERROR(__xludf.DUMMYFUNCTION("""COMPUTED_VALUE"""),"CTG9X9QK61")</f>
        <v>CTG9X9QK61</v>
      </c>
    </row>
    <row r="608">
      <c r="A608" s="74">
        <f>IFERROR(__xludf.DUMMYFUNCTION("""COMPUTED_VALUE"""),45845.0)</f>
        <v>45845</v>
      </c>
      <c r="B608" s="31" t="str">
        <f>IFERROR(__xludf.DUMMYFUNCTION("""COMPUTED_VALUE"""),"Vaibhav Binaykiya")</f>
        <v>Vaibhav Binaykiya</v>
      </c>
      <c r="C608" s="31" t="str">
        <f>IFERROR(__xludf.DUMMYFUNCTION("""COMPUTED_VALUE"""),"Product")</f>
        <v>Product</v>
      </c>
      <c r="D608" s="31">
        <f>IFERROR(__xludf.DUMMYFUNCTION("""COMPUTED_VALUE"""),8.800139945E9)</f>
        <v>8800139945</v>
      </c>
      <c r="E608" s="31" t="str">
        <f>IFERROR(__xludf.DUMMYFUNCTION("""COMPUTED_VALUE"""),"Senior Product Manager")</f>
        <v>Senior Product Manager</v>
      </c>
      <c r="F608" s="31" t="str">
        <f>IFERROR(__xludf.DUMMYFUNCTION("""COMPUTED_VALUE"""),"Product Management")</f>
        <v>Product Management</v>
      </c>
      <c r="G608" s="31" t="str">
        <f>IFERROR(__xludf.DUMMYFUNCTION("""COMPUTED_VALUE"""),"v.k.binaykiya@gmail.com")</f>
        <v>v.k.binaykiya@gmail.com</v>
      </c>
      <c r="H608" s="31" t="str">
        <f>IFERROR(__xludf.DUMMYFUNCTION("""COMPUTED_VALUE"""),"Naveen Kadyan")</f>
        <v>Naveen Kadyan</v>
      </c>
      <c r="I608" s="75">
        <f>IFERROR(__xludf.DUMMYFUNCTION("""COMPUTED_VALUE"""),45839.0)</f>
        <v>45839</v>
      </c>
      <c r="J608" s="31" t="str">
        <f>IFERROR(__xludf.DUMMYFUNCTION("""COMPUTED_VALUE"""),"Naina")</f>
        <v>Naina</v>
      </c>
      <c r="K608" s="31" t="str">
        <f>IFERROR(__xludf.DUMMYFUNCTION("""COMPUTED_VALUE"""),"Joined")</f>
        <v>Joined</v>
      </c>
      <c r="L608" s="31" t="str">
        <f>IFERROR(__xludf.DUMMYFUNCTION("""COMPUTED_VALUE"""),"In Office")</f>
        <v>In Office</v>
      </c>
      <c r="M608" s="31" t="str">
        <f>IFERROR(__xludf.DUMMYFUNCTION("""COMPUTED_VALUE"""),"vaibhav.binaykiya@zupee.in")</f>
        <v>vaibhav.binaykiya@zupee.in</v>
      </c>
      <c r="N608" s="31" t="str">
        <f>IFERROR(__xludf.DUMMYFUNCTION("""COMPUTED_VALUE"""),"D79R16T9K6")</f>
        <v>D79R16T9K6</v>
      </c>
    </row>
    <row r="609">
      <c r="A609" s="74">
        <f>IFERROR(__xludf.DUMMYFUNCTION("""COMPUTED_VALUE"""),45901.0)</f>
        <v>45901</v>
      </c>
      <c r="B609" s="31" t="str">
        <f>IFERROR(__xludf.DUMMYFUNCTION("""COMPUTED_VALUE"""),"Anindya Kumar Verma")</f>
        <v>Anindya Kumar Verma</v>
      </c>
      <c r="C609" s="31" t="str">
        <f>IFERROR(__xludf.DUMMYFUNCTION("""COMPUTED_VALUE"""),"Data")</f>
        <v>Data</v>
      </c>
      <c r="D609" s="31">
        <f>IFERROR(__xludf.DUMMYFUNCTION("""COMPUTED_VALUE"""),8.077967575E9)</f>
        <v>8077967575</v>
      </c>
      <c r="E609" s="31" t="str">
        <f>IFERROR(__xludf.DUMMYFUNCTION("""COMPUTED_VALUE"""),"Senior Data Engineer")</f>
        <v>Senior Data Engineer</v>
      </c>
      <c r="F609" s="31" t="str">
        <f>IFERROR(__xludf.DUMMYFUNCTION("""COMPUTED_VALUE"""),"Data Engineering")</f>
        <v>Data Engineering</v>
      </c>
      <c r="G609" s="31" t="str">
        <f>IFERROR(__xludf.DUMMYFUNCTION("""COMPUTED_VALUE"""),"anindyakumarverma@gmail.com")</f>
        <v>anindyakumarverma@gmail.com</v>
      </c>
      <c r="H609" s="31" t="str">
        <f>IFERROR(__xludf.DUMMYFUNCTION("""COMPUTED_VALUE"""),"Rahul Sharma ")</f>
        <v>Rahul Sharma </v>
      </c>
      <c r="I609" s="75">
        <f>IFERROR(__xludf.DUMMYFUNCTION("""COMPUTED_VALUE"""),45839.0)</f>
        <v>45839</v>
      </c>
      <c r="J609" s="31" t="str">
        <f>IFERROR(__xludf.DUMMYFUNCTION("""COMPUTED_VALUE"""),"Naina")</f>
        <v>Naina</v>
      </c>
      <c r="K609" s="31" t="str">
        <f>IFERROR(__xludf.DUMMYFUNCTION("""COMPUTED_VALUE"""),"Offer Revoked")</f>
        <v>Offer Revoked</v>
      </c>
      <c r="L609" s="31" t="str">
        <f>IFERROR(__xludf.DUMMYFUNCTION("""COMPUTED_VALUE"""),"In Office")</f>
        <v>In Office</v>
      </c>
      <c r="M609" s="31"/>
      <c r="N609" s="31"/>
    </row>
    <row r="610">
      <c r="A610" s="74">
        <f>IFERROR(__xludf.DUMMYFUNCTION("""COMPUTED_VALUE"""),45901.0)</f>
        <v>45901</v>
      </c>
      <c r="B610" s="31" t="str">
        <f>IFERROR(__xludf.DUMMYFUNCTION("""COMPUTED_VALUE"""),"Adarsh Dumrewal")</f>
        <v>Adarsh Dumrewal</v>
      </c>
      <c r="C610" s="31" t="str">
        <f>IFERROR(__xludf.DUMMYFUNCTION("""COMPUTED_VALUE"""),"Data")</f>
        <v>Data</v>
      </c>
      <c r="D610" s="31">
        <f>IFERROR(__xludf.DUMMYFUNCTION("""COMPUTED_VALUE"""),8.210481227E9)</f>
        <v>8210481227</v>
      </c>
      <c r="E610" s="31" t="str">
        <f>IFERROR(__xludf.DUMMYFUNCTION("""COMPUTED_VALUE"""),"Staff Data Analyst")</f>
        <v>Staff Data Analyst</v>
      </c>
      <c r="F610" s="31" t="str">
        <f>IFERROR(__xludf.DUMMYFUNCTION("""COMPUTED_VALUE"""),"Data Analytics")</f>
        <v>Data Analytics</v>
      </c>
      <c r="G610" s="31" t="str">
        <f>IFERROR(__xludf.DUMMYFUNCTION("""COMPUTED_VALUE"""),"dumrewaladarsh@gmail.com")</f>
        <v>dumrewaladarsh@gmail.com</v>
      </c>
      <c r="H610" s="31" t="str">
        <f>IFERROR(__xludf.DUMMYFUNCTION("""COMPUTED_VALUE"""),"Raman Malik")</f>
        <v>Raman Malik</v>
      </c>
      <c r="I610" s="75">
        <f>IFERROR(__xludf.DUMMYFUNCTION("""COMPUTED_VALUE"""),45839.0)</f>
        <v>45839</v>
      </c>
      <c r="J610" s="31" t="str">
        <f>IFERROR(__xludf.DUMMYFUNCTION("""COMPUTED_VALUE"""),"Vipin Kumar")</f>
        <v>Vipin Kumar</v>
      </c>
      <c r="K610" s="31" t="str">
        <f>IFERROR(__xludf.DUMMYFUNCTION("""COMPUTED_VALUE"""),"Offer Revoked")</f>
        <v>Offer Revoked</v>
      </c>
      <c r="L610" s="31" t="str">
        <f>IFERROR(__xludf.DUMMYFUNCTION("""COMPUTED_VALUE"""),"In Office")</f>
        <v>In Office</v>
      </c>
      <c r="M610" s="31"/>
      <c r="N610" s="31"/>
    </row>
    <row r="611">
      <c r="A611" s="74">
        <f>IFERROR(__xludf.DUMMYFUNCTION("""COMPUTED_VALUE"""),45873.0)</f>
        <v>45873</v>
      </c>
      <c r="B611" s="31" t="str">
        <f>IFERROR(__xludf.DUMMYFUNCTION("""COMPUTED_VALUE"""),"Khalique Firoz")</f>
        <v>Khalique Firoz</v>
      </c>
      <c r="C611" s="31" t="str">
        <f>IFERROR(__xludf.DUMMYFUNCTION("""COMPUTED_VALUE"""),"Technology")</f>
        <v>Technology</v>
      </c>
      <c r="D611" s="31">
        <f>IFERROR(__xludf.DUMMYFUNCTION("""COMPUTED_VALUE"""),8.603546937E9)</f>
        <v>8603546937</v>
      </c>
      <c r="E611" s="31" t="str">
        <f>IFERROR(__xludf.DUMMYFUNCTION("""COMPUTED_VALUE"""),"Software Engineer")</f>
        <v>Software Engineer</v>
      </c>
      <c r="F611" s="31" t="str">
        <f>IFERROR(__xludf.DUMMYFUNCTION("""COMPUTED_VALUE"""),"Engineering ")</f>
        <v>Engineering </v>
      </c>
      <c r="G611" s="31" t="str">
        <f>IFERROR(__xludf.DUMMYFUNCTION("""COMPUTED_VALUE"""),"khaliquefiroz@gmail.com")</f>
        <v>khaliquefiroz@gmail.com</v>
      </c>
      <c r="H611" s="31" t="str">
        <f>IFERROR(__xludf.DUMMYFUNCTION("""COMPUTED_VALUE"""),"Piyush Shukla")</f>
        <v>Piyush Shukla</v>
      </c>
      <c r="I611" s="75">
        <f>IFERROR(__xludf.DUMMYFUNCTION("""COMPUTED_VALUE"""),45839.0)</f>
        <v>45839</v>
      </c>
      <c r="J611" s="31" t="str">
        <f>IFERROR(__xludf.DUMMYFUNCTION("""COMPUTED_VALUE"""),"Cheshtha Sharma")</f>
        <v>Cheshtha Sharma</v>
      </c>
      <c r="K611" s="31" t="str">
        <f>IFERROR(__xludf.DUMMYFUNCTION("""COMPUTED_VALUE"""),"Joined")</f>
        <v>Joined</v>
      </c>
      <c r="L611" s="31" t="str">
        <f>IFERROR(__xludf.DUMMYFUNCTION("""COMPUTED_VALUE"""),"In Office")</f>
        <v>In Office</v>
      </c>
      <c r="M611" s="31" t="str">
        <f>IFERROR(__xludf.DUMMYFUNCTION("""COMPUTED_VALUE"""),"khalique.firoz@zupee.in")</f>
        <v>khalique.firoz@zupee.in</v>
      </c>
      <c r="N611" s="31"/>
    </row>
    <row r="612">
      <c r="A612" s="74">
        <f>IFERROR(__xludf.DUMMYFUNCTION("""COMPUTED_VALUE"""),45841.0)</f>
        <v>45841</v>
      </c>
      <c r="B612" s="31" t="str">
        <f>IFERROR(__xludf.DUMMYFUNCTION("""COMPUTED_VALUE"""),"Rajnish Kumar")</f>
        <v>Rajnish Kumar</v>
      </c>
      <c r="C612" s="31" t="str">
        <f>IFERROR(__xludf.DUMMYFUNCTION("""COMPUTED_VALUE"""),"Technology")</f>
        <v>Technology</v>
      </c>
      <c r="D612" s="31">
        <f>IFERROR(__xludf.DUMMYFUNCTION("""COMPUTED_VALUE"""),8.802988898E9)</f>
        <v>8802988898</v>
      </c>
      <c r="E612" s="31" t="str">
        <f>IFERROR(__xludf.DUMMYFUNCTION("""COMPUTED_VALUE"""),"Lead Database Administrator")</f>
        <v>Lead Database Administrator</v>
      </c>
      <c r="F612" s="31" t="str">
        <f>IFERROR(__xludf.DUMMYFUNCTION("""COMPUTED_VALUE"""),"DevOps &amp; Security")</f>
        <v>DevOps &amp; Security</v>
      </c>
      <c r="G612" s="31" t="str">
        <f>IFERROR(__xludf.DUMMYFUNCTION("""COMPUTED_VALUE""")," rajnish4dba@gmail.com")</f>
        <v> rajnish4dba@gmail.com</v>
      </c>
      <c r="H612" s="31" t="str">
        <f>IFERROR(__xludf.DUMMYFUNCTION("""COMPUTED_VALUE"""),"Saurav Yadav")</f>
        <v>Saurav Yadav</v>
      </c>
      <c r="I612" s="75">
        <f>IFERROR(__xludf.DUMMYFUNCTION("""COMPUTED_VALUE"""),45840.0)</f>
        <v>45840</v>
      </c>
      <c r="J612" s="31" t="str">
        <f>IFERROR(__xludf.DUMMYFUNCTION("""COMPUTED_VALUE"""),"Shivam Sharma")</f>
        <v>Shivam Sharma</v>
      </c>
      <c r="K612" s="31" t="str">
        <f>IFERROR(__xludf.DUMMYFUNCTION("""COMPUTED_VALUE"""),"Joined")</f>
        <v>Joined</v>
      </c>
      <c r="L612" s="31" t="str">
        <f>IFERROR(__xludf.DUMMYFUNCTION("""COMPUTED_VALUE"""),"Virtual")</f>
        <v>Virtual</v>
      </c>
      <c r="M612" s="31" t="str">
        <f>IFERROR(__xludf.DUMMYFUNCTION("""COMPUTED_VALUE"""),"rajnish.kumar@zupee.in")</f>
        <v>rajnish.kumar@zupee.in</v>
      </c>
      <c r="N612" s="31" t="str">
        <f>IFERROR(__xludf.DUMMYFUNCTION("""COMPUTED_VALUE"""),"DW403XWK6F")</f>
        <v>DW403XWK6F</v>
      </c>
    </row>
    <row r="613">
      <c r="A613" s="74">
        <f>IFERROR(__xludf.DUMMYFUNCTION("""COMPUTED_VALUE"""),45859.0)</f>
        <v>45859</v>
      </c>
      <c r="B613" s="31" t="str">
        <f>IFERROR(__xludf.DUMMYFUNCTION("""COMPUTED_VALUE"""),"Aditya Singh Jaswal")</f>
        <v>Aditya Singh Jaswal</v>
      </c>
      <c r="C613" s="31" t="str">
        <f>IFERROR(__xludf.DUMMYFUNCTION("""COMPUTED_VALUE"""),"Digital Marketing")</f>
        <v>Digital Marketing</v>
      </c>
      <c r="D613" s="31">
        <f>IFERROR(__xludf.DUMMYFUNCTION("""COMPUTED_VALUE"""),7.876400575E9)</f>
        <v>7876400575</v>
      </c>
      <c r="E613" s="31" t="str">
        <f>IFERROR(__xludf.DUMMYFUNCTION("""COMPUTED_VALUE"""),"Assistant Manager- Digital Marketing")</f>
        <v>Assistant Manager- Digital Marketing</v>
      </c>
      <c r="F613" s="31" t="str">
        <f>IFERROR(__xludf.DUMMYFUNCTION("""COMPUTED_VALUE"""),"Performance Marketing")</f>
        <v>Performance Marketing</v>
      </c>
      <c r="G613" s="31" t="str">
        <f>IFERROR(__xludf.DUMMYFUNCTION("""COMPUTED_VALUE"""),"aditya7807468001@gmail.com")</f>
        <v>aditya7807468001@gmail.com</v>
      </c>
      <c r="H613" s="31" t="str">
        <f>IFERROR(__xludf.DUMMYFUNCTION("""COMPUTED_VALUE"""),"Ritwika Rai
")</f>
        <v>Ritwika Rai
</v>
      </c>
      <c r="I613" s="75">
        <f>IFERROR(__xludf.DUMMYFUNCTION("""COMPUTED_VALUE"""),45842.0)</f>
        <v>45842</v>
      </c>
      <c r="J613" s="31" t="str">
        <f>IFERROR(__xludf.DUMMYFUNCTION("""COMPUTED_VALUE"""),"Vipin Kumar")</f>
        <v>Vipin Kumar</v>
      </c>
      <c r="K613" s="31" t="str">
        <f>IFERROR(__xludf.DUMMYFUNCTION("""COMPUTED_VALUE"""),"Joined")</f>
        <v>Joined</v>
      </c>
      <c r="L613" s="31" t="str">
        <f>IFERROR(__xludf.DUMMYFUNCTION("""COMPUTED_VALUE"""),"In Office")</f>
        <v>In Office</v>
      </c>
      <c r="M613" s="31" t="str">
        <f>IFERROR(__xludf.DUMMYFUNCTION("""COMPUTED_VALUE"""),"aditya.jaswal@zupee.in")</f>
        <v>aditya.jaswal@zupee.in</v>
      </c>
      <c r="N613" s="31"/>
    </row>
    <row r="614">
      <c r="A614" s="74">
        <f>IFERROR(__xludf.DUMMYFUNCTION("""COMPUTED_VALUE"""),45894.0)</f>
        <v>45894</v>
      </c>
      <c r="B614" s="31" t="str">
        <f>IFERROR(__xludf.DUMMYFUNCTION("""COMPUTED_VALUE"""),"Rishabh Madaan")</f>
        <v>Rishabh Madaan</v>
      </c>
      <c r="C614" s="31" t="str">
        <f>IFERROR(__xludf.DUMMYFUNCTION("""COMPUTED_VALUE"""),"Finance")</f>
        <v>Finance</v>
      </c>
      <c r="D614" s="31">
        <f>IFERROR(__xludf.DUMMYFUNCTION("""COMPUTED_VALUE"""),8.826088424E9)</f>
        <v>8826088424</v>
      </c>
      <c r="E614" s="31" t="str">
        <f>IFERROR(__xludf.DUMMYFUNCTION("""COMPUTED_VALUE"""),"Senior Manager- Payments")</f>
        <v>Senior Manager- Payments</v>
      </c>
      <c r="F614" s="31" t="str">
        <f>IFERROR(__xludf.DUMMYFUNCTION("""COMPUTED_VALUE"""),"Business Finance")</f>
        <v>Business Finance</v>
      </c>
      <c r="G614" s="31" t="str">
        <f>IFERROR(__xludf.DUMMYFUNCTION("""COMPUTED_VALUE""")," rishabhmadaan01@gmail.com")</f>
        <v> rishabhmadaan01@gmail.com</v>
      </c>
      <c r="H614" s="31" t="str">
        <f>IFERROR(__xludf.DUMMYFUNCTION("""COMPUTED_VALUE"""),"Hitesh Vats")</f>
        <v>Hitesh Vats</v>
      </c>
      <c r="I614" s="75">
        <f>IFERROR(__xludf.DUMMYFUNCTION("""COMPUTED_VALUE"""),45842.0)</f>
        <v>45842</v>
      </c>
      <c r="J614" s="31" t="str">
        <f>IFERROR(__xludf.DUMMYFUNCTION("""COMPUTED_VALUE"""),"Shivam Sharma")</f>
        <v>Shivam Sharma</v>
      </c>
      <c r="K614" s="31" t="str">
        <f>IFERROR(__xludf.DUMMYFUNCTION("""COMPUTED_VALUE"""),"Offer Revoked")</f>
        <v>Offer Revoked</v>
      </c>
      <c r="L614" s="31" t="str">
        <f>IFERROR(__xludf.DUMMYFUNCTION("""COMPUTED_VALUE"""),"In Office")</f>
        <v>In Office</v>
      </c>
      <c r="M614" s="31"/>
      <c r="N614" s="31"/>
    </row>
    <row r="615">
      <c r="A615" s="74">
        <f>IFERROR(__xludf.DUMMYFUNCTION("""COMPUTED_VALUE"""),45880.0)</f>
        <v>45880</v>
      </c>
      <c r="B615" s="31" t="str">
        <f>IFERROR(__xludf.DUMMYFUNCTION("""COMPUTED_VALUE"""),"Mohit Kumar")</f>
        <v>Mohit Kumar</v>
      </c>
      <c r="C615" s="31" t="str">
        <f>IFERROR(__xludf.DUMMYFUNCTION("""COMPUTED_VALUE"""),"IT Infra")</f>
        <v>IT Infra</v>
      </c>
      <c r="D615" s="31">
        <f>IFERROR(__xludf.DUMMYFUNCTION("""COMPUTED_VALUE"""),9.910449161E9)</f>
        <v>9910449161</v>
      </c>
      <c r="E615" s="31" t="str">
        <f>IFERROR(__xludf.DUMMYFUNCTION("""COMPUTED_VALUE"""),"IT Infra Lead")</f>
        <v>IT Infra Lead</v>
      </c>
      <c r="F615" s="31" t="str">
        <f>IFERROR(__xludf.DUMMYFUNCTION("""COMPUTED_VALUE"""),"IT Infra")</f>
        <v>IT Infra</v>
      </c>
      <c r="G615" s="31" t="str">
        <f>IFERROR(__xludf.DUMMYFUNCTION("""COMPUTED_VALUE"""),"mohit.mk@outlook.com")</f>
        <v>mohit.mk@outlook.com</v>
      </c>
      <c r="H615" s="31" t="str">
        <f>IFERROR(__xludf.DUMMYFUNCTION("""COMPUTED_VALUE"""),"Rajkumar Singh")</f>
        <v>Rajkumar Singh</v>
      </c>
      <c r="I615" s="75">
        <f>IFERROR(__xludf.DUMMYFUNCTION("""COMPUTED_VALUE"""),45846.0)</f>
        <v>45846</v>
      </c>
      <c r="J615" s="31" t="str">
        <f>IFERROR(__xludf.DUMMYFUNCTION("""COMPUTED_VALUE"""),"Vipin Kumar")</f>
        <v>Vipin Kumar</v>
      </c>
      <c r="K615" s="31" t="str">
        <f>IFERROR(__xludf.DUMMYFUNCTION("""COMPUTED_VALUE"""),"Joined")</f>
        <v>Joined</v>
      </c>
      <c r="L615" s="31" t="str">
        <f>IFERROR(__xludf.DUMMYFUNCTION("""COMPUTED_VALUE"""),"In Office")</f>
        <v>In Office</v>
      </c>
      <c r="M615" s="31" t="str">
        <f>IFERROR(__xludf.DUMMYFUNCTION("""COMPUTED_VALUE"""),"mohit.kumar@zupee.in")</f>
        <v>mohit.kumar@zupee.in</v>
      </c>
      <c r="N615" s="31"/>
    </row>
    <row r="616">
      <c r="A616" s="74">
        <f>IFERROR(__xludf.DUMMYFUNCTION("""COMPUTED_VALUE"""),45915.0)</f>
        <v>45915</v>
      </c>
      <c r="B616" s="31" t="str">
        <f>IFERROR(__xludf.DUMMYFUNCTION("""COMPUTED_VALUE"""),"Jatin Sethi")</f>
        <v>Jatin Sethi</v>
      </c>
      <c r="C616" s="31" t="str">
        <f>IFERROR(__xludf.DUMMYFUNCTION("""COMPUTED_VALUE"""),"Technology")</f>
        <v>Technology</v>
      </c>
      <c r="D616" s="31">
        <f>IFERROR(__xludf.DUMMYFUNCTION("""COMPUTED_VALUE"""),9.873214385E9)</f>
        <v>9873214385</v>
      </c>
      <c r="E616" s="31" t="str">
        <f>IFERROR(__xludf.DUMMYFUNCTION("""COMPUTED_VALUE"""),"Senior Software Engineer")</f>
        <v>Senior Software Engineer</v>
      </c>
      <c r="F616" s="31" t="str">
        <f>IFERROR(__xludf.DUMMYFUNCTION("""COMPUTED_VALUE"""),"Engineering ")</f>
        <v>Engineering </v>
      </c>
      <c r="G616" s="31" t="str">
        <f>IFERROR(__xludf.DUMMYFUNCTION("""COMPUTED_VALUE"""),"jatinsethi014@gmail.com")</f>
        <v>jatinsethi014@gmail.com</v>
      </c>
      <c r="H616" s="31"/>
      <c r="I616" s="75">
        <f>IFERROR(__xludf.DUMMYFUNCTION("""COMPUTED_VALUE"""),45846.0)</f>
        <v>45846</v>
      </c>
      <c r="J616" s="31" t="str">
        <f>IFERROR(__xludf.DUMMYFUNCTION("""COMPUTED_VALUE"""),"Vipin Kumar")</f>
        <v>Vipin Kumar</v>
      </c>
      <c r="K616" s="31" t="str">
        <f>IFERROR(__xludf.DUMMYFUNCTION("""COMPUTED_VALUE"""),"Offer Revoked")</f>
        <v>Offer Revoked</v>
      </c>
      <c r="L616" s="31" t="str">
        <f>IFERROR(__xludf.DUMMYFUNCTION("""COMPUTED_VALUE"""),"In Office")</f>
        <v>In Office</v>
      </c>
      <c r="M616" s="31"/>
      <c r="N616" s="31"/>
    </row>
    <row r="617">
      <c r="A617" s="74">
        <f>IFERROR(__xludf.DUMMYFUNCTION("""COMPUTED_VALUE"""),45847.0)</f>
        <v>45847</v>
      </c>
      <c r="B617" s="31" t="str">
        <f>IFERROR(__xludf.DUMMYFUNCTION("""COMPUTED_VALUE"""),"Anuj Mittal   ")</f>
        <v>Anuj Mittal   </v>
      </c>
      <c r="C617" s="31" t="str">
        <f>IFERROR(__xludf.DUMMYFUNCTION("""COMPUTED_VALUE"""),"Data")</f>
        <v>Data</v>
      </c>
      <c r="D617" s="31">
        <f>IFERROR(__xludf.DUMMYFUNCTION("""COMPUTED_VALUE"""),8.800858905E9)</f>
        <v>8800858905</v>
      </c>
      <c r="E617" s="31" t="str">
        <f>IFERROR(__xludf.DUMMYFUNCTION("""COMPUTED_VALUE"""),"Lead Data Analyst")</f>
        <v>Lead Data Analyst</v>
      </c>
      <c r="F617" s="31" t="str">
        <f>IFERROR(__xludf.DUMMYFUNCTION("""COMPUTED_VALUE"""),"Data Analytics")</f>
        <v>Data Analytics</v>
      </c>
      <c r="G617" s="31" t="str">
        <f>IFERROR(__xludf.DUMMYFUNCTION("""COMPUTED_VALUE"""),"am431@snu.edu.in")</f>
        <v>am431@snu.edu.in</v>
      </c>
      <c r="H617" s="31" t="str">
        <f>IFERROR(__xludf.DUMMYFUNCTION("""COMPUTED_VALUE"""),"Raman Malik")</f>
        <v>Raman Malik</v>
      </c>
      <c r="I617" s="75">
        <f>IFERROR(__xludf.DUMMYFUNCTION("""COMPUTED_VALUE"""),45846.0)</f>
        <v>45846</v>
      </c>
      <c r="J617" s="31" t="str">
        <f>IFERROR(__xludf.DUMMYFUNCTION("""COMPUTED_VALUE"""),"Mamta Pandey")</f>
        <v>Mamta Pandey</v>
      </c>
      <c r="K617" s="31" t="str">
        <f>IFERROR(__xludf.DUMMYFUNCTION("""COMPUTED_VALUE"""),"Joined")</f>
        <v>Joined</v>
      </c>
      <c r="L617" s="31" t="str">
        <f>IFERROR(__xludf.DUMMYFUNCTION("""COMPUTED_VALUE"""),"In Office")</f>
        <v>In Office</v>
      </c>
      <c r="M617" s="31"/>
      <c r="N617" s="31"/>
    </row>
    <row r="618">
      <c r="A618" s="74">
        <f>IFERROR(__xludf.DUMMYFUNCTION("""COMPUTED_VALUE"""),45852.0)</f>
        <v>45852</v>
      </c>
      <c r="B618" s="31" t="str">
        <f>IFERROR(__xludf.DUMMYFUNCTION("""COMPUTED_VALUE"""),"Bhavya Arora")</f>
        <v>Bhavya Arora</v>
      </c>
      <c r="C618" s="31" t="str">
        <f>IFERROR(__xludf.DUMMYFUNCTION("""COMPUTED_VALUE"""),"Finance")</f>
        <v>Finance</v>
      </c>
      <c r="D618" s="31">
        <f>IFERROR(__xludf.DUMMYFUNCTION("""COMPUTED_VALUE"""),8.218697445E9)</f>
        <v>8218697445</v>
      </c>
      <c r="E618" s="31" t="str">
        <f>IFERROR(__xludf.DUMMYFUNCTION("""COMPUTED_VALUE"""),"Assistant Manager")</f>
        <v>Assistant Manager</v>
      </c>
      <c r="F618" s="31" t="str">
        <f>IFERROR(__xludf.DUMMYFUNCTION("""COMPUTED_VALUE"""),"Controllership")</f>
        <v>Controllership</v>
      </c>
      <c r="G618" s="31" t="str">
        <f>IFERROR(__xludf.DUMMYFUNCTION("""COMPUTED_VALUE"""),"bhavyaarora1402@gmail.com")</f>
        <v>bhavyaarora1402@gmail.com</v>
      </c>
      <c r="H618" s="31" t="str">
        <f>IFERROR(__xludf.DUMMYFUNCTION("""COMPUTED_VALUE"""),"Sarthak Jain")</f>
        <v>Sarthak Jain</v>
      </c>
      <c r="I618" s="75">
        <f>IFERROR(__xludf.DUMMYFUNCTION("""COMPUTED_VALUE"""),45846.0)</f>
        <v>45846</v>
      </c>
      <c r="J618" s="31" t="str">
        <f>IFERROR(__xludf.DUMMYFUNCTION("""COMPUTED_VALUE"""),"Gaurav Singh")</f>
        <v>Gaurav Singh</v>
      </c>
      <c r="K618" s="31" t="str">
        <f>IFERROR(__xludf.DUMMYFUNCTION("""COMPUTED_VALUE"""),"Joined")</f>
        <v>Joined</v>
      </c>
      <c r="L618" s="31" t="str">
        <f>IFERROR(__xludf.DUMMYFUNCTION("""COMPUTED_VALUE"""),"In Office")</f>
        <v>In Office</v>
      </c>
      <c r="M618" s="31"/>
      <c r="N618" s="31"/>
    </row>
    <row r="619">
      <c r="A619" s="74">
        <f>IFERROR(__xludf.DUMMYFUNCTION("""COMPUTED_VALUE"""),45853.0)</f>
        <v>45853</v>
      </c>
      <c r="B619" s="31" t="str">
        <f>IFERROR(__xludf.DUMMYFUNCTION("""COMPUTED_VALUE"""),"Shuvamoy Roy")</f>
        <v>Shuvamoy Roy</v>
      </c>
      <c r="C619" s="31" t="str">
        <f>IFERROR(__xludf.DUMMYFUNCTION("""COMPUTED_VALUE"""),"Technology")</f>
        <v>Technology</v>
      </c>
      <c r="D619" s="31">
        <f>IFERROR(__xludf.DUMMYFUNCTION("""COMPUTED_VALUE"""),8.777536907E9)</f>
        <v>8777536907</v>
      </c>
      <c r="E619" s="31" t="str">
        <f>IFERROR(__xludf.DUMMYFUNCTION("""COMPUTED_VALUE"""),"Senior Security Engineer")</f>
        <v>Senior Security Engineer</v>
      </c>
      <c r="F619" s="31" t="str">
        <f>IFERROR(__xludf.DUMMYFUNCTION("""COMPUTED_VALUE"""),"DevOps &amp; Security")</f>
        <v>DevOps &amp; Security</v>
      </c>
      <c r="G619" s="31" t="str">
        <f>IFERROR(__xludf.DUMMYFUNCTION("""COMPUTED_VALUE""")," shuvamoyroy98@gmail.com")</f>
        <v> shuvamoyroy98@gmail.com</v>
      </c>
      <c r="H619" s="31" t="str">
        <f>IFERROR(__xludf.DUMMYFUNCTION("""COMPUTED_VALUE"""),"Saurav Yadav")</f>
        <v>Saurav Yadav</v>
      </c>
      <c r="I619" s="75">
        <f>IFERROR(__xludf.DUMMYFUNCTION("""COMPUTED_VALUE"""),45846.0)</f>
        <v>45846</v>
      </c>
      <c r="J619" s="31" t="str">
        <f>IFERROR(__xludf.DUMMYFUNCTION("""COMPUTED_VALUE"""),"Shivam Sharma")</f>
        <v>Shivam Sharma</v>
      </c>
      <c r="K619" s="31" t="str">
        <f>IFERROR(__xludf.DUMMYFUNCTION("""COMPUTED_VALUE"""),"Joined")</f>
        <v>Joined</v>
      </c>
      <c r="L619" s="31" t="str">
        <f>IFERROR(__xludf.DUMMYFUNCTION("""COMPUTED_VALUE"""),"In Office")</f>
        <v>In Office</v>
      </c>
      <c r="M619" s="31" t="str">
        <f>IFERROR(__xludf.DUMMYFUNCTION("""COMPUTED_VALUE"""),"shuvamoy.roy@zupee.in")</f>
        <v>shuvamoy.roy@zupee.in</v>
      </c>
      <c r="N619" s="31"/>
    </row>
    <row r="620">
      <c r="A620" s="74">
        <f>IFERROR(__xludf.DUMMYFUNCTION("""COMPUTED_VALUE"""),45894.0)</f>
        <v>45894</v>
      </c>
      <c r="B620" s="31" t="str">
        <f>IFERROR(__xludf.DUMMYFUNCTION("""COMPUTED_VALUE"""),"Indraneel Ameet Babuseth")</f>
        <v>Indraneel Ameet Babuseth</v>
      </c>
      <c r="C620" s="31" t="str">
        <f>IFERROR(__xludf.DUMMYFUNCTION("""COMPUTED_VALUE"""),"Strategy")</f>
        <v>Strategy</v>
      </c>
      <c r="D620" s="31">
        <f>IFERROR(__xludf.DUMMYFUNCTION("""COMPUTED_VALUE"""),9.763389955E9)</f>
        <v>9763389955</v>
      </c>
      <c r="E620" s="31" t="str">
        <f>IFERROR(__xludf.DUMMYFUNCTION("""COMPUTED_VALUE"""),"Manager - Strategy")</f>
        <v>Manager - Strategy</v>
      </c>
      <c r="F620" s="31" t="str">
        <f>IFERROR(__xludf.DUMMYFUNCTION("""COMPUTED_VALUE"""),"Growth &amp; Revenue")</f>
        <v>Growth &amp; Revenue</v>
      </c>
      <c r="G620" s="31" t="str">
        <f>IFERROR(__xludf.DUMMYFUNCTION("""COMPUTED_VALUE"""),"ibabusheth@gmail.com")</f>
        <v>ibabusheth@gmail.com</v>
      </c>
      <c r="H620" s="31" t="str">
        <f>IFERROR(__xludf.DUMMYFUNCTION("""COMPUTED_VALUE"""),"Ishank Mehta")</f>
        <v>Ishank Mehta</v>
      </c>
      <c r="I620" s="75">
        <f>IFERROR(__xludf.DUMMYFUNCTION("""COMPUTED_VALUE"""),45846.0)</f>
        <v>45846</v>
      </c>
      <c r="J620" s="31" t="str">
        <f>IFERROR(__xludf.DUMMYFUNCTION("""COMPUTED_VALUE"""),"Naina")</f>
        <v>Naina</v>
      </c>
      <c r="K620" s="31" t="str">
        <f>IFERROR(__xludf.DUMMYFUNCTION("""COMPUTED_VALUE"""),"Offer Revoked")</f>
        <v>Offer Revoked</v>
      </c>
      <c r="L620" s="31" t="str">
        <f>IFERROR(__xludf.DUMMYFUNCTION("""COMPUTED_VALUE"""),"In Office")</f>
        <v>In Office</v>
      </c>
      <c r="M620" s="31"/>
      <c r="N620" s="31"/>
    </row>
    <row r="621">
      <c r="A621" s="74">
        <f>IFERROR(__xludf.DUMMYFUNCTION("""COMPUTED_VALUE"""),45862.0)</f>
        <v>45862</v>
      </c>
      <c r="B621" s="31" t="str">
        <f>IFERROR(__xludf.DUMMYFUNCTION("""COMPUTED_VALUE"""),"Harshit Khanna")</f>
        <v>Harshit Khanna</v>
      </c>
      <c r="C621" s="31" t="str">
        <f>IFERROR(__xludf.DUMMYFUNCTION("""COMPUTED_VALUE"""),"Technology")</f>
        <v>Technology</v>
      </c>
      <c r="D621" s="31">
        <f>IFERROR(__xludf.DUMMYFUNCTION("""COMPUTED_VALUE"""),7.987784663E9)</f>
        <v>7987784663</v>
      </c>
      <c r="E621" s="31" t="str">
        <f>IFERROR(__xludf.DUMMYFUNCTION("""COMPUTED_VALUE"""),"Senior Software Engineer")</f>
        <v>Senior Software Engineer</v>
      </c>
      <c r="F621" s="31" t="str">
        <f>IFERROR(__xludf.DUMMYFUNCTION("""COMPUTED_VALUE"""),"Engineering ")</f>
        <v>Engineering </v>
      </c>
      <c r="G621" s="31" t="str">
        <f>IFERROR(__xludf.DUMMYFUNCTION("""COMPUTED_VALUE"""),"harshitkhanna1010@gmail.com")</f>
        <v>harshitkhanna1010@gmail.com</v>
      </c>
      <c r="H621" s="31" t="str">
        <f>IFERROR(__xludf.DUMMYFUNCTION("""COMPUTED_VALUE"""),"Ranjeet Kumar")</f>
        <v>Ranjeet Kumar</v>
      </c>
      <c r="I621" s="75">
        <f>IFERROR(__xludf.DUMMYFUNCTION("""COMPUTED_VALUE"""),45846.0)</f>
        <v>45846</v>
      </c>
      <c r="J621" s="31" t="str">
        <f>IFERROR(__xludf.DUMMYFUNCTION("""COMPUTED_VALUE"""),"Jaya Tiwari")</f>
        <v>Jaya Tiwari</v>
      </c>
      <c r="K621" s="31" t="str">
        <f>IFERROR(__xludf.DUMMYFUNCTION("""COMPUTED_VALUE"""),"Joined")</f>
        <v>Joined</v>
      </c>
      <c r="L621" s="31" t="str">
        <f>IFERROR(__xludf.DUMMYFUNCTION("""COMPUTED_VALUE"""),"In Office")</f>
        <v>In Office</v>
      </c>
      <c r="M621" s="31" t="str">
        <f>IFERROR(__xludf.DUMMYFUNCTION("""COMPUTED_VALUE"""),"harshit.khanna@zupee.in")</f>
        <v>harshit.khanna@zupee.in</v>
      </c>
      <c r="N621" s="31" t="str">
        <f>IFERROR(__xludf.DUMMYFUNCTION("""COMPUTED_VALUE"""),"DFJJK671T7")</f>
        <v>DFJJK671T7</v>
      </c>
    </row>
    <row r="622">
      <c r="A622" s="74">
        <f>IFERROR(__xludf.DUMMYFUNCTION("""COMPUTED_VALUE"""),45848.0)</f>
        <v>45848</v>
      </c>
      <c r="B622" s="31" t="str">
        <f>IFERROR(__xludf.DUMMYFUNCTION("""COMPUTED_VALUE"""),"Urvashi Matta")</f>
        <v>Urvashi Matta</v>
      </c>
      <c r="C622" s="31" t="str">
        <f>IFERROR(__xludf.DUMMYFUNCTION("""COMPUTED_VALUE"""),"Product")</f>
        <v>Product</v>
      </c>
      <c r="D622" s="31">
        <f>IFERROR(__xludf.DUMMYFUNCTION("""COMPUTED_VALUE"""),9.811757816E9)</f>
        <v>9811757816</v>
      </c>
      <c r="E622" s="31" t="str">
        <f>IFERROR(__xludf.DUMMYFUNCTION("""COMPUTED_VALUE"""),"Senior User Researcher")</f>
        <v>Senior User Researcher</v>
      </c>
      <c r="F622" s="31" t="str">
        <f>IFERROR(__xludf.DUMMYFUNCTION("""COMPUTED_VALUE"""),"User Research")</f>
        <v>User Research</v>
      </c>
      <c r="G622" s="31" t="str">
        <f>IFERROR(__xludf.DUMMYFUNCTION("""COMPUTED_VALUE"""),"urvashimatta1404@gmail.com")</f>
        <v>urvashimatta1404@gmail.com</v>
      </c>
      <c r="H622" s="31" t="str">
        <f>IFERROR(__xludf.DUMMYFUNCTION("""COMPUTED_VALUE"""),"Pareena Singh")</f>
        <v>Pareena Singh</v>
      </c>
      <c r="I622" s="75">
        <f>IFERROR(__xludf.DUMMYFUNCTION("""COMPUTED_VALUE"""),45847.0)</f>
        <v>45847</v>
      </c>
      <c r="J622" s="31" t="str">
        <f>IFERROR(__xludf.DUMMYFUNCTION("""COMPUTED_VALUE"""),"Naina")</f>
        <v>Naina</v>
      </c>
      <c r="K622" s="31" t="str">
        <f>IFERROR(__xludf.DUMMYFUNCTION("""COMPUTED_VALUE"""),"Joined")</f>
        <v>Joined</v>
      </c>
      <c r="L622" s="31" t="str">
        <f>IFERROR(__xludf.DUMMYFUNCTION("""COMPUTED_VALUE"""),"In Office")</f>
        <v>In Office</v>
      </c>
      <c r="M622" s="31" t="str">
        <f>IFERROR(__xludf.DUMMYFUNCTION("""COMPUTED_VALUE"""),"urvashi.matta@zupee.in")</f>
        <v>urvashi.matta@zupee.in</v>
      </c>
      <c r="N622" s="31" t="str">
        <f>IFERROR(__xludf.DUMMYFUNCTION("""COMPUTED_VALUE"""),"FM3K2PHXFQ")</f>
        <v>FM3K2PHXFQ</v>
      </c>
    </row>
    <row r="623">
      <c r="A623" s="74">
        <f>IFERROR(__xludf.DUMMYFUNCTION("""COMPUTED_VALUE"""),45852.0)</f>
        <v>45852</v>
      </c>
      <c r="B623" s="31" t="str">
        <f>IFERROR(__xludf.DUMMYFUNCTION("""COMPUTED_VALUE"""),"Abhishek Bithu")</f>
        <v>Abhishek Bithu</v>
      </c>
      <c r="C623" s="31" t="str">
        <f>IFERROR(__xludf.DUMMYFUNCTION("""COMPUTED_VALUE"""),"Technology")</f>
        <v>Technology</v>
      </c>
      <c r="D623" s="31">
        <f>IFERROR(__xludf.DUMMYFUNCTION("""COMPUTED_VALUE"""),6.376307503E9)</f>
        <v>6376307503</v>
      </c>
      <c r="E623" s="31" t="str">
        <f>IFERROR(__xludf.DUMMYFUNCTION("""COMPUTED_VALUE"""),"Software Engineer - Android")</f>
        <v>Software Engineer - Android</v>
      </c>
      <c r="F623" s="31" t="str">
        <f>IFERROR(__xludf.DUMMYFUNCTION("""COMPUTED_VALUE"""),"Engineering ")</f>
        <v>Engineering </v>
      </c>
      <c r="G623" s="31" t="str">
        <f>IFERROR(__xludf.DUMMYFUNCTION("""COMPUTED_VALUE"""),"iit2019199@iiita.ac.in")</f>
        <v>iit2019199@iiita.ac.in</v>
      </c>
      <c r="H623" s="31" t="str">
        <f>IFERROR(__xludf.DUMMYFUNCTION("""COMPUTED_VALUE"""),"Anshul Mittal")</f>
        <v>Anshul Mittal</v>
      </c>
      <c r="I623" s="75">
        <f>IFERROR(__xludf.DUMMYFUNCTION("""COMPUTED_VALUE"""),45848.0)</f>
        <v>45848</v>
      </c>
      <c r="J623" s="31" t="str">
        <f>IFERROR(__xludf.DUMMYFUNCTION("""COMPUTED_VALUE"""),"Harsha Nanwani")</f>
        <v>Harsha Nanwani</v>
      </c>
      <c r="K623" s="31" t="str">
        <f>IFERROR(__xludf.DUMMYFUNCTION("""COMPUTED_VALUE"""),"Joined")</f>
        <v>Joined</v>
      </c>
      <c r="L623" s="31" t="str">
        <f>IFERROR(__xludf.DUMMYFUNCTION("""COMPUTED_VALUE"""),"In Office")</f>
        <v>In Office</v>
      </c>
      <c r="M623" s="31" t="str">
        <f>IFERROR(__xludf.DUMMYFUNCTION("""COMPUTED_VALUE"""),"abhishek.bithu@zupee.in")</f>
        <v>abhishek.bithu@zupee.in</v>
      </c>
      <c r="N623" s="31"/>
    </row>
    <row r="624">
      <c r="A624" s="74">
        <f>IFERROR(__xludf.DUMMYFUNCTION("""COMPUTED_VALUE"""),45852.0)</f>
        <v>45852</v>
      </c>
      <c r="B624" s="31" t="str">
        <f>IFERROR(__xludf.DUMMYFUNCTION("""COMPUTED_VALUE"""),"Sarthak Chhabra")</f>
        <v>Sarthak Chhabra</v>
      </c>
      <c r="C624" s="31" t="str">
        <f>IFERROR(__xludf.DUMMYFUNCTION("""COMPUTED_VALUE"""),"Technology")</f>
        <v>Technology</v>
      </c>
      <c r="D624" s="31">
        <f>IFERROR(__xludf.DUMMYFUNCTION("""COMPUTED_VALUE"""),9.55772251E9)</f>
        <v>9557722510</v>
      </c>
      <c r="E624" s="31" t="str">
        <f>IFERROR(__xludf.DUMMYFUNCTION("""COMPUTED_VALUE"""),"Technical Lead")</f>
        <v>Technical Lead</v>
      </c>
      <c r="F624" s="31" t="str">
        <f>IFERROR(__xludf.DUMMYFUNCTION("""COMPUTED_VALUE"""),"Engineering ")</f>
        <v>Engineering </v>
      </c>
      <c r="G624" s="31" t="str">
        <f>IFERROR(__xludf.DUMMYFUNCTION("""COMPUTED_VALUE"""),"hello@sarthakchhabra.com")</f>
        <v>hello@sarthakchhabra.com</v>
      </c>
      <c r="H624" s="31" t="str">
        <f>IFERROR(__xludf.DUMMYFUNCTION("""COMPUTED_VALUE"""),"Ranjeet Kumar")</f>
        <v>Ranjeet Kumar</v>
      </c>
      <c r="I624" s="75">
        <f>IFERROR(__xludf.DUMMYFUNCTION("""COMPUTED_VALUE"""),45849.0)</f>
        <v>45849</v>
      </c>
      <c r="J624" s="31" t="str">
        <f>IFERROR(__xludf.DUMMYFUNCTION("""COMPUTED_VALUE"""),"Jaya Tiwari")</f>
        <v>Jaya Tiwari</v>
      </c>
      <c r="K624" s="31" t="str">
        <f>IFERROR(__xludf.DUMMYFUNCTION("""COMPUTED_VALUE"""),"Joined")</f>
        <v>Joined</v>
      </c>
      <c r="L624" s="31" t="str">
        <f>IFERROR(__xludf.DUMMYFUNCTION("""COMPUTED_VALUE"""),"In Office")</f>
        <v>In Office</v>
      </c>
      <c r="M624" s="31" t="str">
        <f>IFERROR(__xludf.DUMMYFUNCTION("""COMPUTED_VALUE"""),"sarthak.chhabra@zupee.in")</f>
        <v>sarthak.chhabra@zupee.in</v>
      </c>
      <c r="N624" s="31" t="str">
        <f>IFERROR(__xludf.DUMMYFUNCTION("""COMPUTED_VALUE"""),"D12H0KQ0CD")</f>
        <v>D12H0KQ0CD</v>
      </c>
    </row>
    <row r="625">
      <c r="A625" s="74">
        <f>IFERROR(__xludf.DUMMYFUNCTION("""COMPUTED_VALUE"""),45852.0)</f>
        <v>45852</v>
      </c>
      <c r="B625" s="31" t="str">
        <f>IFERROR(__xludf.DUMMYFUNCTION("""COMPUTED_VALUE"""),"Jatin ")</f>
        <v>Jatin </v>
      </c>
      <c r="C625" s="31" t="str">
        <f>IFERROR(__xludf.DUMMYFUNCTION("""COMPUTED_VALUE"""),"Finance")</f>
        <v>Finance</v>
      </c>
      <c r="D625" s="31">
        <f>IFERROR(__xludf.DUMMYFUNCTION("""COMPUTED_VALUE"""),8.76621264E9)</f>
        <v>8766212640</v>
      </c>
      <c r="E625" s="31" t="str">
        <f>IFERROR(__xludf.DUMMYFUNCTION("""COMPUTED_VALUE"""),"Banking &amp; Treasury Analyst ")</f>
        <v>Banking &amp; Treasury Analyst </v>
      </c>
      <c r="F625" s="31" t="str">
        <f>IFERROR(__xludf.DUMMYFUNCTION("""COMPUTED_VALUE"""),"Controllership")</f>
        <v>Controllership</v>
      </c>
      <c r="G625" s="31" t="str">
        <f>IFERROR(__xludf.DUMMYFUNCTION("""COMPUTED_VALUE"""),"jb775040@gmail.com ")</f>
        <v>jb775040@gmail.com </v>
      </c>
      <c r="H625" s="31" t="str">
        <f>IFERROR(__xludf.DUMMYFUNCTION("""COMPUTED_VALUE"""),"Mohit Arora")</f>
        <v>Mohit Arora</v>
      </c>
      <c r="I625" s="75">
        <f>IFERROR(__xludf.DUMMYFUNCTION("""COMPUTED_VALUE"""),45849.0)</f>
        <v>45849</v>
      </c>
      <c r="J625" s="31" t="str">
        <f>IFERROR(__xludf.DUMMYFUNCTION("""COMPUTED_VALUE"""),"Gaurav Singh")</f>
        <v>Gaurav Singh</v>
      </c>
      <c r="K625" s="31" t="str">
        <f>IFERROR(__xludf.DUMMYFUNCTION("""COMPUTED_VALUE"""),"Joined")</f>
        <v>Joined</v>
      </c>
      <c r="L625" s="31" t="str">
        <f>IFERROR(__xludf.DUMMYFUNCTION("""COMPUTED_VALUE"""),"In Office")</f>
        <v>In Office</v>
      </c>
      <c r="M625" s="31"/>
      <c r="N625" s="31"/>
    </row>
    <row r="626">
      <c r="A626" s="74">
        <f>IFERROR(__xludf.DUMMYFUNCTION("""COMPUTED_VALUE"""),45911.0)</f>
        <v>45911</v>
      </c>
      <c r="B626" s="31" t="str">
        <f>IFERROR(__xludf.DUMMYFUNCTION("""COMPUTED_VALUE"""),"Suryawansh Kumar")</f>
        <v>Suryawansh Kumar</v>
      </c>
      <c r="C626" s="31" t="str">
        <f>IFERROR(__xludf.DUMMYFUNCTION("""COMPUTED_VALUE"""),"Data")</f>
        <v>Data</v>
      </c>
      <c r="D626" s="31">
        <f>IFERROR(__xludf.DUMMYFUNCTION("""COMPUTED_VALUE"""),8.360047953E9)</f>
        <v>8360047953</v>
      </c>
      <c r="E626" s="31" t="str">
        <f>IFERROR(__xludf.DUMMYFUNCTION("""COMPUTED_VALUE"""),"Staff Data Scientist")</f>
        <v>Staff Data Scientist</v>
      </c>
      <c r="F626" s="31" t="str">
        <f>IFERROR(__xludf.DUMMYFUNCTION("""COMPUTED_VALUE"""),"Data Science")</f>
        <v>Data Science</v>
      </c>
      <c r="G626" s="31" t="str">
        <f>IFERROR(__xludf.DUMMYFUNCTION("""COMPUTED_VALUE"""),"suryawanshkx2020@email.iimcal.ac.in")</f>
        <v>suryawanshkx2020@email.iimcal.ac.in</v>
      </c>
      <c r="H626" s="31" t="str">
        <f>IFERROR(__xludf.DUMMYFUNCTION("""COMPUTED_VALUE"""),"Deep Dwivedi ")</f>
        <v>Deep Dwivedi </v>
      </c>
      <c r="I626" s="75">
        <f>IFERROR(__xludf.DUMMYFUNCTION("""COMPUTED_VALUE"""),45852.0)</f>
        <v>45852</v>
      </c>
      <c r="J626" s="31" t="str">
        <f>IFERROR(__xludf.DUMMYFUNCTION("""COMPUTED_VALUE"""),"Mamta Pandey")</f>
        <v>Mamta Pandey</v>
      </c>
      <c r="K626" s="31" t="str">
        <f>IFERROR(__xludf.DUMMYFUNCTION("""COMPUTED_VALUE"""),"Offer Revoked")</f>
        <v>Offer Revoked</v>
      </c>
      <c r="L626" s="31" t="str">
        <f>IFERROR(__xludf.DUMMYFUNCTION("""COMPUTED_VALUE"""),"In Office")</f>
        <v>In Office</v>
      </c>
      <c r="M626" s="31"/>
      <c r="N626" s="31"/>
    </row>
    <row r="627">
      <c r="A627" s="74">
        <f>IFERROR(__xludf.DUMMYFUNCTION("""COMPUTED_VALUE"""),45901.0)</f>
        <v>45901</v>
      </c>
      <c r="B627" s="31" t="str">
        <f>IFERROR(__xludf.DUMMYFUNCTION("""COMPUTED_VALUE"""),"Deeptanshu Singh Raghav")</f>
        <v>Deeptanshu Singh Raghav</v>
      </c>
      <c r="C627" s="31" t="str">
        <f>IFERROR(__xludf.DUMMYFUNCTION("""COMPUTED_VALUE"""),"Strategy")</f>
        <v>Strategy</v>
      </c>
      <c r="D627" s="31">
        <f>IFERROR(__xludf.DUMMYFUNCTION("""COMPUTED_VALUE"""),9.005831338E9)</f>
        <v>9005831338</v>
      </c>
      <c r="E627" s="31" t="str">
        <f>IFERROR(__xludf.DUMMYFUNCTION("""COMPUTED_VALUE"""),"Senior Manager - Revenue and Growth")</f>
        <v>Senior Manager - Revenue and Growth</v>
      </c>
      <c r="F627" s="31" t="str">
        <f>IFERROR(__xludf.DUMMYFUNCTION("""COMPUTED_VALUE"""),"Growth &amp; Revenue")</f>
        <v>Growth &amp; Revenue</v>
      </c>
      <c r="G627" s="31" t="str">
        <f>IFERROR(__xludf.DUMMYFUNCTION("""COMPUTED_VALUE"""),"deeptanshuraghav@gmail.com")</f>
        <v>deeptanshuraghav@gmail.com</v>
      </c>
      <c r="H627" s="31" t="str">
        <f>IFERROR(__xludf.DUMMYFUNCTION("""COMPUTED_VALUE"""),"Saumitra Raj")</f>
        <v>Saumitra Raj</v>
      </c>
      <c r="I627" s="75">
        <f>IFERROR(__xludf.DUMMYFUNCTION("""COMPUTED_VALUE"""),45852.0)</f>
        <v>45852</v>
      </c>
      <c r="J627" s="31" t="str">
        <f>IFERROR(__xludf.DUMMYFUNCTION("""COMPUTED_VALUE"""),"Naina")</f>
        <v>Naina</v>
      </c>
      <c r="K627" s="31" t="str">
        <f>IFERROR(__xludf.DUMMYFUNCTION("""COMPUTED_VALUE"""),"Offer Revoked")</f>
        <v>Offer Revoked</v>
      </c>
      <c r="L627" s="31" t="str">
        <f>IFERROR(__xludf.DUMMYFUNCTION("""COMPUTED_VALUE"""),"In Office")</f>
        <v>In Office</v>
      </c>
      <c r="M627" s="31"/>
      <c r="N627" s="31"/>
    </row>
    <row r="628">
      <c r="A628" s="74">
        <f>IFERROR(__xludf.DUMMYFUNCTION("""COMPUTED_VALUE"""),45862.0)</f>
        <v>45862</v>
      </c>
      <c r="B628" s="31" t="str">
        <f>IFERROR(__xludf.DUMMYFUNCTION("""COMPUTED_VALUE"""),"Gaurav ")</f>
        <v>Gaurav </v>
      </c>
      <c r="C628" s="31" t="str">
        <f>IFERROR(__xludf.DUMMYFUNCTION("""COMPUTED_VALUE"""),"Technology")</f>
        <v>Technology</v>
      </c>
      <c r="D628" s="31">
        <f>IFERROR(__xludf.DUMMYFUNCTION("""COMPUTED_VALUE"""),9.923966736E9)</f>
        <v>9923966736</v>
      </c>
      <c r="E628" s="31" t="str">
        <f>IFERROR(__xludf.DUMMYFUNCTION("""COMPUTED_VALUE"""),"Software Engineer")</f>
        <v>Software Engineer</v>
      </c>
      <c r="F628" s="31" t="str">
        <f>IFERROR(__xludf.DUMMYFUNCTION("""COMPUTED_VALUE"""),"Engineering ")</f>
        <v>Engineering </v>
      </c>
      <c r="G628" s="31" t="str">
        <f>IFERROR(__xludf.DUMMYFUNCTION("""COMPUTED_VALUE"""),"gaurav1812003@gmail.com")</f>
        <v>gaurav1812003@gmail.com</v>
      </c>
      <c r="H628" s="31" t="str">
        <f>IFERROR(__xludf.DUMMYFUNCTION("""COMPUTED_VALUE"""),"Abhishek Gupta")</f>
        <v>Abhishek Gupta</v>
      </c>
      <c r="I628" s="75">
        <f>IFERROR(__xludf.DUMMYFUNCTION("""COMPUTED_VALUE"""),45852.0)</f>
        <v>45852</v>
      </c>
      <c r="J628" s="31" t="str">
        <f>IFERROR(__xludf.DUMMYFUNCTION("""COMPUTED_VALUE"""),"Harsha Nanwani")</f>
        <v>Harsha Nanwani</v>
      </c>
      <c r="K628" s="31" t="str">
        <f>IFERROR(__xludf.DUMMYFUNCTION("""COMPUTED_VALUE"""),"Joined")</f>
        <v>Joined</v>
      </c>
      <c r="L628" s="31" t="str">
        <f>IFERROR(__xludf.DUMMYFUNCTION("""COMPUTED_VALUE"""),"In Office")</f>
        <v>In Office</v>
      </c>
      <c r="M628" s="31"/>
      <c r="N628" s="31"/>
    </row>
    <row r="629">
      <c r="A629" s="74">
        <f>IFERROR(__xludf.DUMMYFUNCTION("""COMPUTED_VALUE"""),45873.0)</f>
        <v>45873</v>
      </c>
      <c r="B629" s="31" t="str">
        <f>IFERROR(__xludf.DUMMYFUNCTION("""COMPUTED_VALUE"""),"Vinay")</f>
        <v>Vinay</v>
      </c>
      <c r="C629" s="31" t="str">
        <f>IFERROR(__xludf.DUMMYFUNCTION("""COMPUTED_VALUE"""),"Data")</f>
        <v>Data</v>
      </c>
      <c r="D629" s="31">
        <f>IFERROR(__xludf.DUMMYFUNCTION("""COMPUTED_VALUE"""),8.287276145E9)</f>
        <v>8287276145</v>
      </c>
      <c r="E629" s="31" t="str">
        <f>IFERROR(__xludf.DUMMYFUNCTION("""COMPUTED_VALUE"""),"Senior Data Analyst")</f>
        <v>Senior Data Analyst</v>
      </c>
      <c r="F629" s="31" t="str">
        <f>IFERROR(__xludf.DUMMYFUNCTION("""COMPUTED_VALUE"""),"Data Analytics")</f>
        <v>Data Analytics</v>
      </c>
      <c r="G629" s="31" t="str">
        <f>IFERROR(__xludf.DUMMYFUNCTION("""COMPUTED_VALUE"""),"singh00vinay@gmail.com")</f>
        <v>singh00vinay@gmail.com</v>
      </c>
      <c r="H629" s="31" t="str">
        <f>IFERROR(__xludf.DUMMYFUNCTION("""COMPUTED_VALUE"""),"Neha Jain")</f>
        <v>Neha Jain</v>
      </c>
      <c r="I629" s="75">
        <f>IFERROR(__xludf.DUMMYFUNCTION("""COMPUTED_VALUE"""),45854.0)</f>
        <v>45854</v>
      </c>
      <c r="J629" s="31" t="str">
        <f>IFERROR(__xludf.DUMMYFUNCTION("""COMPUTED_VALUE"""),"Mamta Pandey")</f>
        <v>Mamta Pandey</v>
      </c>
      <c r="K629" s="31" t="str">
        <f>IFERROR(__xludf.DUMMYFUNCTION("""COMPUTED_VALUE"""),"Joined")</f>
        <v>Joined</v>
      </c>
      <c r="L629" s="31" t="str">
        <f>IFERROR(__xludf.DUMMYFUNCTION("""COMPUTED_VALUE"""),"In Office")</f>
        <v>In Office</v>
      </c>
      <c r="M629" s="31"/>
      <c r="N629" s="31"/>
    </row>
    <row r="630">
      <c r="A630" s="74">
        <f>IFERROR(__xludf.DUMMYFUNCTION("""COMPUTED_VALUE"""),45887.0)</f>
        <v>45887</v>
      </c>
      <c r="B630" s="31" t="str">
        <f>IFERROR(__xludf.DUMMYFUNCTION("""COMPUTED_VALUE"""),"Navneet Lohia")</f>
        <v>Navneet Lohia</v>
      </c>
      <c r="C630" s="31" t="str">
        <f>IFERROR(__xludf.DUMMYFUNCTION("""COMPUTED_VALUE"""),"Technology")</f>
        <v>Technology</v>
      </c>
      <c r="D630" s="31">
        <f>IFERROR(__xludf.DUMMYFUNCTION("""COMPUTED_VALUE"""),7.011326999E9)</f>
        <v>7011326999</v>
      </c>
      <c r="E630" s="31" t="str">
        <f>IFERROR(__xludf.DUMMYFUNCTION("""COMPUTED_VALUE"""),"Senior Software Engineer")</f>
        <v>Senior Software Engineer</v>
      </c>
      <c r="F630" s="31" t="str">
        <f>IFERROR(__xludf.DUMMYFUNCTION("""COMPUTED_VALUE"""),"Engineering ")</f>
        <v>Engineering </v>
      </c>
      <c r="G630" s="31" t="str">
        <f>IFERROR(__xludf.DUMMYFUNCTION("""COMPUTED_VALUE"""),"lohianav8@gmail.com")</f>
        <v>lohianav8@gmail.com</v>
      </c>
      <c r="H630" s="31" t="str">
        <f>IFERROR(__xludf.DUMMYFUNCTION("""COMPUTED_VALUE"""),"Piyush shukla")</f>
        <v>Piyush shukla</v>
      </c>
      <c r="I630" s="75">
        <f>IFERROR(__xludf.DUMMYFUNCTION("""COMPUTED_VALUE"""),45855.0)</f>
        <v>45855</v>
      </c>
      <c r="J630" s="31" t="str">
        <f>IFERROR(__xludf.DUMMYFUNCTION("""COMPUTED_VALUE"""),"Vipin Kumar")</f>
        <v>Vipin Kumar</v>
      </c>
      <c r="K630" s="31" t="str">
        <f>IFERROR(__xludf.DUMMYFUNCTION("""COMPUTED_VALUE"""),"Joined")</f>
        <v>Joined</v>
      </c>
      <c r="L630" s="31" t="str">
        <f>IFERROR(__xludf.DUMMYFUNCTION("""COMPUTED_VALUE"""),"In Office")</f>
        <v>In Office</v>
      </c>
      <c r="M630" s="31" t="str">
        <f>IFERROR(__xludf.DUMMYFUNCTION("""COMPUTED_VALUE"""),"navneet.lohia@zupee.in")</f>
        <v>navneet.lohia@zupee.in</v>
      </c>
      <c r="N630" s="31"/>
    </row>
    <row r="631">
      <c r="A631" s="74">
        <f>IFERROR(__xludf.DUMMYFUNCTION("""COMPUTED_VALUE"""),45870.0)</f>
        <v>45870</v>
      </c>
      <c r="B631" s="31" t="str">
        <f>IFERROR(__xludf.DUMMYFUNCTION("""COMPUTED_VALUE"""),"Bhupendra Kumar")</f>
        <v>Bhupendra Kumar</v>
      </c>
      <c r="C631" s="31" t="str">
        <f>IFERROR(__xludf.DUMMYFUNCTION("""COMPUTED_VALUE"""),"Strategy")</f>
        <v>Strategy</v>
      </c>
      <c r="D631" s="31">
        <f>IFERROR(__xludf.DUMMYFUNCTION("""COMPUTED_VALUE"""),8.336947103E9)</f>
        <v>8336947103</v>
      </c>
      <c r="E631" s="31" t="str">
        <f>IFERROR(__xludf.DUMMYFUNCTION("""COMPUTED_VALUE"""),"Senior Manager - Strategy")</f>
        <v>Senior Manager - Strategy</v>
      </c>
      <c r="F631" s="31" t="str">
        <f>IFERROR(__xludf.DUMMYFUNCTION("""COMPUTED_VALUE"""),"Growth &amp; Revenue")</f>
        <v>Growth &amp; Revenue</v>
      </c>
      <c r="G631" s="31" t="str">
        <f>IFERROR(__xludf.DUMMYFUNCTION("""COMPUTED_VALUE"""),"bhupendrak2017@email.iimcal.ac.in")</f>
        <v>bhupendrak2017@email.iimcal.ac.in</v>
      </c>
      <c r="H631" s="31" t="str">
        <f>IFERROR(__xludf.DUMMYFUNCTION("""COMPUTED_VALUE"""),"Karan aggarwal")</f>
        <v>Karan aggarwal</v>
      </c>
      <c r="I631" s="75">
        <f>IFERROR(__xludf.DUMMYFUNCTION("""COMPUTED_VALUE"""),45855.0)</f>
        <v>45855</v>
      </c>
      <c r="J631" s="31" t="str">
        <f>IFERROR(__xludf.DUMMYFUNCTION("""COMPUTED_VALUE"""),"Naina")</f>
        <v>Naina</v>
      </c>
      <c r="K631" s="31" t="str">
        <f>IFERROR(__xludf.DUMMYFUNCTION("""COMPUTED_VALUE"""),"Joined")</f>
        <v>Joined</v>
      </c>
      <c r="L631" s="31" t="str">
        <f>IFERROR(__xludf.DUMMYFUNCTION("""COMPUTED_VALUE"""),"In Office")</f>
        <v>In Office</v>
      </c>
      <c r="M631" s="31" t="str">
        <f>IFERROR(__xludf.DUMMYFUNCTION("""COMPUTED_VALUE"""),"bhupendra.kumar@zupee.in")</f>
        <v>bhupendra.kumar@zupee.in</v>
      </c>
      <c r="N631" s="31"/>
    </row>
    <row r="632">
      <c r="A632" s="74">
        <f>IFERROR(__xludf.DUMMYFUNCTION("""COMPUTED_VALUE"""),45873.0)</f>
        <v>45873</v>
      </c>
      <c r="B632" s="31" t="str">
        <f>IFERROR(__xludf.DUMMYFUNCTION("""COMPUTED_VALUE"""),"Dhruv Bisht")</f>
        <v>Dhruv Bisht</v>
      </c>
      <c r="C632" s="31" t="str">
        <f>IFERROR(__xludf.DUMMYFUNCTION("""COMPUTED_VALUE"""),"Brand Marketing")</f>
        <v>Brand Marketing</v>
      </c>
      <c r="D632" s="31">
        <f>IFERROR(__xludf.DUMMYFUNCTION("""COMPUTED_VALUE"""),9.760734315E9)</f>
        <v>9760734315</v>
      </c>
      <c r="E632" s="31" t="str">
        <f>IFERROR(__xludf.DUMMYFUNCTION("""COMPUTED_VALUE"""),"Copywriter")</f>
        <v>Copywriter</v>
      </c>
      <c r="F632" s="31" t="str">
        <f>IFERROR(__xludf.DUMMYFUNCTION("""COMPUTED_VALUE"""),"Content")</f>
        <v>Content</v>
      </c>
      <c r="G632" s="31" t="str">
        <f>IFERROR(__xludf.DUMMYFUNCTION("""COMPUTED_VALUE"""),"dhruvbisht19jul@gmail.com")</f>
        <v>dhruvbisht19jul@gmail.com</v>
      </c>
      <c r="H632" s="31" t="str">
        <f>IFERROR(__xludf.DUMMYFUNCTION("""COMPUTED_VALUE"""),"Srishti Seth")</f>
        <v>Srishti Seth</v>
      </c>
      <c r="I632" s="75">
        <f>IFERROR(__xludf.DUMMYFUNCTION("""COMPUTED_VALUE"""),45855.0)</f>
        <v>45855</v>
      </c>
      <c r="J632" s="31" t="str">
        <f>IFERROR(__xludf.DUMMYFUNCTION("""COMPUTED_VALUE"""),"Harsha Nanwani")</f>
        <v>Harsha Nanwani</v>
      </c>
      <c r="K632" s="31" t="str">
        <f>IFERROR(__xludf.DUMMYFUNCTION("""COMPUTED_VALUE"""),"Joined")</f>
        <v>Joined</v>
      </c>
      <c r="L632" s="31" t="str">
        <f>IFERROR(__xludf.DUMMYFUNCTION("""COMPUTED_VALUE"""),"In Office")</f>
        <v>In Office</v>
      </c>
      <c r="M632" s="31" t="str">
        <f>IFERROR(__xludf.DUMMYFUNCTION("""COMPUTED_VALUE"""),"dhruv.bisht@zupee.in")</f>
        <v>dhruv.bisht@zupee.in</v>
      </c>
      <c r="N632" s="31"/>
    </row>
    <row r="633">
      <c r="A633" s="74">
        <f>IFERROR(__xludf.DUMMYFUNCTION("""COMPUTED_VALUE"""),45890.0)</f>
        <v>45890</v>
      </c>
      <c r="B633" s="31" t="str">
        <f>IFERROR(__xludf.DUMMYFUNCTION("""COMPUTED_VALUE"""),"Nitish Sharma")</f>
        <v>Nitish Sharma</v>
      </c>
      <c r="C633" s="31" t="str">
        <f>IFERROR(__xludf.DUMMYFUNCTION("""COMPUTED_VALUE"""),"Technology")</f>
        <v>Technology</v>
      </c>
      <c r="D633" s="31">
        <f>IFERROR(__xludf.DUMMYFUNCTION("""COMPUTED_VALUE"""),7.087491353E9)</f>
        <v>7087491353</v>
      </c>
      <c r="E633" s="31" t="str">
        <f>IFERROR(__xludf.DUMMYFUNCTION("""COMPUTED_VALUE"""),"Sofware Engineer - Android")</f>
        <v>Sofware Engineer - Android</v>
      </c>
      <c r="F633" s="31" t="str">
        <f>IFERROR(__xludf.DUMMYFUNCTION("""COMPUTED_VALUE"""),"Engineering ")</f>
        <v>Engineering </v>
      </c>
      <c r="G633" s="31" t="str">
        <f>IFERROR(__xludf.DUMMYFUNCTION("""COMPUTED_VALUE"""),"nitish.sharma1186@gmail.com")</f>
        <v>nitish.sharma1186@gmail.com</v>
      </c>
      <c r="H633" s="31" t="str">
        <f>IFERROR(__xludf.DUMMYFUNCTION("""COMPUTED_VALUE"""),"Anshul Mittal")</f>
        <v>Anshul Mittal</v>
      </c>
      <c r="I633" s="75">
        <f>IFERROR(__xludf.DUMMYFUNCTION("""COMPUTED_VALUE"""),45855.0)</f>
        <v>45855</v>
      </c>
      <c r="J633" s="31" t="str">
        <f>IFERROR(__xludf.DUMMYFUNCTION("""COMPUTED_VALUE"""),"Harsha Nanwani")</f>
        <v>Harsha Nanwani</v>
      </c>
      <c r="K633" s="31" t="str">
        <f>IFERROR(__xludf.DUMMYFUNCTION("""COMPUTED_VALUE"""),"Offer Revoked")</f>
        <v>Offer Revoked</v>
      </c>
      <c r="L633" s="31" t="str">
        <f>IFERROR(__xludf.DUMMYFUNCTION("""COMPUTED_VALUE"""),"In Office")</f>
        <v>In Office</v>
      </c>
      <c r="M633" s="31"/>
      <c r="N633" s="31"/>
    </row>
    <row r="634">
      <c r="A634" s="74">
        <f>IFERROR(__xludf.DUMMYFUNCTION("""COMPUTED_VALUE"""),45918.0)</f>
        <v>45918</v>
      </c>
      <c r="B634" s="31" t="str">
        <f>IFERROR(__xludf.DUMMYFUNCTION("""COMPUTED_VALUE"""),"Amit Aggarwal")</f>
        <v>Amit Aggarwal</v>
      </c>
      <c r="C634" s="31" t="str">
        <f>IFERROR(__xludf.DUMMYFUNCTION("""COMPUTED_VALUE"""),"HR")</f>
        <v>HR</v>
      </c>
      <c r="D634" s="31">
        <f>IFERROR(__xludf.DUMMYFUNCTION("""COMPUTED_VALUE"""),9.711190451E9)</f>
        <v>9711190451</v>
      </c>
      <c r="E634" s="31" t="str">
        <f>IFERROR(__xludf.DUMMYFUNCTION("""COMPUTED_VALUE"""),"Manager - Org Development &amp; Capability Building")</f>
        <v>Manager - Org Development &amp; Capability Building</v>
      </c>
      <c r="F634" s="31" t="str">
        <f>IFERROR(__xludf.DUMMYFUNCTION("""COMPUTED_VALUE"""),"HR-Centre of Excellence")</f>
        <v>HR-Centre of Excellence</v>
      </c>
      <c r="G634" s="31" t="str">
        <f>IFERROR(__xludf.DUMMYFUNCTION("""COMPUTED_VALUE"""),"amit.agg53@gmail.com")</f>
        <v>amit.agg53@gmail.com</v>
      </c>
      <c r="H634" s="31" t="str">
        <f>IFERROR(__xludf.DUMMYFUNCTION("""COMPUTED_VALUE"""),"Sushil Patel")</f>
        <v>Sushil Patel</v>
      </c>
      <c r="I634" s="75">
        <f>IFERROR(__xludf.DUMMYFUNCTION("""COMPUTED_VALUE"""),45856.0)</f>
        <v>45856</v>
      </c>
      <c r="J634" s="31" t="str">
        <f>IFERROR(__xludf.DUMMYFUNCTION("""COMPUTED_VALUE"""),"Vipin Kumar")</f>
        <v>Vipin Kumar</v>
      </c>
      <c r="K634" s="31" t="str">
        <f>IFERROR(__xludf.DUMMYFUNCTION("""COMPUTED_VALUE"""),"Offer Revoked")</f>
        <v>Offer Revoked</v>
      </c>
      <c r="L634" s="31" t="str">
        <f>IFERROR(__xludf.DUMMYFUNCTION("""COMPUTED_VALUE"""),"In Office")</f>
        <v>In Office</v>
      </c>
      <c r="M634" s="31"/>
      <c r="N634" s="31"/>
    </row>
    <row r="635">
      <c r="A635" s="74">
        <f>IFERROR(__xludf.DUMMYFUNCTION("""COMPUTED_VALUE"""),45922.0)</f>
        <v>45922</v>
      </c>
      <c r="B635" s="31" t="str">
        <f>IFERROR(__xludf.DUMMYFUNCTION("""COMPUTED_VALUE"""),"Kunal Jhangiani")</f>
        <v>Kunal Jhangiani</v>
      </c>
      <c r="C635" s="31" t="str">
        <f>IFERROR(__xludf.DUMMYFUNCTION("""COMPUTED_VALUE"""),"Strategy")</f>
        <v>Strategy</v>
      </c>
      <c r="D635" s="31"/>
      <c r="E635" s="31" t="str">
        <f>IFERROR(__xludf.DUMMYFUNCTION("""COMPUTED_VALUE"""),"Senior Manager - Strategy")</f>
        <v>Senior Manager - Strategy</v>
      </c>
      <c r="F635" s="31" t="str">
        <f>IFERROR(__xludf.DUMMYFUNCTION("""COMPUTED_VALUE"""),"Growth &amp; Revenue")</f>
        <v>Growth &amp; Revenue</v>
      </c>
      <c r="G635" s="31" t="str">
        <f>IFERROR(__xludf.DUMMYFUNCTION("""COMPUTED_VALUE"""),"kunaljhangiani93@gmail.com")</f>
        <v>kunaljhangiani93@gmail.com</v>
      </c>
      <c r="H635" s="31" t="str">
        <f>IFERROR(__xludf.DUMMYFUNCTION("""COMPUTED_VALUE"""),"Karan aggarwal")</f>
        <v>Karan aggarwal</v>
      </c>
      <c r="I635" s="75">
        <f>IFERROR(__xludf.DUMMYFUNCTION("""COMPUTED_VALUE"""),45856.0)</f>
        <v>45856</v>
      </c>
      <c r="J635" s="31" t="str">
        <f>IFERROR(__xludf.DUMMYFUNCTION("""COMPUTED_VALUE"""),"Naina")</f>
        <v>Naina</v>
      </c>
      <c r="K635" s="31" t="str">
        <f>IFERROR(__xludf.DUMMYFUNCTION("""COMPUTED_VALUE"""),"Offer Revoked")</f>
        <v>Offer Revoked</v>
      </c>
      <c r="L635" s="31" t="str">
        <f>IFERROR(__xludf.DUMMYFUNCTION("""COMPUTED_VALUE"""),"In Office")</f>
        <v>In Office</v>
      </c>
      <c r="M635" s="31"/>
      <c r="N635" s="31"/>
    </row>
    <row r="636">
      <c r="A636" s="74">
        <f>IFERROR(__xludf.DUMMYFUNCTION("""COMPUTED_VALUE"""),45859.0)</f>
        <v>45859</v>
      </c>
      <c r="B636" s="31" t="str">
        <f>IFERROR(__xludf.DUMMYFUNCTION("""COMPUTED_VALUE"""),"Kunal Shivhare")</f>
        <v>Kunal Shivhare</v>
      </c>
      <c r="C636" s="31" t="str">
        <f>IFERROR(__xludf.DUMMYFUNCTION("""COMPUTED_VALUE"""),"Technology")</f>
        <v>Technology</v>
      </c>
      <c r="D636" s="31">
        <f>IFERROR(__xludf.DUMMYFUNCTION("""COMPUTED_VALUE"""),7.724872387E9)</f>
        <v>7724872387</v>
      </c>
      <c r="E636" s="31" t="str">
        <f>IFERROR(__xludf.DUMMYFUNCTION("""COMPUTED_VALUE"""),"Software Engineer - React Native")</f>
        <v>Software Engineer - React Native</v>
      </c>
      <c r="F636" s="31" t="str">
        <f>IFERROR(__xludf.DUMMYFUNCTION("""COMPUTED_VALUE"""),"Engineering ")</f>
        <v>Engineering </v>
      </c>
      <c r="G636" s="31" t="str">
        <f>IFERROR(__xludf.DUMMYFUNCTION("""COMPUTED_VALUE"""),"Kunalshivhare58@gmail.com  ")</f>
        <v>Kunalshivhare58@gmail.com  </v>
      </c>
      <c r="H636" s="31" t="str">
        <f>IFERROR(__xludf.DUMMYFUNCTION("""COMPUTED_VALUE"""),"Kinshuk Puri")</f>
        <v>Kinshuk Puri</v>
      </c>
      <c r="I636" s="75">
        <f>IFERROR(__xludf.DUMMYFUNCTION("""COMPUTED_VALUE"""),45856.0)</f>
        <v>45856</v>
      </c>
      <c r="J636" s="31" t="str">
        <f>IFERROR(__xludf.DUMMYFUNCTION("""COMPUTED_VALUE"""),"Harsha Nanwani")</f>
        <v>Harsha Nanwani</v>
      </c>
      <c r="K636" s="31" t="str">
        <f>IFERROR(__xludf.DUMMYFUNCTION("""COMPUTED_VALUE"""),"Joined")</f>
        <v>Joined</v>
      </c>
      <c r="L636" s="31" t="str">
        <f>IFERROR(__xludf.DUMMYFUNCTION("""COMPUTED_VALUE"""),"In Office")</f>
        <v>In Office</v>
      </c>
      <c r="M636" s="31" t="str">
        <f>IFERROR(__xludf.DUMMYFUNCTION("""COMPUTED_VALUE"""),"kunal.shivhare@zupee.in")</f>
        <v>kunal.shivhare@zupee.in</v>
      </c>
      <c r="N636" s="31"/>
    </row>
    <row r="637">
      <c r="A637" s="74">
        <f>IFERROR(__xludf.DUMMYFUNCTION("""COMPUTED_VALUE"""),45859.0)</f>
        <v>45859</v>
      </c>
      <c r="B637" s="31" t="str">
        <f>IFERROR(__xludf.DUMMYFUNCTION("""COMPUTED_VALUE"""),"Nitish Naidu")</f>
        <v>Nitish Naidu</v>
      </c>
      <c r="C637" s="31" t="str">
        <f>IFERROR(__xludf.DUMMYFUNCTION("""COMPUTED_VALUE"""),"Technology")</f>
        <v>Technology</v>
      </c>
      <c r="D637" s="31">
        <f>IFERROR(__xludf.DUMMYFUNCTION("""COMPUTED_VALUE"""),9.960683139E9)</f>
        <v>9960683139</v>
      </c>
      <c r="E637" s="31" t="str">
        <f>IFERROR(__xludf.DUMMYFUNCTION("""COMPUTED_VALUE"""),"Software Engineer")</f>
        <v>Software Engineer</v>
      </c>
      <c r="F637" s="31" t="str">
        <f>IFERROR(__xludf.DUMMYFUNCTION("""COMPUTED_VALUE"""),"Engineering ")</f>
        <v>Engineering </v>
      </c>
      <c r="G637" s="31" t="str">
        <f>IFERROR(__xludf.DUMMYFUNCTION("""COMPUTED_VALUE""")," nitishnaidu.iitb@gmail.com   ")</f>
        <v> nitishnaidu.iitb@gmail.com   </v>
      </c>
      <c r="H637" s="31" t="str">
        <f>IFERROR(__xludf.DUMMYFUNCTION("""COMPUTED_VALUE"""),"Sumit Singh")</f>
        <v>Sumit Singh</v>
      </c>
      <c r="I637" s="75">
        <f>IFERROR(__xludf.DUMMYFUNCTION("""COMPUTED_VALUE"""),45856.0)</f>
        <v>45856</v>
      </c>
      <c r="J637" s="31" t="str">
        <f>IFERROR(__xludf.DUMMYFUNCTION("""COMPUTED_VALUE"""),"Jaya Tiwari")</f>
        <v>Jaya Tiwari</v>
      </c>
      <c r="K637" s="31" t="str">
        <f>IFERROR(__xludf.DUMMYFUNCTION("""COMPUTED_VALUE"""),"Joined")</f>
        <v>Joined</v>
      </c>
      <c r="L637" s="31" t="str">
        <f>IFERROR(__xludf.DUMMYFUNCTION("""COMPUTED_VALUE"""),"In Office")</f>
        <v>In Office</v>
      </c>
      <c r="M637" s="31" t="str">
        <f>IFERROR(__xludf.DUMMYFUNCTION("""COMPUTED_VALUE"""),"nitish.naidu@zupee.in")</f>
        <v>nitish.naidu@zupee.in</v>
      </c>
      <c r="N637" s="31" t="str">
        <f>IFERROR(__xludf.DUMMYFUNCTION("""COMPUTED_VALUE"""),"G4KPY303HL")</f>
        <v>G4KPY303HL</v>
      </c>
    </row>
    <row r="638">
      <c r="A638" s="74">
        <f>IFERROR(__xludf.DUMMYFUNCTION("""COMPUTED_VALUE"""),45887.0)</f>
        <v>45887</v>
      </c>
      <c r="B638" s="31" t="str">
        <f>IFERROR(__xludf.DUMMYFUNCTION("""COMPUTED_VALUE"""),"Saksham Jain")</f>
        <v>Saksham Jain</v>
      </c>
      <c r="C638" s="31" t="str">
        <f>IFERROR(__xludf.DUMMYFUNCTION("""COMPUTED_VALUE"""),"Data")</f>
        <v>Data</v>
      </c>
      <c r="D638" s="31">
        <f>IFERROR(__xludf.DUMMYFUNCTION("""COMPUTED_VALUE"""),6.005818438E9)</f>
        <v>6005818438</v>
      </c>
      <c r="E638" s="31" t="str">
        <f>IFERROR(__xludf.DUMMYFUNCTION("""COMPUTED_VALUE"""),"Data Scientist")</f>
        <v>Data Scientist</v>
      </c>
      <c r="F638" s="31" t="str">
        <f>IFERROR(__xludf.DUMMYFUNCTION("""COMPUTED_VALUE"""),"Data Science")</f>
        <v>Data Science</v>
      </c>
      <c r="G638" s="31" t="str">
        <f>IFERROR(__xludf.DUMMYFUNCTION("""COMPUTED_VALUE"""),"sakshamj74@gmail.com")</f>
        <v>sakshamj74@gmail.com</v>
      </c>
      <c r="H638" s="31" t="str">
        <f>IFERROR(__xludf.DUMMYFUNCTION("""COMPUTED_VALUE"""),"Deep Dwivedi ")</f>
        <v>Deep Dwivedi </v>
      </c>
      <c r="I638" s="75">
        <f>IFERROR(__xludf.DUMMYFUNCTION("""COMPUTED_VALUE"""),45856.0)</f>
        <v>45856</v>
      </c>
      <c r="J638" s="31" t="str">
        <f>IFERROR(__xludf.DUMMYFUNCTION("""COMPUTED_VALUE"""),"Mamta Pandey")</f>
        <v>Mamta Pandey</v>
      </c>
      <c r="K638" s="31" t="str">
        <f>IFERROR(__xludf.DUMMYFUNCTION("""COMPUTED_VALUE"""),"Offer Revoked")</f>
        <v>Offer Revoked</v>
      </c>
      <c r="L638" s="31" t="str">
        <f>IFERROR(__xludf.DUMMYFUNCTION("""COMPUTED_VALUE"""),"In Office")</f>
        <v>In Office</v>
      </c>
      <c r="M638" s="31"/>
      <c r="N638" s="31"/>
    </row>
    <row r="639">
      <c r="A639" s="74">
        <f>IFERROR(__xludf.DUMMYFUNCTION("""COMPUTED_VALUE"""),45861.0)</f>
        <v>45861</v>
      </c>
      <c r="B639" s="31" t="str">
        <f>IFERROR(__xludf.DUMMYFUNCTION("""COMPUTED_VALUE"""),"Prateek Sharma")</f>
        <v>Prateek Sharma</v>
      </c>
      <c r="C639" s="31" t="str">
        <f>IFERROR(__xludf.DUMMYFUNCTION("""COMPUTED_VALUE"""),"Technology")</f>
        <v>Technology</v>
      </c>
      <c r="D639" s="31">
        <f>IFERROR(__xludf.DUMMYFUNCTION("""COMPUTED_VALUE"""),7.014710326E9)</f>
        <v>7014710326</v>
      </c>
      <c r="E639" s="31" t="str">
        <f>IFERROR(__xludf.DUMMYFUNCTION("""COMPUTED_VALUE"""),"Software Engineer")</f>
        <v>Software Engineer</v>
      </c>
      <c r="F639" s="31" t="str">
        <f>IFERROR(__xludf.DUMMYFUNCTION("""COMPUTED_VALUE"""),"Engineering ")</f>
        <v>Engineering </v>
      </c>
      <c r="G639" s="31" t="str">
        <f>IFERROR(__xludf.DUMMYFUNCTION("""COMPUTED_VALUE"""),"prateeksharma1122111@gmail.com")</f>
        <v>prateeksharma1122111@gmail.com</v>
      </c>
      <c r="H639" s="31" t="str">
        <f>IFERROR(__xludf.DUMMYFUNCTION("""COMPUTED_VALUE"""),"Aman Gupta")</f>
        <v>Aman Gupta</v>
      </c>
      <c r="I639" s="75">
        <f>IFERROR(__xludf.DUMMYFUNCTION("""COMPUTED_VALUE"""),45859.0)</f>
        <v>45859</v>
      </c>
      <c r="J639" s="31" t="str">
        <f>IFERROR(__xludf.DUMMYFUNCTION("""COMPUTED_VALUE"""),"Mamta Pandey")</f>
        <v>Mamta Pandey</v>
      </c>
      <c r="K639" s="31" t="str">
        <f>IFERROR(__xludf.DUMMYFUNCTION("""COMPUTED_VALUE"""),"Joined")</f>
        <v>Joined</v>
      </c>
      <c r="L639" s="31" t="str">
        <f>IFERROR(__xludf.DUMMYFUNCTION("""COMPUTED_VALUE"""),"In Office")</f>
        <v>In Office</v>
      </c>
      <c r="M639" s="31" t="str">
        <f>IFERROR(__xludf.DUMMYFUNCTION("""COMPUTED_VALUE"""),"prateek.sharma1@zupee.in")</f>
        <v>prateek.sharma1@zupee.in</v>
      </c>
      <c r="N639" s="31"/>
    </row>
    <row r="640">
      <c r="A640" s="74">
        <f>IFERROR(__xludf.DUMMYFUNCTION("""COMPUTED_VALUE"""),45925.0)</f>
        <v>45925</v>
      </c>
      <c r="B640" s="31" t="str">
        <f>IFERROR(__xludf.DUMMYFUNCTION("""COMPUTED_VALUE"""),"Nikhil Sehgal")</f>
        <v>Nikhil Sehgal</v>
      </c>
      <c r="C640" s="31" t="str">
        <f>IFERROR(__xludf.DUMMYFUNCTION("""COMPUTED_VALUE"""),"Technology")</f>
        <v>Technology</v>
      </c>
      <c r="D640" s="31">
        <f>IFERROR(__xludf.DUMMYFUNCTION("""COMPUTED_VALUE"""),8.19990455E9)</f>
        <v>8199904550</v>
      </c>
      <c r="E640" s="31" t="str">
        <f>IFERROR(__xludf.DUMMYFUNCTION("""COMPUTED_VALUE"""),"Senior Software Engineer")</f>
        <v>Senior Software Engineer</v>
      </c>
      <c r="F640" s="31" t="str">
        <f>IFERROR(__xludf.DUMMYFUNCTION("""COMPUTED_VALUE"""),"Engineering ")</f>
        <v>Engineering </v>
      </c>
      <c r="G640" s="31" t="str">
        <f>IFERROR(__xludf.DUMMYFUNCTION("""COMPUTED_VALUE"""),"sehgalnikhil73@gmail.com")</f>
        <v>sehgalnikhil73@gmail.com</v>
      </c>
      <c r="H640" s="31" t="str">
        <f>IFERROR(__xludf.DUMMYFUNCTION("""COMPUTED_VALUE"""),"Abhishek Gupta")</f>
        <v>Abhishek Gupta</v>
      </c>
      <c r="I640" s="75">
        <f>IFERROR(__xludf.DUMMYFUNCTION("""COMPUTED_VALUE"""),45859.0)</f>
        <v>45859</v>
      </c>
      <c r="J640" s="31" t="str">
        <f>IFERROR(__xludf.DUMMYFUNCTION("""COMPUTED_VALUE"""),"Mamta Pandey")</f>
        <v>Mamta Pandey</v>
      </c>
      <c r="K640" s="31" t="str">
        <f>IFERROR(__xludf.DUMMYFUNCTION("""COMPUTED_VALUE"""),"Offer Revoked")</f>
        <v>Offer Revoked</v>
      </c>
      <c r="L640" s="31" t="str">
        <f>IFERROR(__xludf.DUMMYFUNCTION("""COMPUTED_VALUE"""),"In Office")</f>
        <v>In Office</v>
      </c>
      <c r="M640" s="31"/>
      <c r="N640" s="31"/>
    </row>
    <row r="641">
      <c r="A641" s="74">
        <f>IFERROR(__xludf.DUMMYFUNCTION("""COMPUTED_VALUE"""),45873.0)</f>
        <v>45873</v>
      </c>
      <c r="B641" s="31" t="str">
        <f>IFERROR(__xludf.DUMMYFUNCTION("""COMPUTED_VALUE"""),"Sarthak Pranesh")</f>
        <v>Sarthak Pranesh</v>
      </c>
      <c r="C641" s="31" t="str">
        <f>IFERROR(__xludf.DUMMYFUNCTION("""COMPUTED_VALUE"""),"Technology")</f>
        <v>Technology</v>
      </c>
      <c r="D641" s="31">
        <f>IFERROR(__xludf.DUMMYFUNCTION("""COMPUTED_VALUE"""),8.882354592E9)</f>
        <v>8882354592</v>
      </c>
      <c r="E641" s="31" t="str">
        <f>IFERROR(__xludf.DUMMYFUNCTION("""COMPUTED_VALUE"""),"Senior Software Engineer")</f>
        <v>Senior Software Engineer</v>
      </c>
      <c r="F641" s="31" t="str">
        <f>IFERROR(__xludf.DUMMYFUNCTION("""COMPUTED_VALUE"""),"Engineering ")</f>
        <v>Engineering </v>
      </c>
      <c r="G641" s="31" t="str">
        <f>IFERROR(__xludf.DUMMYFUNCTION("""COMPUTED_VALUE"""),"sarthakpranesh08@gmail.com")</f>
        <v>sarthakpranesh08@gmail.com</v>
      </c>
      <c r="H641" s="31" t="str">
        <f>IFERROR(__xludf.DUMMYFUNCTION("""COMPUTED_VALUE"""),"Abhishek Gupta")</f>
        <v>Abhishek Gupta</v>
      </c>
      <c r="I641" s="75">
        <f>IFERROR(__xludf.DUMMYFUNCTION("""COMPUTED_VALUE"""),45859.0)</f>
        <v>45859</v>
      </c>
      <c r="J641" s="31" t="str">
        <f>IFERROR(__xludf.DUMMYFUNCTION("""COMPUTED_VALUE"""),"Cheshtha Sharma")</f>
        <v>Cheshtha Sharma</v>
      </c>
      <c r="K641" s="31" t="str">
        <f>IFERROR(__xludf.DUMMYFUNCTION("""COMPUTED_VALUE"""),"Offer Declined")</f>
        <v>Offer Declined</v>
      </c>
      <c r="L641" s="31" t="str">
        <f>IFERROR(__xludf.DUMMYFUNCTION("""COMPUTED_VALUE"""),"In Office")</f>
        <v>In Office</v>
      </c>
      <c r="M641" s="31"/>
      <c r="N641" s="31"/>
    </row>
    <row r="642">
      <c r="A642" s="74">
        <f>IFERROR(__xludf.DUMMYFUNCTION("""COMPUTED_VALUE"""),45915.0)</f>
        <v>45915</v>
      </c>
      <c r="B642" s="31" t="str">
        <f>IFERROR(__xludf.DUMMYFUNCTION("""COMPUTED_VALUE"""),"Sumit Rathore")</f>
        <v>Sumit Rathore</v>
      </c>
      <c r="C642" s="31" t="str">
        <f>IFERROR(__xludf.DUMMYFUNCTION("""COMPUTED_VALUE"""),"Technology")</f>
        <v>Technology</v>
      </c>
      <c r="D642" s="31">
        <f>IFERROR(__xludf.DUMMYFUNCTION("""COMPUTED_VALUE"""),7.257946734E9)</f>
        <v>7257946734</v>
      </c>
      <c r="E642" s="31" t="str">
        <f>IFERROR(__xludf.DUMMYFUNCTION("""COMPUTED_VALUE"""),"Software Engineer - Devops")</f>
        <v>Software Engineer - Devops</v>
      </c>
      <c r="F642" s="31" t="str">
        <f>IFERROR(__xludf.DUMMYFUNCTION("""COMPUTED_VALUE"""),"DevOps &amp; Security")</f>
        <v>DevOps &amp; Security</v>
      </c>
      <c r="G642" s="31" t="str">
        <f>IFERROR(__xludf.DUMMYFUNCTION("""COMPUTED_VALUE"""),"sumitrathore1918@gmail.com")</f>
        <v>sumitrathore1918@gmail.com</v>
      </c>
      <c r="H642" s="31" t="str">
        <f>IFERROR(__xludf.DUMMYFUNCTION("""COMPUTED_VALUE"""),"Saurav Yadav")</f>
        <v>Saurav Yadav</v>
      </c>
      <c r="I642" s="75">
        <f>IFERROR(__xludf.DUMMYFUNCTION("""COMPUTED_VALUE"""),45860.0)</f>
        <v>45860</v>
      </c>
      <c r="J642" s="31" t="str">
        <f>IFERROR(__xludf.DUMMYFUNCTION("""COMPUTED_VALUE"""),"Cheshtha Sharma")</f>
        <v>Cheshtha Sharma</v>
      </c>
      <c r="K642" s="31" t="str">
        <f>IFERROR(__xludf.DUMMYFUNCTION("""COMPUTED_VALUE"""),"Offer Revoked")</f>
        <v>Offer Revoked</v>
      </c>
      <c r="L642" s="31" t="str">
        <f>IFERROR(__xludf.DUMMYFUNCTION("""COMPUTED_VALUE"""),"In Office")</f>
        <v>In Office</v>
      </c>
      <c r="M642" s="31"/>
      <c r="N642" s="31"/>
    </row>
    <row r="643">
      <c r="A643" s="74">
        <f>IFERROR(__xludf.DUMMYFUNCTION("""COMPUTED_VALUE"""),45861.0)</f>
        <v>45861</v>
      </c>
      <c r="B643" s="31" t="str">
        <f>IFERROR(__xludf.DUMMYFUNCTION("""COMPUTED_VALUE"""),"Gaurav Prakash")</f>
        <v>Gaurav Prakash</v>
      </c>
      <c r="C643" s="31" t="str">
        <f>IFERROR(__xludf.DUMMYFUNCTION("""COMPUTED_VALUE"""),"Technology")</f>
        <v>Technology</v>
      </c>
      <c r="D643" s="31">
        <f>IFERROR(__xludf.DUMMYFUNCTION("""COMPUTED_VALUE"""),9.582029214E9)</f>
        <v>9582029214</v>
      </c>
      <c r="E643" s="31" t="str">
        <f>IFERROR(__xludf.DUMMYFUNCTION("""COMPUTED_VALUE"""),"Software Engineer")</f>
        <v>Software Engineer</v>
      </c>
      <c r="F643" s="31" t="str">
        <f>IFERROR(__xludf.DUMMYFUNCTION("""COMPUTED_VALUE"""),"Engineering ")</f>
        <v>Engineering </v>
      </c>
      <c r="G643" s="31" t="str">
        <f>IFERROR(__xludf.DUMMYFUNCTION("""COMPUTED_VALUE"""),"gchamoli979@gmail.com")</f>
        <v>gchamoli979@gmail.com</v>
      </c>
      <c r="H643" s="31" t="str">
        <f>IFERROR(__xludf.DUMMYFUNCTION("""COMPUTED_VALUE"""),"Sahil Puri")</f>
        <v>Sahil Puri</v>
      </c>
      <c r="I643" s="75">
        <f>IFERROR(__xludf.DUMMYFUNCTION("""COMPUTED_VALUE"""),45860.0)</f>
        <v>45860</v>
      </c>
      <c r="J643" s="31" t="str">
        <f>IFERROR(__xludf.DUMMYFUNCTION("""COMPUTED_VALUE"""),"Vipin Kumar")</f>
        <v>Vipin Kumar</v>
      </c>
      <c r="K643" s="31" t="str">
        <f>IFERROR(__xludf.DUMMYFUNCTION("""COMPUTED_VALUE"""),"Joined")</f>
        <v>Joined</v>
      </c>
      <c r="L643" s="31" t="str">
        <f>IFERROR(__xludf.DUMMYFUNCTION("""COMPUTED_VALUE"""),"In Office")</f>
        <v>In Office</v>
      </c>
      <c r="M643" s="31" t="str">
        <f>IFERROR(__xludf.DUMMYFUNCTION("""COMPUTED_VALUE"""),"gaurav.prakash1@zupee.in")</f>
        <v>gaurav.prakash1@zupee.in</v>
      </c>
      <c r="N643" s="31"/>
    </row>
    <row r="644">
      <c r="A644" s="74">
        <f>IFERROR(__xludf.DUMMYFUNCTION("""COMPUTED_VALUE"""),45861.0)</f>
        <v>45861</v>
      </c>
      <c r="B644" s="31" t="str">
        <f>IFERROR(__xludf.DUMMYFUNCTION("""COMPUTED_VALUE"""),"IIshan Rajendra Margamwar")</f>
        <v>IIshan Rajendra Margamwar</v>
      </c>
      <c r="C644" s="31" t="str">
        <f>IFERROR(__xludf.DUMMYFUNCTION("""COMPUTED_VALUE"""),"Customer Experience ")</f>
        <v>Customer Experience </v>
      </c>
      <c r="D644" s="31">
        <f>IFERROR(__xludf.DUMMYFUNCTION("""COMPUTED_VALUE"""),7.387728226E9)</f>
        <v>7387728226</v>
      </c>
      <c r="E644" s="31" t="str">
        <f>IFERROR(__xludf.DUMMYFUNCTION("""COMPUTED_VALUE"""),"Assistant manager- FRM")</f>
        <v>Assistant manager- FRM</v>
      </c>
      <c r="F644" s="31" t="str">
        <f>IFERROR(__xludf.DUMMYFUNCTION("""COMPUTED_VALUE"""),"FRM")</f>
        <v>FRM</v>
      </c>
      <c r="G644" s="31" t="str">
        <f>IFERROR(__xludf.DUMMYFUNCTION("""COMPUTED_VALUE"""),"margamwarishan@gmail.com")</f>
        <v>margamwarishan@gmail.com</v>
      </c>
      <c r="H644" s="31" t="str">
        <f>IFERROR(__xludf.DUMMYFUNCTION("""COMPUTED_VALUE"""),"Aman Khare")</f>
        <v>Aman Khare</v>
      </c>
      <c r="I644" s="75">
        <f>IFERROR(__xludf.DUMMYFUNCTION("""COMPUTED_VALUE"""),45860.0)</f>
        <v>45860</v>
      </c>
      <c r="J644" s="31" t="str">
        <f>IFERROR(__xludf.DUMMYFUNCTION("""COMPUTED_VALUE"""),"Jaya Tiwari")</f>
        <v>Jaya Tiwari</v>
      </c>
      <c r="K644" s="31" t="str">
        <f>IFERROR(__xludf.DUMMYFUNCTION("""COMPUTED_VALUE"""),"Joined")</f>
        <v>Joined</v>
      </c>
      <c r="L644" s="31" t="str">
        <f>IFERROR(__xludf.DUMMYFUNCTION("""COMPUTED_VALUE"""),"In Office")</f>
        <v>In Office</v>
      </c>
      <c r="M644" s="31"/>
      <c r="N644" s="31"/>
    </row>
    <row r="645">
      <c r="A645" s="74">
        <f>IFERROR(__xludf.DUMMYFUNCTION("""COMPUTED_VALUE"""),45887.0)</f>
        <v>45887</v>
      </c>
      <c r="B645" s="31" t="str">
        <f>IFERROR(__xludf.DUMMYFUNCTION("""COMPUTED_VALUE"""),"Shivam Goel")</f>
        <v>Shivam Goel</v>
      </c>
      <c r="C645" s="31" t="str">
        <f>IFERROR(__xludf.DUMMYFUNCTION("""COMPUTED_VALUE"""),"Strategy")</f>
        <v>Strategy</v>
      </c>
      <c r="D645" s="31">
        <f>IFERROR(__xludf.DUMMYFUNCTION("""COMPUTED_VALUE"""),7.355291522E9)</f>
        <v>7355291522</v>
      </c>
      <c r="E645" s="31" t="str">
        <f>IFERROR(__xludf.DUMMYFUNCTION("""COMPUTED_VALUE"""),"Assistant Manager - Strategy")</f>
        <v>Assistant Manager - Strategy</v>
      </c>
      <c r="F645" s="31" t="str">
        <f>IFERROR(__xludf.DUMMYFUNCTION("""COMPUTED_VALUE"""),"Growth &amp; Revenue")</f>
        <v>Growth &amp; Revenue</v>
      </c>
      <c r="G645" s="31" t="str">
        <f>IFERROR(__xludf.DUMMYFUNCTION("""COMPUTED_VALUE"""),"goel.shivam805@gmail.coml")</f>
        <v>goel.shivam805@gmail.coml</v>
      </c>
      <c r="H645" s="31" t="str">
        <f>IFERROR(__xludf.DUMMYFUNCTION("""COMPUTED_VALUE"""),"Saumitra Raj")</f>
        <v>Saumitra Raj</v>
      </c>
      <c r="I645" s="75">
        <f>IFERROR(__xludf.DUMMYFUNCTION("""COMPUTED_VALUE"""),45860.0)</f>
        <v>45860</v>
      </c>
      <c r="J645" s="31" t="str">
        <f>IFERROR(__xludf.DUMMYFUNCTION("""COMPUTED_VALUE"""),"Naina")</f>
        <v>Naina</v>
      </c>
      <c r="K645" s="31" t="str">
        <f>IFERROR(__xludf.DUMMYFUNCTION("""COMPUTED_VALUE"""),"Joined")</f>
        <v>Joined</v>
      </c>
      <c r="L645" s="31" t="str">
        <f>IFERROR(__xludf.DUMMYFUNCTION("""COMPUTED_VALUE"""),"In Office")</f>
        <v>In Office</v>
      </c>
      <c r="M645" s="31" t="str">
        <f>IFERROR(__xludf.DUMMYFUNCTION("""COMPUTED_VALUE"""),"shivam.goel@zupee.in")</f>
        <v>shivam.goel@zupee.in</v>
      </c>
      <c r="N645" s="31" t="str">
        <f>IFERROR(__xludf.DUMMYFUNCTION("""COMPUTED_VALUE"""),"J46QX5V703")</f>
        <v>J46QX5V703</v>
      </c>
    </row>
    <row r="646">
      <c r="A646" s="74">
        <f>IFERROR(__xludf.DUMMYFUNCTION("""COMPUTED_VALUE"""),45870.0)</f>
        <v>45870</v>
      </c>
      <c r="B646" s="31" t="str">
        <f>IFERROR(__xludf.DUMMYFUNCTION("""COMPUTED_VALUE"""),"Aditya Goyal")</f>
        <v>Aditya Goyal</v>
      </c>
      <c r="C646" s="31" t="str">
        <f>IFERROR(__xludf.DUMMYFUNCTION("""COMPUTED_VALUE"""),"Technology")</f>
        <v>Technology</v>
      </c>
      <c r="D646" s="31">
        <f>IFERROR(__xludf.DUMMYFUNCTION("""COMPUTED_VALUE"""),7.879054368E9)</f>
        <v>7879054368</v>
      </c>
      <c r="E646" s="31" t="str">
        <f>IFERROR(__xludf.DUMMYFUNCTION("""COMPUTED_VALUE"""),"Software Engineer")</f>
        <v>Software Engineer</v>
      </c>
      <c r="F646" s="31" t="str">
        <f>IFERROR(__xludf.DUMMYFUNCTION("""COMPUTED_VALUE"""),"Engineering ")</f>
        <v>Engineering </v>
      </c>
      <c r="G646" s="31" t="str">
        <f>IFERROR(__xludf.DUMMYFUNCTION("""COMPUTED_VALUE"""),"goyaladitya223@gmail.com")</f>
        <v>goyaladitya223@gmail.com</v>
      </c>
      <c r="H646" s="31" t="str">
        <f>IFERROR(__xludf.DUMMYFUNCTION("""COMPUTED_VALUE"""),"Anshul Mittal")</f>
        <v>Anshul Mittal</v>
      </c>
      <c r="I646" s="75">
        <f>IFERROR(__xludf.DUMMYFUNCTION("""COMPUTED_VALUE"""),45860.0)</f>
        <v>45860</v>
      </c>
      <c r="J646" s="31" t="str">
        <f>IFERROR(__xludf.DUMMYFUNCTION("""COMPUTED_VALUE"""),"Harsha Nanwani")</f>
        <v>Harsha Nanwani</v>
      </c>
      <c r="K646" s="31" t="str">
        <f>IFERROR(__xludf.DUMMYFUNCTION("""COMPUTED_VALUE"""),"Offer Declined")</f>
        <v>Offer Declined</v>
      </c>
      <c r="L646" s="31" t="str">
        <f>IFERROR(__xludf.DUMMYFUNCTION("""COMPUTED_VALUE"""),"In Office")</f>
        <v>In Office</v>
      </c>
      <c r="M646" s="31"/>
      <c r="N646" s="31"/>
    </row>
    <row r="647">
      <c r="A647" s="74"/>
      <c r="B647" s="31" t="str">
        <f>IFERROR(__xludf.DUMMYFUNCTION("""COMPUTED_VALUE"""),"Gagandeep Singh")</f>
        <v>Gagandeep Singh</v>
      </c>
      <c r="C647" s="31" t="str">
        <f>IFERROR(__xludf.DUMMYFUNCTION("""COMPUTED_VALUE"""),"Finance")</f>
        <v>Finance</v>
      </c>
      <c r="D647" s="31">
        <f>IFERROR(__xludf.DUMMYFUNCTION("""COMPUTED_VALUE"""),9.87191995E9)</f>
        <v>9871919950</v>
      </c>
      <c r="E647" s="31" t="str">
        <f>IFERROR(__xludf.DUMMYFUNCTION("""COMPUTED_VALUE"""),"Senior Executive - Finance")</f>
        <v>Senior Executive - Finance</v>
      </c>
      <c r="F647" s="31" t="str">
        <f>IFERROR(__xludf.DUMMYFUNCTION("""COMPUTED_VALUE"""),"Controllership")</f>
        <v>Controllership</v>
      </c>
      <c r="G647" s="31" t="str">
        <f>IFERROR(__xludf.DUMMYFUNCTION("""COMPUTED_VALUE"""),"gagandeepsingh30560@gmail.com")</f>
        <v>gagandeepsingh30560@gmail.com</v>
      </c>
      <c r="H647" s="31" t="str">
        <f>IFERROR(__xludf.DUMMYFUNCTION("""COMPUTED_VALUE"""),"Pulkit Sehgal")</f>
        <v>Pulkit Sehgal</v>
      </c>
      <c r="I647" s="75">
        <f>IFERROR(__xludf.DUMMYFUNCTION("""COMPUTED_VALUE"""),45855.0)</f>
        <v>45855</v>
      </c>
      <c r="J647" s="31" t="str">
        <f>IFERROR(__xludf.DUMMYFUNCTION("""COMPUTED_VALUE"""),"Gaurav Singh")</f>
        <v>Gaurav Singh</v>
      </c>
      <c r="K647" s="31" t="str">
        <f>IFERROR(__xludf.DUMMYFUNCTION("""COMPUTED_VALUE"""),"Joined")</f>
        <v>Joined</v>
      </c>
      <c r="L647" s="31" t="str">
        <f>IFERROR(__xludf.DUMMYFUNCTION("""COMPUTED_VALUE"""),"In Office")</f>
        <v>In Office</v>
      </c>
      <c r="M647" s="31" t="str">
        <f>IFERROR(__xludf.DUMMYFUNCTION("""COMPUTED_VALUE"""),"gagandeep.singh@zupee.in")</f>
        <v>gagandeep.singh@zupee.in</v>
      </c>
      <c r="N647" s="31"/>
    </row>
    <row r="648">
      <c r="A648" s="74">
        <f>IFERROR(__xludf.DUMMYFUNCTION("""COMPUTED_VALUE"""),45862.0)</f>
        <v>45862</v>
      </c>
      <c r="B648" s="31" t="str">
        <f>IFERROR(__xludf.DUMMYFUNCTION("""COMPUTED_VALUE"""),"Arham Ali")</f>
        <v>Arham Ali</v>
      </c>
      <c r="C648" s="31" t="str">
        <f>IFERROR(__xludf.DUMMYFUNCTION("""COMPUTED_VALUE"""),"Technology")</f>
        <v>Technology</v>
      </c>
      <c r="D648" s="31">
        <f>IFERROR(__xludf.DUMMYFUNCTION("""COMPUTED_VALUE"""),9.650747053E9)</f>
        <v>9650747053</v>
      </c>
      <c r="E648" s="31" t="str">
        <f>IFERROR(__xludf.DUMMYFUNCTION("""COMPUTED_VALUE"""),"Software Engineer-Devops")</f>
        <v>Software Engineer-Devops</v>
      </c>
      <c r="F648" s="31" t="str">
        <f>IFERROR(__xludf.DUMMYFUNCTION("""COMPUTED_VALUE"""),"DevOps &amp; Security")</f>
        <v>DevOps &amp; Security</v>
      </c>
      <c r="G648" s="31" t="str">
        <f>IFERROR(__xludf.DUMMYFUNCTION("""COMPUTED_VALUE"""),"arhamqwerty@gmail.com")</f>
        <v>arhamqwerty@gmail.com</v>
      </c>
      <c r="H648" s="31" t="str">
        <f>IFERROR(__xludf.DUMMYFUNCTION("""COMPUTED_VALUE"""),"Saurav yadav")</f>
        <v>Saurav yadav</v>
      </c>
      <c r="I648" s="75">
        <f>IFERROR(__xludf.DUMMYFUNCTION("""COMPUTED_VALUE"""),45861.0)</f>
        <v>45861</v>
      </c>
      <c r="J648" s="31" t="str">
        <f>IFERROR(__xludf.DUMMYFUNCTION("""COMPUTED_VALUE"""),"Shivam Sharma")</f>
        <v>Shivam Sharma</v>
      </c>
      <c r="K648" s="31" t="str">
        <f>IFERROR(__xludf.DUMMYFUNCTION("""COMPUTED_VALUE"""),"Joined")</f>
        <v>Joined</v>
      </c>
      <c r="L648" s="31" t="str">
        <f>IFERROR(__xludf.DUMMYFUNCTION("""COMPUTED_VALUE"""),"In Office")</f>
        <v>In Office</v>
      </c>
      <c r="M648" s="31" t="str">
        <f>IFERROR(__xludf.DUMMYFUNCTION("""COMPUTED_VALUE"""),"arham.ali@zupee.in")</f>
        <v>arham.ali@zupee.in</v>
      </c>
      <c r="N648" s="31" t="str">
        <f>IFERROR(__xludf.DUMMYFUNCTION("""COMPUTED_VALUE"""),"C2M6HX657T")</f>
        <v>C2M6HX657T</v>
      </c>
    </row>
    <row r="649">
      <c r="A649" s="74">
        <f>IFERROR(__xludf.DUMMYFUNCTION("""COMPUTED_VALUE"""),45873.0)</f>
        <v>45873</v>
      </c>
      <c r="B649" s="31" t="str">
        <f>IFERROR(__xludf.DUMMYFUNCTION("""COMPUTED_VALUE"""),"Vaishnav  ")</f>
        <v>Vaishnav  </v>
      </c>
      <c r="C649" s="31" t="str">
        <f>IFERROR(__xludf.DUMMYFUNCTION("""COMPUTED_VALUE"""),"Org")</f>
        <v>Org</v>
      </c>
      <c r="D649" s="31">
        <f>IFERROR(__xludf.DUMMYFUNCTION("""COMPUTED_VALUE"""),9.778736778E9)</f>
        <v>9778736778</v>
      </c>
      <c r="E649" s="31" t="str">
        <f>IFERROR(__xludf.DUMMYFUNCTION("""COMPUTED_VALUE"""),"Executive - Founder's Office")</f>
        <v>Executive - Founder's Office</v>
      </c>
      <c r="F649" s="31" t="str">
        <f>IFERROR(__xludf.DUMMYFUNCTION("""COMPUTED_VALUE"""),"Founder's Office")</f>
        <v>Founder's Office</v>
      </c>
      <c r="G649" s="31" t="str">
        <f>IFERROR(__xludf.DUMMYFUNCTION("""COMPUTED_VALUE""")," vaishnav@me.iitr.ac.in")</f>
        <v> vaishnav@me.iitr.ac.in</v>
      </c>
      <c r="H649" s="31" t="str">
        <f>IFERROR(__xludf.DUMMYFUNCTION("""COMPUTED_VALUE"""),"Dilsher Malhi")</f>
        <v>Dilsher Malhi</v>
      </c>
      <c r="I649" s="75">
        <f>IFERROR(__xludf.DUMMYFUNCTION("""COMPUTED_VALUE"""),45861.0)</f>
        <v>45861</v>
      </c>
      <c r="J649" s="31" t="str">
        <f>IFERROR(__xludf.DUMMYFUNCTION("""COMPUTED_VALUE"""),"Naina")</f>
        <v>Naina</v>
      </c>
      <c r="K649" s="31" t="str">
        <f>IFERROR(__xludf.DUMMYFUNCTION("""COMPUTED_VALUE"""),"Joined")</f>
        <v>Joined</v>
      </c>
      <c r="L649" s="31" t="str">
        <f>IFERROR(__xludf.DUMMYFUNCTION("""COMPUTED_VALUE"""),"In Office")</f>
        <v>In Office</v>
      </c>
      <c r="M649" s="31"/>
      <c r="N649" s="31"/>
    </row>
    <row r="650">
      <c r="A650" s="74">
        <f>IFERROR(__xludf.DUMMYFUNCTION("""COMPUTED_VALUE"""),45887.0)</f>
        <v>45887</v>
      </c>
      <c r="B650" s="31" t="str">
        <f>IFERROR(__xludf.DUMMYFUNCTION("""COMPUTED_VALUE"""),"Praveen Kumar")</f>
        <v>Praveen Kumar</v>
      </c>
      <c r="C650" s="31" t="str">
        <f>IFERROR(__xludf.DUMMYFUNCTION("""COMPUTED_VALUE"""),"Technology")</f>
        <v>Technology</v>
      </c>
      <c r="D650" s="31">
        <f>IFERROR(__xludf.DUMMYFUNCTION("""COMPUTED_VALUE"""),8.769021407E9)</f>
        <v>8769021407</v>
      </c>
      <c r="E650" s="31" t="str">
        <f>IFERROR(__xludf.DUMMYFUNCTION("""COMPUTED_VALUE"""),"Senior Software Engineer")</f>
        <v>Senior Software Engineer</v>
      </c>
      <c r="F650" s="31" t="str">
        <f>IFERROR(__xludf.DUMMYFUNCTION("""COMPUTED_VALUE"""),"Engineering ")</f>
        <v>Engineering </v>
      </c>
      <c r="G650" s="31" t="str">
        <f>IFERROR(__xludf.DUMMYFUNCTION("""COMPUTED_VALUE"""),"praveenkumar.nitb11@gmail.com")</f>
        <v>praveenkumar.nitb11@gmail.com</v>
      </c>
      <c r="H650" s="31" t="str">
        <f>IFERROR(__xludf.DUMMYFUNCTION("""COMPUTED_VALUE"""),"Amit Garg")</f>
        <v>Amit Garg</v>
      </c>
      <c r="I650" s="75">
        <f>IFERROR(__xludf.DUMMYFUNCTION("""COMPUTED_VALUE"""),45861.0)</f>
        <v>45861</v>
      </c>
      <c r="J650" s="31" t="str">
        <f>IFERROR(__xludf.DUMMYFUNCTION("""COMPUTED_VALUE"""),"Jaya Tiwari")</f>
        <v>Jaya Tiwari</v>
      </c>
      <c r="K650" s="31" t="str">
        <f>IFERROR(__xludf.DUMMYFUNCTION("""COMPUTED_VALUE"""),"Joined")</f>
        <v>Joined</v>
      </c>
      <c r="L650" s="31" t="str">
        <f>IFERROR(__xludf.DUMMYFUNCTION("""COMPUTED_VALUE"""),"In Office")</f>
        <v>In Office</v>
      </c>
      <c r="M650" s="31" t="str">
        <f>IFERROR(__xludf.DUMMYFUNCTION("""COMPUTED_VALUE"""),"praveen.kumar@zupee.in")</f>
        <v>praveen.kumar@zupee.in</v>
      </c>
      <c r="N650" s="31"/>
    </row>
    <row r="651">
      <c r="A651" s="74">
        <f>IFERROR(__xludf.DUMMYFUNCTION("""COMPUTED_VALUE"""),45915.0)</f>
        <v>45915</v>
      </c>
      <c r="B651" s="31" t="str">
        <f>IFERROR(__xludf.DUMMYFUNCTION("""COMPUTED_VALUE"""),"Priyanka Singh")</f>
        <v>Priyanka Singh</v>
      </c>
      <c r="C651" s="31" t="str">
        <f>IFERROR(__xludf.DUMMYFUNCTION("""COMPUTED_VALUE"""),"Technology")</f>
        <v>Technology</v>
      </c>
      <c r="D651" s="31">
        <f>IFERROR(__xludf.DUMMYFUNCTION("""COMPUTED_VALUE"""),8.249339639E9)</f>
        <v>8249339639</v>
      </c>
      <c r="E651" s="31" t="str">
        <f>IFERROR(__xludf.DUMMYFUNCTION("""COMPUTED_VALUE"""),"Software Engineer - Devops")</f>
        <v>Software Engineer - Devops</v>
      </c>
      <c r="F651" s="31" t="str">
        <f>IFERROR(__xludf.DUMMYFUNCTION("""COMPUTED_VALUE"""),"DevOps &amp; Security")</f>
        <v>DevOps &amp; Security</v>
      </c>
      <c r="G651" s="31" t="str">
        <f>IFERROR(__xludf.DUMMYFUNCTION("""COMPUTED_VALUE"""),"priyankasingh8249@gmail.com")</f>
        <v>priyankasingh8249@gmail.com</v>
      </c>
      <c r="H651" s="31" t="str">
        <f>IFERROR(__xludf.DUMMYFUNCTION("""COMPUTED_VALUE"""),"Saurav Yadav")</f>
        <v>Saurav Yadav</v>
      </c>
      <c r="I651" s="75">
        <f>IFERROR(__xludf.DUMMYFUNCTION("""COMPUTED_VALUE"""),45861.0)</f>
        <v>45861</v>
      </c>
      <c r="J651" s="31" t="str">
        <f>IFERROR(__xludf.DUMMYFUNCTION("""COMPUTED_VALUE"""),"Cheshtha Sharma")</f>
        <v>Cheshtha Sharma</v>
      </c>
      <c r="K651" s="31" t="str">
        <f>IFERROR(__xludf.DUMMYFUNCTION("""COMPUTED_VALUE"""),"Offer Declined")</f>
        <v>Offer Declined</v>
      </c>
      <c r="L651" s="31" t="str">
        <f>IFERROR(__xludf.DUMMYFUNCTION("""COMPUTED_VALUE"""),"In Office")</f>
        <v>In Office</v>
      </c>
      <c r="M651" s="31"/>
      <c r="N651" s="31"/>
    </row>
    <row r="652">
      <c r="A652" s="74">
        <f>IFERROR(__xludf.DUMMYFUNCTION("""COMPUTED_VALUE"""),45880.0)</f>
        <v>45880</v>
      </c>
      <c r="B652" s="31" t="str">
        <f>IFERROR(__xludf.DUMMYFUNCTION("""COMPUTED_VALUE"""),"Shubham Srivastava")</f>
        <v>Shubham Srivastava</v>
      </c>
      <c r="C652" s="31" t="str">
        <f>IFERROR(__xludf.DUMMYFUNCTION("""COMPUTED_VALUE"""),"Technology")</f>
        <v>Technology</v>
      </c>
      <c r="D652" s="31">
        <f>IFERROR(__xludf.DUMMYFUNCTION("""COMPUTED_VALUE"""),9.170647101E9)</f>
        <v>9170647101</v>
      </c>
      <c r="E652" s="31" t="str">
        <f>IFERROR(__xludf.DUMMYFUNCTION("""COMPUTED_VALUE"""),"Senior Software Engineer")</f>
        <v>Senior Software Engineer</v>
      </c>
      <c r="F652" s="31" t="str">
        <f>IFERROR(__xludf.DUMMYFUNCTION("""COMPUTED_VALUE"""),"Engineering ")</f>
        <v>Engineering </v>
      </c>
      <c r="G652" s="31" t="str">
        <f>IFERROR(__xludf.DUMMYFUNCTION("""COMPUTED_VALUE"""),"shubhams.careers@gmail.com")</f>
        <v>shubhams.careers@gmail.com</v>
      </c>
      <c r="H652" s="31" t="str">
        <f>IFERROR(__xludf.DUMMYFUNCTION("""COMPUTED_VALUE"""),"Arun Prabhakaran")</f>
        <v>Arun Prabhakaran</v>
      </c>
      <c r="I652" s="75">
        <f>IFERROR(__xludf.DUMMYFUNCTION("""COMPUTED_VALUE"""),45861.0)</f>
        <v>45861</v>
      </c>
      <c r="J652" s="31" t="str">
        <f>IFERROR(__xludf.DUMMYFUNCTION("""COMPUTED_VALUE"""),"Jaya Tiwari")</f>
        <v>Jaya Tiwari</v>
      </c>
      <c r="K652" s="31" t="str">
        <f>IFERROR(__xludf.DUMMYFUNCTION("""COMPUTED_VALUE"""),"Joined")</f>
        <v>Joined</v>
      </c>
      <c r="L652" s="31" t="str">
        <f>IFERROR(__xludf.DUMMYFUNCTION("""COMPUTED_VALUE"""),"In Office")</f>
        <v>In Office</v>
      </c>
      <c r="M652" s="31" t="str">
        <f>IFERROR(__xludf.DUMMYFUNCTION("""COMPUTED_VALUE"""),"shubham.srivastava@zupee.in")</f>
        <v>shubham.srivastava@zupee.in</v>
      </c>
      <c r="N652" s="31" t="str">
        <f>IFERROR(__xludf.DUMMYFUNCTION("""COMPUTED_VALUE"""),"LVFJ29L7VJ")</f>
        <v>LVFJ29L7VJ</v>
      </c>
    </row>
    <row r="653">
      <c r="A653" s="74">
        <f>IFERROR(__xludf.DUMMYFUNCTION("""COMPUTED_VALUE"""),45889.0)</f>
        <v>45889</v>
      </c>
      <c r="B653" s="31" t="str">
        <f>IFERROR(__xludf.DUMMYFUNCTION("""COMPUTED_VALUE"""),"Abhishek Soni")</f>
        <v>Abhishek Soni</v>
      </c>
      <c r="C653" s="31" t="str">
        <f>IFERROR(__xludf.DUMMYFUNCTION("""COMPUTED_VALUE"""),"Technology")</f>
        <v>Technology</v>
      </c>
      <c r="D653" s="31">
        <f>IFERROR(__xludf.DUMMYFUNCTION("""COMPUTED_VALUE"""),7.55723557E9)</f>
        <v>7557235570</v>
      </c>
      <c r="E653" s="31" t="str">
        <f>IFERROR(__xludf.DUMMYFUNCTION("""COMPUTED_VALUE"""),"Software Engineer")</f>
        <v>Software Engineer</v>
      </c>
      <c r="F653" s="31" t="str">
        <f>IFERROR(__xludf.DUMMYFUNCTION("""COMPUTED_VALUE"""),"Engineering ")</f>
        <v>Engineering </v>
      </c>
      <c r="G653" s="31" t="str">
        <f>IFERROR(__xludf.DUMMYFUNCTION("""COMPUTED_VALUE"""),"abhishek.soni2501@gmail.com")</f>
        <v>abhishek.soni2501@gmail.com</v>
      </c>
      <c r="H653" s="31" t="str">
        <f>IFERROR(__xludf.DUMMYFUNCTION("""COMPUTED_VALUE"""),"Abhishek Gupta")</f>
        <v>Abhishek Gupta</v>
      </c>
      <c r="I653" s="75">
        <f>IFERROR(__xludf.DUMMYFUNCTION("""COMPUTED_VALUE"""),45861.0)</f>
        <v>45861</v>
      </c>
      <c r="J653" s="31" t="str">
        <f>IFERROR(__xludf.DUMMYFUNCTION("""COMPUTED_VALUE"""),"Cheshtha Sharma")</f>
        <v>Cheshtha Sharma</v>
      </c>
      <c r="K653" s="31" t="str">
        <f>IFERROR(__xludf.DUMMYFUNCTION("""COMPUTED_VALUE"""),"Offer Declined")</f>
        <v>Offer Declined</v>
      </c>
      <c r="L653" s="31" t="str">
        <f>IFERROR(__xludf.DUMMYFUNCTION("""COMPUTED_VALUE"""),"In Office")</f>
        <v>In Office</v>
      </c>
      <c r="M653" s="31"/>
      <c r="N653" s="31"/>
    </row>
    <row r="654">
      <c r="A654" s="74">
        <f>IFERROR(__xludf.DUMMYFUNCTION("""COMPUTED_VALUE"""),45880.0)</f>
        <v>45880</v>
      </c>
      <c r="B654" s="31" t="str">
        <f>IFERROR(__xludf.DUMMYFUNCTION("""COMPUTED_VALUE"""),"Garvit Bhatia")</f>
        <v>Garvit Bhatia</v>
      </c>
      <c r="C654" s="31" t="str">
        <f>IFERROR(__xludf.DUMMYFUNCTION("""COMPUTED_VALUE"""),"Technology")</f>
        <v>Technology</v>
      </c>
      <c r="D654" s="31">
        <f>IFERROR(__xludf.DUMMYFUNCTION("""COMPUTED_VALUE"""),9.818843226E9)</f>
        <v>9818843226</v>
      </c>
      <c r="E654" s="31" t="str">
        <f>IFERROR(__xludf.DUMMYFUNCTION("""COMPUTED_VALUE"""),"Senior Software Engineer")</f>
        <v>Senior Software Engineer</v>
      </c>
      <c r="F654" s="31" t="str">
        <f>IFERROR(__xludf.DUMMYFUNCTION("""COMPUTED_VALUE"""),"Engineering ")</f>
        <v>Engineering </v>
      </c>
      <c r="G654" s="31" t="str">
        <f>IFERROR(__xludf.DUMMYFUNCTION("""COMPUTED_VALUE"""),"garvitbhatia2412001@gmail.com")</f>
        <v>garvitbhatia2412001@gmail.com</v>
      </c>
      <c r="H654" s="31" t="str">
        <f>IFERROR(__xludf.DUMMYFUNCTION("""COMPUTED_VALUE"""),"Anshul Mittal")</f>
        <v>Anshul Mittal</v>
      </c>
      <c r="I654" s="75">
        <f>IFERROR(__xludf.DUMMYFUNCTION("""COMPUTED_VALUE"""),45861.0)</f>
        <v>45861</v>
      </c>
      <c r="J654" s="31" t="str">
        <f>IFERROR(__xludf.DUMMYFUNCTION("""COMPUTED_VALUE"""),"Harsha Nanwani")</f>
        <v>Harsha Nanwani</v>
      </c>
      <c r="K654" s="31" t="str">
        <f>IFERROR(__xludf.DUMMYFUNCTION("""COMPUTED_VALUE"""),"Joined")</f>
        <v>Joined</v>
      </c>
      <c r="L654" s="31" t="str">
        <f>IFERROR(__xludf.DUMMYFUNCTION("""COMPUTED_VALUE"""),"In Office")</f>
        <v>In Office</v>
      </c>
      <c r="M654" s="31" t="str">
        <f>IFERROR(__xludf.DUMMYFUNCTION("""COMPUTED_VALUE"""),"garvit.bhatia@zupee.in")</f>
        <v>garvit.bhatia@zupee.in</v>
      </c>
      <c r="N654" s="31" t="str">
        <f>IFERROR(__xludf.DUMMYFUNCTION("""COMPUTED_VALUE"""),"KRRQ47FM4H")</f>
        <v>KRRQ47FM4H</v>
      </c>
    </row>
    <row r="655">
      <c r="A655" s="74">
        <f>IFERROR(__xludf.DUMMYFUNCTION("""COMPUTED_VALUE"""),45863.0)</f>
        <v>45863</v>
      </c>
      <c r="B655" s="31" t="str">
        <f>IFERROR(__xludf.DUMMYFUNCTION("""COMPUTED_VALUE"""),"Kulvinder Singh")</f>
        <v>Kulvinder Singh</v>
      </c>
      <c r="C655" s="31" t="str">
        <f>IFERROR(__xludf.DUMMYFUNCTION("""COMPUTED_VALUE"""),"Product Design")</f>
        <v>Product Design</v>
      </c>
      <c r="D655" s="31">
        <f>IFERROR(__xludf.DUMMYFUNCTION("""COMPUTED_VALUE"""),9.871516081E9)</f>
        <v>9871516081</v>
      </c>
      <c r="E655" s="31" t="str">
        <f>IFERROR(__xludf.DUMMYFUNCTION("""COMPUTED_VALUE"""),"Senior Product Designer")</f>
        <v>Senior Product Designer</v>
      </c>
      <c r="F655" s="31" t="str">
        <f>IFERROR(__xludf.DUMMYFUNCTION("""COMPUTED_VALUE"""),"Design")</f>
        <v>Design</v>
      </c>
      <c r="G655" s="31" t="str">
        <f>IFERROR(__xludf.DUMMYFUNCTION("""COMPUTED_VALUE""")," kulvindersonu@gmail.com")</f>
        <v> kulvindersonu@gmail.com</v>
      </c>
      <c r="H655" s="31" t="str">
        <f>IFERROR(__xludf.DUMMYFUNCTION("""COMPUTED_VALUE"""),"Anish Abraham")</f>
        <v>Anish Abraham</v>
      </c>
      <c r="I655" s="75">
        <f>IFERROR(__xludf.DUMMYFUNCTION("""COMPUTED_VALUE"""),45862.0)</f>
        <v>45862</v>
      </c>
      <c r="J655" s="31" t="str">
        <f>IFERROR(__xludf.DUMMYFUNCTION("""COMPUTED_VALUE"""),"Shivam Sharma")</f>
        <v>Shivam Sharma</v>
      </c>
      <c r="K655" s="31" t="str">
        <f>IFERROR(__xludf.DUMMYFUNCTION("""COMPUTED_VALUE"""),"Joined")</f>
        <v>Joined</v>
      </c>
      <c r="L655" s="31" t="str">
        <f>IFERROR(__xludf.DUMMYFUNCTION("""COMPUTED_VALUE"""),"In Office")</f>
        <v>In Office</v>
      </c>
      <c r="M655" s="31" t="str">
        <f>IFERROR(__xludf.DUMMYFUNCTION("""COMPUTED_VALUE"""),"kulvinder.singh@zupee.in")</f>
        <v>kulvinder.singh@zupee.in</v>
      </c>
      <c r="N655" s="31" t="str">
        <f>IFERROR(__xludf.DUMMYFUNCTION("""COMPUTED_VALUE"""),"D9Q4D02LRY")</f>
        <v>D9Q4D02LRY</v>
      </c>
    </row>
    <row r="656">
      <c r="A656" s="74">
        <f>IFERROR(__xludf.DUMMYFUNCTION("""COMPUTED_VALUE"""),45901.0)</f>
        <v>45901</v>
      </c>
      <c r="B656" s="31" t="str">
        <f>IFERROR(__xludf.DUMMYFUNCTION("""COMPUTED_VALUE"""),"Siddharth Das")</f>
        <v>Siddharth Das</v>
      </c>
      <c r="C656" s="31" t="str">
        <f>IFERROR(__xludf.DUMMYFUNCTION("""COMPUTED_VALUE"""),"Technology")</f>
        <v>Technology</v>
      </c>
      <c r="D656" s="31">
        <f>IFERROR(__xludf.DUMMYFUNCTION("""COMPUTED_VALUE"""),8.777259667E9)</f>
        <v>8777259667</v>
      </c>
      <c r="E656" s="31" t="str">
        <f>IFERROR(__xludf.DUMMYFUNCTION("""COMPUTED_VALUE"""),"Software Engineer")</f>
        <v>Software Engineer</v>
      </c>
      <c r="F656" s="31" t="str">
        <f>IFERROR(__xludf.DUMMYFUNCTION("""COMPUTED_VALUE"""),"Engineering ")</f>
        <v>Engineering </v>
      </c>
      <c r="G656" s="31" t="str">
        <f>IFERROR(__xludf.DUMMYFUNCTION("""COMPUTED_VALUE"""),"siddhartha.das.iit.bhu@gmail.com")</f>
        <v>siddhartha.das.iit.bhu@gmail.com</v>
      </c>
      <c r="H656" s="31" t="str">
        <f>IFERROR(__xludf.DUMMYFUNCTION("""COMPUTED_VALUE"""),"Abhishek Gupta")</f>
        <v>Abhishek Gupta</v>
      </c>
      <c r="I656" s="75">
        <f>IFERROR(__xludf.DUMMYFUNCTION("""COMPUTED_VALUE"""),45863.0)</f>
        <v>45863</v>
      </c>
      <c r="J656" s="31" t="str">
        <f>IFERROR(__xludf.DUMMYFUNCTION("""COMPUTED_VALUE"""),"Harsha Nanwani")</f>
        <v>Harsha Nanwani</v>
      </c>
      <c r="K656" s="31" t="str">
        <f>IFERROR(__xludf.DUMMYFUNCTION("""COMPUTED_VALUE"""),"Offer Revoked")</f>
        <v>Offer Revoked</v>
      </c>
      <c r="L656" s="31" t="str">
        <f>IFERROR(__xludf.DUMMYFUNCTION("""COMPUTED_VALUE"""),"In Office")</f>
        <v>In Office</v>
      </c>
      <c r="M656" s="31"/>
      <c r="N656" s="31"/>
    </row>
    <row r="657">
      <c r="A657" s="74">
        <f>IFERROR(__xludf.DUMMYFUNCTION("""COMPUTED_VALUE"""),45901.0)</f>
        <v>45901</v>
      </c>
      <c r="B657" s="31" t="str">
        <f>IFERROR(__xludf.DUMMYFUNCTION("""COMPUTED_VALUE"""),"Niraj Aggarwal")</f>
        <v>Niraj Aggarwal</v>
      </c>
      <c r="C657" s="31" t="str">
        <f>IFERROR(__xludf.DUMMYFUNCTION("""COMPUTED_VALUE"""),"Technology")</f>
        <v>Technology</v>
      </c>
      <c r="D657" s="31">
        <f>IFERROR(__xludf.DUMMYFUNCTION("""COMPUTED_VALUE"""),9.711352853E9)</f>
        <v>9711352853</v>
      </c>
      <c r="E657" s="31" t="str">
        <f>IFERROR(__xludf.DUMMYFUNCTION("""COMPUTED_VALUE"""),"Senior Software Engineer - Devops")</f>
        <v>Senior Software Engineer - Devops</v>
      </c>
      <c r="F657" s="31" t="str">
        <f>IFERROR(__xludf.DUMMYFUNCTION("""COMPUTED_VALUE"""),"DevOps &amp; Security")</f>
        <v>DevOps &amp; Security</v>
      </c>
      <c r="G657" s="31" t="str">
        <f>IFERROR(__xludf.DUMMYFUNCTION("""COMPUTED_VALUE"""),"niraj.yv@gmail.com")</f>
        <v>niraj.yv@gmail.com</v>
      </c>
      <c r="H657" s="31" t="str">
        <f>IFERROR(__xludf.DUMMYFUNCTION("""COMPUTED_VALUE"""),"Saurav Yadav")</f>
        <v>Saurav Yadav</v>
      </c>
      <c r="I657" s="75">
        <f>IFERROR(__xludf.DUMMYFUNCTION("""COMPUTED_VALUE"""),45863.0)</f>
        <v>45863</v>
      </c>
      <c r="J657" s="31" t="str">
        <f>IFERROR(__xludf.DUMMYFUNCTION("""COMPUTED_VALUE"""),"Vipin Kumar")</f>
        <v>Vipin Kumar</v>
      </c>
      <c r="K657" s="31" t="str">
        <f>IFERROR(__xludf.DUMMYFUNCTION("""COMPUTED_VALUE"""),"Offer Declined")</f>
        <v>Offer Declined</v>
      </c>
      <c r="L657" s="31" t="str">
        <f>IFERROR(__xludf.DUMMYFUNCTION("""COMPUTED_VALUE"""),"In Office")</f>
        <v>In Office</v>
      </c>
      <c r="M657" s="31"/>
      <c r="N657" s="31"/>
    </row>
    <row r="658">
      <c r="A658" s="74">
        <f>IFERROR(__xludf.DUMMYFUNCTION("""COMPUTED_VALUE"""),45887.0)</f>
        <v>45887</v>
      </c>
      <c r="B658" s="31" t="str">
        <f>IFERROR(__xludf.DUMMYFUNCTION("""COMPUTED_VALUE"""),"Ashutosh Wadhwani")</f>
        <v>Ashutosh Wadhwani</v>
      </c>
      <c r="C658" s="31" t="str">
        <f>IFERROR(__xludf.DUMMYFUNCTION("""COMPUTED_VALUE"""),"Strategy")</f>
        <v>Strategy</v>
      </c>
      <c r="D658" s="31">
        <f>IFERROR(__xludf.DUMMYFUNCTION("""COMPUTED_VALUE"""),9.619239003E9)</f>
        <v>9619239003</v>
      </c>
      <c r="E658" s="31" t="str">
        <f>IFERROR(__xludf.DUMMYFUNCTION("""COMPUTED_VALUE"""),"Director- Growth")</f>
        <v>Director- Growth</v>
      </c>
      <c r="F658" s="31" t="str">
        <f>IFERROR(__xludf.DUMMYFUNCTION("""COMPUTED_VALUE"""),"Growth &amp; Revenue")</f>
        <v>Growth &amp; Revenue</v>
      </c>
      <c r="G658" s="31" t="str">
        <f>IFERROR(__xludf.DUMMYFUNCTION("""COMPUTED_VALUE"""),"ashutosh.wadhwani@gmail.com")</f>
        <v>ashutosh.wadhwani@gmail.com</v>
      </c>
      <c r="H658" s="31" t="str">
        <f>IFERROR(__xludf.DUMMYFUNCTION("""COMPUTED_VALUE"""),"Akanksha Dhamija")</f>
        <v>Akanksha Dhamija</v>
      </c>
      <c r="I658" s="75">
        <f>IFERROR(__xludf.DUMMYFUNCTION("""COMPUTED_VALUE"""),45863.0)</f>
        <v>45863</v>
      </c>
      <c r="J658" s="31" t="str">
        <f>IFERROR(__xludf.DUMMYFUNCTION("""COMPUTED_VALUE"""),"Rajneesh Yadav")</f>
        <v>Rajneesh Yadav</v>
      </c>
      <c r="K658" s="31" t="str">
        <f>IFERROR(__xludf.DUMMYFUNCTION("""COMPUTED_VALUE"""),"Offer Declined")</f>
        <v>Offer Declined</v>
      </c>
      <c r="L658" s="31" t="str">
        <f>IFERROR(__xludf.DUMMYFUNCTION("""COMPUTED_VALUE"""),"In Office")</f>
        <v>In Office</v>
      </c>
      <c r="M658" s="31" t="str">
        <f>IFERROR(__xludf.DUMMYFUNCTION("""COMPUTED_VALUE"""),"ashutosh.wadhwani@zupee.in")</f>
        <v>ashutosh.wadhwani@zupee.in</v>
      </c>
      <c r="N658" s="31"/>
    </row>
    <row r="659">
      <c r="A659" s="74"/>
      <c r="B659" s="31" t="str">
        <f>IFERROR(__xludf.DUMMYFUNCTION("""COMPUTED_VALUE"""),"Rishav Bansal")</f>
        <v>Rishav Bansal</v>
      </c>
      <c r="C659" s="31" t="str">
        <f>IFERROR(__xludf.DUMMYFUNCTION("""COMPUTED_VALUE"""),"Technology")</f>
        <v>Technology</v>
      </c>
      <c r="D659" s="31">
        <f>IFERROR(__xludf.DUMMYFUNCTION("""COMPUTED_VALUE"""),8.901166654E9)</f>
        <v>8901166654</v>
      </c>
      <c r="E659" s="31" t="str">
        <f>IFERROR(__xludf.DUMMYFUNCTION("""COMPUTED_VALUE"""),"Lead Software Development Engineer in Test")</f>
        <v>Lead Software Development Engineer in Test</v>
      </c>
      <c r="F659" s="31" t="str">
        <f>IFERROR(__xludf.DUMMYFUNCTION("""COMPUTED_VALUE"""),"SDET")</f>
        <v>SDET</v>
      </c>
      <c r="G659" s="31" t="str">
        <f>IFERROR(__xludf.DUMMYFUNCTION("""COMPUTED_VALUE"""),"rishav1706@gmail.com")</f>
        <v>rishav1706@gmail.com</v>
      </c>
      <c r="H659" s="31" t="str">
        <f>IFERROR(__xludf.DUMMYFUNCTION("""COMPUTED_VALUE"""),"Sahil Puri")</f>
        <v>Sahil Puri</v>
      </c>
      <c r="I659" s="75">
        <f>IFERROR(__xludf.DUMMYFUNCTION("""COMPUTED_VALUE"""),45866.0)</f>
        <v>45866</v>
      </c>
      <c r="J659" s="31" t="str">
        <f>IFERROR(__xludf.DUMMYFUNCTION("""COMPUTED_VALUE"""),"Vipin Kumar")</f>
        <v>Vipin Kumar</v>
      </c>
      <c r="K659" s="31" t="str">
        <f>IFERROR(__xludf.DUMMYFUNCTION("""COMPUTED_VALUE"""),"Joined")</f>
        <v>Joined</v>
      </c>
      <c r="L659" s="31" t="str">
        <f>IFERROR(__xludf.DUMMYFUNCTION("""COMPUTED_VALUE"""),"In Office")</f>
        <v>In Office</v>
      </c>
      <c r="M659" s="31" t="str">
        <f>IFERROR(__xludf.DUMMYFUNCTION("""COMPUTED_VALUE"""),"rishav.bansal@zupee.in")</f>
        <v>rishav.bansal@zupee.in</v>
      </c>
      <c r="N659" s="31"/>
    </row>
    <row r="660">
      <c r="A660" s="74">
        <f>IFERROR(__xludf.DUMMYFUNCTION("""COMPUTED_VALUE"""),45915.0)</f>
        <v>45915</v>
      </c>
      <c r="B660" s="31" t="str">
        <f>IFERROR(__xludf.DUMMYFUNCTION("""COMPUTED_VALUE"""),"Ayush Gupta")</f>
        <v>Ayush Gupta</v>
      </c>
      <c r="C660" s="31" t="str">
        <f>IFERROR(__xludf.DUMMYFUNCTION("""COMPUTED_VALUE"""),"Public Relations &amp; Corporate Communications ")</f>
        <v>Public Relations &amp; Corporate Communications </v>
      </c>
      <c r="D660" s="31">
        <f>IFERROR(__xludf.DUMMYFUNCTION("""COMPUTED_VALUE"""),8.826544007E9)</f>
        <v>8826544007</v>
      </c>
      <c r="E660" s="31" t="str">
        <f>IFERROR(__xludf.DUMMYFUNCTION("""COMPUTED_VALUE"""),"Head- Governance, Risk and Compliance")</f>
        <v>Head- Governance, Risk and Compliance</v>
      </c>
      <c r="F660" s="31" t="str">
        <f>IFERROR(__xludf.DUMMYFUNCTION("""COMPUTED_VALUE"""),"GRC (Govt., Risk &amp; Compliance")</f>
        <v>GRC (Govt., Risk &amp; Compliance</v>
      </c>
      <c r="G660" s="31" t="str">
        <f>IFERROR(__xludf.DUMMYFUNCTION("""COMPUTED_VALUE"""),"ca.aayushgupta@gmail.com")</f>
        <v>ca.aayushgupta@gmail.com</v>
      </c>
      <c r="H660" s="31" t="str">
        <f>IFERROR(__xludf.DUMMYFUNCTION("""COMPUTED_VALUE"""),"Govind Mittal")</f>
        <v>Govind Mittal</v>
      </c>
      <c r="I660" s="75">
        <f>IFERROR(__xludf.DUMMYFUNCTION("""COMPUTED_VALUE"""),45866.0)</f>
        <v>45866</v>
      </c>
      <c r="J660" s="31" t="str">
        <f>IFERROR(__xludf.DUMMYFUNCTION("""COMPUTED_VALUE"""),"M Sangeetha")</f>
        <v>M Sangeetha</v>
      </c>
      <c r="K660" s="31" t="str">
        <f>IFERROR(__xludf.DUMMYFUNCTION("""COMPUTED_VALUE"""),"Offer Declined")</f>
        <v>Offer Declined</v>
      </c>
      <c r="L660" s="31" t="str">
        <f>IFERROR(__xludf.DUMMYFUNCTION("""COMPUTED_VALUE"""),"In Office")</f>
        <v>In Office</v>
      </c>
      <c r="M660" s="31" t="str">
        <f>IFERROR(__xludf.DUMMYFUNCTION("""COMPUTED_VALUE"""),"ayush.gupta@zupee.in")</f>
        <v>ayush.gupta@zupee.in</v>
      </c>
      <c r="N660" s="31"/>
    </row>
    <row r="661">
      <c r="A661" s="74">
        <f>IFERROR(__xludf.DUMMYFUNCTION("""COMPUTED_VALUE"""),45870.0)</f>
        <v>45870</v>
      </c>
      <c r="B661" s="31" t="str">
        <f>IFERROR(__xludf.DUMMYFUNCTION("""COMPUTED_VALUE"""),"Anuj Srivastava")</f>
        <v>Anuj Srivastava</v>
      </c>
      <c r="C661" s="31" t="str">
        <f>IFERROR(__xludf.DUMMYFUNCTION("""COMPUTED_VALUE"""),"Technology")</f>
        <v>Technology</v>
      </c>
      <c r="D661" s="31">
        <f>IFERROR(__xludf.DUMMYFUNCTION("""COMPUTED_VALUE"""),7.042028562E9)</f>
        <v>7042028562</v>
      </c>
      <c r="E661" s="31" t="str">
        <f>IFERROR(__xludf.DUMMYFUNCTION("""COMPUTED_VALUE"""),"Senior Software Engineer")</f>
        <v>Senior Software Engineer</v>
      </c>
      <c r="F661" s="31" t="str">
        <f>IFERROR(__xludf.DUMMYFUNCTION("""COMPUTED_VALUE"""),"Engineering ")</f>
        <v>Engineering </v>
      </c>
      <c r="G661" s="31" t="str">
        <f>IFERROR(__xludf.DUMMYFUNCTION("""COMPUTED_VALUE"""),"anuj.srivastava.job@gmail.com")</f>
        <v>anuj.srivastava.job@gmail.com</v>
      </c>
      <c r="H661" s="31" t="str">
        <f>IFERROR(__xludf.DUMMYFUNCTION("""COMPUTED_VALUE"""),"Piyush shukla")</f>
        <v>Piyush shukla</v>
      </c>
      <c r="I661" s="75">
        <f>IFERROR(__xludf.DUMMYFUNCTION("""COMPUTED_VALUE"""),45867.0)</f>
        <v>45867</v>
      </c>
      <c r="J661" s="31" t="str">
        <f>IFERROR(__xludf.DUMMYFUNCTION("""COMPUTED_VALUE"""),"Harsha Nanwani")</f>
        <v>Harsha Nanwani</v>
      </c>
      <c r="K661" s="31" t="str">
        <f>IFERROR(__xludf.DUMMYFUNCTION("""COMPUTED_VALUE"""),"Joined")</f>
        <v>Joined</v>
      </c>
      <c r="L661" s="31" t="str">
        <f>IFERROR(__xludf.DUMMYFUNCTION("""COMPUTED_VALUE"""),"In Office")</f>
        <v>In Office</v>
      </c>
      <c r="M661" s="31" t="str">
        <f>IFERROR(__xludf.DUMMYFUNCTION("""COMPUTED_VALUE"""),"anuj.srivastava@zupee.in")</f>
        <v>anuj.srivastava@zupee.in</v>
      </c>
      <c r="N661" s="31"/>
    </row>
    <row r="662">
      <c r="A662" s="74">
        <f>IFERROR(__xludf.DUMMYFUNCTION("""COMPUTED_VALUE"""),45908.0)</f>
        <v>45908</v>
      </c>
      <c r="B662" s="31" t="str">
        <f>IFERROR(__xludf.DUMMYFUNCTION("""COMPUTED_VALUE"""),"Megha Agrawal")</f>
        <v>Megha Agrawal</v>
      </c>
      <c r="C662" s="31" t="str">
        <f>IFERROR(__xludf.DUMMYFUNCTION("""COMPUTED_VALUE"""),"Technology")</f>
        <v>Technology</v>
      </c>
      <c r="D662" s="31">
        <f>IFERROR(__xludf.DUMMYFUNCTION("""COMPUTED_VALUE"""),9.315262613E9)</f>
        <v>9315262613</v>
      </c>
      <c r="E662" s="31" t="str">
        <f>IFERROR(__xludf.DUMMYFUNCTION("""COMPUTED_VALUE"""),"Senior Software Engineer")</f>
        <v>Senior Software Engineer</v>
      </c>
      <c r="F662" s="31" t="str">
        <f>IFERROR(__xludf.DUMMYFUNCTION("""COMPUTED_VALUE"""),"Engineering ")</f>
        <v>Engineering </v>
      </c>
      <c r="G662" s="31" t="str">
        <f>IFERROR(__xludf.DUMMYFUNCTION("""COMPUTED_VALUE"""),"megha9673@gmail.com")</f>
        <v>megha9673@gmail.com</v>
      </c>
      <c r="H662" s="31" t="str">
        <f>IFERROR(__xludf.DUMMYFUNCTION("""COMPUTED_VALUE"""),"Sumit Singh")</f>
        <v>Sumit Singh</v>
      </c>
      <c r="I662" s="75">
        <f>IFERROR(__xludf.DUMMYFUNCTION("""COMPUTED_VALUE"""),45867.0)</f>
        <v>45867</v>
      </c>
      <c r="J662" s="31" t="str">
        <f>IFERROR(__xludf.DUMMYFUNCTION("""COMPUTED_VALUE"""),"Harsha Nanwani")</f>
        <v>Harsha Nanwani</v>
      </c>
      <c r="K662" s="31" t="str">
        <f>IFERROR(__xludf.DUMMYFUNCTION("""COMPUTED_VALUE"""),"Offer Declined")</f>
        <v>Offer Declined</v>
      </c>
      <c r="L662" s="31" t="str">
        <f>IFERROR(__xludf.DUMMYFUNCTION("""COMPUTED_VALUE"""),"In Office")</f>
        <v>In Office</v>
      </c>
      <c r="M662" s="31"/>
      <c r="N662" s="31"/>
    </row>
    <row r="663">
      <c r="A663" s="74">
        <f>IFERROR(__xludf.DUMMYFUNCTION("""COMPUTED_VALUE"""),45870.0)</f>
        <v>45870</v>
      </c>
      <c r="B663" s="31" t="str">
        <f>IFERROR(__xludf.DUMMYFUNCTION("""COMPUTED_VALUE"""),"Madhav gupta")</f>
        <v>Madhav gupta</v>
      </c>
      <c r="C663" s="31" t="str">
        <f>IFERROR(__xludf.DUMMYFUNCTION("""COMPUTED_VALUE"""),"Technology")</f>
        <v>Technology</v>
      </c>
      <c r="D663" s="31">
        <f>IFERROR(__xludf.DUMMYFUNCTION("""COMPUTED_VALUE"""),9.729526265E9)</f>
        <v>9729526265</v>
      </c>
      <c r="E663" s="31" t="str">
        <f>IFERROR(__xludf.DUMMYFUNCTION("""COMPUTED_VALUE"""),"Software Engineer")</f>
        <v>Software Engineer</v>
      </c>
      <c r="F663" s="31" t="str">
        <f>IFERROR(__xludf.DUMMYFUNCTION("""COMPUTED_VALUE"""),"Engineering ")</f>
        <v>Engineering </v>
      </c>
      <c r="G663" s="31" t="str">
        <f>IFERROR(__xludf.DUMMYFUNCTION("""COMPUTED_VALUE"""),"guptamadhav1729@gmail.com")</f>
        <v>guptamadhav1729@gmail.com</v>
      </c>
      <c r="H663" s="31" t="str">
        <f>IFERROR(__xludf.DUMMYFUNCTION("""COMPUTED_VALUE"""),"Rahul Sharma")</f>
        <v>Rahul Sharma</v>
      </c>
      <c r="I663" s="75">
        <f>IFERROR(__xludf.DUMMYFUNCTION("""COMPUTED_VALUE"""),45867.0)</f>
        <v>45867</v>
      </c>
      <c r="J663" s="31" t="str">
        <f>IFERROR(__xludf.DUMMYFUNCTION("""COMPUTED_VALUE"""),"Harsha Nanwani")</f>
        <v>Harsha Nanwani</v>
      </c>
      <c r="K663" s="31" t="str">
        <f>IFERROR(__xludf.DUMMYFUNCTION("""COMPUTED_VALUE"""),"Joined")</f>
        <v>Joined</v>
      </c>
      <c r="L663" s="31" t="str">
        <f>IFERROR(__xludf.DUMMYFUNCTION("""COMPUTED_VALUE"""),"In Office")</f>
        <v>In Office</v>
      </c>
      <c r="M663" s="31" t="str">
        <f>IFERROR(__xludf.DUMMYFUNCTION("""COMPUTED_VALUE"""),"madhav.gupta@zupee.in")</f>
        <v>madhav.gupta@zupee.in</v>
      </c>
      <c r="N663" s="31"/>
    </row>
    <row r="664">
      <c r="A664" s="74">
        <f>IFERROR(__xludf.DUMMYFUNCTION("""COMPUTED_VALUE"""),45870.0)</f>
        <v>45870</v>
      </c>
      <c r="B664" s="31" t="str">
        <f>IFERROR(__xludf.DUMMYFUNCTION("""COMPUTED_VALUE"""),"Soyesh Dixit")</f>
        <v>Soyesh Dixit</v>
      </c>
      <c r="C664" s="31" t="str">
        <f>IFERROR(__xludf.DUMMYFUNCTION("""COMPUTED_VALUE"""),"IT Infra")</f>
        <v>IT Infra</v>
      </c>
      <c r="D664" s="31">
        <f>IFERROR(__xludf.DUMMYFUNCTION("""COMPUTED_VALUE"""),9.311807082E9)</f>
        <v>9311807082</v>
      </c>
      <c r="E664" s="31" t="str">
        <f>IFERROR(__xludf.DUMMYFUNCTION("""COMPUTED_VALUE"""),"Senior IT Executive")</f>
        <v>Senior IT Executive</v>
      </c>
      <c r="F664" s="31" t="str">
        <f>IFERROR(__xludf.DUMMYFUNCTION("""COMPUTED_VALUE"""),"IT Infra")</f>
        <v>IT Infra</v>
      </c>
      <c r="G664" s="31" t="str">
        <f>IFERROR(__xludf.DUMMYFUNCTION("""COMPUTED_VALUE"""),"Soyeshdixit@gmail.com")</f>
        <v>Soyeshdixit@gmail.com</v>
      </c>
      <c r="H664" s="31" t="str">
        <f>IFERROR(__xludf.DUMMYFUNCTION("""COMPUTED_VALUE"""),"Rahul Prasad Suman")</f>
        <v>Rahul Prasad Suman</v>
      </c>
      <c r="I664" s="75">
        <f>IFERROR(__xludf.DUMMYFUNCTION("""COMPUTED_VALUE"""),45869.0)</f>
        <v>45869</v>
      </c>
      <c r="J664" s="31" t="str">
        <f>IFERROR(__xludf.DUMMYFUNCTION("""COMPUTED_VALUE"""),"Vipin Kumar")</f>
        <v>Vipin Kumar</v>
      </c>
      <c r="K664" s="31" t="str">
        <f>IFERROR(__xludf.DUMMYFUNCTION("""COMPUTED_VALUE"""),"Joined")</f>
        <v>Joined</v>
      </c>
      <c r="L664" s="31" t="str">
        <f>IFERROR(__xludf.DUMMYFUNCTION("""COMPUTED_VALUE"""),"In Office")</f>
        <v>In Office</v>
      </c>
      <c r="M664" s="31" t="str">
        <f>IFERROR(__xludf.DUMMYFUNCTION("""COMPUTED_VALUE"""),"soyesh.dixit@zupee.in")</f>
        <v>soyesh.dixit@zupee.in</v>
      </c>
      <c r="N664" s="31"/>
    </row>
    <row r="665">
      <c r="A665" s="74">
        <f>IFERROR(__xludf.DUMMYFUNCTION("""COMPUTED_VALUE"""),45894.0)</f>
        <v>45894</v>
      </c>
      <c r="B665" s="31" t="str">
        <f>IFERROR(__xludf.DUMMYFUNCTION("""COMPUTED_VALUE"""),"Mihir Gupta")</f>
        <v>Mihir Gupta</v>
      </c>
      <c r="C665" s="31" t="str">
        <f>IFERROR(__xludf.DUMMYFUNCTION("""COMPUTED_VALUE"""),"Technology")</f>
        <v>Technology</v>
      </c>
      <c r="D665" s="31">
        <f>IFERROR(__xludf.DUMMYFUNCTION("""COMPUTED_VALUE"""),7.379030716E9)</f>
        <v>7379030716</v>
      </c>
      <c r="E665" s="31" t="str">
        <f>IFERROR(__xludf.DUMMYFUNCTION("""COMPUTED_VALUE"""),"Senior Software Engineer")</f>
        <v>Senior Software Engineer</v>
      </c>
      <c r="F665" s="31" t="str">
        <f>IFERROR(__xludf.DUMMYFUNCTION("""COMPUTED_VALUE"""),"Engineering ")</f>
        <v>Engineering </v>
      </c>
      <c r="G665" s="31" t="str">
        <f>IFERROR(__xludf.DUMMYFUNCTION("""COMPUTED_VALUE"""),"mihir0699@gmail.com")</f>
        <v>mihir0699@gmail.com</v>
      </c>
      <c r="H665" s="31" t="str">
        <f>IFERROR(__xludf.DUMMYFUNCTION("""COMPUTED_VALUE"""),"Piyush shukla")</f>
        <v>Piyush shukla</v>
      </c>
      <c r="I665" s="75">
        <f>IFERROR(__xludf.DUMMYFUNCTION("""COMPUTED_VALUE"""),45869.0)</f>
        <v>45869</v>
      </c>
      <c r="J665" s="31" t="str">
        <f>IFERROR(__xludf.DUMMYFUNCTION("""COMPUTED_VALUE"""),"Vipin Kumar")</f>
        <v>Vipin Kumar</v>
      </c>
      <c r="K665" s="31" t="str">
        <f>IFERROR(__xludf.DUMMYFUNCTION("""COMPUTED_VALUE"""),"Offer Declined")</f>
        <v>Offer Declined</v>
      </c>
      <c r="L665" s="31" t="str">
        <f>IFERROR(__xludf.DUMMYFUNCTION("""COMPUTED_VALUE"""),"In Office")</f>
        <v>In Office</v>
      </c>
      <c r="M665" s="31"/>
      <c r="N665" s="31"/>
    </row>
    <row r="666">
      <c r="A666" s="74">
        <f>IFERROR(__xludf.DUMMYFUNCTION("""COMPUTED_VALUE"""),45882.0)</f>
        <v>45882</v>
      </c>
      <c r="B666" s="31" t="str">
        <f>IFERROR(__xludf.DUMMYFUNCTION("""COMPUTED_VALUE"""),"Neha Mondal")</f>
        <v>Neha Mondal</v>
      </c>
      <c r="C666" s="31" t="str">
        <f>IFERROR(__xludf.DUMMYFUNCTION("""COMPUTED_VALUE"""),"Technology")</f>
        <v>Technology</v>
      </c>
      <c r="D666" s="31">
        <f>IFERROR(__xludf.DUMMYFUNCTION("""COMPUTED_VALUE"""),9.992453622E9)</f>
        <v>9992453622</v>
      </c>
      <c r="E666" s="31" t="str">
        <f>IFERROR(__xludf.DUMMYFUNCTION("""COMPUTED_VALUE"""),"Software Engineer")</f>
        <v>Software Engineer</v>
      </c>
      <c r="F666" s="31" t="str">
        <f>IFERROR(__xludf.DUMMYFUNCTION("""COMPUTED_VALUE"""),"DevOps &amp; Security")</f>
        <v>DevOps &amp; Security</v>
      </c>
      <c r="G666" s="31" t="str">
        <f>IFERROR(__xludf.DUMMYFUNCTION("""COMPUTED_VALUE"""),"nehamondal360@gmail.com")</f>
        <v>nehamondal360@gmail.com</v>
      </c>
      <c r="H666" s="31" t="str">
        <f>IFERROR(__xludf.DUMMYFUNCTION("""COMPUTED_VALUE"""),"Saurav Yadav")</f>
        <v>Saurav Yadav</v>
      </c>
      <c r="I666" s="75">
        <f>IFERROR(__xludf.DUMMYFUNCTION("""COMPUTED_VALUE"""),45870.0)</f>
        <v>45870</v>
      </c>
      <c r="J666" s="31" t="str">
        <f>IFERROR(__xludf.DUMMYFUNCTION("""COMPUTED_VALUE"""),"Cheshtha Sharma")</f>
        <v>Cheshtha Sharma</v>
      </c>
      <c r="K666" s="31" t="str">
        <f>IFERROR(__xludf.DUMMYFUNCTION("""COMPUTED_VALUE"""),"Offer Declined")</f>
        <v>Offer Declined</v>
      </c>
      <c r="L666" s="31" t="str">
        <f>IFERROR(__xludf.DUMMYFUNCTION("""COMPUTED_VALUE"""),"In Office")</f>
        <v>In Office</v>
      </c>
      <c r="M666" s="31"/>
      <c r="N666" s="31"/>
    </row>
    <row r="667">
      <c r="A667" s="74">
        <f>IFERROR(__xludf.DUMMYFUNCTION("""COMPUTED_VALUE"""),45889.0)</f>
        <v>45889</v>
      </c>
      <c r="B667" s="31" t="str">
        <f>IFERROR(__xludf.DUMMYFUNCTION("""COMPUTED_VALUE"""),"Anmol Rawlani")</f>
        <v>Anmol Rawlani</v>
      </c>
      <c r="C667" s="31" t="str">
        <f>IFERROR(__xludf.DUMMYFUNCTION("""COMPUTED_VALUE"""),"Brand Marketing")</f>
        <v>Brand Marketing</v>
      </c>
      <c r="D667" s="31">
        <f>IFERROR(__xludf.DUMMYFUNCTION("""COMPUTED_VALUE"""),7.704087737E9)</f>
        <v>7704087737</v>
      </c>
      <c r="E667" s="31" t="str">
        <f>IFERROR(__xludf.DUMMYFUNCTION("""COMPUTED_VALUE"""),"Brand Manager")</f>
        <v>Brand Manager</v>
      </c>
      <c r="F667" s="31" t="str">
        <f>IFERROR(__xludf.DUMMYFUNCTION("""COMPUTED_VALUE"""),"Brand")</f>
        <v>Brand</v>
      </c>
      <c r="G667" s="31" t="str">
        <f>IFERROR(__xludf.DUMMYFUNCTION("""COMPUTED_VALUE"""),"anmolrawlani20@gmail.com")</f>
        <v>anmolrawlani20@gmail.com</v>
      </c>
      <c r="H667" s="31" t="str">
        <f>IFERROR(__xludf.DUMMYFUNCTION("""COMPUTED_VALUE"""),"Katha Pankaj Tara")</f>
        <v>Katha Pankaj Tara</v>
      </c>
      <c r="I667" s="75">
        <f>IFERROR(__xludf.DUMMYFUNCTION("""COMPUTED_VALUE"""),45870.0)</f>
        <v>45870</v>
      </c>
      <c r="J667" s="31" t="str">
        <f>IFERROR(__xludf.DUMMYFUNCTION("""COMPUTED_VALUE"""),"M Sangeetha")</f>
        <v>M Sangeetha</v>
      </c>
      <c r="K667" s="31" t="str">
        <f>IFERROR(__xludf.DUMMYFUNCTION("""COMPUTED_VALUE"""),"Joined")</f>
        <v>Joined</v>
      </c>
      <c r="L667" s="31" t="str">
        <f>IFERROR(__xludf.DUMMYFUNCTION("""COMPUTED_VALUE"""),"In Office")</f>
        <v>In Office</v>
      </c>
      <c r="M667" s="31" t="str">
        <f>IFERROR(__xludf.DUMMYFUNCTION("""COMPUTED_VALUE"""),"anmol.rawlani@zupee.in")</f>
        <v>anmol.rawlani@zupee.in</v>
      </c>
      <c r="N667" s="31" t="str">
        <f>IFERROR(__xludf.DUMMYFUNCTION("""COMPUTED_VALUE"""),"LQGM7GTK4V")</f>
        <v>LQGM7GTK4V</v>
      </c>
    </row>
    <row r="668">
      <c r="A668" s="74">
        <f>IFERROR(__xludf.DUMMYFUNCTION("""COMPUTED_VALUE"""),45873.0)</f>
        <v>45873</v>
      </c>
      <c r="B668" s="31" t="str">
        <f>IFERROR(__xludf.DUMMYFUNCTION("""COMPUTED_VALUE"""),"Rahul Yadav")</f>
        <v>Rahul Yadav</v>
      </c>
      <c r="C668" s="31" t="str">
        <f>IFERROR(__xludf.DUMMYFUNCTION("""COMPUTED_VALUE"""),"Technology")</f>
        <v>Technology</v>
      </c>
      <c r="D668" s="31">
        <f>IFERROR(__xludf.DUMMYFUNCTION("""COMPUTED_VALUE"""),6.306875871E9)</f>
        <v>6306875871</v>
      </c>
      <c r="E668" s="31" t="str">
        <f>IFERROR(__xludf.DUMMYFUNCTION("""COMPUTED_VALUE"""),"Software Engineer")</f>
        <v>Software Engineer</v>
      </c>
      <c r="F668" s="31" t="str">
        <f>IFERROR(__xludf.DUMMYFUNCTION("""COMPUTED_VALUE"""),"Engineering ")</f>
        <v>Engineering </v>
      </c>
      <c r="G668" s="31" t="str">
        <f>IFERROR(__xludf.DUMMYFUNCTION("""COMPUTED_VALUE"""),"19rahulyadav38@gmail.com")</f>
        <v>19rahulyadav38@gmail.com</v>
      </c>
      <c r="H668" s="31" t="str">
        <f>IFERROR(__xludf.DUMMYFUNCTION("""COMPUTED_VALUE"""),"Anshul Mittal")</f>
        <v>Anshul Mittal</v>
      </c>
      <c r="I668" s="75">
        <f>IFERROR(__xludf.DUMMYFUNCTION("""COMPUTED_VALUE"""),45870.0)</f>
        <v>45870</v>
      </c>
      <c r="J668" s="31" t="str">
        <f>IFERROR(__xludf.DUMMYFUNCTION("""COMPUTED_VALUE"""),"Rajneesh Yadav")</f>
        <v>Rajneesh Yadav</v>
      </c>
      <c r="K668" s="31" t="str">
        <f>IFERROR(__xludf.DUMMYFUNCTION("""COMPUTED_VALUE"""),"Joined")</f>
        <v>Joined</v>
      </c>
      <c r="L668" s="31" t="str">
        <f>IFERROR(__xludf.DUMMYFUNCTION("""COMPUTED_VALUE"""),"In Office")</f>
        <v>In Office</v>
      </c>
      <c r="M668" s="31" t="str">
        <f>IFERROR(__xludf.DUMMYFUNCTION("""COMPUTED_VALUE"""),"rahul.yadav@zupee.in")</f>
        <v>rahul.yadav@zupee.in</v>
      </c>
      <c r="N668" s="31" t="str">
        <f>IFERROR(__xludf.DUMMYFUNCTION("""COMPUTED_VALUE"""),"M369JJ7W7J")</f>
        <v>M369JJ7W7J</v>
      </c>
    </row>
    <row r="669">
      <c r="A669" s="74">
        <f>IFERROR(__xludf.DUMMYFUNCTION("""COMPUTED_VALUE"""),45873.0)</f>
        <v>45873</v>
      </c>
      <c r="B669" s="31" t="str">
        <f>IFERROR(__xludf.DUMMYFUNCTION("""COMPUTED_VALUE"""),"Rachit Sharma")</f>
        <v>Rachit Sharma</v>
      </c>
      <c r="C669" s="31" t="str">
        <f>IFERROR(__xludf.DUMMYFUNCTION("""COMPUTED_VALUE"""),"Data")</f>
        <v>Data</v>
      </c>
      <c r="D669" s="31">
        <f>IFERROR(__xludf.DUMMYFUNCTION("""COMPUTED_VALUE"""),8.44880063E9)</f>
        <v>8448800630</v>
      </c>
      <c r="E669" s="31" t="str">
        <f>IFERROR(__xludf.DUMMYFUNCTION("""COMPUTED_VALUE"""),"Intern- Data Analytics")</f>
        <v>Intern- Data Analytics</v>
      </c>
      <c r="F669" s="31" t="str">
        <f>IFERROR(__xludf.DUMMYFUNCTION("""COMPUTED_VALUE"""),"Data Analytics")</f>
        <v>Data Analytics</v>
      </c>
      <c r="G669" s="31" t="str">
        <f>IFERROR(__xludf.DUMMYFUNCTION("""COMPUTED_VALUE"""),"sharmarachit84488@gmail.com")</f>
        <v>sharmarachit84488@gmail.com</v>
      </c>
      <c r="H669" s="31" t="str">
        <f>IFERROR(__xludf.DUMMYFUNCTION("""COMPUTED_VALUE"""),"Neha Jain")</f>
        <v>Neha Jain</v>
      </c>
      <c r="I669" s="75">
        <f>IFERROR(__xludf.DUMMYFUNCTION("""COMPUTED_VALUE"""),45870.0)</f>
        <v>45870</v>
      </c>
      <c r="J669" s="31" t="str">
        <f>IFERROR(__xludf.DUMMYFUNCTION("""COMPUTED_VALUE"""),"Mamta Pandey")</f>
        <v>Mamta Pandey</v>
      </c>
      <c r="K669" s="31" t="str">
        <f>IFERROR(__xludf.DUMMYFUNCTION("""COMPUTED_VALUE"""),"Joined")</f>
        <v>Joined</v>
      </c>
      <c r="L669" s="31" t="str">
        <f>IFERROR(__xludf.DUMMYFUNCTION("""COMPUTED_VALUE"""),"In Office")</f>
        <v>In Office</v>
      </c>
      <c r="M669" s="31" t="str">
        <f>IFERROR(__xludf.DUMMYFUNCTION("""COMPUTED_VALUE"""),"rachit.sharma@zupee.in")</f>
        <v>rachit.sharma@zupee.in</v>
      </c>
      <c r="N669" s="31" t="str">
        <f>IFERROR(__xludf.DUMMYFUNCTION("""COMPUTED_VALUE"""),"KVX9NLHWF7")</f>
        <v>KVX9NLHWF7</v>
      </c>
    </row>
    <row r="670">
      <c r="A670" s="74">
        <f>IFERROR(__xludf.DUMMYFUNCTION("""COMPUTED_VALUE"""),45873.0)</f>
        <v>45873</v>
      </c>
      <c r="B670" s="31" t="str">
        <f>IFERROR(__xludf.DUMMYFUNCTION("""COMPUTED_VALUE"""),"Aditya Tamta")</f>
        <v>Aditya Tamta</v>
      </c>
      <c r="C670" s="31" t="str">
        <f>IFERROR(__xludf.DUMMYFUNCTION("""COMPUTED_VALUE"""),"Data")</f>
        <v>Data</v>
      </c>
      <c r="D670" s="31">
        <f>IFERROR(__xludf.DUMMYFUNCTION("""COMPUTED_VALUE"""),7.889073885E9)</f>
        <v>7889073885</v>
      </c>
      <c r="E670" s="31" t="str">
        <f>IFERROR(__xludf.DUMMYFUNCTION("""COMPUTED_VALUE"""),"Intern- Data Analytics")</f>
        <v>Intern- Data Analytics</v>
      </c>
      <c r="F670" s="31" t="str">
        <f>IFERROR(__xludf.DUMMYFUNCTION("""COMPUTED_VALUE"""),"Data Analytics")</f>
        <v>Data Analytics</v>
      </c>
      <c r="G670" s="31" t="str">
        <f>IFERROR(__xludf.DUMMYFUNCTION("""COMPUTED_VALUE"""),"ayushtamta411@gmail.com")</f>
        <v>ayushtamta411@gmail.com</v>
      </c>
      <c r="H670" s="31" t="str">
        <f>IFERROR(__xludf.DUMMYFUNCTION("""COMPUTED_VALUE"""),"Neha Jain")</f>
        <v>Neha Jain</v>
      </c>
      <c r="I670" s="75">
        <f>IFERROR(__xludf.DUMMYFUNCTION("""COMPUTED_VALUE"""),45870.0)</f>
        <v>45870</v>
      </c>
      <c r="J670" s="31" t="str">
        <f>IFERROR(__xludf.DUMMYFUNCTION("""COMPUTED_VALUE"""),"Mamta Pandey")</f>
        <v>Mamta Pandey</v>
      </c>
      <c r="K670" s="31" t="str">
        <f>IFERROR(__xludf.DUMMYFUNCTION("""COMPUTED_VALUE"""),"Joined")</f>
        <v>Joined</v>
      </c>
      <c r="L670" s="31" t="str">
        <f>IFERROR(__xludf.DUMMYFUNCTION("""COMPUTED_VALUE"""),"In Office")</f>
        <v>In Office</v>
      </c>
      <c r="M670" s="31" t="str">
        <f>IFERROR(__xludf.DUMMYFUNCTION("""COMPUTED_VALUE"""),"aditya.tamta@zupee.in")</f>
        <v>aditya.tamta@zupee.in</v>
      </c>
      <c r="N670" s="31" t="str">
        <f>IFERROR(__xludf.DUMMYFUNCTION("""COMPUTED_VALUE"""),"L766NP4WM4")</f>
        <v>L766NP4WM4</v>
      </c>
    </row>
    <row r="671">
      <c r="A671" s="74">
        <f>IFERROR(__xludf.DUMMYFUNCTION("""COMPUTED_VALUE"""),45873.0)</f>
        <v>45873</v>
      </c>
      <c r="B671" s="31" t="str">
        <f>IFERROR(__xludf.DUMMYFUNCTION("""COMPUTED_VALUE"""),"Harsh Dubey")</f>
        <v>Harsh Dubey</v>
      </c>
      <c r="C671" s="31" t="str">
        <f>IFERROR(__xludf.DUMMYFUNCTION("""COMPUTED_VALUE"""),"Data")</f>
        <v>Data</v>
      </c>
      <c r="D671" s="31">
        <f>IFERROR(__xludf.DUMMYFUNCTION("""COMPUTED_VALUE"""),7.355543935E9)</f>
        <v>7355543935</v>
      </c>
      <c r="E671" s="31" t="str">
        <f>IFERROR(__xludf.DUMMYFUNCTION("""COMPUTED_VALUE"""),"Intern- Data Analytics")</f>
        <v>Intern- Data Analytics</v>
      </c>
      <c r="F671" s="31" t="str">
        <f>IFERROR(__xludf.DUMMYFUNCTION("""COMPUTED_VALUE"""),"Data Analytics")</f>
        <v>Data Analytics</v>
      </c>
      <c r="G671" s="31" t="str">
        <f>IFERROR(__xludf.DUMMYFUNCTION("""COMPUTED_VALUE"""),"dubey.harsh2309@gmail.com")</f>
        <v>dubey.harsh2309@gmail.com</v>
      </c>
      <c r="H671" s="31" t="str">
        <f>IFERROR(__xludf.DUMMYFUNCTION("""COMPUTED_VALUE"""),"Neha Jain")</f>
        <v>Neha Jain</v>
      </c>
      <c r="I671" s="75">
        <f>IFERROR(__xludf.DUMMYFUNCTION("""COMPUTED_VALUE"""),45870.0)</f>
        <v>45870</v>
      </c>
      <c r="J671" s="31" t="str">
        <f>IFERROR(__xludf.DUMMYFUNCTION("""COMPUTED_VALUE"""),"Mamta Pandey")</f>
        <v>Mamta Pandey</v>
      </c>
      <c r="K671" s="31" t="str">
        <f>IFERROR(__xludf.DUMMYFUNCTION("""COMPUTED_VALUE"""),"Joined")</f>
        <v>Joined</v>
      </c>
      <c r="L671" s="31" t="str">
        <f>IFERROR(__xludf.DUMMYFUNCTION("""COMPUTED_VALUE"""),"In Office")</f>
        <v>In Office</v>
      </c>
      <c r="M671" s="31" t="str">
        <f>IFERROR(__xludf.DUMMYFUNCTION("""COMPUTED_VALUE"""),"harsh.dubey@zupee.in")</f>
        <v>harsh.dubey@zupee.in</v>
      </c>
      <c r="N671" s="31" t="str">
        <f>IFERROR(__xludf.DUMMYFUNCTION("""COMPUTED_VALUE"""),"J72MF924G3")</f>
        <v>J72MF924G3</v>
      </c>
    </row>
    <row r="672">
      <c r="A672" s="74">
        <f>IFERROR(__xludf.DUMMYFUNCTION("""COMPUTED_VALUE"""),45880.0)</f>
        <v>45880</v>
      </c>
      <c r="B672" s="31" t="str">
        <f>IFERROR(__xludf.DUMMYFUNCTION("""COMPUTED_VALUE"""),"Gauravjit Singh")</f>
        <v>Gauravjit Singh</v>
      </c>
      <c r="C672" s="31" t="str">
        <f>IFERROR(__xludf.DUMMYFUNCTION("""COMPUTED_VALUE"""),"Brand Marketing")</f>
        <v>Brand Marketing</v>
      </c>
      <c r="D672" s="31">
        <f>IFERROR(__xludf.DUMMYFUNCTION("""COMPUTED_VALUE"""),7.838050853E9)</f>
        <v>7838050853</v>
      </c>
      <c r="E672" s="31" t="str">
        <f>IFERROR(__xludf.DUMMYFUNCTION("""COMPUTED_VALUE"""),"Senior Manager- Experiential Marketing")</f>
        <v>Senior Manager- Experiential Marketing</v>
      </c>
      <c r="F672" s="31" t="str">
        <f>IFERROR(__xludf.DUMMYFUNCTION("""COMPUTED_VALUE"""),"Brand")</f>
        <v>Brand</v>
      </c>
      <c r="G672" s="31" t="str">
        <f>IFERROR(__xludf.DUMMYFUNCTION("""COMPUTED_VALUE"""),"mail.gauravjit@gmail.com")</f>
        <v>mail.gauravjit@gmail.com</v>
      </c>
      <c r="H672" s="31" t="str">
        <f>IFERROR(__xludf.DUMMYFUNCTION("""COMPUTED_VALUE"""),"Katha Pankaj Tara")</f>
        <v>Katha Pankaj Tara</v>
      </c>
      <c r="I672" s="75">
        <f>IFERROR(__xludf.DUMMYFUNCTION("""COMPUTED_VALUE"""),45870.0)</f>
        <v>45870</v>
      </c>
      <c r="J672" s="31" t="str">
        <f>IFERROR(__xludf.DUMMYFUNCTION("""COMPUTED_VALUE"""),"Rajneesh Yadav")</f>
        <v>Rajneesh Yadav</v>
      </c>
      <c r="K672" s="31" t="str">
        <f>IFERROR(__xludf.DUMMYFUNCTION("""COMPUTED_VALUE"""),"Joined")</f>
        <v>Joined</v>
      </c>
      <c r="L672" s="31" t="str">
        <f>IFERROR(__xludf.DUMMYFUNCTION("""COMPUTED_VALUE"""),"In Office")</f>
        <v>In Office</v>
      </c>
      <c r="M672" s="31" t="str">
        <f>IFERROR(__xludf.DUMMYFUNCTION("""COMPUTED_VALUE"""),"gauravjit.singh@zupee.in")</f>
        <v>gauravjit.singh@zupee.in</v>
      </c>
      <c r="N672" s="31" t="str">
        <f>IFERROR(__xludf.DUMMYFUNCTION("""COMPUTED_VALUE"""),"KHV6WX0JM2")</f>
        <v>KHV6WX0JM2</v>
      </c>
    </row>
    <row r="673">
      <c r="A673" s="74">
        <f>IFERROR(__xludf.DUMMYFUNCTION("""COMPUTED_VALUE"""),45887.0)</f>
        <v>45887</v>
      </c>
      <c r="B673" s="31" t="str">
        <f>IFERROR(__xludf.DUMMYFUNCTION("""COMPUTED_VALUE"""),"A Chakravarthy Thalluri")</f>
        <v>A Chakravarthy Thalluri</v>
      </c>
      <c r="C673" s="31" t="str">
        <f>IFERROR(__xludf.DUMMYFUNCTION("""COMPUTED_VALUE"""),"Data")</f>
        <v>Data</v>
      </c>
      <c r="D673" s="31">
        <f>IFERROR(__xludf.DUMMYFUNCTION("""COMPUTED_VALUE"""),9.599776805E9)</f>
        <v>9599776805</v>
      </c>
      <c r="E673" s="31" t="str">
        <f>IFERROR(__xludf.DUMMYFUNCTION("""COMPUTED_VALUE"""),"Staff Data Analyst")</f>
        <v>Staff Data Analyst</v>
      </c>
      <c r="F673" s="31" t="str">
        <f>IFERROR(__xludf.DUMMYFUNCTION("""COMPUTED_VALUE"""),"Data Analytics")</f>
        <v>Data Analytics</v>
      </c>
      <c r="G673" s="31" t="str">
        <f>IFERROR(__xludf.DUMMYFUNCTION("""COMPUTED_VALUE"""),"abhinay.chekry@gmail.com")</f>
        <v>abhinay.chekry@gmail.com</v>
      </c>
      <c r="H673" s="31" t="str">
        <f>IFERROR(__xludf.DUMMYFUNCTION("""COMPUTED_VALUE"""),"Raman Malik")</f>
        <v>Raman Malik</v>
      </c>
      <c r="I673" s="75">
        <f>IFERROR(__xludf.DUMMYFUNCTION("""COMPUTED_VALUE"""),45870.0)</f>
        <v>45870</v>
      </c>
      <c r="J673" s="31" t="str">
        <f>IFERROR(__xludf.DUMMYFUNCTION("""COMPUTED_VALUE"""),"Jaya Tiwari")</f>
        <v>Jaya Tiwari</v>
      </c>
      <c r="K673" s="31" t="str">
        <f>IFERROR(__xludf.DUMMYFUNCTION("""COMPUTED_VALUE"""),"Joined")</f>
        <v>Joined</v>
      </c>
      <c r="L673" s="31" t="str">
        <f>IFERROR(__xludf.DUMMYFUNCTION("""COMPUTED_VALUE"""),"In Office")</f>
        <v>In Office</v>
      </c>
      <c r="M673" s="31" t="str">
        <f>IFERROR(__xludf.DUMMYFUNCTION("""COMPUTED_VALUE"""),"chakravarthy.thalluri@zupee.in")</f>
        <v>chakravarthy.thalluri@zupee.in</v>
      </c>
      <c r="N673" s="31" t="str">
        <f>IFERROR(__xludf.DUMMYFUNCTION("""COMPUTED_VALUE"""),"K67C6K3RW0")</f>
        <v>K67C6K3RW0</v>
      </c>
    </row>
    <row r="674">
      <c r="A674" s="74">
        <f>IFERROR(__xludf.DUMMYFUNCTION("""COMPUTED_VALUE"""),45887.0)</f>
        <v>45887</v>
      </c>
      <c r="B674" s="31" t="str">
        <f>IFERROR(__xludf.DUMMYFUNCTION("""COMPUTED_VALUE"""),"Vikas Pandey")</f>
        <v>Vikas Pandey</v>
      </c>
      <c r="C674" s="31" t="str">
        <f>IFERROR(__xludf.DUMMYFUNCTION("""COMPUTED_VALUE"""),"Technology")</f>
        <v>Technology</v>
      </c>
      <c r="D674" s="31">
        <f>IFERROR(__xludf.DUMMYFUNCTION("""COMPUTED_VALUE"""),9.935710677E9)</f>
        <v>9935710677</v>
      </c>
      <c r="E674" s="31" t="str">
        <f>IFERROR(__xludf.DUMMYFUNCTION("""COMPUTED_VALUE"""),"Software Engineer")</f>
        <v>Software Engineer</v>
      </c>
      <c r="F674" s="31" t="str">
        <f>IFERROR(__xludf.DUMMYFUNCTION("""COMPUTED_VALUE"""),"Engineering ")</f>
        <v>Engineering </v>
      </c>
      <c r="G674" s="31" t="str">
        <f>IFERROR(__xludf.DUMMYFUNCTION("""COMPUTED_VALUE"""),"	vikaspnd.af@gmail.com")</f>
        <v>	vikaspnd.af@gmail.com</v>
      </c>
      <c r="H674" s="31" t="str">
        <f>IFERROR(__xludf.DUMMYFUNCTION("""COMPUTED_VALUE"""),"Rahul Sharma")</f>
        <v>Rahul Sharma</v>
      </c>
      <c r="I674" s="75">
        <f>IFERROR(__xludf.DUMMYFUNCTION("""COMPUTED_VALUE"""),45870.0)</f>
        <v>45870</v>
      </c>
      <c r="J674" s="31" t="str">
        <f>IFERROR(__xludf.DUMMYFUNCTION("""COMPUTED_VALUE"""),"Harsha Nanwani")</f>
        <v>Harsha Nanwani</v>
      </c>
      <c r="K674" s="31" t="str">
        <f>IFERROR(__xludf.DUMMYFUNCTION("""COMPUTED_VALUE"""),"Joined")</f>
        <v>Joined</v>
      </c>
      <c r="L674" s="31" t="str">
        <f>IFERROR(__xludf.DUMMYFUNCTION("""COMPUTED_VALUE"""),"In Office")</f>
        <v>In Office</v>
      </c>
      <c r="M674" s="31" t="str">
        <f>IFERROR(__xludf.DUMMYFUNCTION("""COMPUTED_VALUE"""),"vikas.pandey@zupee.in")</f>
        <v>vikas.pandey@zupee.in</v>
      </c>
      <c r="N674" s="31"/>
    </row>
    <row r="675">
      <c r="A675" s="74">
        <f>IFERROR(__xludf.DUMMYFUNCTION("""COMPUTED_VALUE"""),45887.0)</f>
        <v>45887</v>
      </c>
      <c r="B675" s="31" t="str">
        <f>IFERROR(__xludf.DUMMYFUNCTION("""COMPUTED_VALUE"""),"Abhishek Saxena")</f>
        <v>Abhishek Saxena</v>
      </c>
      <c r="C675" s="31" t="str">
        <f>IFERROR(__xludf.DUMMYFUNCTION("""COMPUTED_VALUE"""),"Technology")</f>
        <v>Technology</v>
      </c>
      <c r="D675" s="31">
        <f>IFERROR(__xludf.DUMMYFUNCTION("""COMPUTED_VALUE"""),7.61819085E9)</f>
        <v>7618190850</v>
      </c>
      <c r="E675" s="31" t="str">
        <f>IFERROR(__xludf.DUMMYFUNCTION("""COMPUTED_VALUE"""),"Software Engineer")</f>
        <v>Software Engineer</v>
      </c>
      <c r="F675" s="31" t="str">
        <f>IFERROR(__xludf.DUMMYFUNCTION("""COMPUTED_VALUE"""),"Engineering ")</f>
        <v>Engineering </v>
      </c>
      <c r="G675" s="31" t="str">
        <f>IFERROR(__xludf.DUMMYFUNCTION("""COMPUTED_VALUE"""),"saxenaabhishek378@gmail.com")</f>
        <v>saxenaabhishek378@gmail.com</v>
      </c>
      <c r="H675" s="31" t="str">
        <f>IFERROR(__xludf.DUMMYFUNCTION("""COMPUTED_VALUE"""),"Abhishek Gupta")</f>
        <v>Abhishek Gupta</v>
      </c>
      <c r="I675" s="75">
        <f>IFERROR(__xludf.DUMMYFUNCTION("""COMPUTED_VALUE"""),45873.0)</f>
        <v>45873</v>
      </c>
      <c r="J675" s="31" t="str">
        <f>IFERROR(__xludf.DUMMYFUNCTION("""COMPUTED_VALUE"""),"Cheshtha Sharma")</f>
        <v>Cheshtha Sharma</v>
      </c>
      <c r="K675" s="31" t="str">
        <f>IFERROR(__xludf.DUMMYFUNCTION("""COMPUTED_VALUE"""),"Joined")</f>
        <v>Joined</v>
      </c>
      <c r="L675" s="31" t="str">
        <f>IFERROR(__xludf.DUMMYFUNCTION("""COMPUTED_VALUE"""),"In Office")</f>
        <v>In Office</v>
      </c>
      <c r="M675" s="31" t="str">
        <f>IFERROR(__xludf.DUMMYFUNCTION("""COMPUTED_VALUE"""),"abhishek.saxena@zupee.in")</f>
        <v>abhishek.saxena@zupee.in</v>
      </c>
      <c r="N675" s="31"/>
    </row>
    <row r="676">
      <c r="A676" s="74">
        <f>IFERROR(__xludf.DUMMYFUNCTION("""COMPUTED_VALUE"""),45874.0)</f>
        <v>45874</v>
      </c>
      <c r="B676" s="31" t="str">
        <f>IFERROR(__xludf.DUMMYFUNCTION("""COMPUTED_VALUE"""),"Prabhat Kumar")</f>
        <v>Prabhat Kumar</v>
      </c>
      <c r="C676" s="31" t="str">
        <f>IFERROR(__xludf.DUMMYFUNCTION("""COMPUTED_VALUE"""),"Technology")</f>
        <v>Technology</v>
      </c>
      <c r="D676" s="31">
        <f>IFERROR(__xludf.DUMMYFUNCTION("""COMPUTED_VALUE"""),9.939147728E9)</f>
        <v>9939147728</v>
      </c>
      <c r="E676" s="31" t="str">
        <f>IFERROR(__xludf.DUMMYFUNCTION("""COMPUTED_VALUE"""),"Software Engineer")</f>
        <v>Software Engineer</v>
      </c>
      <c r="F676" s="31" t="str">
        <f>IFERROR(__xludf.DUMMYFUNCTION("""COMPUTED_VALUE"""),"Engineering ")</f>
        <v>Engineering </v>
      </c>
      <c r="G676" s="31" t="str">
        <f>IFERROR(__xludf.DUMMYFUNCTION("""COMPUTED_VALUE""")," prabhatkumar944@gmail.com")</f>
        <v> prabhatkumar944@gmail.com</v>
      </c>
      <c r="H676" s="31" t="str">
        <f>IFERROR(__xludf.DUMMYFUNCTION("""COMPUTED_VALUE"""),"Anshul Mittal")</f>
        <v>Anshul Mittal</v>
      </c>
      <c r="I676" s="75">
        <f>IFERROR(__xludf.DUMMYFUNCTION("""COMPUTED_VALUE"""),45873.0)</f>
        <v>45873</v>
      </c>
      <c r="J676" s="31" t="str">
        <f>IFERROR(__xludf.DUMMYFUNCTION("""COMPUTED_VALUE"""),"Shivam Sharma")</f>
        <v>Shivam Sharma</v>
      </c>
      <c r="K676" s="31" t="str">
        <f>IFERROR(__xludf.DUMMYFUNCTION("""COMPUTED_VALUE"""),"Joined")</f>
        <v>Joined</v>
      </c>
      <c r="L676" s="31" t="str">
        <f>IFERROR(__xludf.DUMMYFUNCTION("""COMPUTED_VALUE"""),"In Office")</f>
        <v>In Office</v>
      </c>
      <c r="M676" s="31" t="str">
        <f>IFERROR(__xludf.DUMMYFUNCTION("""COMPUTED_VALUE"""),"prabhat.kumar@zupee.in")</f>
        <v>prabhat.kumar@zupee.in</v>
      </c>
      <c r="N676" s="31"/>
    </row>
    <row r="677">
      <c r="A677" s="74">
        <f>IFERROR(__xludf.DUMMYFUNCTION("""COMPUTED_VALUE"""),45902.0)</f>
        <v>45902</v>
      </c>
      <c r="B677" s="31" t="str">
        <f>IFERROR(__xludf.DUMMYFUNCTION("""COMPUTED_VALUE"""),"Divya Dhuria")</f>
        <v>Divya Dhuria</v>
      </c>
      <c r="C677" s="31" t="str">
        <f>IFERROR(__xludf.DUMMYFUNCTION("""COMPUTED_VALUE"""),"Data")</f>
        <v>Data</v>
      </c>
      <c r="D677" s="31">
        <f>IFERROR(__xludf.DUMMYFUNCTION("""COMPUTED_VALUE"""),9.999069432E9)</f>
        <v>9999069432</v>
      </c>
      <c r="E677" s="31" t="str">
        <f>IFERROR(__xludf.DUMMYFUNCTION("""COMPUTED_VALUE"""),"Lead- Data Analyst")</f>
        <v>Lead- Data Analyst</v>
      </c>
      <c r="F677" s="31" t="str">
        <f>IFERROR(__xludf.DUMMYFUNCTION("""COMPUTED_VALUE"""),"Data Analytics")</f>
        <v>Data Analytics</v>
      </c>
      <c r="G677" s="31" t="str">
        <f>IFERROR(__xludf.DUMMYFUNCTION("""COMPUTED_VALUE"""),"divyadhuria93@gmail.com")</f>
        <v>divyadhuria93@gmail.com</v>
      </c>
      <c r="H677" s="31" t="str">
        <f>IFERROR(__xludf.DUMMYFUNCTION("""COMPUTED_VALUE"""),"Saumitra Raj")</f>
        <v>Saumitra Raj</v>
      </c>
      <c r="I677" s="75">
        <f>IFERROR(__xludf.DUMMYFUNCTION("""COMPUTED_VALUE"""),45873.0)</f>
        <v>45873</v>
      </c>
      <c r="J677" s="31" t="str">
        <f>IFERROR(__xludf.DUMMYFUNCTION("""COMPUTED_VALUE"""),"Vipin Kumar")</f>
        <v>Vipin Kumar</v>
      </c>
      <c r="K677" s="31" t="str">
        <f>IFERROR(__xludf.DUMMYFUNCTION("""COMPUTED_VALUE"""),"Offer Revoked")</f>
        <v>Offer Revoked</v>
      </c>
      <c r="L677" s="31" t="str">
        <f>IFERROR(__xludf.DUMMYFUNCTION("""COMPUTED_VALUE"""),"In Office")</f>
        <v>In Office</v>
      </c>
      <c r="M677" s="31"/>
      <c r="N677" s="31"/>
    </row>
    <row r="678">
      <c r="A678" s="74">
        <f>IFERROR(__xludf.DUMMYFUNCTION("""COMPUTED_VALUE"""),45880.0)</f>
        <v>45880</v>
      </c>
      <c r="B678" s="31" t="str">
        <f>IFERROR(__xludf.DUMMYFUNCTION("""COMPUTED_VALUE"""),"Madhavam Saxena")</f>
        <v>Madhavam Saxena</v>
      </c>
      <c r="C678" s="31" t="str">
        <f>IFERROR(__xludf.DUMMYFUNCTION("""COMPUTED_VALUE"""),"IT Infra")</f>
        <v>IT Infra</v>
      </c>
      <c r="D678" s="31">
        <f>IFERROR(__xludf.DUMMYFUNCTION("""COMPUTED_VALUE"""),6.386695044E9)</f>
        <v>6386695044</v>
      </c>
      <c r="E678" s="31" t="str">
        <f>IFERROR(__xludf.DUMMYFUNCTION("""COMPUTED_VALUE"""),"Software Engineer- DevOps")</f>
        <v>Software Engineer- DevOps</v>
      </c>
      <c r="F678" s="31" t="str">
        <f>IFERROR(__xludf.DUMMYFUNCTION("""COMPUTED_VALUE"""),"DevOps &amp; Security")</f>
        <v>DevOps &amp; Security</v>
      </c>
      <c r="G678" s="31" t="str">
        <f>IFERROR(__xludf.DUMMYFUNCTION("""COMPUTED_VALUE"""),"madhavamsaxena14@gmail.com")</f>
        <v>madhavamsaxena14@gmail.com</v>
      </c>
      <c r="H678" s="31" t="str">
        <f>IFERROR(__xludf.DUMMYFUNCTION("""COMPUTED_VALUE"""),"Saurav Yadav")</f>
        <v>Saurav Yadav</v>
      </c>
      <c r="I678" s="75">
        <f>IFERROR(__xludf.DUMMYFUNCTION("""COMPUTED_VALUE"""),45873.0)</f>
        <v>45873</v>
      </c>
      <c r="J678" s="31" t="str">
        <f>IFERROR(__xludf.DUMMYFUNCTION("""COMPUTED_VALUE"""),"Mamta Pandey")</f>
        <v>Mamta Pandey</v>
      </c>
      <c r="K678" s="31" t="str">
        <f>IFERROR(__xludf.DUMMYFUNCTION("""COMPUTED_VALUE"""),"Joined")</f>
        <v>Joined</v>
      </c>
      <c r="L678" s="31" t="str">
        <f>IFERROR(__xludf.DUMMYFUNCTION("""COMPUTED_VALUE"""),"In Office")</f>
        <v>In Office</v>
      </c>
      <c r="M678" s="31" t="str">
        <f>IFERROR(__xludf.DUMMYFUNCTION("""COMPUTED_VALUE"""),"madhavam.saxena@zupee.in")</f>
        <v>madhavam.saxena@zupee.in</v>
      </c>
      <c r="N678" s="31"/>
    </row>
    <row r="679">
      <c r="A679" s="74">
        <f>IFERROR(__xludf.DUMMYFUNCTION("""COMPUTED_VALUE"""),45931.0)</f>
        <v>45931</v>
      </c>
      <c r="B679" s="31" t="str">
        <f>IFERROR(__xludf.DUMMYFUNCTION("""COMPUTED_VALUE"""),"Kalidindi Aditya Verma")</f>
        <v>Kalidindi Aditya Verma</v>
      </c>
      <c r="C679" s="31" t="str">
        <f>IFERROR(__xludf.DUMMYFUNCTION("""COMPUTED_VALUE"""),"Product")</f>
        <v>Product</v>
      </c>
      <c r="D679" s="31">
        <f>IFERROR(__xludf.DUMMYFUNCTION("""COMPUTED_VALUE"""),9.177980183E9)</f>
        <v>9177980183</v>
      </c>
      <c r="E679" s="31" t="str">
        <f>IFERROR(__xludf.DUMMYFUNCTION("""COMPUTED_VALUE"""),"Senior Product Manager")</f>
        <v>Senior Product Manager</v>
      </c>
      <c r="F679" s="31" t="str">
        <f>IFERROR(__xludf.DUMMYFUNCTION("""COMPUTED_VALUE"""),"Product Management")</f>
        <v>Product Management</v>
      </c>
      <c r="G679" s="31" t="str">
        <f>IFERROR(__xludf.DUMMYFUNCTION("""COMPUTED_VALUE"""),"adityavarma.1201@gmail.com")</f>
        <v>adityavarma.1201@gmail.com</v>
      </c>
      <c r="H679" s="31" t="str">
        <f>IFERROR(__xludf.DUMMYFUNCTION("""COMPUTED_VALUE"""),"Naveen Kadyan")</f>
        <v>Naveen Kadyan</v>
      </c>
      <c r="I679" s="75">
        <f>IFERROR(__xludf.DUMMYFUNCTION("""COMPUTED_VALUE"""),45873.0)</f>
        <v>45873</v>
      </c>
      <c r="J679" s="31" t="str">
        <f>IFERROR(__xludf.DUMMYFUNCTION("""COMPUTED_VALUE"""),"Naina")</f>
        <v>Naina</v>
      </c>
      <c r="K679" s="31" t="str">
        <f>IFERROR(__xludf.DUMMYFUNCTION("""COMPUTED_VALUE"""),"Offer Revoked")</f>
        <v>Offer Revoked</v>
      </c>
      <c r="L679" s="31" t="str">
        <f>IFERROR(__xludf.DUMMYFUNCTION("""COMPUTED_VALUE"""),"In Office")</f>
        <v>In Office</v>
      </c>
      <c r="M679" s="31"/>
      <c r="N679" s="31"/>
    </row>
    <row r="680">
      <c r="A680" s="74">
        <f>IFERROR(__xludf.DUMMYFUNCTION("""COMPUTED_VALUE"""),45915.0)</f>
        <v>45915</v>
      </c>
      <c r="B680" s="31" t="str">
        <f>IFERROR(__xludf.DUMMYFUNCTION("""COMPUTED_VALUE"""),"Anuj Gupta")</f>
        <v>Anuj Gupta</v>
      </c>
      <c r="C680" s="31" t="str">
        <f>IFERROR(__xludf.DUMMYFUNCTION("""COMPUTED_VALUE"""),"Digital Marketing")</f>
        <v>Digital Marketing</v>
      </c>
      <c r="D680" s="31">
        <f>IFERROR(__xludf.DUMMYFUNCTION("""COMPUTED_VALUE"""),7.011458911E9)</f>
        <v>7011458911</v>
      </c>
      <c r="E680" s="31" t="str">
        <f>IFERROR(__xludf.DUMMYFUNCTION("""COMPUTED_VALUE"""),"Digital Marketing Manager")</f>
        <v>Digital Marketing Manager</v>
      </c>
      <c r="F680" s="31" t="str">
        <f>IFERROR(__xludf.DUMMYFUNCTION("""COMPUTED_VALUE"""),"Performance Marketing")</f>
        <v>Performance Marketing</v>
      </c>
      <c r="G680" s="31" t="str">
        <f>IFERROR(__xludf.DUMMYFUNCTION("""COMPUTED_VALUE"""),"anuj.er1991@gmail.com")</f>
        <v>anuj.er1991@gmail.com</v>
      </c>
      <c r="H680" s="31" t="str">
        <f>IFERROR(__xludf.DUMMYFUNCTION("""COMPUTED_VALUE"""),"Mohit Garg")</f>
        <v>Mohit Garg</v>
      </c>
      <c r="I680" s="75">
        <f>IFERROR(__xludf.DUMMYFUNCTION("""COMPUTED_VALUE"""),45873.0)</f>
        <v>45873</v>
      </c>
      <c r="J680" s="31" t="str">
        <f>IFERROR(__xludf.DUMMYFUNCTION("""COMPUTED_VALUE"""),"Jaya Tiwari")</f>
        <v>Jaya Tiwari</v>
      </c>
      <c r="K680" s="31" t="str">
        <f>IFERROR(__xludf.DUMMYFUNCTION("""COMPUTED_VALUE"""),"Offer Revoked")</f>
        <v>Offer Revoked</v>
      </c>
      <c r="L680" s="31" t="str">
        <f>IFERROR(__xludf.DUMMYFUNCTION("""COMPUTED_VALUE"""),"In Office")</f>
        <v>In Office</v>
      </c>
      <c r="M680" s="31" t="str">
        <f>IFERROR(__xludf.DUMMYFUNCTION("""COMPUTED_VALUE"""),"anuj.gupta@zupee.in")</f>
        <v>anuj.gupta@zupee.in</v>
      </c>
      <c r="N680" s="31"/>
    </row>
    <row r="681">
      <c r="A681" s="74">
        <f>IFERROR(__xludf.DUMMYFUNCTION("""COMPUTED_VALUE"""),45887.0)</f>
        <v>45887</v>
      </c>
      <c r="B681" s="31" t="str">
        <f>IFERROR(__xludf.DUMMYFUNCTION("""COMPUTED_VALUE"""),"Suraj Kumar")</f>
        <v>Suraj Kumar</v>
      </c>
      <c r="C681" s="31" t="str">
        <f>IFERROR(__xludf.DUMMYFUNCTION("""COMPUTED_VALUE"""),"IT Infra")</f>
        <v>IT Infra</v>
      </c>
      <c r="D681" s="31">
        <f>IFERROR(__xludf.DUMMYFUNCTION("""COMPUTED_VALUE"""),8.527549214E9)</f>
        <v>8527549214</v>
      </c>
      <c r="E681" s="31" t="str">
        <f>IFERROR(__xludf.DUMMYFUNCTION("""COMPUTED_VALUE"""),"Senior IT Executive")</f>
        <v>Senior IT Executive</v>
      </c>
      <c r="F681" s="31" t="str">
        <f>IFERROR(__xludf.DUMMYFUNCTION("""COMPUTED_VALUE"""),"IT Infra")</f>
        <v>IT Infra</v>
      </c>
      <c r="G681" s="31" t="str">
        <f>IFERROR(__xludf.DUMMYFUNCTION("""COMPUTED_VALUE"""),"surajsingh.rajput007@gmail.com")</f>
        <v>surajsingh.rajput007@gmail.com</v>
      </c>
      <c r="H681" s="31" t="str">
        <f>IFERROR(__xludf.DUMMYFUNCTION("""COMPUTED_VALUE"""),"Rahul Prasad Suman")</f>
        <v>Rahul Prasad Suman</v>
      </c>
      <c r="I681" s="75">
        <f>IFERROR(__xludf.DUMMYFUNCTION("""COMPUTED_VALUE"""),45874.0)</f>
        <v>45874</v>
      </c>
      <c r="J681" s="31" t="str">
        <f>IFERROR(__xludf.DUMMYFUNCTION("""COMPUTED_VALUE"""),"Vipin Kumar")</f>
        <v>Vipin Kumar</v>
      </c>
      <c r="K681" s="31" t="str">
        <f>IFERROR(__xludf.DUMMYFUNCTION("""COMPUTED_VALUE"""),"Joined")</f>
        <v>Joined</v>
      </c>
      <c r="L681" s="31" t="str">
        <f>IFERROR(__xludf.DUMMYFUNCTION("""COMPUTED_VALUE"""),"In Office")</f>
        <v>In Office</v>
      </c>
      <c r="M681" s="31" t="str">
        <f>IFERROR(__xludf.DUMMYFUNCTION("""COMPUTED_VALUE"""),"suraj.kumar@zupee.in")</f>
        <v>suraj.kumar@zupee.in</v>
      </c>
      <c r="N681" s="31"/>
    </row>
    <row r="682">
      <c r="A682" s="74">
        <f>IFERROR(__xludf.DUMMYFUNCTION("""COMPUTED_VALUE"""),45908.0)</f>
        <v>45908</v>
      </c>
      <c r="B682" s="31" t="str">
        <f>IFERROR(__xludf.DUMMYFUNCTION("""COMPUTED_VALUE"""),"Aniket Verma")</f>
        <v>Aniket Verma</v>
      </c>
      <c r="C682" s="31" t="str">
        <f>IFERROR(__xludf.DUMMYFUNCTION("""COMPUTED_VALUE"""),"Technology")</f>
        <v>Technology</v>
      </c>
      <c r="D682" s="31">
        <f>IFERROR(__xludf.DUMMYFUNCTION("""COMPUTED_VALUE"""),8.340418714E9)</f>
        <v>8340418714</v>
      </c>
      <c r="E682" s="31" t="str">
        <f>IFERROR(__xludf.DUMMYFUNCTION("""COMPUTED_VALUE"""),"Director-Engineering")</f>
        <v>Director-Engineering</v>
      </c>
      <c r="F682" s="31" t="str">
        <f>IFERROR(__xludf.DUMMYFUNCTION("""COMPUTED_VALUE"""),"Engineering ")</f>
        <v>Engineering </v>
      </c>
      <c r="G682" s="31" t="str">
        <f>IFERROR(__xludf.DUMMYFUNCTION("""COMPUTED_VALUE"""),"aniketverma1259@gmail.com")</f>
        <v>aniketverma1259@gmail.com</v>
      </c>
      <c r="H682" s="31" t="str">
        <f>IFERROR(__xludf.DUMMYFUNCTION("""COMPUTED_VALUE"""),"Abhishek Gupta")</f>
        <v>Abhishek Gupta</v>
      </c>
      <c r="I682" s="75">
        <f>IFERROR(__xludf.DUMMYFUNCTION("""COMPUTED_VALUE"""),45875.0)</f>
        <v>45875</v>
      </c>
      <c r="J682" s="31" t="str">
        <f>IFERROR(__xludf.DUMMYFUNCTION("""COMPUTED_VALUE"""),"Rajneesh Yadav")</f>
        <v>Rajneesh Yadav</v>
      </c>
      <c r="K682" s="31" t="str">
        <f>IFERROR(__xludf.DUMMYFUNCTION("""COMPUTED_VALUE"""),"Offer Revoked")</f>
        <v>Offer Revoked</v>
      </c>
      <c r="L682" s="31" t="str">
        <f>IFERROR(__xludf.DUMMYFUNCTION("""COMPUTED_VALUE"""),"In Office")</f>
        <v>In Office</v>
      </c>
      <c r="M682" s="31"/>
      <c r="N682" s="31"/>
    </row>
    <row r="683">
      <c r="A683" s="74">
        <f>IFERROR(__xludf.DUMMYFUNCTION("""COMPUTED_VALUE"""),45908.0)</f>
        <v>45908</v>
      </c>
      <c r="B683" s="31" t="str">
        <f>IFERROR(__xludf.DUMMYFUNCTION("""COMPUTED_VALUE"""),"Mohit Kumar Sharma")</f>
        <v>Mohit Kumar Sharma</v>
      </c>
      <c r="C683" s="31" t="str">
        <f>IFERROR(__xludf.DUMMYFUNCTION("""COMPUTED_VALUE"""),"Technology")</f>
        <v>Technology</v>
      </c>
      <c r="D683" s="31">
        <f>IFERROR(__xludf.DUMMYFUNCTION("""COMPUTED_VALUE"""),8.076212375E9)</f>
        <v>8076212375</v>
      </c>
      <c r="E683" s="31" t="str">
        <f>IFERROR(__xludf.DUMMYFUNCTION("""COMPUTED_VALUE"""),"Engineering Manager-Security")</f>
        <v>Engineering Manager-Security</v>
      </c>
      <c r="F683" s="31" t="str">
        <f>IFERROR(__xludf.DUMMYFUNCTION("""COMPUTED_VALUE"""),"Engineering ")</f>
        <v>Engineering </v>
      </c>
      <c r="G683" s="31" t="str">
        <f>IFERROR(__xludf.DUMMYFUNCTION("""COMPUTED_VALUE""")," mk2011sharma@gmail.com")</f>
        <v> mk2011sharma@gmail.com</v>
      </c>
      <c r="H683" s="31" t="str">
        <f>IFERROR(__xludf.DUMMYFUNCTION("""COMPUTED_VALUE"""),"Saurav Yadav")</f>
        <v>Saurav Yadav</v>
      </c>
      <c r="I683" s="75">
        <f>IFERROR(__xludf.DUMMYFUNCTION("""COMPUTED_VALUE"""),45875.0)</f>
        <v>45875</v>
      </c>
      <c r="J683" s="31" t="str">
        <f>IFERROR(__xludf.DUMMYFUNCTION("""COMPUTED_VALUE"""),"Shivam Sharma")</f>
        <v>Shivam Sharma</v>
      </c>
      <c r="K683" s="31" t="str">
        <f>IFERROR(__xludf.DUMMYFUNCTION("""COMPUTED_VALUE"""),"Offer Revoked")</f>
        <v>Offer Revoked</v>
      </c>
      <c r="L683" s="31" t="str">
        <f>IFERROR(__xludf.DUMMYFUNCTION("""COMPUTED_VALUE"""),"In Office")</f>
        <v>In Office</v>
      </c>
      <c r="M683" s="31"/>
      <c r="N683" s="31"/>
    </row>
    <row r="684">
      <c r="A684" s="74">
        <f>IFERROR(__xludf.DUMMYFUNCTION("""COMPUTED_VALUE"""),45912.0)</f>
        <v>45912</v>
      </c>
      <c r="B684" s="31" t="str">
        <f>IFERROR(__xludf.DUMMYFUNCTION("""COMPUTED_VALUE"""),"Kandaswamy R")</f>
        <v>Kandaswamy R</v>
      </c>
      <c r="C684" s="31" t="str">
        <f>IFERROR(__xludf.DUMMYFUNCTION("""COMPUTED_VALUE"""),"Customer Experience ")</f>
        <v>Customer Experience </v>
      </c>
      <c r="D684" s="31">
        <f>IFERROR(__xludf.DUMMYFUNCTION("""COMPUTED_VALUE"""),9.555229143E9)</f>
        <v>9555229143</v>
      </c>
      <c r="E684" s="31" t="str">
        <f>IFERROR(__xludf.DUMMYFUNCTION("""COMPUTED_VALUE"""),"Relationship Manager")</f>
        <v>Relationship Manager</v>
      </c>
      <c r="F684" s="31" t="str">
        <f>IFERROR(__xludf.DUMMYFUNCTION("""COMPUTED_VALUE"""),"CRM")</f>
        <v>CRM</v>
      </c>
      <c r="G684" s="31" t="str">
        <f>IFERROR(__xludf.DUMMYFUNCTION("""COMPUTED_VALUE"""),"skkandaswamy12@gmail.com")</f>
        <v>skkandaswamy12@gmail.com</v>
      </c>
      <c r="H684" s="31" t="str">
        <f>IFERROR(__xludf.DUMMYFUNCTION("""COMPUTED_VALUE"""),"Vikas Joshi")</f>
        <v>Vikas Joshi</v>
      </c>
      <c r="I684" s="75">
        <f>IFERROR(__xludf.DUMMYFUNCTION("""COMPUTED_VALUE"""),45876.0)</f>
        <v>45876</v>
      </c>
      <c r="J684" s="31" t="str">
        <f>IFERROR(__xludf.DUMMYFUNCTION("""COMPUTED_VALUE"""),"Gaurav Singh")</f>
        <v>Gaurav Singh</v>
      </c>
      <c r="K684" s="31" t="str">
        <f>IFERROR(__xludf.DUMMYFUNCTION("""COMPUTED_VALUE"""),"Offer Revoked")</f>
        <v>Offer Revoked</v>
      </c>
      <c r="L684" s="31" t="str">
        <f>IFERROR(__xludf.DUMMYFUNCTION("""COMPUTED_VALUE"""),"In Office")</f>
        <v>In Office</v>
      </c>
      <c r="M684" s="31"/>
      <c r="N684" s="31"/>
    </row>
    <row r="685">
      <c r="A685" s="74">
        <f>IFERROR(__xludf.DUMMYFUNCTION("""COMPUTED_VALUE"""),45880.0)</f>
        <v>45880</v>
      </c>
      <c r="B685" s="31" t="str">
        <f>IFERROR(__xludf.DUMMYFUNCTION("""COMPUTED_VALUE"""),"Srishty Gagneja")</f>
        <v>Srishty Gagneja</v>
      </c>
      <c r="C685" s="31" t="str">
        <f>IFERROR(__xludf.DUMMYFUNCTION("""COMPUTED_VALUE"""),"Technology")</f>
        <v>Technology</v>
      </c>
      <c r="D685" s="31">
        <f>IFERROR(__xludf.DUMMYFUNCTION("""COMPUTED_VALUE"""),7.017828698E9)</f>
        <v>7017828698</v>
      </c>
      <c r="E685" s="31" t="str">
        <f>IFERROR(__xludf.DUMMYFUNCTION("""COMPUTED_VALUE"""),"Software Development Engineer in Test")</f>
        <v>Software Development Engineer in Test</v>
      </c>
      <c r="F685" s="31" t="str">
        <f>IFERROR(__xludf.DUMMYFUNCTION("""COMPUTED_VALUE"""),"SDET")</f>
        <v>SDET</v>
      </c>
      <c r="G685" s="31" t="str">
        <f>IFERROR(__xludf.DUMMYFUNCTION("""COMPUTED_VALUE"""),"srishtygagneja2000@gmail.com")</f>
        <v>srishtygagneja2000@gmail.com</v>
      </c>
      <c r="H685" s="31" t="str">
        <f>IFERROR(__xludf.DUMMYFUNCTION("""COMPUTED_VALUE"""),"Sahil Puri")</f>
        <v>Sahil Puri</v>
      </c>
      <c r="I685" s="75">
        <f>IFERROR(__xludf.DUMMYFUNCTION("""COMPUTED_VALUE"""),45877.0)</f>
        <v>45877</v>
      </c>
      <c r="J685" s="31" t="str">
        <f>IFERROR(__xludf.DUMMYFUNCTION("""COMPUTED_VALUE"""),"Vipin Kumar")</f>
        <v>Vipin Kumar</v>
      </c>
      <c r="K685" s="31" t="str">
        <f>IFERROR(__xludf.DUMMYFUNCTION("""COMPUTED_VALUE"""),"Joined")</f>
        <v>Joined</v>
      </c>
      <c r="L685" s="31" t="str">
        <f>IFERROR(__xludf.DUMMYFUNCTION("""COMPUTED_VALUE"""),"In Office")</f>
        <v>In Office</v>
      </c>
      <c r="M685" s="31" t="str">
        <f>IFERROR(__xludf.DUMMYFUNCTION("""COMPUTED_VALUE"""),"srishty.gagneja@zupee.in")</f>
        <v>srishty.gagneja@zupee.in</v>
      </c>
      <c r="N685" s="31"/>
    </row>
    <row r="686">
      <c r="A686" s="74">
        <f>IFERROR(__xludf.DUMMYFUNCTION("""COMPUTED_VALUE"""),45882.0)</f>
        <v>45882</v>
      </c>
      <c r="B686" s="31" t="str">
        <f>IFERROR(__xludf.DUMMYFUNCTION("""COMPUTED_VALUE"""),"Harshit Varshney")</f>
        <v>Harshit Varshney</v>
      </c>
      <c r="C686" s="31" t="str">
        <f>IFERROR(__xludf.DUMMYFUNCTION("""COMPUTED_VALUE"""),"Technology")</f>
        <v>Technology</v>
      </c>
      <c r="D686" s="31">
        <f>IFERROR(__xludf.DUMMYFUNCTION("""COMPUTED_VALUE"""),6.39720539E9)</f>
        <v>6397205390</v>
      </c>
      <c r="E686" s="31" t="str">
        <f>IFERROR(__xludf.DUMMYFUNCTION("""COMPUTED_VALUE"""),"Semior Software Engineer")</f>
        <v>Semior Software Engineer</v>
      </c>
      <c r="F686" s="31" t="str">
        <f>IFERROR(__xludf.DUMMYFUNCTION("""COMPUTED_VALUE"""),"Engineering ")</f>
        <v>Engineering </v>
      </c>
      <c r="G686" s="31" t="str">
        <f>IFERROR(__xludf.DUMMYFUNCTION("""COMPUTED_VALUE"""),"harshitvarshney78@gmail.com")</f>
        <v>harshitvarshney78@gmail.com</v>
      </c>
      <c r="H686" s="31" t="str">
        <f>IFERROR(__xludf.DUMMYFUNCTION("""COMPUTED_VALUE"""),"Amit Garg")</f>
        <v>Amit Garg</v>
      </c>
      <c r="I686" s="75">
        <f>IFERROR(__xludf.DUMMYFUNCTION("""COMPUTED_VALUE"""),45877.0)</f>
        <v>45877</v>
      </c>
      <c r="J686" s="31" t="str">
        <f>IFERROR(__xludf.DUMMYFUNCTION("""COMPUTED_VALUE"""),"Harsha Nanwani")</f>
        <v>Harsha Nanwani</v>
      </c>
      <c r="K686" s="31" t="str">
        <f>IFERROR(__xludf.DUMMYFUNCTION("""COMPUTED_VALUE"""),"Joined")</f>
        <v>Joined</v>
      </c>
      <c r="L686" s="31" t="str">
        <f>IFERROR(__xludf.DUMMYFUNCTION("""COMPUTED_VALUE"""),"In Office")</f>
        <v>In Office</v>
      </c>
      <c r="M686" s="31" t="str">
        <f>IFERROR(__xludf.DUMMYFUNCTION("""COMPUTED_VALUE"""),"harshit.varshney@zupee.in")</f>
        <v>harshit.varshney@zupee.in</v>
      </c>
      <c r="N686" s="31"/>
    </row>
    <row r="687">
      <c r="A687" s="74">
        <f>IFERROR(__xludf.DUMMYFUNCTION("""COMPUTED_VALUE"""),45880.0)</f>
        <v>45880</v>
      </c>
      <c r="B687" s="31" t="str">
        <f>IFERROR(__xludf.DUMMYFUNCTION("""COMPUTED_VALUE"""),"Rahul Modi")</f>
        <v>Rahul Modi</v>
      </c>
      <c r="C687" s="31" t="str">
        <f>IFERROR(__xludf.DUMMYFUNCTION("""COMPUTED_VALUE"""),"Data")</f>
        <v>Data</v>
      </c>
      <c r="D687" s="31">
        <f>IFERROR(__xludf.DUMMYFUNCTION("""COMPUTED_VALUE"""),7.062198344E9)</f>
        <v>7062198344</v>
      </c>
      <c r="E687" s="31" t="str">
        <f>IFERROR(__xludf.DUMMYFUNCTION("""COMPUTED_VALUE"""),"Manager Data Analytics")</f>
        <v>Manager Data Analytics</v>
      </c>
      <c r="F687" s="31" t="str">
        <f>IFERROR(__xludf.DUMMYFUNCTION("""COMPUTED_VALUE"""),"Data Analytics")</f>
        <v>Data Analytics</v>
      </c>
      <c r="G687" s="31" t="str">
        <f>IFERROR(__xludf.DUMMYFUNCTION("""COMPUTED_VALUE"""),"rahul.rm.modi@gmail.com")</f>
        <v>rahul.rm.modi@gmail.com</v>
      </c>
      <c r="H687" s="31" t="str">
        <f>IFERROR(__xludf.DUMMYFUNCTION("""COMPUTED_VALUE"""),"Saumitra Raj")</f>
        <v>Saumitra Raj</v>
      </c>
      <c r="I687" s="75">
        <f>IFERROR(__xludf.DUMMYFUNCTION("""COMPUTED_VALUE"""),45877.0)</f>
        <v>45877</v>
      </c>
      <c r="J687" s="31" t="str">
        <f>IFERROR(__xludf.DUMMYFUNCTION("""COMPUTED_VALUE"""),"Mamta Pandey")</f>
        <v>Mamta Pandey</v>
      </c>
      <c r="K687" s="31" t="str">
        <f>IFERROR(__xludf.DUMMYFUNCTION("""COMPUTED_VALUE"""),"Joined")</f>
        <v>Joined</v>
      </c>
      <c r="L687" s="31" t="str">
        <f>IFERROR(__xludf.DUMMYFUNCTION("""COMPUTED_VALUE"""),"Virtual")</f>
        <v>Virtual</v>
      </c>
      <c r="M687" s="31" t="str">
        <f>IFERROR(__xludf.DUMMYFUNCTION("""COMPUTED_VALUE"""),"rahul.modi@zupee.in")</f>
        <v>rahul.modi@zupee.in</v>
      </c>
      <c r="N687" s="31"/>
    </row>
    <row r="688">
      <c r="A688" s="74">
        <f>IFERROR(__xludf.DUMMYFUNCTION("""COMPUTED_VALUE"""),45945.0)</f>
        <v>45945</v>
      </c>
      <c r="B688" s="31" t="str">
        <f>IFERROR(__xludf.DUMMYFUNCTION("""COMPUTED_VALUE"""),"Prasanna Karthik R")</f>
        <v>Prasanna Karthik R</v>
      </c>
      <c r="C688" s="31" t="str">
        <f>IFERROR(__xludf.DUMMYFUNCTION("""COMPUTED_VALUE"""),"Public Policy")</f>
        <v>Public Policy</v>
      </c>
      <c r="D688" s="31"/>
      <c r="E688" s="31" t="str">
        <f>IFERROR(__xludf.DUMMYFUNCTION("""COMPUTED_VALUE"""),"Vice President- Public Policy")</f>
        <v>Vice President- Public Policy</v>
      </c>
      <c r="F688" s="31" t="str">
        <f>IFERROR(__xludf.DUMMYFUNCTION("""COMPUTED_VALUE"""),"Public Policy")</f>
        <v>Public Policy</v>
      </c>
      <c r="G688" s="31" t="str">
        <f>IFERROR(__xludf.DUMMYFUNCTION("""COMPUTED_VALUE"""),"prasannakarthik@gmail.com")</f>
        <v>prasannakarthik@gmail.com</v>
      </c>
      <c r="H688" s="31" t="str">
        <f>IFERROR(__xludf.DUMMYFUNCTION("""COMPUTED_VALUE"""),"Dilsher Malhi")</f>
        <v>Dilsher Malhi</v>
      </c>
      <c r="I688" s="75">
        <f>IFERROR(__xludf.DUMMYFUNCTION("""COMPUTED_VALUE"""),45877.0)</f>
        <v>45877</v>
      </c>
      <c r="J688" s="31" t="str">
        <f>IFERROR(__xludf.DUMMYFUNCTION("""COMPUTED_VALUE"""),"M Sangeetha")</f>
        <v>M Sangeetha</v>
      </c>
      <c r="K688" s="31" t="str">
        <f>IFERROR(__xludf.DUMMYFUNCTION("""COMPUTED_VALUE"""),"Offer Revoked")</f>
        <v>Offer Revoked</v>
      </c>
      <c r="L688" s="31" t="str">
        <f>IFERROR(__xludf.DUMMYFUNCTION("""COMPUTED_VALUE"""),"In Office")</f>
        <v>In Office</v>
      </c>
      <c r="M688" s="31"/>
      <c r="N688" s="31"/>
    </row>
    <row r="689">
      <c r="A689" s="74">
        <f>IFERROR(__xludf.DUMMYFUNCTION("""COMPUTED_VALUE"""),45901.0)</f>
        <v>45901</v>
      </c>
      <c r="B689" s="31" t="str">
        <f>IFERROR(__xludf.DUMMYFUNCTION("""COMPUTED_VALUE"""),"Shivam Rajput")</f>
        <v>Shivam Rajput</v>
      </c>
      <c r="C689" s="31" t="str">
        <f>IFERROR(__xludf.DUMMYFUNCTION("""COMPUTED_VALUE"""),"Data")</f>
        <v>Data</v>
      </c>
      <c r="D689" s="31">
        <f>IFERROR(__xludf.DUMMYFUNCTION("""COMPUTED_VALUE"""),8.827456721E9)</f>
        <v>8827456721</v>
      </c>
      <c r="E689" s="31" t="str">
        <f>IFERROR(__xludf.DUMMYFUNCTION("""COMPUTED_VALUE"""),"Data Engineer")</f>
        <v>Data Engineer</v>
      </c>
      <c r="F689" s="31" t="str">
        <f>IFERROR(__xludf.DUMMYFUNCTION("""COMPUTED_VALUE"""),"Data Engineering")</f>
        <v>Data Engineering</v>
      </c>
      <c r="G689" s="31" t="str">
        <f>IFERROR(__xludf.DUMMYFUNCTION("""COMPUTED_VALUE"""),"shivam.rajput.mec20@itbhu.ac.in")</f>
        <v>shivam.rajput.mec20@itbhu.ac.in</v>
      </c>
      <c r="H689" s="31" t="str">
        <f>IFERROR(__xludf.DUMMYFUNCTION("""COMPUTED_VALUE"""),"Ketan Keshri")</f>
        <v>Ketan Keshri</v>
      </c>
      <c r="I689" s="75">
        <f>IFERROR(__xludf.DUMMYFUNCTION("""COMPUTED_VALUE"""),45880.0)</f>
        <v>45880</v>
      </c>
      <c r="J689" s="31" t="str">
        <f>IFERROR(__xludf.DUMMYFUNCTION("""COMPUTED_VALUE"""),"Gaurav Singh")</f>
        <v>Gaurav Singh</v>
      </c>
      <c r="K689" s="31" t="str">
        <f>IFERROR(__xludf.DUMMYFUNCTION("""COMPUTED_VALUE"""),"Offer Revoked")</f>
        <v>Offer Revoked</v>
      </c>
      <c r="L689" s="31" t="str">
        <f>IFERROR(__xludf.DUMMYFUNCTION("""COMPUTED_VALUE"""),"In Office")</f>
        <v>In Office</v>
      </c>
      <c r="M689" s="31"/>
      <c r="N689" s="31"/>
    </row>
    <row r="690">
      <c r="A690" s="74">
        <f>IFERROR(__xludf.DUMMYFUNCTION("""COMPUTED_VALUE"""),45902.0)</f>
        <v>45902</v>
      </c>
      <c r="B690" s="31" t="str">
        <f>IFERROR(__xludf.DUMMYFUNCTION("""COMPUTED_VALUE"""),"Pandiraj")</f>
        <v>Pandiraj</v>
      </c>
      <c r="C690" s="31" t="str">
        <f>IFERROR(__xludf.DUMMYFUNCTION("""COMPUTED_VALUE"""),"Customer Experience")</f>
        <v>Customer Experience</v>
      </c>
      <c r="D690" s="31">
        <f>IFERROR(__xludf.DUMMYFUNCTION("""COMPUTED_VALUE"""),9.625382277E9)</f>
        <v>9625382277</v>
      </c>
      <c r="E690" s="31" t="str">
        <f>IFERROR(__xludf.DUMMYFUNCTION("""COMPUTED_VALUE"""),"Relationship Manager")</f>
        <v>Relationship Manager</v>
      </c>
      <c r="F690" s="31" t="str">
        <f>IFERROR(__xludf.DUMMYFUNCTION("""COMPUTED_VALUE"""),"CRM")</f>
        <v>CRM</v>
      </c>
      <c r="G690" s="31" t="str">
        <f>IFERROR(__xludf.DUMMYFUNCTION("""COMPUTED_VALUE"""),"pandiraj2277@gmail.com")</f>
        <v>pandiraj2277@gmail.com</v>
      </c>
      <c r="H690" s="31" t="str">
        <f>IFERROR(__xludf.DUMMYFUNCTION("""COMPUTED_VALUE"""),"Shivam Bali")</f>
        <v>Shivam Bali</v>
      </c>
      <c r="I690" s="75">
        <f>IFERROR(__xludf.DUMMYFUNCTION("""COMPUTED_VALUE"""),45880.0)</f>
        <v>45880</v>
      </c>
      <c r="J690" s="31" t="str">
        <f>IFERROR(__xludf.DUMMYFUNCTION("""COMPUTED_VALUE"""),"Jaya Tiwari")</f>
        <v>Jaya Tiwari</v>
      </c>
      <c r="K690" s="31" t="str">
        <f>IFERROR(__xludf.DUMMYFUNCTION("""COMPUTED_VALUE"""),"Offer Revoked")</f>
        <v>Offer Revoked</v>
      </c>
      <c r="L690" s="31" t="str">
        <f>IFERROR(__xludf.DUMMYFUNCTION("""COMPUTED_VALUE"""),"In Office")</f>
        <v>In Office</v>
      </c>
      <c r="M690" s="31"/>
      <c r="N690" s="31"/>
    </row>
    <row r="691">
      <c r="A691" s="74">
        <f>IFERROR(__xludf.DUMMYFUNCTION("""COMPUTED_VALUE"""),45882.0)</f>
        <v>45882</v>
      </c>
      <c r="B691" s="31" t="str">
        <f>IFERROR(__xludf.DUMMYFUNCTION("""COMPUTED_VALUE"""),"Aniket Goel")</f>
        <v>Aniket Goel</v>
      </c>
      <c r="C691" s="31" t="str">
        <f>IFERROR(__xludf.DUMMYFUNCTION("""COMPUTED_VALUE"""),"Data")</f>
        <v>Data</v>
      </c>
      <c r="D691" s="31">
        <f>IFERROR(__xludf.DUMMYFUNCTION("""COMPUTED_VALUE"""),9.899750971E9)</f>
        <v>9899750971</v>
      </c>
      <c r="E691" s="31" t="str">
        <f>IFERROR(__xludf.DUMMYFUNCTION("""COMPUTED_VALUE"""),"Staff Data Engineer")</f>
        <v>Staff Data Engineer</v>
      </c>
      <c r="F691" s="31" t="str">
        <f>IFERROR(__xludf.DUMMYFUNCTION("""COMPUTED_VALUE"""),"Data Engineering")</f>
        <v>Data Engineering</v>
      </c>
      <c r="G691" s="31" t="str">
        <f>IFERROR(__xludf.DUMMYFUNCTION("""COMPUTED_VALUE"""),"aniketgoel100@gmail.com")</f>
        <v>aniketgoel100@gmail.com</v>
      </c>
      <c r="H691" s="31" t="str">
        <f>IFERROR(__xludf.DUMMYFUNCTION("""COMPUTED_VALUE"""),"Rahul Sharma")</f>
        <v>Rahul Sharma</v>
      </c>
      <c r="I691" s="75">
        <f>IFERROR(__xludf.DUMMYFUNCTION("""COMPUTED_VALUE"""),45881.0)</f>
        <v>45881</v>
      </c>
      <c r="J691" s="31" t="str">
        <f>IFERROR(__xludf.DUMMYFUNCTION("""COMPUTED_VALUE"""),"Naina")</f>
        <v>Naina</v>
      </c>
      <c r="K691" s="31" t="str">
        <f>IFERROR(__xludf.DUMMYFUNCTION("""COMPUTED_VALUE"""),"Joined")</f>
        <v>Joined</v>
      </c>
      <c r="L691" s="31" t="str">
        <f>IFERROR(__xludf.DUMMYFUNCTION("""COMPUTED_VALUE"""),"In Office")</f>
        <v>In Office</v>
      </c>
      <c r="M691" s="31" t="str">
        <f>IFERROR(__xludf.DUMMYFUNCTION("""COMPUTED_VALUE"""),"aniket.goel@zupee.in")</f>
        <v>aniket.goel@zupee.in</v>
      </c>
      <c r="N691" s="31" t="str">
        <f>IFERROR(__xludf.DUMMYFUNCTION("""COMPUTED_VALUE"""),"LM9YV9L54H")</f>
        <v>LM9YV9L54H</v>
      </c>
    </row>
    <row r="692">
      <c r="A692" s="74">
        <f>IFERROR(__xludf.DUMMYFUNCTION("""COMPUTED_VALUE"""),45894.0)</f>
        <v>45894</v>
      </c>
      <c r="B692" s="31" t="str">
        <f>IFERROR(__xludf.DUMMYFUNCTION("""COMPUTED_VALUE"""),"Romanch Arya")</f>
        <v>Romanch Arya</v>
      </c>
      <c r="C692" s="31" t="str">
        <f>IFERROR(__xludf.DUMMYFUNCTION("""COMPUTED_VALUE"""),"Data")</f>
        <v>Data</v>
      </c>
      <c r="D692" s="31">
        <f>IFERROR(__xludf.DUMMYFUNCTION("""COMPUTED_VALUE"""),9.663399272E9)</f>
        <v>9663399272</v>
      </c>
      <c r="E692" s="31" t="str">
        <f>IFERROR(__xludf.DUMMYFUNCTION("""COMPUTED_VALUE"""),"Senior Manager Data Analytics")</f>
        <v>Senior Manager Data Analytics</v>
      </c>
      <c r="F692" s="31" t="str">
        <f>IFERROR(__xludf.DUMMYFUNCTION("""COMPUTED_VALUE"""),"Data Analytics")</f>
        <v>Data Analytics</v>
      </c>
      <c r="G692" s="31" t="str">
        <f>IFERROR(__xludf.DUMMYFUNCTION("""COMPUTED_VALUE"""),"romancharya@gmail.com")</f>
        <v>romancharya@gmail.com</v>
      </c>
      <c r="H692" s="31" t="str">
        <f>IFERROR(__xludf.DUMMYFUNCTION("""COMPUTED_VALUE"""),"Karan aggarwal")</f>
        <v>Karan aggarwal</v>
      </c>
      <c r="I692" s="75">
        <f>IFERROR(__xludf.DUMMYFUNCTION("""COMPUTED_VALUE"""),45881.0)</f>
        <v>45881</v>
      </c>
      <c r="J692" s="31" t="str">
        <f>IFERROR(__xludf.DUMMYFUNCTION("""COMPUTED_VALUE"""),"Naina")</f>
        <v>Naina</v>
      </c>
      <c r="K692" s="31" t="str">
        <f>IFERROR(__xludf.DUMMYFUNCTION("""COMPUTED_VALUE"""),"Offer Revoked")</f>
        <v>Offer Revoked</v>
      </c>
      <c r="L692" s="31" t="str">
        <f>IFERROR(__xludf.DUMMYFUNCTION("""COMPUTED_VALUE"""),"In Office")</f>
        <v>In Office</v>
      </c>
      <c r="M692" s="31"/>
      <c r="N692" s="31"/>
    </row>
    <row r="693">
      <c r="A693" s="74">
        <f>IFERROR(__xludf.DUMMYFUNCTION("""COMPUTED_VALUE"""),45943.0)</f>
        <v>45943</v>
      </c>
      <c r="B693" s="31" t="str">
        <f>IFERROR(__xludf.DUMMYFUNCTION("""COMPUTED_VALUE"""),"Sahil Kukkar")</f>
        <v>Sahil Kukkar</v>
      </c>
      <c r="C693" s="31" t="str">
        <f>IFERROR(__xludf.DUMMYFUNCTION("""COMPUTED_VALUE"""),"Technology")</f>
        <v>Technology</v>
      </c>
      <c r="D693" s="31">
        <f>IFERROR(__xludf.DUMMYFUNCTION("""COMPUTED_VALUE"""),9.643058879E9)</f>
        <v>9643058879</v>
      </c>
      <c r="E693" s="31" t="str">
        <f>IFERROR(__xludf.DUMMYFUNCTION("""COMPUTED_VALUE"""),"Engineering Manager")</f>
        <v>Engineering Manager</v>
      </c>
      <c r="F693" s="31" t="str">
        <f>IFERROR(__xludf.DUMMYFUNCTION("""COMPUTED_VALUE"""),"Engineering ")</f>
        <v>Engineering </v>
      </c>
      <c r="G693" s="31" t="str">
        <f>IFERROR(__xludf.DUMMYFUNCTION("""COMPUTED_VALUE"""),"sahil.kukkar99@gmail.com")</f>
        <v>sahil.kukkar99@gmail.com</v>
      </c>
      <c r="H693" s="31" t="str">
        <f>IFERROR(__xludf.DUMMYFUNCTION("""COMPUTED_VALUE"""),"Abhishek Gupta")</f>
        <v>Abhishek Gupta</v>
      </c>
      <c r="I693" s="75">
        <f>IFERROR(__xludf.DUMMYFUNCTION("""COMPUTED_VALUE"""),45881.0)</f>
        <v>45881</v>
      </c>
      <c r="J693" s="31" t="str">
        <f>IFERROR(__xludf.DUMMYFUNCTION("""COMPUTED_VALUE"""),"Rajneesh Yadav")</f>
        <v>Rajneesh Yadav</v>
      </c>
      <c r="K693" s="31" t="str">
        <f>IFERROR(__xludf.DUMMYFUNCTION("""COMPUTED_VALUE"""),"Offer Revoked")</f>
        <v>Offer Revoked</v>
      </c>
      <c r="L693" s="31" t="str">
        <f>IFERROR(__xludf.DUMMYFUNCTION("""COMPUTED_VALUE"""),"In Office")</f>
        <v>In Office</v>
      </c>
      <c r="M693" s="31"/>
      <c r="N693" s="31"/>
    </row>
    <row r="694">
      <c r="A694" s="74">
        <f>IFERROR(__xludf.DUMMYFUNCTION("""COMPUTED_VALUE"""),45883.0)</f>
        <v>45883</v>
      </c>
      <c r="B694" s="31" t="str">
        <f>IFERROR(__xludf.DUMMYFUNCTION("""COMPUTED_VALUE"""),"Sahil Bajaj")</f>
        <v>Sahil Bajaj</v>
      </c>
      <c r="C694" s="31" t="str">
        <f>IFERROR(__xludf.DUMMYFUNCTION("""COMPUTED_VALUE"""),"Technology")</f>
        <v>Technology</v>
      </c>
      <c r="D694" s="31">
        <f>IFERROR(__xludf.DUMMYFUNCTION("""COMPUTED_VALUE"""),9.868079082E9)</f>
        <v>9868079082</v>
      </c>
      <c r="E694" s="31" t="str">
        <f>IFERROR(__xludf.DUMMYFUNCTION("""COMPUTED_VALUE"""),"Technical Lead")</f>
        <v>Technical Lead</v>
      </c>
      <c r="F694" s="31" t="str">
        <f>IFERROR(__xludf.DUMMYFUNCTION("""COMPUTED_VALUE"""),"Engineering ")</f>
        <v>Engineering </v>
      </c>
      <c r="G694" s="31" t="str">
        <f>IFERROR(__xludf.DUMMYFUNCTION("""COMPUTED_VALUE"""),"sahilbajaj85@yahoo.com ")</f>
        <v>sahilbajaj85@yahoo.com </v>
      </c>
      <c r="H694" s="31" t="str">
        <f>IFERROR(__xludf.DUMMYFUNCTION("""COMPUTED_VALUE"""),"Piyush shukla")</f>
        <v>Piyush shukla</v>
      </c>
      <c r="I694" s="75">
        <f>IFERROR(__xludf.DUMMYFUNCTION("""COMPUTED_VALUE"""),45882.0)</f>
        <v>45882</v>
      </c>
      <c r="J694" s="31" t="str">
        <f>IFERROR(__xludf.DUMMYFUNCTION("""COMPUTED_VALUE"""),"Jaya Tiwari")</f>
        <v>Jaya Tiwari</v>
      </c>
      <c r="K694" s="31" t="str">
        <f>IFERROR(__xludf.DUMMYFUNCTION("""COMPUTED_VALUE"""),"Joined")</f>
        <v>Joined</v>
      </c>
      <c r="L694" s="31" t="str">
        <f>IFERROR(__xludf.DUMMYFUNCTION("""COMPUTED_VALUE"""),"In Office")</f>
        <v>In Office</v>
      </c>
      <c r="M694" s="31" t="str">
        <f>IFERROR(__xludf.DUMMYFUNCTION("""COMPUTED_VALUE"""),"sahil.bajaj@zupee.in")</f>
        <v>sahil.bajaj@zupee.in</v>
      </c>
      <c r="N694" s="31"/>
    </row>
    <row r="695">
      <c r="A695" s="74">
        <f>IFERROR(__xludf.DUMMYFUNCTION("""COMPUTED_VALUE"""),45883.0)</f>
        <v>45883</v>
      </c>
      <c r="B695" s="31" t="str">
        <f>IFERROR(__xludf.DUMMYFUNCTION("""COMPUTED_VALUE"""),"Vidit Mathur")</f>
        <v>Vidit Mathur</v>
      </c>
      <c r="C695" s="31" t="str">
        <f>IFERROR(__xludf.DUMMYFUNCTION("""COMPUTED_VALUE"""),"Technology")</f>
        <v>Technology</v>
      </c>
      <c r="D695" s="31">
        <f>IFERROR(__xludf.DUMMYFUNCTION("""COMPUTED_VALUE"""),8.586910575E9)</f>
        <v>8586910575</v>
      </c>
      <c r="E695" s="31" t="str">
        <f>IFERROR(__xludf.DUMMYFUNCTION("""COMPUTED_VALUE"""),"Senior Software Engineer")</f>
        <v>Senior Software Engineer</v>
      </c>
      <c r="F695" s="31" t="str">
        <f>IFERROR(__xludf.DUMMYFUNCTION("""COMPUTED_VALUE"""),"Engineering ")</f>
        <v>Engineering </v>
      </c>
      <c r="G695" s="31" t="str">
        <f>IFERROR(__xludf.DUMMYFUNCTION("""COMPUTED_VALUE"""),"viditmathur575@gmail.com")</f>
        <v>viditmathur575@gmail.com</v>
      </c>
      <c r="H695" s="31" t="str">
        <f>IFERROR(__xludf.DUMMYFUNCTION("""COMPUTED_VALUE"""),"Amit Garg")</f>
        <v>Amit Garg</v>
      </c>
      <c r="I695" s="75">
        <f>IFERROR(__xludf.DUMMYFUNCTION("""COMPUTED_VALUE"""),45882.0)</f>
        <v>45882</v>
      </c>
      <c r="J695" s="31" t="str">
        <f>IFERROR(__xludf.DUMMYFUNCTION("""COMPUTED_VALUE"""),"Cheshtha Sharma")</f>
        <v>Cheshtha Sharma</v>
      </c>
      <c r="K695" s="31" t="str">
        <f>IFERROR(__xludf.DUMMYFUNCTION("""COMPUTED_VALUE"""),"Joined")</f>
        <v>Joined</v>
      </c>
      <c r="L695" s="31" t="str">
        <f>IFERROR(__xludf.DUMMYFUNCTION("""COMPUTED_VALUE"""),"In Office")</f>
        <v>In Office</v>
      </c>
      <c r="M695" s="31" t="str">
        <f>IFERROR(__xludf.DUMMYFUNCTION("""COMPUTED_VALUE"""),"vidit.mathur@zupee.in")</f>
        <v>vidit.mathur@zupee.in</v>
      </c>
      <c r="N695" s="31" t="str">
        <f>IFERROR(__xludf.DUMMYFUNCTION("""COMPUTED_VALUE"""),"HCQFYL7H1Q")</f>
        <v>HCQFYL7H1Q</v>
      </c>
    </row>
    <row r="696">
      <c r="A696" s="74">
        <f>IFERROR(__xludf.DUMMYFUNCTION("""COMPUTED_VALUE"""),45944.0)</f>
        <v>45944</v>
      </c>
      <c r="B696" s="31" t="str">
        <f>IFERROR(__xludf.DUMMYFUNCTION("""COMPUTED_VALUE"""),"Akash Khandelwal")</f>
        <v>Akash Khandelwal</v>
      </c>
      <c r="C696" s="31" t="str">
        <f>IFERROR(__xludf.DUMMYFUNCTION("""COMPUTED_VALUE"""),"Digital Marketing")</f>
        <v>Digital Marketing</v>
      </c>
      <c r="D696" s="31">
        <f>IFERROR(__xludf.DUMMYFUNCTION("""COMPUTED_VALUE"""),8.959844892E9)</f>
        <v>8959844892</v>
      </c>
      <c r="E696" s="31" t="str">
        <f>IFERROR(__xludf.DUMMYFUNCTION("""COMPUTED_VALUE"""),"Manager Digital Marketing")</f>
        <v>Manager Digital Marketing</v>
      </c>
      <c r="F696" s="31" t="str">
        <f>IFERROR(__xludf.DUMMYFUNCTION("""COMPUTED_VALUE"""),"Performance Marketing")</f>
        <v>Performance Marketing</v>
      </c>
      <c r="G696" s="31" t="str">
        <f>IFERROR(__xludf.DUMMYFUNCTION("""COMPUTED_VALUE"""),"akashkhmba@gmail.com")</f>
        <v>akashkhmba@gmail.com</v>
      </c>
      <c r="H696" s="31" t="str">
        <f>IFERROR(__xludf.DUMMYFUNCTION("""COMPUTED_VALUE"""),"Piyush Patel")</f>
        <v>Piyush Patel</v>
      </c>
      <c r="I696" s="75">
        <f>IFERROR(__xludf.DUMMYFUNCTION("""COMPUTED_VALUE"""),45882.0)</f>
        <v>45882</v>
      </c>
      <c r="J696" s="31" t="str">
        <f>IFERROR(__xludf.DUMMYFUNCTION("""COMPUTED_VALUE"""),"Vipin Kumar")</f>
        <v>Vipin Kumar</v>
      </c>
      <c r="K696" s="31" t="str">
        <f>IFERROR(__xludf.DUMMYFUNCTION("""COMPUTED_VALUE"""),"Offer Revoked")</f>
        <v>Offer Revoked</v>
      </c>
      <c r="L696" s="31" t="str">
        <f>IFERROR(__xludf.DUMMYFUNCTION("""COMPUTED_VALUE"""),"In Office")</f>
        <v>In Office</v>
      </c>
      <c r="M696" s="31"/>
      <c r="N696" s="31"/>
    </row>
    <row r="697">
      <c r="A697" s="74">
        <f>IFERROR(__xludf.DUMMYFUNCTION("""COMPUTED_VALUE"""),45915.0)</f>
        <v>45915</v>
      </c>
      <c r="B697" s="31" t="str">
        <f>IFERROR(__xludf.DUMMYFUNCTION("""COMPUTED_VALUE"""),"Rahul Maheshwari")</f>
        <v>Rahul Maheshwari</v>
      </c>
      <c r="C697" s="31" t="str">
        <f>IFERROR(__xludf.DUMMYFUNCTION("""COMPUTED_VALUE"""),"Technology")</f>
        <v>Technology</v>
      </c>
      <c r="D697" s="31">
        <f>IFERROR(__xludf.DUMMYFUNCTION("""COMPUTED_VALUE"""),8.290412782E9)</f>
        <v>8290412782</v>
      </c>
      <c r="E697" s="31" t="str">
        <f>IFERROR(__xludf.DUMMYFUNCTION("""COMPUTED_VALUE"""),"Software Engineer")</f>
        <v>Software Engineer</v>
      </c>
      <c r="F697" s="31" t="str">
        <f>IFERROR(__xludf.DUMMYFUNCTION("""COMPUTED_VALUE"""),"Engineering ")</f>
        <v>Engineering </v>
      </c>
      <c r="G697" s="31" t="str">
        <f>IFERROR(__xludf.DUMMYFUNCTION("""COMPUTED_VALUE"""),"rajmaheshwari27012000@gmail.com")</f>
        <v>rajmaheshwari27012000@gmail.com</v>
      </c>
      <c r="H697" s="31" t="str">
        <f>IFERROR(__xludf.DUMMYFUNCTION("""COMPUTED_VALUE"""),"Amit Garg")</f>
        <v>Amit Garg</v>
      </c>
      <c r="I697" s="75">
        <f>IFERROR(__xludf.DUMMYFUNCTION("""COMPUTED_VALUE"""),45882.0)</f>
        <v>45882</v>
      </c>
      <c r="J697" s="31" t="str">
        <f>IFERROR(__xludf.DUMMYFUNCTION("""COMPUTED_VALUE"""),"Cheshtha Sharma")</f>
        <v>Cheshtha Sharma</v>
      </c>
      <c r="K697" s="31" t="str">
        <f>IFERROR(__xludf.DUMMYFUNCTION("""COMPUTED_VALUE"""),"Offer Revoked")</f>
        <v>Offer Revoked</v>
      </c>
      <c r="L697" s="31" t="str">
        <f>IFERROR(__xludf.DUMMYFUNCTION("""COMPUTED_VALUE"""),"In Office")</f>
        <v>In Office</v>
      </c>
      <c r="M697" s="31"/>
      <c r="N697" s="31"/>
    </row>
    <row r="698">
      <c r="A698" s="74">
        <f>IFERROR(__xludf.DUMMYFUNCTION("""COMPUTED_VALUE"""),45887.0)</f>
        <v>45887</v>
      </c>
      <c r="B698" s="31" t="str">
        <f>IFERROR(__xludf.DUMMYFUNCTION("""COMPUTED_VALUE"""),"Deepak Kumar")</f>
        <v>Deepak Kumar</v>
      </c>
      <c r="C698" s="31" t="str">
        <f>IFERROR(__xludf.DUMMYFUNCTION("""COMPUTED_VALUE"""),"Technology")</f>
        <v>Technology</v>
      </c>
      <c r="D698" s="31">
        <f>IFERROR(__xludf.DUMMYFUNCTION("""COMPUTED_VALUE"""),7.669583772E9)</f>
        <v>7669583772</v>
      </c>
      <c r="E698" s="31" t="str">
        <f>IFERROR(__xludf.DUMMYFUNCTION("""COMPUTED_VALUE"""),"Technical Architect")</f>
        <v>Technical Architect</v>
      </c>
      <c r="F698" s="31" t="str">
        <f>IFERROR(__xludf.DUMMYFUNCTION("""COMPUTED_VALUE"""),"Engineering ")</f>
        <v>Engineering </v>
      </c>
      <c r="G698" s="31" t="str">
        <f>IFERROR(__xludf.DUMMYFUNCTION("""COMPUTED_VALUE"""),"deepakiitr2015@gmail.com")</f>
        <v>deepakiitr2015@gmail.com</v>
      </c>
      <c r="H698" s="31" t="str">
        <f>IFERROR(__xludf.DUMMYFUNCTION("""COMPUTED_VALUE"""),"Abhishek Gupta")</f>
        <v>Abhishek Gupta</v>
      </c>
      <c r="I698" s="75">
        <f>IFERROR(__xludf.DUMMYFUNCTION("""COMPUTED_VALUE"""),45882.0)</f>
        <v>45882</v>
      </c>
      <c r="J698" s="31" t="str">
        <f>IFERROR(__xludf.DUMMYFUNCTION("""COMPUTED_VALUE"""),"Naina")</f>
        <v>Naina</v>
      </c>
      <c r="K698" s="31" t="str">
        <f>IFERROR(__xludf.DUMMYFUNCTION("""COMPUTED_VALUE"""),"Joined")</f>
        <v>Joined</v>
      </c>
      <c r="L698" s="31" t="str">
        <f>IFERROR(__xludf.DUMMYFUNCTION("""COMPUTED_VALUE"""),"Virtual")</f>
        <v>Virtual</v>
      </c>
      <c r="M698" s="31" t="str">
        <f>IFERROR(__xludf.DUMMYFUNCTION("""COMPUTED_VALUE"""),"deepak.kumar@zupee.in")</f>
        <v>deepak.kumar@zupee.in</v>
      </c>
      <c r="N698" s="31"/>
    </row>
    <row r="699">
      <c r="A699" s="74">
        <f>IFERROR(__xludf.DUMMYFUNCTION("""COMPUTED_VALUE"""),45925.0)</f>
        <v>45925</v>
      </c>
      <c r="B699" s="31" t="str">
        <f>IFERROR(__xludf.DUMMYFUNCTION("""COMPUTED_VALUE"""),"Siddharth Gupta")</f>
        <v>Siddharth Gupta</v>
      </c>
      <c r="C699" s="31" t="str">
        <f>IFERROR(__xludf.DUMMYFUNCTION("""COMPUTED_VALUE"""),"Technology")</f>
        <v>Technology</v>
      </c>
      <c r="D699" s="31">
        <f>IFERROR(__xludf.DUMMYFUNCTION("""COMPUTED_VALUE"""),9.079652448E9)</f>
        <v>9079652448</v>
      </c>
      <c r="E699" s="31" t="str">
        <f>IFERROR(__xludf.DUMMYFUNCTION("""COMPUTED_VALUE"""),"Senior Software Engineer")</f>
        <v>Senior Software Engineer</v>
      </c>
      <c r="F699" s="31" t="str">
        <f>IFERROR(__xludf.DUMMYFUNCTION("""COMPUTED_VALUE"""),"Engineering ")</f>
        <v>Engineering </v>
      </c>
      <c r="G699" s="31" t="str">
        <f>IFERROR(__xludf.DUMMYFUNCTION("""COMPUTED_VALUE"""),"siddharthgupta980681@gmail.com")</f>
        <v>siddharthgupta980681@gmail.com</v>
      </c>
      <c r="H699" s="31" t="str">
        <f>IFERROR(__xludf.DUMMYFUNCTION("""COMPUTED_VALUE"""),"Piyush Shukla")</f>
        <v>Piyush Shukla</v>
      </c>
      <c r="I699" s="75">
        <f>IFERROR(__xludf.DUMMYFUNCTION("""COMPUTED_VALUE"""),45882.0)</f>
        <v>45882</v>
      </c>
      <c r="J699" s="31" t="str">
        <f>IFERROR(__xludf.DUMMYFUNCTION("""COMPUTED_VALUE"""),"Harsha Nanwani")</f>
        <v>Harsha Nanwani</v>
      </c>
      <c r="K699" s="31" t="str">
        <f>IFERROR(__xludf.DUMMYFUNCTION("""COMPUTED_VALUE"""),"Offer Revoked")</f>
        <v>Offer Revoked</v>
      </c>
      <c r="L699" s="31" t="str">
        <f>IFERROR(__xludf.DUMMYFUNCTION("""COMPUTED_VALUE"""),"In Office")</f>
        <v>In Office</v>
      </c>
      <c r="M699" s="31"/>
      <c r="N699" s="31"/>
    </row>
    <row r="700">
      <c r="A700" s="74">
        <f>IFERROR(__xludf.DUMMYFUNCTION("""COMPUTED_VALUE"""),45901.0)</f>
        <v>45901</v>
      </c>
      <c r="B700" s="31" t="str">
        <f>IFERROR(__xludf.DUMMYFUNCTION("""COMPUTED_VALUE"""),"Javteshwar Singh")</f>
        <v>Javteshwar Singh</v>
      </c>
      <c r="C700" s="31" t="str">
        <f>IFERROR(__xludf.DUMMYFUNCTION("""COMPUTED_VALUE"""),"Technology")</f>
        <v>Technology</v>
      </c>
      <c r="D700" s="31">
        <f>IFERROR(__xludf.DUMMYFUNCTION("""COMPUTED_VALUE"""),9.872532221E9)</f>
        <v>9872532221</v>
      </c>
      <c r="E700" s="31" t="str">
        <f>IFERROR(__xludf.DUMMYFUNCTION("""COMPUTED_VALUE"""),"Senior Software Engineer")</f>
        <v>Senior Software Engineer</v>
      </c>
      <c r="F700" s="31" t="str">
        <f>IFERROR(__xludf.DUMMYFUNCTION("""COMPUTED_VALUE"""),"Engineering ")</f>
        <v>Engineering </v>
      </c>
      <c r="G700" s="31" t="str">
        <f>IFERROR(__xludf.DUMMYFUNCTION("""COMPUTED_VALUE"""),"javteshwargill@gmail.com")</f>
        <v>javteshwargill@gmail.com</v>
      </c>
      <c r="H700" s="31" t="str">
        <f>IFERROR(__xludf.DUMMYFUNCTION("""COMPUTED_VALUE"""),"Aman Gupta")</f>
        <v>Aman Gupta</v>
      </c>
      <c r="I700" s="75">
        <f>IFERROR(__xludf.DUMMYFUNCTION("""COMPUTED_VALUE"""),45882.0)</f>
        <v>45882</v>
      </c>
      <c r="J700" s="31" t="str">
        <f>IFERROR(__xludf.DUMMYFUNCTION("""COMPUTED_VALUE"""),"Harsha Nanwani")</f>
        <v>Harsha Nanwani</v>
      </c>
      <c r="K700" s="31" t="str">
        <f>IFERROR(__xludf.DUMMYFUNCTION("""COMPUTED_VALUE"""),"Offer Revoked")</f>
        <v>Offer Revoked</v>
      </c>
      <c r="L700" s="31" t="str">
        <f>IFERROR(__xludf.DUMMYFUNCTION("""COMPUTED_VALUE"""),"In Office")</f>
        <v>In Office</v>
      </c>
      <c r="M700" s="31"/>
      <c r="N700" s="31"/>
    </row>
    <row r="701">
      <c r="A701" s="74">
        <f>IFERROR(__xludf.DUMMYFUNCTION("""COMPUTED_VALUE"""),45887.0)</f>
        <v>45887</v>
      </c>
      <c r="B701" s="31" t="str">
        <f>IFERROR(__xludf.DUMMYFUNCTION("""COMPUTED_VALUE"""),"Kamya Aggarwal")</f>
        <v>Kamya Aggarwal</v>
      </c>
      <c r="C701" s="31" t="str">
        <f>IFERROR(__xludf.DUMMYFUNCTION("""COMPUTED_VALUE"""),"Digital Marketing")</f>
        <v>Digital Marketing</v>
      </c>
      <c r="D701" s="31">
        <f>IFERROR(__xludf.DUMMYFUNCTION("""COMPUTED_VALUE"""),9.599759157E9)</f>
        <v>9599759157</v>
      </c>
      <c r="E701" s="31" t="str">
        <f>IFERROR(__xludf.DUMMYFUNCTION("""COMPUTED_VALUE"""),"Assistant Manager - Marketing Analytics")</f>
        <v>Assistant Manager - Marketing Analytics</v>
      </c>
      <c r="F701" s="31" t="str">
        <f>IFERROR(__xludf.DUMMYFUNCTION("""COMPUTED_VALUE"""),"Analytics")</f>
        <v>Analytics</v>
      </c>
      <c r="G701" s="31" t="str">
        <f>IFERROR(__xludf.DUMMYFUNCTION("""COMPUTED_VALUE"""),"kamyaaggarwal07@gmail.com")</f>
        <v>kamyaaggarwal07@gmail.com</v>
      </c>
      <c r="H701" s="31" t="str">
        <f>IFERROR(__xludf.DUMMYFUNCTION("""COMPUTED_VALUE"""),"Mohit Garg")</f>
        <v>Mohit Garg</v>
      </c>
      <c r="I701" s="75">
        <f>IFERROR(__xludf.DUMMYFUNCTION("""COMPUTED_VALUE"""),45883.0)</f>
        <v>45883</v>
      </c>
      <c r="J701" s="31" t="str">
        <f>IFERROR(__xludf.DUMMYFUNCTION("""COMPUTED_VALUE"""),"Naina")</f>
        <v>Naina</v>
      </c>
      <c r="K701" s="31" t="str">
        <f>IFERROR(__xludf.DUMMYFUNCTION("""COMPUTED_VALUE"""),"Joined")</f>
        <v>Joined</v>
      </c>
      <c r="L701" s="31" t="str">
        <f>IFERROR(__xludf.DUMMYFUNCTION("""COMPUTED_VALUE"""),"In Office")</f>
        <v>In Office</v>
      </c>
      <c r="M701" s="31" t="str">
        <f>IFERROR(__xludf.DUMMYFUNCTION("""COMPUTED_VALUE"""),"kamya.aggarwal@zupee.in")</f>
        <v>kamya.aggarwal@zupee.in</v>
      </c>
      <c r="N701" s="31"/>
    </row>
    <row r="702">
      <c r="A702" s="74">
        <f>IFERROR(__xludf.DUMMYFUNCTION("""COMPUTED_VALUE"""),45894.0)</f>
        <v>45894</v>
      </c>
      <c r="B702" s="31" t="str">
        <f>IFERROR(__xludf.DUMMYFUNCTION("""COMPUTED_VALUE"""),"Shah Faizal Khan")</f>
        <v>Shah Faizal Khan</v>
      </c>
      <c r="C702" s="31" t="str">
        <f>IFERROR(__xludf.DUMMYFUNCTION("""COMPUTED_VALUE"""),"Technology")</f>
        <v>Technology</v>
      </c>
      <c r="D702" s="31">
        <f>IFERROR(__xludf.DUMMYFUNCTION("""COMPUTED_VALUE"""),8.368534075E9)</f>
        <v>8368534075</v>
      </c>
      <c r="E702" s="31" t="str">
        <f>IFERROR(__xludf.DUMMYFUNCTION("""COMPUTED_VALUE"""),"Software Engineer")</f>
        <v>Software Engineer</v>
      </c>
      <c r="F702" s="31" t="str">
        <f>IFERROR(__xludf.DUMMYFUNCTION("""COMPUTED_VALUE"""),"Engineering ")</f>
        <v>Engineering </v>
      </c>
      <c r="G702" s="31" t="str">
        <f>IFERROR(__xludf.DUMMYFUNCTION("""COMPUTED_VALUE"""),"fk2224542@gmail.com")</f>
        <v>fk2224542@gmail.com</v>
      </c>
      <c r="H702" s="31" t="str">
        <f>IFERROR(__xludf.DUMMYFUNCTION("""COMPUTED_VALUE"""),"Rahul Sharma")</f>
        <v>Rahul Sharma</v>
      </c>
      <c r="I702" s="75">
        <f>IFERROR(__xludf.DUMMYFUNCTION("""COMPUTED_VALUE"""),45883.0)</f>
        <v>45883</v>
      </c>
      <c r="J702" s="31" t="str">
        <f>IFERROR(__xludf.DUMMYFUNCTION("""COMPUTED_VALUE"""),"Cheshtha Sharma")</f>
        <v>Cheshtha Sharma</v>
      </c>
      <c r="K702" s="31" t="str">
        <f>IFERROR(__xludf.DUMMYFUNCTION("""COMPUTED_VALUE"""),"Offer Revoked")</f>
        <v>Offer Revoked</v>
      </c>
      <c r="L702" s="31" t="str">
        <f>IFERROR(__xludf.DUMMYFUNCTION("""COMPUTED_VALUE"""),"In Office")</f>
        <v>In Office</v>
      </c>
      <c r="M702" s="31" t="str">
        <f>IFERROR(__xludf.DUMMYFUNCTION("""COMPUTED_VALUE"""),"faizal.khan@zupee.in")</f>
        <v>faizal.khan@zupee.in</v>
      </c>
      <c r="N702" s="31"/>
    </row>
    <row r="703">
      <c r="A703" s="74">
        <f>IFERROR(__xludf.DUMMYFUNCTION("""COMPUTED_VALUE"""),45887.0)</f>
        <v>45887</v>
      </c>
      <c r="B703" s="31" t="str">
        <f>IFERROR(__xludf.DUMMYFUNCTION("""COMPUTED_VALUE"""),"Sunny Shanker Anand")</f>
        <v>Sunny Shanker Anand</v>
      </c>
      <c r="C703" s="31" t="str">
        <f>IFERROR(__xludf.DUMMYFUNCTION("""COMPUTED_VALUE"""),"Public Policy")</f>
        <v>Public Policy</v>
      </c>
      <c r="D703" s="31">
        <f>IFERROR(__xludf.DUMMYFUNCTION("""COMPUTED_VALUE"""),8.130311217E9)</f>
        <v>8130311217</v>
      </c>
      <c r="E703" s="31" t="str">
        <f>IFERROR(__xludf.DUMMYFUNCTION("""COMPUTED_VALUE"""),"Manager-Public Policy")</f>
        <v>Manager-Public Policy</v>
      </c>
      <c r="F703" s="31" t="str">
        <f>IFERROR(__xludf.DUMMYFUNCTION("""COMPUTED_VALUE"""),"Public Policy")</f>
        <v>Public Policy</v>
      </c>
      <c r="G703" s="31" t="str">
        <f>IFERROR(__xludf.DUMMYFUNCTION("""COMPUTED_VALUE"""),"Sunny31jul@gmail.com")</f>
        <v>Sunny31jul@gmail.com</v>
      </c>
      <c r="H703" s="31" t="str">
        <f>IFERROR(__xludf.DUMMYFUNCTION("""COMPUTED_VALUE"""),"Ravi Jha")</f>
        <v>Ravi Jha</v>
      </c>
      <c r="I703" s="75">
        <f>IFERROR(__xludf.DUMMYFUNCTION("""COMPUTED_VALUE"""),45883.0)</f>
        <v>45883</v>
      </c>
      <c r="J703" s="31" t="str">
        <f>IFERROR(__xludf.DUMMYFUNCTION("""COMPUTED_VALUE"""),"Rajneesh Yadav")</f>
        <v>Rajneesh Yadav</v>
      </c>
      <c r="K703" s="31" t="str">
        <f>IFERROR(__xludf.DUMMYFUNCTION("""COMPUTED_VALUE"""),"Joined")</f>
        <v>Joined</v>
      </c>
      <c r="L703" s="31" t="str">
        <f>IFERROR(__xludf.DUMMYFUNCTION("""COMPUTED_VALUE"""),"In Office")</f>
        <v>In Office</v>
      </c>
      <c r="M703" s="31" t="str">
        <f>IFERROR(__xludf.DUMMYFUNCTION("""COMPUTED_VALUE"""),"sunny.anand@zupee.in")</f>
        <v>sunny.anand@zupee.in</v>
      </c>
      <c r="N703" s="31"/>
    </row>
    <row r="704">
      <c r="A704" s="74">
        <f>IFERROR(__xludf.DUMMYFUNCTION("""COMPUTED_VALUE"""),45915.0)</f>
        <v>45915</v>
      </c>
      <c r="B704" s="31" t="str">
        <f>IFERROR(__xludf.DUMMYFUNCTION("""COMPUTED_VALUE"""),"Alimpan Banerjee")</f>
        <v>Alimpan Banerjee</v>
      </c>
      <c r="C704" s="31" t="str">
        <f>IFERROR(__xludf.DUMMYFUNCTION("""COMPUTED_VALUE"""),"Public Policy")</f>
        <v>Public Policy</v>
      </c>
      <c r="D704" s="31">
        <f>IFERROR(__xludf.DUMMYFUNCTION("""COMPUTED_VALUE"""),9.123715401E9)</f>
        <v>9123715401</v>
      </c>
      <c r="E704" s="31" t="str">
        <f>IFERROR(__xludf.DUMMYFUNCTION("""COMPUTED_VALUE"""),"Associate Director- Public Policy")</f>
        <v>Associate Director- Public Policy</v>
      </c>
      <c r="F704" s="31" t="str">
        <f>IFERROR(__xludf.DUMMYFUNCTION("""COMPUTED_VALUE"""),"Public Policy")</f>
        <v>Public Policy</v>
      </c>
      <c r="G704" s="31" t="str">
        <f>IFERROR(__xludf.DUMMYFUNCTION("""COMPUTED_VALUE"""),"banerjeealimpan@gmail.com")</f>
        <v>banerjeealimpan@gmail.com</v>
      </c>
      <c r="H704" s="31" t="str">
        <f>IFERROR(__xludf.DUMMYFUNCTION("""COMPUTED_VALUE"""),"Ravi Jha")</f>
        <v>Ravi Jha</v>
      </c>
      <c r="I704" s="75">
        <f>IFERROR(__xludf.DUMMYFUNCTION("""COMPUTED_VALUE"""),45883.0)</f>
        <v>45883</v>
      </c>
      <c r="J704" s="31" t="str">
        <f>IFERROR(__xludf.DUMMYFUNCTION("""COMPUTED_VALUE"""),"Rajneesh Yadav")</f>
        <v>Rajneesh Yadav</v>
      </c>
      <c r="K704" s="31" t="str">
        <f>IFERROR(__xludf.DUMMYFUNCTION("""COMPUTED_VALUE"""),"Offer Revoked")</f>
        <v>Offer Revoked</v>
      </c>
      <c r="L704" s="31" t="str">
        <f>IFERROR(__xludf.DUMMYFUNCTION("""COMPUTED_VALUE"""),"In Office")</f>
        <v>In Office</v>
      </c>
      <c r="M704" s="31"/>
      <c r="N704" s="31"/>
    </row>
    <row r="705">
      <c r="A705" s="74">
        <f>IFERROR(__xludf.DUMMYFUNCTION("""COMPUTED_VALUE"""),45922.0)</f>
        <v>45922</v>
      </c>
      <c r="B705" s="31" t="str">
        <f>IFERROR(__xludf.DUMMYFUNCTION("""COMPUTED_VALUE"""),"Sagar Dattatray Mandlik.")</f>
        <v>Sagar Dattatray Mandlik.</v>
      </c>
      <c r="C705" s="31" t="str">
        <f>IFERROR(__xludf.DUMMYFUNCTION("""COMPUTED_VALUE"""),"IT Infra")</f>
        <v>IT Infra</v>
      </c>
      <c r="D705" s="31">
        <f>IFERROR(__xludf.DUMMYFUNCTION("""COMPUTED_VALUE"""),8.669827187E9)</f>
        <v>8669827187</v>
      </c>
      <c r="E705" s="31" t="str">
        <f>IFERROR(__xludf.DUMMYFUNCTION("""COMPUTED_VALUE"""),"Senior IT Executive")</f>
        <v>Senior IT Executive</v>
      </c>
      <c r="F705" s="31" t="str">
        <f>IFERROR(__xludf.DUMMYFUNCTION("""COMPUTED_VALUE"""),"IT Infra")</f>
        <v>IT Infra</v>
      </c>
      <c r="G705" s="31" t="str">
        <f>IFERROR(__xludf.DUMMYFUNCTION("""COMPUTED_VALUE"""),"smandlik75@gmail.com")</f>
        <v>smandlik75@gmail.com</v>
      </c>
      <c r="H705" s="31" t="str">
        <f>IFERROR(__xludf.DUMMYFUNCTION("""COMPUTED_VALUE"""),"Rajkumar Singh")</f>
        <v>Rajkumar Singh</v>
      </c>
      <c r="I705" s="75">
        <f>IFERROR(__xludf.DUMMYFUNCTION("""COMPUTED_VALUE"""),45887.0)</f>
        <v>45887</v>
      </c>
      <c r="J705" s="31" t="str">
        <f>IFERROR(__xludf.DUMMYFUNCTION("""COMPUTED_VALUE"""),"Vipin Kumar")</f>
        <v>Vipin Kumar</v>
      </c>
      <c r="K705" s="31" t="str">
        <f>IFERROR(__xludf.DUMMYFUNCTION("""COMPUTED_VALUE"""),"Offer Revoked")</f>
        <v>Offer Revoked</v>
      </c>
      <c r="L705" s="31" t="str">
        <f>IFERROR(__xludf.DUMMYFUNCTION("""COMPUTED_VALUE"""),"In Office")</f>
        <v>In Office</v>
      </c>
      <c r="M705" s="31"/>
      <c r="N705" s="31"/>
    </row>
    <row r="706">
      <c r="A706" s="74">
        <f>IFERROR(__xludf.DUMMYFUNCTION("""COMPUTED_VALUE"""),45943.0)</f>
        <v>45943</v>
      </c>
      <c r="B706" s="31" t="str">
        <f>IFERROR(__xludf.DUMMYFUNCTION("""COMPUTED_VALUE"""),"Sanat Jain")</f>
        <v>Sanat Jain</v>
      </c>
      <c r="C706" s="31" t="str">
        <f>IFERROR(__xludf.DUMMYFUNCTION("""COMPUTED_VALUE"""),"Data")</f>
        <v>Data</v>
      </c>
      <c r="D706" s="31">
        <f>IFERROR(__xludf.DUMMYFUNCTION("""COMPUTED_VALUE"""),9.871152322E9)</f>
        <v>9871152322</v>
      </c>
      <c r="E706" s="31" t="str">
        <f>IFERROR(__xludf.DUMMYFUNCTION("""COMPUTED_VALUE"""),"Senior Manager- Data Analytics")</f>
        <v>Senior Manager- Data Analytics</v>
      </c>
      <c r="F706" s="31" t="str">
        <f>IFERROR(__xludf.DUMMYFUNCTION("""COMPUTED_VALUE"""),"Data Analytics")</f>
        <v>Data Analytics</v>
      </c>
      <c r="G706" s="31" t="str">
        <f>IFERROR(__xludf.DUMMYFUNCTION("""COMPUTED_VALUE"""),"sanatjain1993@gmail.com")</f>
        <v>sanatjain1993@gmail.com</v>
      </c>
      <c r="H706" s="31" t="str">
        <f>IFERROR(__xludf.DUMMYFUNCTION("""COMPUTED_VALUE"""),"Raman Malik")</f>
        <v>Raman Malik</v>
      </c>
      <c r="I706" s="75">
        <f>IFERROR(__xludf.DUMMYFUNCTION("""COMPUTED_VALUE"""),45887.0)</f>
        <v>45887</v>
      </c>
      <c r="J706" s="31" t="str">
        <f>IFERROR(__xludf.DUMMYFUNCTION("""COMPUTED_VALUE"""),"Mamta Pandey")</f>
        <v>Mamta Pandey</v>
      </c>
      <c r="K706" s="31" t="str">
        <f>IFERROR(__xludf.DUMMYFUNCTION("""COMPUTED_VALUE"""),"Offer Revoked")</f>
        <v>Offer Revoked</v>
      </c>
      <c r="L706" s="31" t="str">
        <f>IFERROR(__xludf.DUMMYFUNCTION("""COMPUTED_VALUE"""),"In Office")</f>
        <v>In Office</v>
      </c>
      <c r="M706" s="31"/>
      <c r="N706" s="31"/>
    </row>
    <row r="707">
      <c r="A707" s="74">
        <f>IFERROR(__xludf.DUMMYFUNCTION("""COMPUTED_VALUE"""),45918.0)</f>
        <v>45918</v>
      </c>
      <c r="B707" s="31" t="str">
        <f>IFERROR(__xludf.DUMMYFUNCTION("""COMPUTED_VALUE"""),"Arvind Jha")</f>
        <v>Arvind Jha</v>
      </c>
      <c r="C707" s="31" t="str">
        <f>IFERROR(__xludf.DUMMYFUNCTION("""COMPUTED_VALUE"""),"Technology")</f>
        <v>Technology</v>
      </c>
      <c r="D707" s="31">
        <f>IFERROR(__xludf.DUMMYFUNCTION("""COMPUTED_VALUE"""),8.851763027E9)</f>
        <v>8851763027</v>
      </c>
      <c r="E707" s="31" t="str">
        <f>IFERROR(__xludf.DUMMYFUNCTION("""COMPUTED_VALUE"""),"Software Engineer")</f>
        <v>Software Engineer</v>
      </c>
      <c r="F707" s="31" t="str">
        <f>IFERROR(__xludf.DUMMYFUNCTION("""COMPUTED_VALUE"""),"Engineering ")</f>
        <v>Engineering </v>
      </c>
      <c r="G707" s="31" t="str">
        <f>IFERROR(__xludf.DUMMYFUNCTION("""COMPUTED_VALUE"""),"arvind.jha313@gmail.com")</f>
        <v>arvind.jha313@gmail.com</v>
      </c>
      <c r="H707" s="31" t="str">
        <f>IFERROR(__xludf.DUMMYFUNCTION("""COMPUTED_VALUE"""),"Sumit Singh")</f>
        <v>Sumit Singh</v>
      </c>
      <c r="I707" s="75">
        <f>IFERROR(__xludf.DUMMYFUNCTION("""COMPUTED_VALUE"""),45887.0)</f>
        <v>45887</v>
      </c>
      <c r="J707" s="31" t="str">
        <f>IFERROR(__xludf.DUMMYFUNCTION("""COMPUTED_VALUE"""),"Gaurav Singh")</f>
        <v>Gaurav Singh</v>
      </c>
      <c r="K707" s="31" t="str">
        <f>IFERROR(__xludf.DUMMYFUNCTION("""COMPUTED_VALUE"""),"Offer Revoked")</f>
        <v>Offer Revoked</v>
      </c>
      <c r="L707" s="31" t="str">
        <f>IFERROR(__xludf.DUMMYFUNCTION("""COMPUTED_VALUE"""),"In Office")</f>
        <v>In Office</v>
      </c>
      <c r="M707" s="31"/>
      <c r="N707" s="31"/>
    </row>
    <row r="708">
      <c r="A708" s="74">
        <f>IFERROR(__xludf.DUMMYFUNCTION("""COMPUTED_VALUE"""),45964.0)</f>
        <v>45964</v>
      </c>
      <c r="B708" s="31" t="str">
        <f>IFERROR(__xludf.DUMMYFUNCTION("""COMPUTED_VALUE"""),"Sana Ahsan")</f>
        <v>Sana Ahsan</v>
      </c>
      <c r="C708" s="31" t="str">
        <f>IFERROR(__xludf.DUMMYFUNCTION("""COMPUTED_VALUE"""),"Brand Marketing")</f>
        <v>Brand Marketing</v>
      </c>
      <c r="D708" s="31">
        <f>IFERROR(__xludf.DUMMYFUNCTION("""COMPUTED_VALUE"""),9.871628334E9)</f>
        <v>9871628334</v>
      </c>
      <c r="E708" s="31" t="str">
        <f>IFERROR(__xludf.DUMMYFUNCTION("""COMPUTED_VALUE"""),"Associate Director- Brand Marketing")</f>
        <v>Associate Director- Brand Marketing</v>
      </c>
      <c r="F708" s="31" t="str">
        <f>IFERROR(__xludf.DUMMYFUNCTION("""COMPUTED_VALUE"""),"Brand")</f>
        <v>Brand</v>
      </c>
      <c r="G708" s="31" t="str">
        <f>IFERROR(__xludf.DUMMYFUNCTION("""COMPUTED_VALUE"""),"sanz.ahsan@gmail.com")</f>
        <v>sanz.ahsan@gmail.com</v>
      </c>
      <c r="H708" s="31" t="str">
        <f>IFERROR(__xludf.DUMMYFUNCTION("""COMPUTED_VALUE"""),"Katha Pankaj Tara")</f>
        <v>Katha Pankaj Tara</v>
      </c>
      <c r="I708" s="75">
        <f>IFERROR(__xludf.DUMMYFUNCTION("""COMPUTED_VALUE"""),45887.0)</f>
        <v>45887</v>
      </c>
      <c r="J708" s="31" t="str">
        <f>IFERROR(__xludf.DUMMYFUNCTION("""COMPUTED_VALUE"""),"Rajneesh Yadav")</f>
        <v>Rajneesh Yadav</v>
      </c>
      <c r="K708" s="31" t="str">
        <f>IFERROR(__xludf.DUMMYFUNCTION("""COMPUTED_VALUE"""),"Offer Revoked")</f>
        <v>Offer Revoked</v>
      </c>
      <c r="L708" s="31" t="str">
        <f>IFERROR(__xludf.DUMMYFUNCTION("""COMPUTED_VALUE"""),"In Office")</f>
        <v>In Office</v>
      </c>
      <c r="M708" s="31"/>
      <c r="N708" s="31"/>
    </row>
    <row r="709">
      <c r="A709" s="74">
        <f>IFERROR(__xludf.DUMMYFUNCTION("""COMPUTED_VALUE"""),45915.0)</f>
        <v>45915</v>
      </c>
      <c r="B709" s="31" t="str">
        <f>IFERROR(__xludf.DUMMYFUNCTION("""COMPUTED_VALUE"""),"Vipul Jain")</f>
        <v>Vipul Jain</v>
      </c>
      <c r="C709" s="31" t="str">
        <f>IFERROR(__xludf.DUMMYFUNCTION("""COMPUTED_VALUE"""),"Digital Marketing")</f>
        <v>Digital Marketing</v>
      </c>
      <c r="D709" s="31">
        <f>IFERROR(__xludf.DUMMYFUNCTION("""COMPUTED_VALUE"""),8.588019258E9)</f>
        <v>8588019258</v>
      </c>
      <c r="E709" s="31" t="str">
        <f>IFERROR(__xludf.DUMMYFUNCTION("""COMPUTED_VALUE"""),"Digital Marketing Manager")</f>
        <v>Digital Marketing Manager</v>
      </c>
      <c r="F709" s="31" t="str">
        <f>IFERROR(__xludf.DUMMYFUNCTION("""COMPUTED_VALUE"""),"Performance Marketing")</f>
        <v>Performance Marketing</v>
      </c>
      <c r="G709" s="31" t="str">
        <f>IFERROR(__xludf.DUMMYFUNCTION("""COMPUTED_VALUE""")," vipuljain424@gmail.com")</f>
        <v> vipuljain424@gmail.com</v>
      </c>
      <c r="H709" s="31" t="str">
        <f>IFERROR(__xludf.DUMMYFUNCTION("""COMPUTED_VALUE"""),"Mohit Garg")</f>
        <v>Mohit Garg</v>
      </c>
      <c r="I709" s="75">
        <f>IFERROR(__xludf.DUMMYFUNCTION("""COMPUTED_VALUE"""),45887.0)</f>
        <v>45887</v>
      </c>
      <c r="J709" s="31" t="str">
        <f>IFERROR(__xludf.DUMMYFUNCTION("""COMPUTED_VALUE"""),"Jaya Tiwari")</f>
        <v>Jaya Tiwari</v>
      </c>
      <c r="K709" s="31" t="str">
        <f>IFERROR(__xludf.DUMMYFUNCTION("""COMPUTED_VALUE"""),"Offer Revoked")</f>
        <v>Offer Revoked</v>
      </c>
      <c r="L709" s="31" t="str">
        <f>IFERROR(__xludf.DUMMYFUNCTION("""COMPUTED_VALUE"""),"In Office")</f>
        <v>In Office</v>
      </c>
      <c r="M709" s="31"/>
      <c r="N709" s="31"/>
    </row>
    <row r="710">
      <c r="A710" s="74">
        <f>IFERROR(__xludf.DUMMYFUNCTION("""COMPUTED_VALUE"""),45915.0)</f>
        <v>45915</v>
      </c>
      <c r="B710" s="31" t="str">
        <f>IFERROR(__xludf.DUMMYFUNCTION("""COMPUTED_VALUE"""),"Sanskriti Malik")</f>
        <v>Sanskriti Malik</v>
      </c>
      <c r="C710" s="31" t="str">
        <f>IFERROR(__xludf.DUMMYFUNCTION("""COMPUTED_VALUE"""),"Technology")</f>
        <v>Technology</v>
      </c>
      <c r="D710" s="31">
        <f>IFERROR(__xludf.DUMMYFUNCTION("""COMPUTED_VALUE"""),7.897791202E9)</f>
        <v>7897791202</v>
      </c>
      <c r="E710" s="31" t="str">
        <f>IFERROR(__xludf.DUMMYFUNCTION("""COMPUTED_VALUE"""),"Senior Software Engineer")</f>
        <v>Senior Software Engineer</v>
      </c>
      <c r="F710" s="31" t="str">
        <f>IFERROR(__xludf.DUMMYFUNCTION("""COMPUTED_VALUE"""),"Engineering ")</f>
        <v>Engineering </v>
      </c>
      <c r="G710" s="31" t="str">
        <f>IFERROR(__xludf.DUMMYFUNCTION("""COMPUTED_VALUE"""),"sanskritimalik1109@gmail.com")</f>
        <v>sanskritimalik1109@gmail.com</v>
      </c>
      <c r="H710" s="31" t="str">
        <f>IFERROR(__xludf.DUMMYFUNCTION("""COMPUTED_VALUE"""),"Piyush Shukla")</f>
        <v>Piyush Shukla</v>
      </c>
      <c r="I710" s="75">
        <f>IFERROR(__xludf.DUMMYFUNCTION("""COMPUTED_VALUE"""),45887.0)</f>
        <v>45887</v>
      </c>
      <c r="J710" s="31" t="str">
        <f>IFERROR(__xludf.DUMMYFUNCTION("""COMPUTED_VALUE"""),"Jaya Tiwari")</f>
        <v>Jaya Tiwari</v>
      </c>
      <c r="K710" s="31" t="str">
        <f>IFERROR(__xludf.DUMMYFUNCTION("""COMPUTED_VALUE"""),"Offer Revoked")</f>
        <v>Offer Revoked</v>
      </c>
      <c r="L710" s="31" t="str">
        <f>IFERROR(__xludf.DUMMYFUNCTION("""COMPUTED_VALUE"""),"In Office")</f>
        <v>In Office</v>
      </c>
      <c r="M710" s="31"/>
      <c r="N710" s="31"/>
    </row>
    <row r="711">
      <c r="A711" s="74">
        <f>IFERROR(__xludf.DUMMYFUNCTION("""COMPUTED_VALUE"""),45931.0)</f>
        <v>45931</v>
      </c>
      <c r="B711" s="31" t="str">
        <f>IFERROR(__xludf.DUMMYFUNCTION("""COMPUTED_VALUE"""),"Amrit Raj Jha")</f>
        <v>Amrit Raj Jha</v>
      </c>
      <c r="C711" s="31" t="str">
        <f>IFERROR(__xludf.DUMMYFUNCTION("""COMPUTED_VALUE"""),"Brand Marketing")</f>
        <v>Brand Marketing</v>
      </c>
      <c r="D711" s="31">
        <f>IFERROR(__xludf.DUMMYFUNCTION("""COMPUTED_VALUE"""),9.681080862E9)</f>
        <v>9681080862</v>
      </c>
      <c r="E711" s="31" t="str">
        <f>IFERROR(__xludf.DUMMYFUNCTION("""COMPUTED_VALUE"""),"Content Operations Lead")</f>
        <v>Content Operations Lead</v>
      </c>
      <c r="F711" s="31" t="str">
        <f>IFERROR(__xludf.DUMMYFUNCTION("""COMPUTED_VALUE"""),"Content")</f>
        <v>Content</v>
      </c>
      <c r="G711" s="31" t="str">
        <f>IFERROR(__xludf.DUMMYFUNCTION("""COMPUTED_VALUE"""),"amritrajjha74@gmail.com")</f>
        <v>amritrajjha74@gmail.com</v>
      </c>
      <c r="H711" s="31" t="str">
        <f>IFERROR(__xludf.DUMMYFUNCTION("""COMPUTED_VALUE"""),"Katha Pankaj Tara")</f>
        <v>Katha Pankaj Tara</v>
      </c>
      <c r="I711" s="75">
        <f>IFERROR(__xludf.DUMMYFUNCTION("""COMPUTED_VALUE"""),45915.0)</f>
        <v>45915</v>
      </c>
      <c r="J711" s="31" t="str">
        <f>IFERROR(__xludf.DUMMYFUNCTION("""COMPUTED_VALUE"""),"Rajneesh Yadav")</f>
        <v>Rajneesh Yadav</v>
      </c>
      <c r="K711" s="31" t="str">
        <f>IFERROR(__xludf.DUMMYFUNCTION("""COMPUTED_VALUE"""),"Joined")</f>
        <v>Joined</v>
      </c>
      <c r="L711" s="31" t="str">
        <f>IFERROR(__xludf.DUMMYFUNCTION("""COMPUTED_VALUE"""),"In Office")</f>
        <v>In Office</v>
      </c>
      <c r="M711" s="31" t="str">
        <f>IFERROR(__xludf.DUMMYFUNCTION("""COMPUTED_VALUE"""),"amritraj.jha@zupee.in")</f>
        <v>amritraj.jha@zupee.in</v>
      </c>
      <c r="N711" s="31" t="str">
        <f>IFERROR(__xludf.DUMMYFUNCTION("""COMPUTED_VALUE"""),"FJ231QVL4H")</f>
        <v>FJ231QVL4H</v>
      </c>
    </row>
    <row r="712">
      <c r="A712" s="74">
        <f>IFERROR(__xludf.DUMMYFUNCTION("""COMPUTED_VALUE"""),45939.0)</f>
        <v>45939</v>
      </c>
      <c r="B712" s="31" t="str">
        <f>IFERROR(__xludf.DUMMYFUNCTION("""COMPUTED_VALUE"""),"Rishabh Chaturvedi")</f>
        <v>Rishabh Chaturvedi</v>
      </c>
      <c r="C712" s="31" t="str">
        <f>IFERROR(__xludf.DUMMYFUNCTION("""COMPUTED_VALUE"""),"Brand Marketing")</f>
        <v>Brand Marketing</v>
      </c>
      <c r="D712" s="31">
        <f>IFERROR(__xludf.DUMMYFUNCTION("""COMPUTED_VALUE"""),9.670922802E9)</f>
        <v>9670922802</v>
      </c>
      <c r="E712" s="31" t="str">
        <f>IFERROR(__xludf.DUMMYFUNCTION("""COMPUTED_VALUE"""),"Creative Head")</f>
        <v>Creative Head</v>
      </c>
      <c r="F712" s="31" t="str">
        <f>IFERROR(__xludf.DUMMYFUNCTION("""COMPUTED_VALUE"""),"Content")</f>
        <v>Content</v>
      </c>
      <c r="G712" s="31" t="str">
        <f>IFERROR(__xludf.DUMMYFUNCTION("""COMPUTED_VALUE"""),"rishabh.chaturvedi41@gmail.com")</f>
        <v>rishabh.chaturvedi41@gmail.com</v>
      </c>
      <c r="H712" s="31" t="str">
        <f>IFERROR(__xludf.DUMMYFUNCTION("""COMPUTED_VALUE"""),"Katha Pankaj Tara")</f>
        <v>Katha Pankaj Tara</v>
      </c>
      <c r="I712" s="75">
        <f>IFERROR(__xludf.DUMMYFUNCTION("""COMPUTED_VALUE"""),45918.0)</f>
        <v>45918</v>
      </c>
      <c r="J712" s="31" t="str">
        <f>IFERROR(__xludf.DUMMYFUNCTION("""COMPUTED_VALUE"""),"Harsha Nanwani")</f>
        <v>Harsha Nanwani</v>
      </c>
      <c r="K712" s="31" t="str">
        <f>IFERROR(__xludf.DUMMYFUNCTION("""COMPUTED_VALUE"""),"Offer Declined")</f>
        <v>Offer Declined</v>
      </c>
      <c r="L712" s="31" t="str">
        <f>IFERROR(__xludf.DUMMYFUNCTION("""COMPUTED_VALUE"""),"Virtual")</f>
        <v>Virtual</v>
      </c>
      <c r="M712" s="31"/>
      <c r="N712" s="31"/>
    </row>
    <row r="713">
      <c r="A713" s="74">
        <f>IFERROR(__xludf.DUMMYFUNCTION("""COMPUTED_VALUE"""),45922.0)</f>
        <v>45922</v>
      </c>
      <c r="B713" s="31" t="str">
        <f>IFERROR(__xludf.DUMMYFUNCTION("""COMPUTED_VALUE"""),"Shubham Khan")</f>
        <v>Shubham Khan</v>
      </c>
      <c r="C713" s="31" t="str">
        <f>IFERROR(__xludf.DUMMYFUNCTION("""COMPUTED_VALUE"""),"Brand Marketing")</f>
        <v>Brand Marketing</v>
      </c>
      <c r="D713" s="31">
        <f>IFERROR(__xludf.DUMMYFUNCTION("""COMPUTED_VALUE"""),7.697531464E9)</f>
        <v>7697531464</v>
      </c>
      <c r="E713" s="31" t="str">
        <f>IFERROR(__xludf.DUMMYFUNCTION("""COMPUTED_VALUE"""),"Content Lead")</f>
        <v>Content Lead</v>
      </c>
      <c r="F713" s="31" t="str">
        <f>IFERROR(__xludf.DUMMYFUNCTION("""COMPUTED_VALUE"""),"Content")</f>
        <v>Content</v>
      </c>
      <c r="G713" s="31" t="str">
        <f>IFERROR(__xludf.DUMMYFUNCTION("""COMPUTED_VALUE"""),"shbhmkhn@gmail.com")</f>
        <v>shbhmkhn@gmail.com</v>
      </c>
      <c r="H713" s="31" t="str">
        <f>IFERROR(__xludf.DUMMYFUNCTION("""COMPUTED_VALUE"""),"Katha Pankaj Tara")</f>
        <v>Katha Pankaj Tara</v>
      </c>
      <c r="I713" s="75">
        <f>IFERROR(__xludf.DUMMYFUNCTION("""COMPUTED_VALUE"""),45919.0)</f>
        <v>45919</v>
      </c>
      <c r="J713" s="31" t="str">
        <f>IFERROR(__xludf.DUMMYFUNCTION("""COMPUTED_VALUE"""),"Vipin Kumar")</f>
        <v>Vipin Kumar</v>
      </c>
      <c r="K713" s="31" t="str">
        <f>IFERROR(__xludf.DUMMYFUNCTION("""COMPUTED_VALUE"""),"Joined")</f>
        <v>Joined</v>
      </c>
      <c r="L713" s="31" t="str">
        <f>IFERROR(__xludf.DUMMYFUNCTION("""COMPUTED_VALUE"""),"In Office")</f>
        <v>In Office</v>
      </c>
      <c r="M713" s="31" t="str">
        <f>IFERROR(__xludf.DUMMYFUNCTION("""COMPUTED_VALUE"""),"shubham.khan@zupee.in")</f>
        <v>shubham.khan@zupee.in</v>
      </c>
      <c r="N713" s="31"/>
    </row>
    <row r="714">
      <c r="A714" s="74">
        <f>IFERROR(__xludf.DUMMYFUNCTION("""COMPUTED_VALUE"""),45936.0)</f>
        <v>45936</v>
      </c>
      <c r="B714" s="31" t="str">
        <f>IFERROR(__xludf.DUMMYFUNCTION("""COMPUTED_VALUE"""),"Chiragkumar Savjibhai Sabhadiya")</f>
        <v>Chiragkumar Savjibhai Sabhadiya</v>
      </c>
      <c r="C714" s="31" t="str">
        <f>IFERROR(__xludf.DUMMYFUNCTION("""COMPUTED_VALUE"""),"Strategy")</f>
        <v>Strategy</v>
      </c>
      <c r="D714" s="31">
        <f>IFERROR(__xludf.DUMMYFUNCTION("""COMPUTED_VALUE"""),9.586411885E9)</f>
        <v>9586411885</v>
      </c>
      <c r="E714" s="31" t="str">
        <f>IFERROR(__xludf.DUMMYFUNCTION("""COMPUTED_VALUE"""),"Content Operations Manager")</f>
        <v>Content Operations Manager</v>
      </c>
      <c r="F714" s="31" t="str">
        <f>IFERROR(__xludf.DUMMYFUNCTION("""COMPUTED_VALUE"""),"Content")</f>
        <v>Content</v>
      </c>
      <c r="G714" s="31" t="str">
        <f>IFERROR(__xludf.DUMMYFUNCTION("""COMPUTED_VALUE"""),"chiragsabhadiya9586@gmail.com")</f>
        <v>chiragsabhadiya9586@gmail.com</v>
      </c>
      <c r="H714" s="31" t="str">
        <f>IFERROR(__xludf.DUMMYFUNCTION("""COMPUTED_VALUE"""),"Saumitra Raj")</f>
        <v>Saumitra Raj</v>
      </c>
      <c r="I714" s="75">
        <f>IFERROR(__xludf.DUMMYFUNCTION("""COMPUTED_VALUE"""),45922.0)</f>
        <v>45922</v>
      </c>
      <c r="J714" s="31" t="str">
        <f>IFERROR(__xludf.DUMMYFUNCTION("""COMPUTED_VALUE"""),"Vipin Kumar")</f>
        <v>Vipin Kumar</v>
      </c>
      <c r="K714" s="31" t="str">
        <f>IFERROR(__xludf.DUMMYFUNCTION("""COMPUTED_VALUE"""),"Joined")</f>
        <v>Joined</v>
      </c>
      <c r="L714" s="31" t="str">
        <f>IFERROR(__xludf.DUMMYFUNCTION("""COMPUTED_VALUE"""),"In Office")</f>
        <v>In Office</v>
      </c>
      <c r="M714" s="31" t="str">
        <f>IFERROR(__xludf.DUMMYFUNCTION("""COMPUTED_VALUE"""),"chirag.sabhadiya@zupee.in")</f>
        <v>chirag.sabhadiya@zupee.in</v>
      </c>
      <c r="N714" s="31" t="str">
        <f>IFERROR(__xludf.DUMMYFUNCTION("""COMPUTED_VALUE"""),"KGHDW0X342")</f>
        <v>KGHDW0X342</v>
      </c>
    </row>
    <row r="715">
      <c r="A715" s="74">
        <f>IFERROR(__xludf.DUMMYFUNCTION("""COMPUTED_VALUE"""),45931.0)</f>
        <v>45931</v>
      </c>
      <c r="B715" s="31" t="str">
        <f>IFERROR(__xludf.DUMMYFUNCTION("""COMPUTED_VALUE"""),"Avinash Kumar")</f>
        <v>Avinash Kumar</v>
      </c>
      <c r="C715" s="31" t="str">
        <f>IFERROR(__xludf.DUMMYFUNCTION("""COMPUTED_VALUE"""),"Brand Marketing")</f>
        <v>Brand Marketing</v>
      </c>
      <c r="D715" s="31">
        <f>IFERROR(__xludf.DUMMYFUNCTION("""COMPUTED_VALUE"""),8.951540776E9)</f>
        <v>8951540776</v>
      </c>
      <c r="E715" s="31" t="str">
        <f>IFERROR(__xludf.DUMMYFUNCTION("""COMPUTED_VALUE"""),"Creative Head")</f>
        <v>Creative Head</v>
      </c>
      <c r="F715" s="31" t="str">
        <f>IFERROR(__xludf.DUMMYFUNCTION("""COMPUTED_VALUE"""),"Content")</f>
        <v>Content</v>
      </c>
      <c r="G715" s="31" t="str">
        <f>IFERROR(__xludf.DUMMYFUNCTION("""COMPUTED_VALUE"""),"avin.076nash@gmail.com")</f>
        <v>avin.076nash@gmail.com</v>
      </c>
      <c r="H715" s="31" t="str">
        <f>IFERROR(__xludf.DUMMYFUNCTION("""COMPUTED_VALUE"""),"Katha Pankaj Tara")</f>
        <v>Katha Pankaj Tara</v>
      </c>
      <c r="I715" s="75">
        <f>IFERROR(__xludf.DUMMYFUNCTION("""COMPUTED_VALUE"""),45922.0)</f>
        <v>45922</v>
      </c>
      <c r="J715" s="31" t="str">
        <f>IFERROR(__xludf.DUMMYFUNCTION("""COMPUTED_VALUE"""),"Vipin Kumar")</f>
        <v>Vipin Kumar</v>
      </c>
      <c r="K715" s="31" t="str">
        <f>IFERROR(__xludf.DUMMYFUNCTION("""COMPUTED_VALUE"""),"Joined")</f>
        <v>Joined</v>
      </c>
      <c r="L715" s="31" t="str">
        <f>IFERROR(__xludf.DUMMYFUNCTION("""COMPUTED_VALUE"""),"Virtual")</f>
        <v>Virtual</v>
      </c>
      <c r="M715" s="31" t="str">
        <f>IFERROR(__xludf.DUMMYFUNCTION("""COMPUTED_VALUE"""),"avinash.kumar@zupee.in")</f>
        <v>avinash.kumar@zupee.in</v>
      </c>
      <c r="N715" s="31" t="str">
        <f>IFERROR(__xludf.DUMMYFUNCTION("""COMPUTED_VALUE"""),"DW3V4X7K10")</f>
        <v>DW3V4X7K10</v>
      </c>
    </row>
    <row r="716">
      <c r="A716" s="74">
        <f>IFERROR(__xludf.DUMMYFUNCTION("""COMPUTED_VALUE"""),45947.0)</f>
        <v>45947</v>
      </c>
      <c r="B716" s="31" t="str">
        <f>IFERROR(__xludf.DUMMYFUNCTION("""COMPUTED_VALUE"""),"Tina Khurana")</f>
        <v>Tina Khurana</v>
      </c>
      <c r="C716" s="31" t="str">
        <f>IFERROR(__xludf.DUMMYFUNCTION("""COMPUTED_VALUE"""),"Brand Marketing")</f>
        <v>Brand Marketing</v>
      </c>
      <c r="D716" s="31">
        <f>IFERROR(__xludf.DUMMYFUNCTION("""COMPUTED_VALUE"""),9.999902551E9)</f>
        <v>9999902551</v>
      </c>
      <c r="E716" s="31" t="str">
        <f>IFERROR(__xludf.DUMMYFUNCTION("""COMPUTED_VALUE"""),"Senior Brand Manager")</f>
        <v>Senior Brand Manager</v>
      </c>
      <c r="F716" s="31" t="str">
        <f>IFERROR(__xludf.DUMMYFUNCTION("""COMPUTED_VALUE"""),"Brand")</f>
        <v>Brand</v>
      </c>
      <c r="G716" s="31" t="str">
        <f>IFERROR(__xludf.DUMMYFUNCTION("""COMPUTED_VALUE"""),"tina.khurana93@gmail.com")</f>
        <v>tina.khurana93@gmail.com</v>
      </c>
      <c r="H716" s="31" t="str">
        <f>IFERROR(__xludf.DUMMYFUNCTION("""COMPUTED_VALUE"""),"Katha Pankaj Tara")</f>
        <v>Katha Pankaj Tara</v>
      </c>
      <c r="I716" s="75">
        <f>IFERROR(__xludf.DUMMYFUNCTION("""COMPUTED_VALUE"""),45923.0)</f>
        <v>45923</v>
      </c>
      <c r="J716" s="31" t="str">
        <f>IFERROR(__xludf.DUMMYFUNCTION("""COMPUTED_VALUE"""),"Rajneesh Yadav")</f>
        <v>Rajneesh Yadav</v>
      </c>
      <c r="K716" s="31" t="str">
        <f>IFERROR(__xludf.DUMMYFUNCTION("""COMPUTED_VALUE"""),"Joined")</f>
        <v>Joined</v>
      </c>
      <c r="L716" s="31" t="str">
        <f>IFERROR(__xludf.DUMMYFUNCTION("""COMPUTED_VALUE"""),"In Office")</f>
        <v>In Office</v>
      </c>
      <c r="M716" s="31" t="str">
        <f>IFERROR(__xludf.DUMMYFUNCTION("""COMPUTED_VALUE"""),"tina.khurana@zupee.in")</f>
        <v>tina.khurana@zupee.in</v>
      </c>
      <c r="N716" s="31" t="str">
        <f>IFERROR(__xludf.DUMMYFUNCTION("""COMPUTED_VALUE"""),"CJ6Y9QK9JP")</f>
        <v>CJ6Y9QK9JP</v>
      </c>
    </row>
    <row r="717">
      <c r="A717" s="74">
        <f>IFERROR(__xludf.DUMMYFUNCTION("""COMPUTED_VALUE"""),45964.0)</f>
        <v>45964</v>
      </c>
      <c r="B717" s="31" t="str">
        <f>IFERROR(__xludf.DUMMYFUNCTION("""COMPUTED_VALUE"""),"Rohit Upadhyay")</f>
        <v>Rohit Upadhyay</v>
      </c>
      <c r="C717" s="31" t="str">
        <f>IFERROR(__xludf.DUMMYFUNCTION("""COMPUTED_VALUE"""),"Brand Marketing")</f>
        <v>Brand Marketing</v>
      </c>
      <c r="D717" s="31">
        <f>IFERROR(__xludf.DUMMYFUNCTION("""COMPUTED_VALUE"""),7.977193933E9)</f>
        <v>7977193933</v>
      </c>
      <c r="E717" s="31" t="str">
        <f>IFERROR(__xludf.DUMMYFUNCTION("""COMPUTED_VALUE"""),"Creative Producer")</f>
        <v>Creative Producer</v>
      </c>
      <c r="F717" s="31" t="str">
        <f>IFERROR(__xludf.DUMMYFUNCTION("""COMPUTED_VALUE"""),"Content")</f>
        <v>Content</v>
      </c>
      <c r="G717" s="31" t="str">
        <f>IFERROR(__xludf.DUMMYFUNCTION("""COMPUTED_VALUE"""),"rtupadhyay1992@gmail.com")</f>
        <v>rtupadhyay1992@gmail.com</v>
      </c>
      <c r="H717" s="31" t="str">
        <f>IFERROR(__xludf.DUMMYFUNCTION("""COMPUTED_VALUE"""),"Katha Pankaj Tara")</f>
        <v>Katha Pankaj Tara</v>
      </c>
      <c r="I717" s="75">
        <f>IFERROR(__xludf.DUMMYFUNCTION("""COMPUTED_VALUE"""),45931.0)</f>
        <v>45931</v>
      </c>
      <c r="J717" s="31" t="str">
        <f>IFERROR(__xludf.DUMMYFUNCTION("""COMPUTED_VALUE"""),"Harsha Nanwani")</f>
        <v>Harsha Nanwani</v>
      </c>
      <c r="K717" s="31" t="str">
        <f>IFERROR(__xludf.DUMMYFUNCTION("""COMPUTED_VALUE"""),"Joined")</f>
        <v>Joined</v>
      </c>
      <c r="L717" s="31" t="str">
        <f>IFERROR(__xludf.DUMMYFUNCTION("""COMPUTED_VALUE"""),"Virtual")</f>
        <v>Virtual</v>
      </c>
      <c r="M717" s="31" t="str">
        <f>IFERROR(__xludf.DUMMYFUNCTION("""COMPUTED_VALUE"""),"rohit.upadhyay@zupee.in")</f>
        <v>rohit.upadhyay@zupee.in</v>
      </c>
      <c r="N717" s="31" t="str">
        <f>IFERROR(__xludf.DUMMYFUNCTION("""COMPUTED_VALUE"""),"K6WNFHFTJH")</f>
        <v>K6WNFHFTJH</v>
      </c>
    </row>
    <row r="718">
      <c r="A718" s="74">
        <f>IFERROR(__xludf.DUMMYFUNCTION("""COMPUTED_VALUE"""),45572.0)</f>
        <v>45572</v>
      </c>
      <c r="B718" s="31" t="str">
        <f>IFERROR(__xludf.DUMMYFUNCTION("""COMPUTED_VALUE"""),"Gaurav Mishra ")</f>
        <v>Gaurav Mishra </v>
      </c>
      <c r="C718" s="31" t="str">
        <f>IFERROR(__xludf.DUMMYFUNCTION("""COMPUTED_VALUE"""),"Brand Marketing")</f>
        <v>Brand Marketing</v>
      </c>
      <c r="D718" s="31">
        <f>IFERROR(__xludf.DUMMYFUNCTION("""COMPUTED_VALUE"""),8.982834662E9)</f>
        <v>8982834662</v>
      </c>
      <c r="E718" s="31" t="str">
        <f>IFERROR(__xludf.DUMMYFUNCTION("""COMPUTED_VALUE"""),"Promo Lead")</f>
        <v>Promo Lead</v>
      </c>
      <c r="F718" s="31" t="str">
        <f>IFERROR(__xludf.DUMMYFUNCTION("""COMPUTED_VALUE"""),"Content")</f>
        <v>Content</v>
      </c>
      <c r="G718" s="31" t="str">
        <f>IFERROR(__xludf.DUMMYFUNCTION("""COMPUTED_VALUE"""),"grvmishra123@gmail.com")</f>
        <v>grvmishra123@gmail.com</v>
      </c>
      <c r="H718" s="31" t="str">
        <f>IFERROR(__xludf.DUMMYFUNCTION("""COMPUTED_VALUE"""),"Katha Pankaj Tara")</f>
        <v>Katha Pankaj Tara</v>
      </c>
      <c r="I718" s="75">
        <f>IFERROR(__xludf.DUMMYFUNCTION("""COMPUTED_VALUE"""),45936.0)</f>
        <v>45936</v>
      </c>
      <c r="J718" s="31" t="str">
        <f>IFERROR(__xludf.DUMMYFUNCTION("""COMPUTED_VALUE"""),"Jaya Tiwari")</f>
        <v>Jaya Tiwari</v>
      </c>
      <c r="K718" s="31" t="str">
        <f>IFERROR(__xludf.DUMMYFUNCTION("""COMPUTED_VALUE"""),"Joined")</f>
        <v>Joined</v>
      </c>
      <c r="L718" s="31" t="str">
        <f>IFERROR(__xludf.DUMMYFUNCTION("""COMPUTED_VALUE"""),"In Office")</f>
        <v>In Office</v>
      </c>
      <c r="M718" s="31" t="str">
        <f>IFERROR(__xludf.DUMMYFUNCTION("""COMPUTED_VALUE"""),"gaurav.mishra@zupee.in")</f>
        <v>gaurav.mishra@zupee.in</v>
      </c>
      <c r="N718" s="31" t="str">
        <f>IFERROR(__xludf.DUMMYFUNCTION("""COMPUTED_VALUE"""),"FT4T9C524F")</f>
        <v>FT4T9C524F</v>
      </c>
    </row>
    <row r="719">
      <c r="A719" s="74">
        <f>IFERROR(__xludf.DUMMYFUNCTION("""COMPUTED_VALUE"""),45572.0)</f>
        <v>45572</v>
      </c>
      <c r="B719" s="31" t="str">
        <f>IFERROR(__xludf.DUMMYFUNCTION("""COMPUTED_VALUE"""),"Nivedita Sharma")</f>
        <v>Nivedita Sharma</v>
      </c>
      <c r="C719" s="31" t="str">
        <f>IFERROR(__xludf.DUMMYFUNCTION("""COMPUTED_VALUE"""),"Brand Marketing")</f>
        <v>Brand Marketing</v>
      </c>
      <c r="D719" s="31">
        <f>IFERROR(__xludf.DUMMYFUNCTION("""COMPUTED_VALUE"""),9.818458488E9)</f>
        <v>9818458488</v>
      </c>
      <c r="E719" s="31" t="str">
        <f>IFERROR(__xludf.DUMMYFUNCTION("""COMPUTED_VALUE"""),"Promo Writer")</f>
        <v>Promo Writer</v>
      </c>
      <c r="F719" s="31" t="str">
        <f>IFERROR(__xludf.DUMMYFUNCTION("""COMPUTED_VALUE"""),"Content")</f>
        <v>Content</v>
      </c>
      <c r="G719" s="31" t="str">
        <f>IFERROR(__xludf.DUMMYFUNCTION("""COMPUTED_VALUE"""),"niveditalsr@gmail.com")</f>
        <v>niveditalsr@gmail.com</v>
      </c>
      <c r="H719" s="31" t="str">
        <f>IFERROR(__xludf.DUMMYFUNCTION("""COMPUTED_VALUE"""),"Katha Pankaj Tara")</f>
        <v>Katha Pankaj Tara</v>
      </c>
      <c r="I719" s="75">
        <f>IFERROR(__xludf.DUMMYFUNCTION("""COMPUTED_VALUE"""),45936.0)</f>
        <v>45936</v>
      </c>
      <c r="J719" s="31" t="str">
        <f>IFERROR(__xludf.DUMMYFUNCTION("""COMPUTED_VALUE"""),"Jaya Tiwari")</f>
        <v>Jaya Tiwari</v>
      </c>
      <c r="K719" s="31" t="str">
        <f>IFERROR(__xludf.DUMMYFUNCTION("""COMPUTED_VALUE"""),"Joined")</f>
        <v>Joined</v>
      </c>
      <c r="L719" s="31" t="str">
        <f>IFERROR(__xludf.DUMMYFUNCTION("""COMPUTED_VALUE"""),"In Office")</f>
        <v>In Office</v>
      </c>
      <c r="M719" s="31" t="str">
        <f>IFERROR(__xludf.DUMMYFUNCTION("""COMPUTED_VALUE"""),"nivedita.sharma@zupee.in")</f>
        <v>nivedita.sharma@zupee.in</v>
      </c>
      <c r="N719" s="31" t="str">
        <f>IFERROR(__xludf.DUMMYFUNCTION("""COMPUTED_VALUE"""),"CJ9N5HQJKH")</f>
        <v>CJ9N5HQJKH</v>
      </c>
    </row>
    <row r="720">
      <c r="A720" s="74">
        <f>IFERROR(__xludf.DUMMYFUNCTION("""COMPUTED_VALUE"""),45939.0)</f>
        <v>45939</v>
      </c>
      <c r="B720" s="31" t="str">
        <f>IFERROR(__xludf.DUMMYFUNCTION("""COMPUTED_VALUE"""),"Shriya Sarda")</f>
        <v>Shriya Sarda</v>
      </c>
      <c r="C720" s="31" t="str">
        <f>IFERROR(__xludf.DUMMYFUNCTION("""COMPUTED_VALUE"""),"Strategy")</f>
        <v>Strategy</v>
      </c>
      <c r="D720" s="31">
        <f>IFERROR(__xludf.DUMMYFUNCTION("""COMPUTED_VALUE"""),9.509955324E9)</f>
        <v>9509955324</v>
      </c>
      <c r="E720" s="31" t="str">
        <f>IFERROR(__xludf.DUMMYFUNCTION("""COMPUTED_VALUE"""),"Content Operations Associate")</f>
        <v>Content Operations Associate</v>
      </c>
      <c r="F720" s="31" t="str">
        <f>IFERROR(__xludf.DUMMYFUNCTION("""COMPUTED_VALUE"""),"Content")</f>
        <v>Content</v>
      </c>
      <c r="G720" s="31" t="str">
        <f>IFERROR(__xludf.DUMMYFUNCTION("""COMPUTED_VALUE"""),"yashika.gupta133@gmail.com")</f>
        <v>yashika.gupta133@gmail.com</v>
      </c>
      <c r="H720" s="31" t="str">
        <f>IFERROR(__xludf.DUMMYFUNCTION("""COMPUTED_VALUE"""),"Chiragkumar Sabhadiya")</f>
        <v>Chiragkumar Sabhadiya</v>
      </c>
      <c r="I720" s="75">
        <f>IFERROR(__xludf.DUMMYFUNCTION("""COMPUTED_VALUE"""),45938.0)</f>
        <v>45938</v>
      </c>
      <c r="J720" s="31" t="str">
        <f>IFERROR(__xludf.DUMMYFUNCTION("""COMPUTED_VALUE"""),"Harsha Nanwani")</f>
        <v>Harsha Nanwani</v>
      </c>
      <c r="K720" s="31" t="str">
        <f>IFERROR(__xludf.DUMMYFUNCTION("""COMPUTED_VALUE"""),"Joined")</f>
        <v>Joined</v>
      </c>
      <c r="L720" s="31" t="str">
        <f>IFERROR(__xludf.DUMMYFUNCTION("""COMPUTED_VALUE"""),"Virtual")</f>
        <v>Virtual</v>
      </c>
      <c r="M720" s="31" t="str">
        <f>IFERROR(__xludf.DUMMYFUNCTION("""COMPUTED_VALUE"""),"shriya.sarda@zupee.in")</f>
        <v>shriya.sarda@zupee.in</v>
      </c>
      <c r="N720" s="31" t="str">
        <f>IFERROR(__xludf.DUMMYFUNCTION("""COMPUTED_VALUE"""),"K22RQF2P47")</f>
        <v>K22RQF2P47</v>
      </c>
    </row>
    <row r="721">
      <c r="A721" s="74">
        <f>IFERROR(__xludf.DUMMYFUNCTION("""COMPUTED_VALUE"""),45957.0)</f>
        <v>45957</v>
      </c>
      <c r="B721" s="31" t="str">
        <f>IFERROR(__xludf.DUMMYFUNCTION("""COMPUTED_VALUE"""),"Lovenith S Rampure")</f>
        <v>Lovenith S Rampure</v>
      </c>
      <c r="C721" s="31" t="str">
        <f>IFERROR(__xludf.DUMMYFUNCTION("""COMPUTED_VALUE"""),"Brand Marketing")</f>
        <v>Brand Marketing</v>
      </c>
      <c r="D721" s="31">
        <f>IFERROR(__xludf.DUMMYFUNCTION("""COMPUTED_VALUE"""),9.071355544E9)</f>
        <v>9071355544</v>
      </c>
      <c r="E721" s="31" t="str">
        <f>IFERROR(__xludf.DUMMYFUNCTION("""COMPUTED_VALUE"""),"Creative Head")</f>
        <v>Creative Head</v>
      </c>
      <c r="F721" s="31" t="str">
        <f>IFERROR(__xludf.DUMMYFUNCTION("""COMPUTED_VALUE"""),"Content")</f>
        <v>Content</v>
      </c>
      <c r="G721" s="31" t="str">
        <f>IFERROR(__xludf.DUMMYFUNCTION("""COMPUTED_VALUE"""),"lovenithsrampure@gmail.com")</f>
        <v>lovenithsrampure@gmail.com</v>
      </c>
      <c r="H721" s="31" t="str">
        <f>IFERROR(__xludf.DUMMYFUNCTION("""COMPUTED_VALUE"""),"Katha Pankaj Tara")</f>
        <v>Katha Pankaj Tara</v>
      </c>
      <c r="I721" s="75">
        <f>IFERROR(__xludf.DUMMYFUNCTION("""COMPUTED_VALUE"""),45938.0)</f>
        <v>45938</v>
      </c>
      <c r="J721" s="31" t="str">
        <f>IFERROR(__xludf.DUMMYFUNCTION("""COMPUTED_VALUE"""),"Jaya Tiwari")</f>
        <v>Jaya Tiwari</v>
      </c>
      <c r="K721" s="31" t="str">
        <f>IFERROR(__xludf.DUMMYFUNCTION("""COMPUTED_VALUE"""),"Joined")</f>
        <v>Joined</v>
      </c>
      <c r="L721" s="31" t="str">
        <f>IFERROR(__xludf.DUMMYFUNCTION("""COMPUTED_VALUE"""),"Virtual")</f>
        <v>Virtual</v>
      </c>
      <c r="M721" s="31" t="str">
        <f>IFERROR(__xludf.DUMMYFUNCTION("""COMPUTED_VALUE"""),"lovenith.rampure@zupee.in")</f>
        <v>lovenith.rampure@zupee.in</v>
      </c>
      <c r="N721" s="31" t="str">
        <f>IFERROR(__xludf.DUMMYFUNCTION("""COMPUTED_VALUE"""),"JPDHW0F5QV")</f>
        <v>JPDHW0F5QV</v>
      </c>
    </row>
    <row r="722">
      <c r="A722" s="74">
        <f>IFERROR(__xludf.DUMMYFUNCTION("""COMPUTED_VALUE"""),45980.0)</f>
        <v>45980</v>
      </c>
      <c r="B722" s="31" t="str">
        <f>IFERROR(__xludf.DUMMYFUNCTION("""COMPUTED_VALUE"""),"Abhishek Mohapatra")</f>
        <v>Abhishek Mohapatra</v>
      </c>
      <c r="C722" s="31" t="str">
        <f>IFERROR(__xludf.DUMMYFUNCTION("""COMPUTED_VALUE"""),"Strategy")</f>
        <v>Strategy</v>
      </c>
      <c r="D722" s="31">
        <f>IFERROR(__xludf.DUMMYFUNCTION("""COMPUTED_VALUE"""),6.370265585E9)</f>
        <v>6370265585</v>
      </c>
      <c r="E722" s="31" t="str">
        <f>IFERROR(__xludf.DUMMYFUNCTION("""COMPUTED_VALUE"""),"Content Operations Associate")</f>
        <v>Content Operations Associate</v>
      </c>
      <c r="F722" s="31" t="str">
        <f>IFERROR(__xludf.DUMMYFUNCTION("""COMPUTED_VALUE"""),"Content")</f>
        <v>Content</v>
      </c>
      <c r="G722" s="31" t="str">
        <f>IFERROR(__xludf.DUMMYFUNCTION("""COMPUTED_VALUE"""),"mohapatraabhishek57@gmail.com")</f>
        <v>mohapatraabhishek57@gmail.com</v>
      </c>
      <c r="H722" s="31" t="str">
        <f>IFERROR(__xludf.DUMMYFUNCTION("""COMPUTED_VALUE"""),"Chiragkumar Sabhadiya")</f>
        <v>Chiragkumar Sabhadiya</v>
      </c>
      <c r="I722" s="75">
        <f>IFERROR(__xludf.DUMMYFUNCTION("""COMPUTED_VALUE"""),45939.0)</f>
        <v>45939</v>
      </c>
      <c r="J722" s="31" t="str">
        <f>IFERROR(__xludf.DUMMYFUNCTION("""COMPUTED_VALUE"""),"Vipin Kumar")</f>
        <v>Vipin Kumar</v>
      </c>
      <c r="K722" s="31" t="str">
        <f>IFERROR(__xludf.DUMMYFUNCTION("""COMPUTED_VALUE"""),"Joined")</f>
        <v>Joined</v>
      </c>
      <c r="L722" s="31" t="str">
        <f>IFERROR(__xludf.DUMMYFUNCTION("""COMPUTED_VALUE"""),"In Office")</f>
        <v>In Office</v>
      </c>
      <c r="M722" s="31" t="str">
        <f>IFERROR(__xludf.DUMMYFUNCTION("""COMPUTED_VALUE"""),"abhishek.mohapatra@zupee.in")</f>
        <v>abhishek.mohapatra@zupee.in</v>
      </c>
      <c r="N722" s="31" t="str">
        <f>IFERROR(__xludf.DUMMYFUNCTION("""COMPUTED_VALUE"""),"PG04QR4J")</f>
        <v>PG04QR4J</v>
      </c>
    </row>
    <row r="723">
      <c r="A723" s="74">
        <f>IFERROR(__xludf.DUMMYFUNCTION("""COMPUTED_VALUE"""),45943.0)</f>
        <v>45943</v>
      </c>
      <c r="B723" s="31" t="str">
        <f>IFERROR(__xludf.DUMMYFUNCTION("""COMPUTED_VALUE"""),"Rishab Pratap Singh ")</f>
        <v>Rishab Pratap Singh </v>
      </c>
      <c r="C723" s="31" t="str">
        <f>IFERROR(__xludf.DUMMYFUNCTION("""COMPUTED_VALUE"""),"Product Design")</f>
        <v>Product Design</v>
      </c>
      <c r="D723" s="31"/>
      <c r="E723" s="31" t="str">
        <f>IFERROR(__xludf.DUMMYFUNCTION("""COMPUTED_VALUE"""),"Graphic Designer - Contract")</f>
        <v>Graphic Designer - Contract</v>
      </c>
      <c r="F723" s="31" t="str">
        <f>IFERROR(__xludf.DUMMYFUNCTION("""COMPUTED_VALUE"""),"Design")</f>
        <v>Design</v>
      </c>
      <c r="G723" s="31" t="str">
        <f>IFERROR(__xludf.DUMMYFUNCTION("""COMPUTED_VALUE"""),"rishabhpratap20995@gmail.com")</f>
        <v>rishabhpratap20995@gmail.com</v>
      </c>
      <c r="H723" s="31" t="str">
        <f>IFERROR(__xludf.DUMMYFUNCTION("""COMPUTED_VALUE"""),"Abhishek Srivastava")</f>
        <v>Abhishek Srivastava</v>
      </c>
      <c r="I723" s="75">
        <f>IFERROR(__xludf.DUMMYFUNCTION("""COMPUTED_VALUE"""),45940.0)</f>
        <v>45940</v>
      </c>
      <c r="J723" s="31" t="str">
        <f>IFERROR(__xludf.DUMMYFUNCTION("""COMPUTED_VALUE"""),"Naina")</f>
        <v>Naina</v>
      </c>
      <c r="K723" s="31" t="str">
        <f>IFERROR(__xludf.DUMMYFUNCTION("""COMPUTED_VALUE"""),"Joined")</f>
        <v>Joined</v>
      </c>
      <c r="L723" s="31" t="str">
        <f>IFERROR(__xludf.DUMMYFUNCTION("""COMPUTED_VALUE"""),"In Office")</f>
        <v>In Office</v>
      </c>
      <c r="M723" s="31"/>
      <c r="N723" s="31"/>
    </row>
    <row r="724">
      <c r="A724" s="74">
        <f>IFERROR(__xludf.DUMMYFUNCTION("""COMPUTED_VALUE"""),45944.0)</f>
        <v>45944</v>
      </c>
      <c r="B724" s="31" t="str">
        <f>IFERROR(__xludf.DUMMYFUNCTION("""COMPUTED_VALUE"""),"Akshay S Poddar")</f>
        <v>Akshay S Poddar</v>
      </c>
      <c r="C724" s="31" t="str">
        <f>IFERROR(__xludf.DUMMYFUNCTION("""COMPUTED_VALUE"""),"Brand Marketing")</f>
        <v>Brand Marketing</v>
      </c>
      <c r="D724" s="31">
        <f>IFERROR(__xludf.DUMMYFUNCTION("""COMPUTED_VALUE"""),8.800759006E9)</f>
        <v>8800759006</v>
      </c>
      <c r="E724" s="31" t="str">
        <f>IFERROR(__xludf.DUMMYFUNCTION("""COMPUTED_VALUE"""),"Creative Head")</f>
        <v>Creative Head</v>
      </c>
      <c r="F724" s="31" t="str">
        <f>IFERROR(__xludf.DUMMYFUNCTION("""COMPUTED_VALUE"""),"Content")</f>
        <v>Content</v>
      </c>
      <c r="G724" s="31" t="str">
        <f>IFERROR(__xludf.DUMMYFUNCTION("""COMPUTED_VALUE""")," akshayspoddar@yahoo.com")</f>
        <v> akshayspoddar@yahoo.com</v>
      </c>
      <c r="H724" s="31" t="str">
        <f>IFERROR(__xludf.DUMMYFUNCTION("""COMPUTED_VALUE"""),"Katha Pankaj Tara")</f>
        <v>Katha Pankaj Tara</v>
      </c>
      <c r="I724" s="75">
        <f>IFERROR(__xludf.DUMMYFUNCTION("""COMPUTED_VALUE"""),45943.0)</f>
        <v>45943</v>
      </c>
      <c r="J724" s="31" t="str">
        <f>IFERROR(__xludf.DUMMYFUNCTION("""COMPUTED_VALUE"""),"Shivam Sharma")</f>
        <v>Shivam Sharma</v>
      </c>
      <c r="K724" s="31" t="str">
        <f>IFERROR(__xludf.DUMMYFUNCTION("""COMPUTED_VALUE"""),"Joined")</f>
        <v>Joined</v>
      </c>
      <c r="L724" s="31" t="str">
        <f>IFERROR(__xludf.DUMMYFUNCTION("""COMPUTED_VALUE"""),"In Office")</f>
        <v>In Office</v>
      </c>
      <c r="M724" s="31" t="str">
        <f>IFERROR(__xludf.DUMMYFUNCTION("""COMPUTED_VALUE"""),"akshay.poddar@zupee.in")</f>
        <v>akshay.poddar@zupee.in</v>
      </c>
      <c r="N724" s="31" t="str">
        <f>IFERROR(__xludf.DUMMYFUNCTION("""COMPUTED_VALUE"""),"J6QHRPQCVD")</f>
        <v>J6QHRPQCVD</v>
      </c>
    </row>
    <row r="725">
      <c r="A725" s="74">
        <f>IFERROR(__xludf.DUMMYFUNCTION("""COMPUTED_VALUE"""),45965.0)</f>
        <v>45965</v>
      </c>
      <c r="B725" s="31" t="str">
        <f>IFERROR(__xludf.DUMMYFUNCTION("""COMPUTED_VALUE"""),"Nikhil Goswami")</f>
        <v>Nikhil Goswami</v>
      </c>
      <c r="C725" s="31" t="str">
        <f>IFERROR(__xludf.DUMMYFUNCTION("""COMPUTED_VALUE"""),"Digital Marketing")</f>
        <v>Digital Marketing</v>
      </c>
      <c r="D725" s="31">
        <f>IFERROR(__xludf.DUMMYFUNCTION("""COMPUTED_VALUE"""),8.700190151E9)</f>
        <v>8700190151</v>
      </c>
      <c r="E725" s="31" t="str">
        <f>IFERROR(__xludf.DUMMYFUNCTION("""COMPUTED_VALUE"""),"Senior Associate- Digital Marketing")</f>
        <v>Senior Associate- Digital Marketing</v>
      </c>
      <c r="F725" s="31" t="str">
        <f>IFERROR(__xludf.DUMMYFUNCTION("""COMPUTED_VALUE"""),"Performance Marketing")</f>
        <v>Performance Marketing</v>
      </c>
      <c r="G725" s="31" t="str">
        <f>IFERROR(__xludf.DUMMYFUNCTION("""COMPUTED_VALUE"""),"amangoswami1128@gmail.com")</f>
        <v>amangoswami1128@gmail.com</v>
      </c>
      <c r="H725" s="31" t="str">
        <f>IFERROR(__xludf.DUMMYFUNCTION("""COMPUTED_VALUE"""),"Sahil Brahmania")</f>
        <v>Sahil Brahmania</v>
      </c>
      <c r="I725" s="75">
        <f>IFERROR(__xludf.DUMMYFUNCTION("""COMPUTED_VALUE"""),45957.0)</f>
        <v>45957</v>
      </c>
      <c r="J725" s="31" t="str">
        <f>IFERROR(__xludf.DUMMYFUNCTION("""COMPUTED_VALUE"""),"Vipin Kumar")</f>
        <v>Vipin Kumar</v>
      </c>
      <c r="K725" s="31" t="str">
        <f>IFERROR(__xludf.DUMMYFUNCTION("""COMPUTED_VALUE"""),"Joined")</f>
        <v>Joined</v>
      </c>
      <c r="L725" s="31" t="str">
        <f>IFERROR(__xludf.DUMMYFUNCTION("""COMPUTED_VALUE"""),"In Office")</f>
        <v>In Office</v>
      </c>
      <c r="M725" s="31" t="str">
        <f>IFERROR(__xludf.DUMMYFUNCTION("""COMPUTED_VALUE"""),"nikhil.goswami@zupee.in")</f>
        <v>nikhil.goswami@zupee.in</v>
      </c>
      <c r="N725" s="31" t="str">
        <f>IFERROR(__xludf.DUMMYFUNCTION("""COMPUTED_VALUE"""),"JD766MNX2M")</f>
        <v>JD766MNX2M</v>
      </c>
    </row>
    <row r="726">
      <c r="A726" s="74">
        <f>IFERROR(__xludf.DUMMYFUNCTION("""COMPUTED_VALUE"""),45964.0)</f>
        <v>45964</v>
      </c>
      <c r="B726" s="31" t="str">
        <f>IFERROR(__xludf.DUMMYFUNCTION("""COMPUTED_VALUE"""),"Reshma Shikalgar")</f>
        <v>Reshma Shikalgar</v>
      </c>
      <c r="C726" s="31" t="str">
        <f>IFERROR(__xludf.DUMMYFUNCTION("""COMPUTED_VALUE"""),"Strategy")</f>
        <v>Strategy</v>
      </c>
      <c r="D726" s="31">
        <f>IFERROR(__xludf.DUMMYFUNCTION("""COMPUTED_VALUE"""),8.669140316E9)</f>
        <v>8669140316</v>
      </c>
      <c r="E726" s="31" t="str">
        <f>IFERROR(__xludf.DUMMYFUNCTION("""COMPUTED_VALUE"""),"Content Operations Senior Associate")</f>
        <v>Content Operations Senior Associate</v>
      </c>
      <c r="F726" s="31" t="str">
        <f>IFERROR(__xludf.DUMMYFUNCTION("""COMPUTED_VALUE"""),"Content")</f>
        <v>Content</v>
      </c>
      <c r="G726" s="31" t="str">
        <f>IFERROR(__xludf.DUMMYFUNCTION("""COMPUTED_VALUE"""),"reshmashikalgar90@gmail.com")</f>
        <v>reshmashikalgar90@gmail.com</v>
      </c>
      <c r="H726" s="31" t="str">
        <f>IFERROR(__xludf.DUMMYFUNCTION("""COMPUTED_VALUE"""),"Chiragkumar Sabhadiya")</f>
        <v>Chiragkumar Sabhadiya</v>
      </c>
      <c r="I726" s="75">
        <f>IFERROR(__xludf.DUMMYFUNCTION("""COMPUTED_VALUE"""),45957.0)</f>
        <v>45957</v>
      </c>
      <c r="J726" s="31" t="str">
        <f>IFERROR(__xludf.DUMMYFUNCTION("""COMPUTED_VALUE"""),"Vipin Kumar")</f>
        <v>Vipin Kumar</v>
      </c>
      <c r="K726" s="31" t="str">
        <f>IFERROR(__xludf.DUMMYFUNCTION("""COMPUTED_VALUE"""),"Joined")</f>
        <v>Joined</v>
      </c>
      <c r="L726" s="31" t="str">
        <f>IFERROR(__xludf.DUMMYFUNCTION("""COMPUTED_VALUE"""),"Virtual")</f>
        <v>Virtual</v>
      </c>
      <c r="M726" s="31" t="str">
        <f>IFERROR(__xludf.DUMMYFUNCTION("""COMPUTED_VALUE"""),"reshma.shikalgar@zupee.in")</f>
        <v>reshma.shikalgar@zupee.in</v>
      </c>
      <c r="N726" s="31" t="str">
        <f>IFERROR(__xludf.DUMMYFUNCTION("""COMPUTED_VALUE"""),"DV41J207QG")</f>
        <v>DV41J207QG</v>
      </c>
    </row>
    <row r="727">
      <c r="A727" s="74">
        <f>IFERROR(__xludf.DUMMYFUNCTION("""COMPUTED_VALUE"""),45985.0)</f>
        <v>45985</v>
      </c>
      <c r="B727" s="31" t="str">
        <f>IFERROR(__xludf.DUMMYFUNCTION("""COMPUTED_VALUE"""),"Rohan Ray")</f>
        <v>Rohan Ray</v>
      </c>
      <c r="C727" s="31" t="str">
        <f>IFERROR(__xludf.DUMMYFUNCTION("""COMPUTED_VALUE"""),"Strategy")</f>
        <v>Strategy</v>
      </c>
      <c r="D727" s="31">
        <f>IFERROR(__xludf.DUMMYFUNCTION("""COMPUTED_VALUE"""),7.022967608E9)</f>
        <v>7022967608</v>
      </c>
      <c r="E727" s="31" t="str">
        <f>IFERROR(__xludf.DUMMYFUNCTION("""COMPUTED_VALUE"""),"Content Operations Associate")</f>
        <v>Content Operations Associate</v>
      </c>
      <c r="F727" s="31" t="str">
        <f>IFERROR(__xludf.DUMMYFUNCTION("""COMPUTED_VALUE"""),"Content")</f>
        <v>Content</v>
      </c>
      <c r="G727" s="31" t="str">
        <f>IFERROR(__xludf.DUMMYFUNCTION("""COMPUTED_VALUE"""),"rayrohan798@gmail.com")</f>
        <v>rayrohan798@gmail.com</v>
      </c>
      <c r="H727" s="31" t="str">
        <f>IFERROR(__xludf.DUMMYFUNCTION("""COMPUTED_VALUE"""),"Chiragkumar Sabhadiya")</f>
        <v>Chiragkumar Sabhadiya</v>
      </c>
      <c r="I727" s="75">
        <f>IFERROR(__xludf.DUMMYFUNCTION("""COMPUTED_VALUE"""),45957.0)</f>
        <v>45957</v>
      </c>
      <c r="J727" s="31" t="str">
        <f>IFERROR(__xludf.DUMMYFUNCTION("""COMPUTED_VALUE"""),"Vipin Kumar")</f>
        <v>Vipin Kumar</v>
      </c>
      <c r="K727" s="31" t="str">
        <f>IFERROR(__xludf.DUMMYFUNCTION("""COMPUTED_VALUE"""),"Joined")</f>
        <v>Joined</v>
      </c>
      <c r="L727" s="31" t="str">
        <f>IFERROR(__xludf.DUMMYFUNCTION("""COMPUTED_VALUE"""),"In Office")</f>
        <v>In Office</v>
      </c>
      <c r="M727" s="31" t="str">
        <f>IFERROR(__xludf.DUMMYFUNCTION("""COMPUTED_VALUE"""),"rohan.ray@zupee.in")</f>
        <v>rohan.ray@zupee.in</v>
      </c>
      <c r="N727" s="31" t="str">
        <f>IFERROR(__xludf.DUMMYFUNCTION("""COMPUTED_VALUE"""),"PW03VMG9")</f>
        <v>PW03VMG9</v>
      </c>
    </row>
    <row r="728">
      <c r="A728" s="74">
        <f>IFERROR(__xludf.DUMMYFUNCTION("""COMPUTED_VALUE"""),45964.0)</f>
        <v>45964</v>
      </c>
      <c r="B728" s="31" t="str">
        <f>IFERROR(__xludf.DUMMYFUNCTION("""COMPUTED_VALUE"""),"Nilesh Ashok Inkar")</f>
        <v>Nilesh Ashok Inkar</v>
      </c>
      <c r="C728" s="31" t="str">
        <f>IFERROR(__xludf.DUMMYFUNCTION("""COMPUTED_VALUE"""),"Strategy")</f>
        <v>Strategy</v>
      </c>
      <c r="D728" s="31">
        <f>IFERROR(__xludf.DUMMYFUNCTION("""COMPUTED_VALUE"""),8.446161484E9)</f>
        <v>8446161484</v>
      </c>
      <c r="E728" s="31" t="str">
        <f>IFERROR(__xludf.DUMMYFUNCTION("""COMPUTED_VALUE"""),"Content Operations Senior Associate")</f>
        <v>Content Operations Senior Associate</v>
      </c>
      <c r="F728" s="31" t="str">
        <f>IFERROR(__xludf.DUMMYFUNCTION("""COMPUTED_VALUE"""),"Content")</f>
        <v>Content</v>
      </c>
      <c r="G728" s="31" t="str">
        <f>IFERROR(__xludf.DUMMYFUNCTION("""COMPUTED_VALUE"""),"nileshinkar4@gmail.com")</f>
        <v>nileshinkar4@gmail.com</v>
      </c>
      <c r="H728" s="31" t="str">
        <f>IFERROR(__xludf.DUMMYFUNCTION("""COMPUTED_VALUE"""),"Chiragkumar Sabhadiya")</f>
        <v>Chiragkumar Sabhadiya</v>
      </c>
      <c r="I728" s="75">
        <f>IFERROR(__xludf.DUMMYFUNCTION("""COMPUTED_VALUE"""),45959.0)</f>
        <v>45959</v>
      </c>
      <c r="J728" s="31" t="str">
        <f>IFERROR(__xludf.DUMMYFUNCTION("""COMPUTED_VALUE"""),"Vipin Kumar")</f>
        <v>Vipin Kumar</v>
      </c>
      <c r="K728" s="31" t="str">
        <f>IFERROR(__xludf.DUMMYFUNCTION("""COMPUTED_VALUE"""),"Joined")</f>
        <v>Joined</v>
      </c>
      <c r="L728" s="31" t="str">
        <f>IFERROR(__xludf.DUMMYFUNCTION("""COMPUTED_VALUE"""),"In Office")</f>
        <v>In Office</v>
      </c>
      <c r="M728" s="31" t="str">
        <f>IFERROR(__xludf.DUMMYFUNCTION("""COMPUTED_VALUE"""),"nilesh.inkar@zupee.in")</f>
        <v>nilesh.inkar@zupee.in</v>
      </c>
      <c r="N728" s="31" t="str">
        <f>IFERROR(__xludf.DUMMYFUNCTION("""COMPUTED_VALUE"""),"PG04QRA6")</f>
        <v>PG04QRA6</v>
      </c>
    </row>
    <row r="729">
      <c r="A729" s="74">
        <f>IFERROR(__xludf.DUMMYFUNCTION("""COMPUTED_VALUE"""),45964.0)</f>
        <v>45964</v>
      </c>
      <c r="B729" s="31" t="str">
        <f>IFERROR(__xludf.DUMMYFUNCTION("""COMPUTED_VALUE"""),"Vaibhav Patawari")</f>
        <v>Vaibhav Patawari</v>
      </c>
      <c r="C729" s="31" t="str">
        <f>IFERROR(__xludf.DUMMYFUNCTION("""COMPUTED_VALUE"""),"Strategy")</f>
        <v>Strategy</v>
      </c>
      <c r="D729" s="31">
        <f>IFERROR(__xludf.DUMMYFUNCTION("""COMPUTED_VALUE"""),8.85121699E9)</f>
        <v>8851216990</v>
      </c>
      <c r="E729" s="31" t="str">
        <f>IFERROR(__xludf.DUMMYFUNCTION("""COMPUTED_VALUE"""),"Content Operations Intern")</f>
        <v>Content Operations Intern</v>
      </c>
      <c r="F729" s="31" t="str">
        <f>IFERROR(__xludf.DUMMYFUNCTION("""COMPUTED_VALUE"""),"Content")</f>
        <v>Content</v>
      </c>
      <c r="G729" s="31" t="str">
        <f>IFERROR(__xludf.DUMMYFUNCTION("""COMPUTED_VALUE"""),"VAIBHAVPATAWARI@GMAIL.COM")</f>
        <v>VAIBHAVPATAWARI@GMAIL.COM</v>
      </c>
      <c r="H729" s="31" t="str">
        <f>IFERROR(__xludf.DUMMYFUNCTION("""COMPUTED_VALUE"""),"Chiragkumar Sabhadiya")</f>
        <v>Chiragkumar Sabhadiya</v>
      </c>
      <c r="I729" s="75">
        <f>IFERROR(__xludf.DUMMYFUNCTION("""COMPUTED_VALUE"""),45959.0)</f>
        <v>45959</v>
      </c>
      <c r="J729" s="31" t="str">
        <f>IFERROR(__xludf.DUMMYFUNCTION("""COMPUTED_VALUE"""),"Vipin Kumar")</f>
        <v>Vipin Kumar</v>
      </c>
      <c r="K729" s="31" t="str">
        <f>IFERROR(__xludf.DUMMYFUNCTION("""COMPUTED_VALUE"""),"Joined")</f>
        <v>Joined</v>
      </c>
      <c r="L729" s="31" t="str">
        <f>IFERROR(__xludf.DUMMYFUNCTION("""COMPUTED_VALUE"""),"In Office")</f>
        <v>In Office</v>
      </c>
      <c r="M729" s="31" t="str">
        <f>IFERROR(__xludf.DUMMYFUNCTION("""COMPUTED_VALUE"""),"vaibhav.patawari@zupee.in")</f>
        <v>vaibhav.patawari@zupee.in</v>
      </c>
      <c r="N729" s="31"/>
    </row>
    <row r="730">
      <c r="A730" s="74">
        <f>IFERROR(__xludf.DUMMYFUNCTION("""COMPUTED_VALUE"""),45979.0)</f>
        <v>45979</v>
      </c>
      <c r="B730" s="31" t="str">
        <f>IFERROR(__xludf.DUMMYFUNCTION("""COMPUTED_VALUE"""),"Aditya Kumar Sinha")</f>
        <v>Aditya Kumar Sinha</v>
      </c>
      <c r="C730" s="31" t="str">
        <f>IFERROR(__xludf.DUMMYFUNCTION("""COMPUTED_VALUE"""),"Strategy")</f>
        <v>Strategy</v>
      </c>
      <c r="D730" s="31">
        <f>IFERROR(__xludf.DUMMYFUNCTION("""COMPUTED_VALUE"""),8.825309443E9)</f>
        <v>8825309443</v>
      </c>
      <c r="E730" s="31" t="str">
        <f>IFERROR(__xludf.DUMMYFUNCTION("""COMPUTED_VALUE"""),"Content Operations Associate")</f>
        <v>Content Operations Associate</v>
      </c>
      <c r="F730" s="31" t="str">
        <f>IFERROR(__xludf.DUMMYFUNCTION("""COMPUTED_VALUE"""),"Content")</f>
        <v>Content</v>
      </c>
      <c r="G730" s="31" t="str">
        <f>IFERROR(__xludf.DUMMYFUNCTION("""COMPUTED_VALUE"""),"sinhaak99@gmail.com")</f>
        <v>sinhaak99@gmail.com</v>
      </c>
      <c r="H730" s="31" t="str">
        <f>IFERROR(__xludf.DUMMYFUNCTION("""COMPUTED_VALUE"""),"Chiragkumar Sabhadiya")</f>
        <v>Chiragkumar Sabhadiya</v>
      </c>
      <c r="I730" s="75">
        <f>IFERROR(__xludf.DUMMYFUNCTION("""COMPUTED_VALUE"""),45959.0)</f>
        <v>45959</v>
      </c>
      <c r="J730" s="31" t="str">
        <f>IFERROR(__xludf.DUMMYFUNCTION("""COMPUTED_VALUE"""),"Vipin Kumar")</f>
        <v>Vipin Kumar</v>
      </c>
      <c r="K730" s="31" t="str">
        <f>IFERROR(__xludf.DUMMYFUNCTION("""COMPUTED_VALUE"""),"Joined")</f>
        <v>Joined</v>
      </c>
      <c r="L730" s="31" t="str">
        <f>IFERROR(__xludf.DUMMYFUNCTION("""COMPUTED_VALUE"""),"In Office")</f>
        <v>In Office</v>
      </c>
      <c r="M730" s="31" t="str">
        <f>IFERROR(__xludf.DUMMYFUNCTION("""COMPUTED_VALUE"""),"aditya.sinha@zupee.in")</f>
        <v>aditya.sinha@zupee.in</v>
      </c>
      <c r="N730" s="31" t="str">
        <f>IFERROR(__xludf.DUMMYFUNCTION("""COMPUTED_VALUE"""),"PG04E1RX")</f>
        <v>PG04E1RX</v>
      </c>
    </row>
    <row r="731">
      <c r="A731" s="74">
        <f>IFERROR(__xludf.DUMMYFUNCTION("""COMPUTED_VALUE"""),45964.0)</f>
        <v>45964</v>
      </c>
      <c r="B731" s="31" t="str">
        <f>IFERROR(__xludf.DUMMYFUNCTION("""COMPUTED_VALUE"""),"Cheshtha Sharma")</f>
        <v>Cheshtha Sharma</v>
      </c>
      <c r="C731" s="31" t="str">
        <f>IFERROR(__xludf.DUMMYFUNCTION("""COMPUTED_VALUE"""),"HR")</f>
        <v>HR</v>
      </c>
      <c r="D731" s="31">
        <f>IFERROR(__xludf.DUMMYFUNCTION("""COMPUTED_VALUE"""),8.920697235E9)</f>
        <v>8920697235</v>
      </c>
      <c r="E731" s="31" t="str">
        <f>IFERROR(__xludf.DUMMYFUNCTION("""COMPUTED_VALUE"""),"Associate - Talent Acquisition")</f>
        <v>Associate - Talent Acquisition</v>
      </c>
      <c r="F731" s="31" t="str">
        <f>IFERROR(__xludf.DUMMYFUNCTION("""COMPUTED_VALUE"""),"HR TA")</f>
        <v>HR TA</v>
      </c>
      <c r="G731" s="31" t="str">
        <f>IFERROR(__xludf.DUMMYFUNCTION("""COMPUTED_VALUE"""),"sharmacheshtha98@gmail.com")</f>
        <v>sharmacheshtha98@gmail.com</v>
      </c>
      <c r="H731" s="31" t="str">
        <f>IFERROR(__xludf.DUMMYFUNCTION("""COMPUTED_VALUE"""),"M Sangeetha")</f>
        <v>M Sangeetha</v>
      </c>
      <c r="I731" s="75">
        <f>IFERROR(__xludf.DUMMYFUNCTION("""COMPUTED_VALUE"""),45957.0)</f>
        <v>45957</v>
      </c>
      <c r="J731" s="31" t="str">
        <f>IFERROR(__xludf.DUMMYFUNCTION("""COMPUTED_VALUE"""),"Jaya Tiwari")</f>
        <v>Jaya Tiwari</v>
      </c>
      <c r="K731" s="31" t="str">
        <f>IFERROR(__xludf.DUMMYFUNCTION("""COMPUTED_VALUE"""),"Joined")</f>
        <v>Joined</v>
      </c>
      <c r="L731" s="31" t="str">
        <f>IFERROR(__xludf.DUMMYFUNCTION("""COMPUTED_VALUE"""),"In Office")</f>
        <v>In Office</v>
      </c>
      <c r="M731" s="31" t="str">
        <f>IFERROR(__xludf.DUMMYFUNCTION("""COMPUTED_VALUE"""),"cheshtha.sharma@zupee.in.")</f>
        <v>cheshtha.sharma@zupee.in.</v>
      </c>
      <c r="N731" s="31"/>
    </row>
    <row r="732">
      <c r="A732" s="74">
        <f>IFERROR(__xludf.DUMMYFUNCTION("""COMPUTED_VALUE"""),46010.0)</f>
        <v>46010</v>
      </c>
      <c r="B732" s="31" t="str">
        <f>IFERROR(__xludf.DUMMYFUNCTION("""COMPUTED_VALUE"""),"Devika Prakash")</f>
        <v>Devika Prakash</v>
      </c>
      <c r="C732" s="31" t="str">
        <f>IFERROR(__xludf.DUMMYFUNCTION("""COMPUTED_VALUE"""),"Brand Marketing")</f>
        <v>Brand Marketing</v>
      </c>
      <c r="D732" s="31">
        <f>IFERROR(__xludf.DUMMYFUNCTION("""COMPUTED_VALUE"""),9.711797129E9)</f>
        <v>9711797129</v>
      </c>
      <c r="E732" s="31" t="str">
        <f>IFERROR(__xludf.DUMMYFUNCTION("""COMPUTED_VALUE"""),"Brand Manager")</f>
        <v>Brand Manager</v>
      </c>
      <c r="F732" s="31" t="str">
        <f>IFERROR(__xludf.DUMMYFUNCTION("""COMPUTED_VALUE"""),"Brand")</f>
        <v>Brand</v>
      </c>
      <c r="G732" s="31" t="str">
        <f>IFERROR(__xludf.DUMMYFUNCTION("""COMPUTED_VALUE"""),"devikaprakash5@gmail.com")</f>
        <v>devikaprakash5@gmail.com</v>
      </c>
      <c r="H732" s="31" t="str">
        <f>IFERROR(__xludf.DUMMYFUNCTION("""COMPUTED_VALUE"""),"Katha Pankaj Tara")</f>
        <v>Katha Pankaj Tara</v>
      </c>
      <c r="I732" s="75">
        <f>IFERROR(__xludf.DUMMYFUNCTION("""COMPUTED_VALUE"""),45957.0)</f>
        <v>45957</v>
      </c>
      <c r="J732" s="31" t="str">
        <f>IFERROR(__xludf.DUMMYFUNCTION("""COMPUTED_VALUE"""),"Rajneesh Yadav")</f>
        <v>Rajneesh Yadav</v>
      </c>
      <c r="K732" s="31" t="str">
        <f>IFERROR(__xludf.DUMMYFUNCTION("""COMPUTED_VALUE"""),"Joined")</f>
        <v>Joined</v>
      </c>
      <c r="L732" s="31" t="str">
        <f>IFERROR(__xludf.DUMMYFUNCTION("""COMPUTED_VALUE"""),"In Office")</f>
        <v>In Office</v>
      </c>
      <c r="M732" s="31" t="str">
        <f>IFERROR(__xludf.DUMMYFUNCTION("""COMPUTED_VALUE"""),"devika.prakash@zupee.in")</f>
        <v>devika.prakash@zupee.in</v>
      </c>
      <c r="N732" s="31"/>
    </row>
    <row r="733">
      <c r="A733" s="74">
        <f>IFERROR(__xludf.DUMMYFUNCTION("""COMPUTED_VALUE"""),45965.0)</f>
        <v>45965</v>
      </c>
      <c r="B733" s="31" t="str">
        <f>IFERROR(__xludf.DUMMYFUNCTION("""COMPUTED_VALUE"""),"Nishant Pandey")</f>
        <v>Nishant Pandey</v>
      </c>
      <c r="C733" s="31" t="str">
        <f>IFERROR(__xludf.DUMMYFUNCTION("""COMPUTED_VALUE"""),"Strategy")</f>
        <v>Strategy</v>
      </c>
      <c r="D733" s="31">
        <f>IFERROR(__xludf.DUMMYFUNCTION("""COMPUTED_VALUE"""),8.076687289E9)</f>
        <v>8076687289</v>
      </c>
      <c r="E733" s="31" t="str">
        <f>IFERROR(__xludf.DUMMYFUNCTION("""COMPUTED_VALUE"""),"Content Operations Intern")</f>
        <v>Content Operations Intern</v>
      </c>
      <c r="F733" s="31" t="str">
        <f>IFERROR(__xludf.DUMMYFUNCTION("""COMPUTED_VALUE"""),"Content")</f>
        <v>Content</v>
      </c>
      <c r="G733" s="31" t="str">
        <f>IFERROR(__xludf.DUMMYFUNCTION("""COMPUTED_VALUE"""),"nishantpandey7689@gmail.com")</f>
        <v>nishantpandey7689@gmail.com</v>
      </c>
      <c r="H733" s="31" t="str">
        <f>IFERROR(__xludf.DUMMYFUNCTION("""COMPUTED_VALUE"""),"Chiragkumar Sabhadiya")</f>
        <v>Chiragkumar Sabhadiya</v>
      </c>
      <c r="I733" s="75">
        <f>IFERROR(__xludf.DUMMYFUNCTION("""COMPUTED_VALUE"""),45964.0)</f>
        <v>45964</v>
      </c>
      <c r="J733" s="31" t="str">
        <f>IFERROR(__xludf.DUMMYFUNCTION("""COMPUTED_VALUE"""),"Vipin Kumar")</f>
        <v>Vipin Kumar</v>
      </c>
      <c r="K733" s="31" t="str">
        <f>IFERROR(__xludf.DUMMYFUNCTION("""COMPUTED_VALUE"""),"Joined")</f>
        <v>Joined</v>
      </c>
      <c r="L733" s="31" t="str">
        <f>IFERROR(__xludf.DUMMYFUNCTION("""COMPUTED_VALUE"""),"In Office")</f>
        <v>In Office</v>
      </c>
      <c r="M733" s="31" t="str">
        <f>IFERROR(__xludf.DUMMYFUNCTION("""COMPUTED_VALUE"""),"nishant.pandey@zupee.in")</f>
        <v>nishant.pandey@zupee.in</v>
      </c>
      <c r="N733" s="31"/>
    </row>
    <row r="734">
      <c r="A734" s="74">
        <f>IFERROR(__xludf.DUMMYFUNCTION("""COMPUTED_VALUE"""),45979.0)</f>
        <v>45979</v>
      </c>
      <c r="B734" s="31" t="str">
        <f>IFERROR(__xludf.DUMMYFUNCTION("""COMPUTED_VALUE"""),"Siddartha Verma")</f>
        <v>Siddartha Verma</v>
      </c>
      <c r="C734" s="31" t="str">
        <f>IFERROR(__xludf.DUMMYFUNCTION("""COMPUTED_VALUE"""),"HR")</f>
        <v>HR</v>
      </c>
      <c r="D734" s="31">
        <f>IFERROR(__xludf.DUMMYFUNCTION("""COMPUTED_VALUE"""),9.990333493E9)</f>
        <v>9990333493</v>
      </c>
      <c r="E734" s="31" t="str">
        <f>IFERROR(__xludf.DUMMYFUNCTION("""COMPUTED_VALUE"""),"Assistant Manager- Payroll &amp; Compliance")</f>
        <v>Assistant Manager- Payroll &amp; Compliance</v>
      </c>
      <c r="F734" s="31" t="str">
        <f>IFERROR(__xludf.DUMMYFUNCTION("""COMPUTED_VALUE"""),"HR-Business Partnering")</f>
        <v>HR-Business Partnering</v>
      </c>
      <c r="G734" s="31" t="str">
        <f>IFERROR(__xludf.DUMMYFUNCTION("""COMPUTED_VALUE"""),"Siddharthakv@hotmail.com")</f>
        <v>Siddharthakv@hotmail.com</v>
      </c>
      <c r="H734" s="31" t="str">
        <f>IFERROR(__xludf.DUMMYFUNCTION("""COMPUTED_VALUE"""),"Sushil Patel")</f>
        <v>Sushil Patel</v>
      </c>
      <c r="I734" s="75">
        <f>IFERROR(__xludf.DUMMYFUNCTION("""COMPUTED_VALUE"""),45964.0)</f>
        <v>45964</v>
      </c>
      <c r="J734" s="31" t="str">
        <f>IFERROR(__xludf.DUMMYFUNCTION("""COMPUTED_VALUE"""),"Rajneesh Yadav")</f>
        <v>Rajneesh Yadav</v>
      </c>
      <c r="K734" s="31" t="str">
        <f>IFERROR(__xludf.DUMMYFUNCTION("""COMPUTED_VALUE"""),"Joined")</f>
        <v>Joined</v>
      </c>
      <c r="L734" s="31" t="str">
        <f>IFERROR(__xludf.DUMMYFUNCTION("""COMPUTED_VALUE"""),"In Office")</f>
        <v>In Office</v>
      </c>
      <c r="M734" s="31" t="str">
        <f>IFERROR(__xludf.DUMMYFUNCTION("""COMPUTED_VALUE"""),"siddartha.verma@zupee.in")</f>
        <v>siddartha.verma@zupee.in</v>
      </c>
      <c r="N734" s="31" t="str">
        <f>IFERROR(__xludf.DUMMYFUNCTION("""COMPUTED_VALUE"""),"HP901XL22V")</f>
        <v>HP901XL22V</v>
      </c>
    </row>
    <row r="735">
      <c r="A735" s="74">
        <f>IFERROR(__xludf.DUMMYFUNCTION("""COMPUTED_VALUE"""),45971.0)</f>
        <v>45971</v>
      </c>
      <c r="B735" s="31" t="str">
        <f>IFERROR(__xludf.DUMMYFUNCTION("""COMPUTED_VALUE"""),"Aman Maurya")</f>
        <v>Aman Maurya</v>
      </c>
      <c r="C735" s="31" t="str">
        <f>IFERROR(__xludf.DUMMYFUNCTION("""COMPUTED_VALUE"""),"Technology")</f>
        <v>Technology</v>
      </c>
      <c r="D735" s="31">
        <f>IFERROR(__xludf.DUMMYFUNCTION("""COMPUTED_VALUE"""),9.625572595E9)</f>
        <v>9625572595</v>
      </c>
      <c r="E735" s="31" t="str">
        <f>IFERROR(__xludf.DUMMYFUNCTION("""COMPUTED_VALUE"""),"Machine learning Intern")</f>
        <v>Machine learning Intern</v>
      </c>
      <c r="F735" s="31" t="str">
        <f>IFERROR(__xludf.DUMMYFUNCTION("""COMPUTED_VALUE"""),"Data Science")</f>
        <v>Data Science</v>
      </c>
      <c r="G735" s="31" t="str">
        <f>IFERROR(__xludf.DUMMYFUNCTION("""COMPUTED_VALUE"""),"amanmaurya4527@gmail.com")</f>
        <v>amanmaurya4527@gmail.com</v>
      </c>
      <c r="H735" s="31" t="str">
        <f>IFERROR(__xludf.DUMMYFUNCTION("""COMPUTED_VALUE"""),"Nandeshwar Gupta")</f>
        <v>Nandeshwar Gupta</v>
      </c>
      <c r="I735" s="75">
        <f>IFERROR(__xludf.DUMMYFUNCTION("""COMPUTED_VALUE"""),45968.0)</f>
        <v>45968</v>
      </c>
      <c r="J735" s="31" t="str">
        <f>IFERROR(__xludf.DUMMYFUNCTION("""COMPUTED_VALUE"""),"Jaya Tiwari")</f>
        <v>Jaya Tiwari</v>
      </c>
      <c r="K735" s="31" t="str">
        <f>IFERROR(__xludf.DUMMYFUNCTION("""COMPUTED_VALUE"""),"Joined")</f>
        <v>Joined</v>
      </c>
      <c r="L735" s="31" t="str">
        <f>IFERROR(__xludf.DUMMYFUNCTION("""COMPUTED_VALUE"""),"In Office")</f>
        <v>In Office</v>
      </c>
      <c r="M735" s="31" t="str">
        <f>IFERROR(__xludf.DUMMYFUNCTION("""COMPUTED_VALUE"""),"aman.maurya1@zupee.in")</f>
        <v>aman.maurya1@zupee.in</v>
      </c>
      <c r="N735" s="31"/>
    </row>
    <row r="736">
      <c r="A736" s="74">
        <f>IFERROR(__xludf.DUMMYFUNCTION("""COMPUTED_VALUE"""),45979.0)</f>
        <v>45979</v>
      </c>
      <c r="B736" s="31" t="str">
        <f>IFERROR(__xludf.DUMMYFUNCTION("""COMPUTED_VALUE"""),"Mayur Kewal Khairkar")</f>
        <v>Mayur Kewal Khairkar</v>
      </c>
      <c r="C736" s="31" t="str">
        <f>IFERROR(__xludf.DUMMYFUNCTION("""COMPUTED_VALUE"""),"Vertical Tv")</f>
        <v>Vertical Tv</v>
      </c>
      <c r="D736" s="31">
        <f>IFERROR(__xludf.DUMMYFUNCTION("""COMPUTED_VALUE"""),8.208336318E9)</f>
        <v>8208336318</v>
      </c>
      <c r="E736" s="31" t="str">
        <f>IFERROR(__xludf.DUMMYFUNCTION("""COMPUTED_VALUE"""),"Promo Production Manager")</f>
        <v>Promo Production Manager</v>
      </c>
      <c r="F736" s="31" t="str">
        <f>IFERROR(__xludf.DUMMYFUNCTION("""COMPUTED_VALUE"""),"Content / Social")</f>
        <v>Content / Social</v>
      </c>
      <c r="G736" s="31" t="str">
        <f>IFERROR(__xludf.DUMMYFUNCTION("""COMPUTED_VALUE"""),"mayurkhairkar1@gmail.com")</f>
        <v>mayurkhairkar1@gmail.com</v>
      </c>
      <c r="H736" s="31" t="str">
        <f>IFERROR(__xludf.DUMMYFUNCTION("""COMPUTED_VALUE"""),"Mohit Goswami")</f>
        <v>Mohit Goswami</v>
      </c>
      <c r="I736" s="75">
        <f>IFERROR(__xludf.DUMMYFUNCTION("""COMPUTED_VALUE"""),45968.0)</f>
        <v>45968</v>
      </c>
      <c r="J736" s="31" t="str">
        <f>IFERROR(__xludf.DUMMYFUNCTION("""COMPUTED_VALUE"""),"Rajneesh Yadav")</f>
        <v>Rajneesh Yadav</v>
      </c>
      <c r="K736" s="31" t="str">
        <f>IFERROR(__xludf.DUMMYFUNCTION("""COMPUTED_VALUE"""),"Joined")</f>
        <v>Joined</v>
      </c>
      <c r="L736" s="31" t="str">
        <f>IFERROR(__xludf.DUMMYFUNCTION("""COMPUTED_VALUE"""),"In Office")</f>
        <v>In Office</v>
      </c>
      <c r="M736" s="31" t="str">
        <f>IFERROR(__xludf.DUMMYFUNCTION("""COMPUTED_VALUE"""),"mayur.khairkar@zupee.in")</f>
        <v>mayur.khairkar@zupee.in</v>
      </c>
      <c r="N736" s="31" t="str">
        <f>IFERROR(__xludf.DUMMYFUNCTION("""COMPUTED_VALUE"""),"LNHVXML4W7")</f>
        <v>LNHVXML4W7</v>
      </c>
    </row>
    <row r="737">
      <c r="A737" s="74">
        <f>IFERROR(__xludf.DUMMYFUNCTION("""COMPUTED_VALUE"""),45999.0)</f>
        <v>45999</v>
      </c>
      <c r="B737" s="31" t="str">
        <f>IFERROR(__xludf.DUMMYFUNCTION("""COMPUTED_VALUE"""),"Sagarika Sarin")</f>
        <v>Sagarika Sarin</v>
      </c>
      <c r="C737" s="31" t="str">
        <f>IFERROR(__xludf.DUMMYFUNCTION("""COMPUTED_VALUE"""),"Finance")</f>
        <v>Finance</v>
      </c>
      <c r="D737" s="31">
        <f>IFERROR(__xludf.DUMMYFUNCTION("""COMPUTED_VALUE"""),9.599992863E9)</f>
        <v>9599992863</v>
      </c>
      <c r="E737" s="31" t="str">
        <f>IFERROR(__xludf.DUMMYFUNCTION("""COMPUTED_VALUE"""),"Associate Director- Taxation")</f>
        <v>Associate Director- Taxation</v>
      </c>
      <c r="F737" s="31" t="str">
        <f>IFERROR(__xludf.DUMMYFUNCTION("""COMPUTED_VALUE"""),"Taxation")</f>
        <v>Taxation</v>
      </c>
      <c r="G737" s="31" t="str">
        <f>IFERROR(__xludf.DUMMYFUNCTION("""COMPUTED_VALUE"""),"sagarikasarinca@gmail.com")</f>
        <v>sagarikasarinca@gmail.com</v>
      </c>
      <c r="H737" s="31" t="str">
        <f>IFERROR(__xludf.DUMMYFUNCTION("""COMPUTED_VALUE"""),"Ankit Maheshwari")</f>
        <v>Ankit Maheshwari</v>
      </c>
      <c r="I737" s="75">
        <f>IFERROR(__xludf.DUMMYFUNCTION("""COMPUTED_VALUE"""),45968.0)</f>
        <v>45968</v>
      </c>
      <c r="J737" s="31" t="str">
        <f>IFERROR(__xludf.DUMMYFUNCTION("""COMPUTED_VALUE"""),"Rajneesh Yadav")</f>
        <v>Rajneesh Yadav</v>
      </c>
      <c r="K737" s="31" t="str">
        <f>IFERROR(__xludf.DUMMYFUNCTION("""COMPUTED_VALUE"""),"Joined")</f>
        <v>Joined</v>
      </c>
      <c r="L737" s="31" t="str">
        <f>IFERROR(__xludf.DUMMYFUNCTION("""COMPUTED_VALUE"""),"In Office")</f>
        <v>In Office</v>
      </c>
      <c r="M737" s="31" t="str">
        <f>IFERROR(__xludf.DUMMYFUNCTION("""COMPUTED_VALUE"""),"sagarika.sarin@zupee.in")</f>
        <v>sagarika.sarin@zupee.in</v>
      </c>
      <c r="N737" s="31" t="str">
        <f>IFERROR(__xludf.DUMMYFUNCTION("""COMPUTED_VALUE"""),"PF53NC1F")</f>
        <v>PF53NC1F</v>
      </c>
    </row>
    <row r="738">
      <c r="A738" s="74">
        <f>IFERROR(__xludf.DUMMYFUNCTION("""COMPUTED_VALUE"""),45978.0)</f>
        <v>45978</v>
      </c>
      <c r="B738" s="31" t="str">
        <f>IFERROR(__xludf.DUMMYFUNCTION("""COMPUTED_VALUE"""),"Sadiva Madaan")</f>
        <v>Sadiva Madaan</v>
      </c>
      <c r="C738" s="31" t="str">
        <f>IFERROR(__xludf.DUMMYFUNCTION("""COMPUTED_VALUE"""),"Data")</f>
        <v>Data</v>
      </c>
      <c r="D738" s="31">
        <f>IFERROR(__xludf.DUMMYFUNCTION("""COMPUTED_VALUE"""),9.873334842E9)</f>
        <v>9873334842</v>
      </c>
      <c r="E738" s="31" t="str">
        <f>IFERROR(__xludf.DUMMYFUNCTION("""COMPUTED_VALUE"""),"Senior Machine Learning Engineer")</f>
        <v>Senior Machine Learning Engineer</v>
      </c>
      <c r="F738" s="31" t="str">
        <f>IFERROR(__xludf.DUMMYFUNCTION("""COMPUTED_VALUE"""),"Data Science")</f>
        <v>Data Science</v>
      </c>
      <c r="G738" s="31" t="str">
        <f>IFERROR(__xludf.DUMMYFUNCTION("""COMPUTED_VALUE""")," sadivam@gmail.com")</f>
        <v> sadivam@gmail.com</v>
      </c>
      <c r="H738" s="31" t="str">
        <f>IFERROR(__xludf.DUMMYFUNCTION("""COMPUTED_VALUE"""),"Nandeshwar Gupta")</f>
        <v>Nandeshwar Gupta</v>
      </c>
      <c r="I738" s="75">
        <f>IFERROR(__xludf.DUMMYFUNCTION("""COMPUTED_VALUE"""),45971.0)</f>
        <v>45971</v>
      </c>
      <c r="J738" s="31" t="str">
        <f>IFERROR(__xludf.DUMMYFUNCTION("""COMPUTED_VALUE"""),"Shivam Sharma")</f>
        <v>Shivam Sharma</v>
      </c>
      <c r="K738" s="31" t="str">
        <f>IFERROR(__xludf.DUMMYFUNCTION("""COMPUTED_VALUE"""),"Offer Declined")</f>
        <v>Offer Declined</v>
      </c>
      <c r="L738" s="31" t="str">
        <f>IFERROR(__xludf.DUMMYFUNCTION("""COMPUTED_VALUE"""),"In Office")</f>
        <v>In Office</v>
      </c>
      <c r="M738" s="31"/>
      <c r="N738" s="31"/>
    </row>
    <row r="739">
      <c r="A739" s="74">
        <f>IFERROR(__xludf.DUMMYFUNCTION("""COMPUTED_VALUE"""),45992.0)</f>
        <v>45992</v>
      </c>
      <c r="B739" s="31" t="str">
        <f>IFERROR(__xludf.DUMMYFUNCTION("""COMPUTED_VALUE"""),"Sumit Rathore")</f>
        <v>Sumit Rathore</v>
      </c>
      <c r="C739" s="31" t="str">
        <f>IFERROR(__xludf.DUMMYFUNCTION("""COMPUTED_VALUE"""),"Technology")</f>
        <v>Technology</v>
      </c>
      <c r="D739" s="31">
        <f>IFERROR(__xludf.DUMMYFUNCTION("""COMPUTED_VALUE"""),7.257946734E9)</f>
        <v>7257946734</v>
      </c>
      <c r="E739" s="31" t="str">
        <f>IFERROR(__xludf.DUMMYFUNCTION("""COMPUTED_VALUE"""),"Software Engineer - Devops")</f>
        <v>Software Engineer - Devops</v>
      </c>
      <c r="F739" s="31" t="str">
        <f>IFERROR(__xludf.DUMMYFUNCTION("""COMPUTED_VALUE"""),"DevOps &amp; Security")</f>
        <v>DevOps &amp; Security</v>
      </c>
      <c r="G739" s="31" t="str">
        <f>IFERROR(__xludf.DUMMYFUNCTION("""COMPUTED_VALUE"""),"sumitrathore1918@gmail.com")</f>
        <v>sumitrathore1918@gmail.com</v>
      </c>
      <c r="H739" s="31" t="str">
        <f>IFERROR(__xludf.DUMMYFUNCTION("""COMPUTED_VALUE"""),"Saurav Yadav")</f>
        <v>Saurav Yadav</v>
      </c>
      <c r="I739" s="75">
        <f>IFERROR(__xludf.DUMMYFUNCTION("""COMPUTED_VALUE"""),45971.0)</f>
        <v>45971</v>
      </c>
      <c r="J739" s="31" t="str">
        <f>IFERROR(__xludf.DUMMYFUNCTION("""COMPUTED_VALUE"""),"Cheshtha Sharma")</f>
        <v>Cheshtha Sharma</v>
      </c>
      <c r="K739" s="31" t="str">
        <f>IFERROR(__xludf.DUMMYFUNCTION("""COMPUTED_VALUE"""),"Offer Declined")</f>
        <v>Offer Declined</v>
      </c>
      <c r="L739" s="31" t="str">
        <f>IFERROR(__xludf.DUMMYFUNCTION("""COMPUTED_VALUE"""),"In Office")</f>
        <v>In Office</v>
      </c>
      <c r="M739" s="31"/>
      <c r="N739" s="31"/>
    </row>
    <row r="740">
      <c r="A740" s="74">
        <f>IFERROR(__xludf.DUMMYFUNCTION("""COMPUTED_VALUE"""),45992.0)</f>
        <v>45992</v>
      </c>
      <c r="B740" s="31" t="str">
        <f>IFERROR(__xludf.DUMMYFUNCTION("""COMPUTED_VALUE"""),"Priyanka Singh")</f>
        <v>Priyanka Singh</v>
      </c>
      <c r="C740" s="31" t="str">
        <f>IFERROR(__xludf.DUMMYFUNCTION("""COMPUTED_VALUE"""),"Technology")</f>
        <v>Technology</v>
      </c>
      <c r="D740" s="31">
        <f>IFERROR(__xludf.DUMMYFUNCTION("""COMPUTED_VALUE"""),8.249339639E9)</f>
        <v>8249339639</v>
      </c>
      <c r="E740" s="31" t="str">
        <f>IFERROR(__xludf.DUMMYFUNCTION("""COMPUTED_VALUE"""),"Software Engineer - Devops")</f>
        <v>Software Engineer - Devops</v>
      </c>
      <c r="F740" s="31" t="str">
        <f>IFERROR(__xludf.DUMMYFUNCTION("""COMPUTED_VALUE"""),"DevOps &amp; Security")</f>
        <v>DevOps &amp; Security</v>
      </c>
      <c r="G740" s="31" t="str">
        <f>IFERROR(__xludf.DUMMYFUNCTION("""COMPUTED_VALUE"""),"priyankasingh8249@gmail.com")</f>
        <v>priyankasingh8249@gmail.com</v>
      </c>
      <c r="H740" s="31" t="str">
        <f>IFERROR(__xludf.DUMMYFUNCTION("""COMPUTED_VALUE"""),"Saurav Yadav")</f>
        <v>Saurav Yadav</v>
      </c>
      <c r="I740" s="75">
        <f>IFERROR(__xludf.DUMMYFUNCTION("""COMPUTED_VALUE"""),45971.0)</f>
        <v>45971</v>
      </c>
      <c r="J740" s="31" t="str">
        <f>IFERROR(__xludf.DUMMYFUNCTION("""COMPUTED_VALUE"""),"Cheshtha Sharma")</f>
        <v>Cheshtha Sharma</v>
      </c>
      <c r="K740" s="31" t="str">
        <f>IFERROR(__xludf.DUMMYFUNCTION("""COMPUTED_VALUE"""),"Offer Declined")</f>
        <v>Offer Declined</v>
      </c>
      <c r="L740" s="31" t="str">
        <f>IFERROR(__xludf.DUMMYFUNCTION("""COMPUTED_VALUE"""),"In Office")</f>
        <v>In Office</v>
      </c>
      <c r="M740" s="31"/>
      <c r="N740" s="31"/>
    </row>
    <row r="741">
      <c r="A741" s="74">
        <f>IFERROR(__xludf.DUMMYFUNCTION("""COMPUTED_VALUE"""),45992.0)</f>
        <v>45992</v>
      </c>
      <c r="B741" s="31" t="str">
        <f>IFERROR(__xludf.DUMMYFUNCTION("""COMPUTED_VALUE"""),"Aastha Vimal Shah")</f>
        <v>Aastha Vimal Shah</v>
      </c>
      <c r="C741" s="31" t="str">
        <f>IFERROR(__xludf.DUMMYFUNCTION("""COMPUTED_VALUE"""),"Vertical Tv")</f>
        <v>Vertical Tv</v>
      </c>
      <c r="D741" s="31">
        <f>IFERROR(__xludf.DUMMYFUNCTION("""COMPUTED_VALUE"""),8.082699754E9)</f>
        <v>8082699754</v>
      </c>
      <c r="E741" s="31" t="str">
        <f>IFERROR(__xludf.DUMMYFUNCTION("""COMPUTED_VALUE"""),"Sr Creative Lead")</f>
        <v>Sr Creative Lead</v>
      </c>
      <c r="F741" s="31" t="str">
        <f>IFERROR(__xludf.DUMMYFUNCTION("""COMPUTED_VALUE"""),"Content")</f>
        <v>Content</v>
      </c>
      <c r="G741" s="31" t="str">
        <f>IFERROR(__xludf.DUMMYFUNCTION("""COMPUTED_VALUE"""),"aasthashah214@gmail.com")</f>
        <v>aasthashah214@gmail.com</v>
      </c>
      <c r="H741" s="31" t="str">
        <f>IFERROR(__xludf.DUMMYFUNCTION("""COMPUTED_VALUE"""),"Mohit Paliwal")</f>
        <v>Mohit Paliwal</v>
      </c>
      <c r="I741" s="75">
        <f>IFERROR(__xludf.DUMMYFUNCTION("""COMPUTED_VALUE"""),45971.0)</f>
        <v>45971</v>
      </c>
      <c r="J741" s="31" t="str">
        <f>IFERROR(__xludf.DUMMYFUNCTION("""COMPUTED_VALUE"""),"Cheshtha Sharma")</f>
        <v>Cheshtha Sharma</v>
      </c>
      <c r="K741" s="31" t="str">
        <f>IFERROR(__xludf.DUMMYFUNCTION("""COMPUTED_VALUE"""),"Joined")</f>
        <v>Joined</v>
      </c>
      <c r="L741" s="31" t="str">
        <f>IFERROR(__xludf.DUMMYFUNCTION("""COMPUTED_VALUE"""),"Virtual")</f>
        <v>Virtual</v>
      </c>
      <c r="M741" s="31" t="str">
        <f>IFERROR(__xludf.DUMMYFUNCTION("""COMPUTED_VALUE"""),"aastha.shah@zupee.in")</f>
        <v>aastha.shah@zupee.in</v>
      </c>
      <c r="N741" s="31"/>
    </row>
    <row r="742">
      <c r="A742" s="74">
        <f>IFERROR(__xludf.DUMMYFUNCTION("""COMPUTED_VALUE"""),45973.0)</f>
        <v>45973</v>
      </c>
      <c r="B742" s="31" t="str">
        <f>IFERROR(__xludf.DUMMYFUNCTION("""COMPUTED_VALUE"""),"Anand Govardhan Dayma")</f>
        <v>Anand Govardhan Dayma</v>
      </c>
      <c r="C742" s="31" t="str">
        <f>IFERROR(__xludf.DUMMYFUNCTION("""COMPUTED_VALUE"""),"Vertical Tv")</f>
        <v>Vertical Tv</v>
      </c>
      <c r="D742" s="31">
        <f>IFERROR(__xludf.DUMMYFUNCTION("""COMPUTED_VALUE"""),9.892599976E9)</f>
        <v>9892599976</v>
      </c>
      <c r="E742" s="31" t="str">
        <f>IFERROR(__xludf.DUMMYFUNCTION("""COMPUTED_VALUE"""),"Creative Team Lead (Post Production)")</f>
        <v>Creative Team Lead (Post Production)</v>
      </c>
      <c r="F742" s="31" t="str">
        <f>IFERROR(__xludf.DUMMYFUNCTION("""COMPUTED_VALUE"""),"Content")</f>
        <v>Content</v>
      </c>
      <c r="G742" s="31" t="str">
        <f>IFERROR(__xludf.DUMMYFUNCTION("""COMPUTED_VALUE"""),"daymaanand19@gmail.com")</f>
        <v>daymaanand19@gmail.com</v>
      </c>
      <c r="H742" s="31" t="str">
        <f>IFERROR(__xludf.DUMMYFUNCTION("""COMPUTED_VALUE"""),"Mohit Goswami")</f>
        <v>Mohit Goswami</v>
      </c>
      <c r="I742" s="75">
        <f>IFERROR(__xludf.DUMMYFUNCTION("""COMPUTED_VALUE"""),45972.0)</f>
        <v>45972</v>
      </c>
      <c r="J742" s="31" t="str">
        <f>IFERROR(__xludf.DUMMYFUNCTION("""COMPUTED_VALUE"""),"Cheshtha Sharma")</f>
        <v>Cheshtha Sharma</v>
      </c>
      <c r="K742" s="31" t="str">
        <f>IFERROR(__xludf.DUMMYFUNCTION("""COMPUTED_VALUE"""),"Joined")</f>
        <v>Joined</v>
      </c>
      <c r="L742" s="31" t="str">
        <f>IFERROR(__xludf.DUMMYFUNCTION("""COMPUTED_VALUE"""),"Virtual")</f>
        <v>Virtual</v>
      </c>
      <c r="M742" s="31"/>
      <c r="N742" s="31"/>
    </row>
    <row r="743">
      <c r="A743" s="74">
        <f>IFERROR(__xludf.DUMMYFUNCTION("""COMPUTED_VALUE"""),45993.0)</f>
        <v>45993</v>
      </c>
      <c r="B743" s="31" t="str">
        <f>IFERROR(__xludf.DUMMYFUNCTION("""COMPUTED_VALUE"""),"Vidisha Baidya")</f>
        <v>Vidisha Baidya</v>
      </c>
      <c r="C743" s="31" t="str">
        <f>IFERROR(__xludf.DUMMYFUNCTION("""COMPUTED_VALUE"""),"Vertical Tv")</f>
        <v>Vertical Tv</v>
      </c>
      <c r="D743" s="31">
        <f>IFERROR(__xludf.DUMMYFUNCTION("""COMPUTED_VALUE"""),6.396178334E9)</f>
        <v>6396178334</v>
      </c>
      <c r="E743" s="31" t="str">
        <f>IFERROR(__xludf.DUMMYFUNCTION("""COMPUTED_VALUE"""),"Promo Writer")</f>
        <v>Promo Writer</v>
      </c>
      <c r="F743" s="31" t="str">
        <f>IFERROR(__xludf.DUMMYFUNCTION("""COMPUTED_VALUE"""),"Content")</f>
        <v>Content</v>
      </c>
      <c r="G743" s="31" t="str">
        <f>IFERROR(__xludf.DUMMYFUNCTION("""COMPUTED_VALUE""")," vbaidya1511@gmail.com")</f>
        <v> vbaidya1511@gmail.com</v>
      </c>
      <c r="H743" s="31" t="str">
        <f>IFERROR(__xludf.DUMMYFUNCTION("""COMPUTED_VALUE"""),"Mohit Goswami")</f>
        <v>Mohit Goswami</v>
      </c>
      <c r="I743" s="75">
        <f>IFERROR(__xludf.DUMMYFUNCTION("""COMPUTED_VALUE"""),45973.0)</f>
        <v>45973</v>
      </c>
      <c r="J743" s="31" t="str">
        <f>IFERROR(__xludf.DUMMYFUNCTION("""COMPUTED_VALUE"""),"Shivam Sharma")</f>
        <v>Shivam Sharma</v>
      </c>
      <c r="K743" s="31" t="str">
        <f>IFERROR(__xludf.DUMMYFUNCTION("""COMPUTED_VALUE"""),"Offer Declined")</f>
        <v>Offer Declined</v>
      </c>
      <c r="L743" s="31" t="str">
        <f>IFERROR(__xludf.DUMMYFUNCTION("""COMPUTED_VALUE"""),"Virtual")</f>
        <v>Virtual</v>
      </c>
      <c r="M743" s="31"/>
      <c r="N743" s="31"/>
    </row>
    <row r="744">
      <c r="A744" s="74">
        <f>IFERROR(__xludf.DUMMYFUNCTION("""COMPUTED_VALUE"""),45978.0)</f>
        <v>45978</v>
      </c>
      <c r="B744" s="31" t="str">
        <f>IFERROR(__xludf.DUMMYFUNCTION("""COMPUTED_VALUE"""),"Ujjawal Parmar")</f>
        <v>Ujjawal Parmar</v>
      </c>
      <c r="C744" s="31" t="str">
        <f>IFERROR(__xludf.DUMMYFUNCTION("""COMPUTED_VALUE"""),"Vertical Tv")</f>
        <v>Vertical Tv</v>
      </c>
      <c r="D744" s="31">
        <f>IFERROR(__xludf.DUMMYFUNCTION("""COMPUTED_VALUE"""),9.993933678E9)</f>
        <v>9993933678</v>
      </c>
      <c r="E744" s="31" t="str">
        <f>IFERROR(__xludf.DUMMYFUNCTION("""COMPUTED_VALUE"""),"Music Producer-Contractual")</f>
        <v>Music Producer-Contractual</v>
      </c>
      <c r="F744" s="31" t="str">
        <f>IFERROR(__xludf.DUMMYFUNCTION("""COMPUTED_VALUE"""),"Content")</f>
        <v>Content</v>
      </c>
      <c r="G744" s="31" t="str">
        <f>IFERROR(__xludf.DUMMYFUNCTION("""COMPUTED_VALUE""")," ujjwalaudio@gmail.com")</f>
        <v> ujjwalaudio@gmail.com</v>
      </c>
      <c r="H744" s="31" t="str">
        <f>IFERROR(__xludf.DUMMYFUNCTION("""COMPUTED_VALUE"""),"Moit Shandilya")</f>
        <v>Moit Shandilya</v>
      </c>
      <c r="I744" s="75">
        <f>IFERROR(__xludf.DUMMYFUNCTION("""COMPUTED_VALUE"""),45975.0)</f>
        <v>45975</v>
      </c>
      <c r="J744" s="31" t="str">
        <f>IFERROR(__xludf.DUMMYFUNCTION("""COMPUTED_VALUE"""),"Shivam Sharma")</f>
        <v>Shivam Sharma</v>
      </c>
      <c r="K744" s="31" t="str">
        <f>IFERROR(__xludf.DUMMYFUNCTION("""COMPUTED_VALUE"""),"Joined")</f>
        <v>Joined</v>
      </c>
      <c r="L744" s="31" t="str">
        <f>IFERROR(__xludf.DUMMYFUNCTION("""COMPUTED_VALUE"""),"Virtual")</f>
        <v>Virtual</v>
      </c>
      <c r="M744" s="31" t="str">
        <f>IFERROR(__xludf.DUMMYFUNCTION("""COMPUTED_VALUE"""),"ujjawal.parmar@zupee.in")</f>
        <v>ujjawal.parmar@zupee.in</v>
      </c>
      <c r="N744" s="31"/>
    </row>
    <row r="745">
      <c r="A745" s="74">
        <f>IFERROR(__xludf.DUMMYFUNCTION("""COMPUTED_VALUE"""),45992.0)</f>
        <v>45992</v>
      </c>
      <c r="B745" s="31" t="str">
        <f>IFERROR(__xludf.DUMMYFUNCTION("""COMPUTED_VALUE"""),"Naman")</f>
        <v>Naman</v>
      </c>
      <c r="C745" s="31" t="str">
        <f>IFERROR(__xludf.DUMMYFUNCTION("""COMPUTED_VALUE"""),"Digital Marketing")</f>
        <v>Digital Marketing</v>
      </c>
      <c r="D745" s="31">
        <f>IFERROR(__xludf.DUMMYFUNCTION("""COMPUTED_VALUE"""),7.009298327E9)</f>
        <v>7009298327</v>
      </c>
      <c r="E745" s="31" t="str">
        <f>IFERROR(__xludf.DUMMYFUNCTION("""COMPUTED_VALUE"""),"Junior SEO Executive")</f>
        <v>Junior SEO Executive</v>
      </c>
      <c r="F745" s="31" t="str">
        <f>IFERROR(__xludf.DUMMYFUNCTION("""COMPUTED_VALUE"""),"SEO/ASO")</f>
        <v>SEO/ASO</v>
      </c>
      <c r="G745" s="31" t="str">
        <f>IFERROR(__xludf.DUMMYFUNCTION("""COMPUTED_VALUE"""),"namanranga06@gmail.com")</f>
        <v>namanranga06@gmail.com</v>
      </c>
      <c r="H745" s="31" t="str">
        <f>IFERROR(__xludf.DUMMYFUNCTION("""COMPUTED_VALUE"""),"Richa Sahal")</f>
        <v>Richa Sahal</v>
      </c>
      <c r="I745" s="75">
        <f>IFERROR(__xludf.DUMMYFUNCTION("""COMPUTED_VALUE"""),45975.0)</f>
        <v>45975</v>
      </c>
      <c r="J745" s="31" t="str">
        <f>IFERROR(__xludf.DUMMYFUNCTION("""COMPUTED_VALUE"""),"Vipin Kumar")</f>
        <v>Vipin Kumar</v>
      </c>
      <c r="K745" s="31" t="str">
        <f>IFERROR(__xludf.DUMMYFUNCTION("""COMPUTED_VALUE"""),"Joined")</f>
        <v>Joined</v>
      </c>
      <c r="L745" s="31" t="str">
        <f>IFERROR(__xludf.DUMMYFUNCTION("""COMPUTED_VALUE"""),"In Office")</f>
        <v>In Office</v>
      </c>
      <c r="M745" s="31" t="str">
        <f>IFERROR(__xludf.DUMMYFUNCTION("""COMPUTED_VALUE"""),"naman@zupee.in")</f>
        <v>naman@zupee.in</v>
      </c>
      <c r="N745" s="31"/>
    </row>
    <row r="746">
      <c r="A746" s="74">
        <f>IFERROR(__xludf.DUMMYFUNCTION("""COMPUTED_VALUE"""),45979.0)</f>
        <v>45979</v>
      </c>
      <c r="B746" s="31" t="str">
        <f>IFERROR(__xludf.DUMMYFUNCTION("""COMPUTED_VALUE"""),"Mudit Mishra")</f>
        <v>Mudit Mishra</v>
      </c>
      <c r="C746" s="31" t="str">
        <f>IFERROR(__xludf.DUMMYFUNCTION("""COMPUTED_VALUE"""),"Vertical Tv")</f>
        <v>Vertical Tv</v>
      </c>
      <c r="D746" s="31">
        <f>IFERROR(__xludf.DUMMYFUNCTION("""COMPUTED_VALUE"""),8.860985558E9)</f>
        <v>8860985558</v>
      </c>
      <c r="E746" s="31" t="str">
        <f>IFERROR(__xludf.DUMMYFUNCTION("""COMPUTED_VALUE"""),"Associate Producer (Content)")</f>
        <v>Associate Producer (Content)</v>
      </c>
      <c r="F746" s="31" t="str">
        <f>IFERROR(__xludf.DUMMYFUNCTION("""COMPUTED_VALUE"""),"Content")</f>
        <v>Content</v>
      </c>
      <c r="G746" s="31" t="str">
        <f>IFERROR(__xludf.DUMMYFUNCTION("""COMPUTED_VALUE"""),"muditmishra10@gmail.com")</f>
        <v>muditmishra10@gmail.com</v>
      </c>
      <c r="H746" s="31" t="str">
        <f>IFERROR(__xludf.DUMMYFUNCTION("""COMPUTED_VALUE"""),"Mohit Goswami")</f>
        <v>Mohit Goswami</v>
      </c>
      <c r="I746" s="75">
        <f>IFERROR(__xludf.DUMMYFUNCTION("""COMPUTED_VALUE"""),45978.0)</f>
        <v>45978</v>
      </c>
      <c r="J746" s="31" t="str">
        <f>IFERROR(__xludf.DUMMYFUNCTION("""COMPUTED_VALUE"""),"Cheshtha Sharma")</f>
        <v>Cheshtha Sharma</v>
      </c>
      <c r="K746" s="31" t="str">
        <f>IFERROR(__xludf.DUMMYFUNCTION("""COMPUTED_VALUE"""),"Joined")</f>
        <v>Joined</v>
      </c>
      <c r="L746" s="31" t="str">
        <f>IFERROR(__xludf.DUMMYFUNCTION("""COMPUTED_VALUE"""),"In Office")</f>
        <v>In Office</v>
      </c>
      <c r="M746" s="31" t="str">
        <f>IFERROR(__xludf.DUMMYFUNCTION("""COMPUTED_VALUE"""),"mudit.mishra@zupee.in")</f>
        <v>mudit.mishra@zupee.in</v>
      </c>
      <c r="N746" s="31" t="str">
        <f>IFERROR(__xludf.DUMMYFUNCTION("""COMPUTED_VALUE"""),"PG04CSWF")</f>
        <v>PG04CSWF</v>
      </c>
    </row>
    <row r="747">
      <c r="A747" s="74">
        <f>IFERROR(__xludf.DUMMYFUNCTION("""COMPUTED_VALUE"""),45979.0)</f>
        <v>45979</v>
      </c>
      <c r="B747" s="31" t="str">
        <f>IFERROR(__xludf.DUMMYFUNCTION("""COMPUTED_VALUE"""),"Abhijeet Yashvant Chavan")</f>
        <v>Abhijeet Yashvant Chavan</v>
      </c>
      <c r="C747" s="31" t="str">
        <f>IFERROR(__xludf.DUMMYFUNCTION("""COMPUTED_VALUE"""),"Vertical Tv")</f>
        <v>Vertical Tv</v>
      </c>
      <c r="D747" s="31">
        <f>IFERROR(__xludf.DUMMYFUNCTION("""COMPUTED_VALUE"""),9.405239462E9)</f>
        <v>9405239462</v>
      </c>
      <c r="E747" s="31" t="str">
        <f>IFERROR(__xludf.DUMMYFUNCTION("""COMPUTED_VALUE"""),"Music Producer-Contractual")</f>
        <v>Music Producer-Contractual</v>
      </c>
      <c r="F747" s="31" t="str">
        <f>IFERROR(__xludf.DUMMYFUNCTION("""COMPUTED_VALUE"""),"Content")</f>
        <v>Content</v>
      </c>
      <c r="G747" s="31" t="str">
        <f>IFERROR(__xludf.DUMMYFUNCTION("""COMPUTED_VALUE""")," abhiraag258@gmail.com")</f>
        <v> abhiraag258@gmail.com</v>
      </c>
      <c r="H747" s="31" t="str">
        <f>IFERROR(__xludf.DUMMYFUNCTION("""COMPUTED_VALUE"""),"Moit Shandilya")</f>
        <v>Moit Shandilya</v>
      </c>
      <c r="I747" s="75">
        <f>IFERROR(__xludf.DUMMYFUNCTION("""COMPUTED_VALUE"""),45978.0)</f>
        <v>45978</v>
      </c>
      <c r="J747" s="31" t="str">
        <f>IFERROR(__xludf.DUMMYFUNCTION("""COMPUTED_VALUE"""),"Shivam Sharma")</f>
        <v>Shivam Sharma</v>
      </c>
      <c r="K747" s="31" t="str">
        <f>IFERROR(__xludf.DUMMYFUNCTION("""COMPUTED_VALUE"""),"Joined")</f>
        <v>Joined</v>
      </c>
      <c r="L747" s="31" t="str">
        <f>IFERROR(__xludf.DUMMYFUNCTION("""COMPUTED_VALUE"""),"Virtual")</f>
        <v>Virtual</v>
      </c>
      <c r="M747" s="31" t="str">
        <f>IFERROR(__xludf.DUMMYFUNCTION("""COMPUTED_VALUE"""),"abhijeet.chavan@zupee.in")</f>
        <v>abhijeet.chavan@zupee.in</v>
      </c>
      <c r="N747" s="31"/>
    </row>
    <row r="748">
      <c r="A748" s="74">
        <f>IFERROR(__xludf.DUMMYFUNCTION("""COMPUTED_VALUE"""),45980.0)</f>
        <v>45980</v>
      </c>
      <c r="B748" s="31" t="str">
        <f>IFERROR(__xludf.DUMMYFUNCTION("""COMPUTED_VALUE"""),"Sumit Kumar Sinha")</f>
        <v>Sumit Kumar Sinha</v>
      </c>
      <c r="C748" s="31" t="str">
        <f>IFERROR(__xludf.DUMMYFUNCTION("""COMPUTED_VALUE"""),"Vertical Tv")</f>
        <v>Vertical Tv</v>
      </c>
      <c r="D748" s="31">
        <f>IFERROR(__xludf.DUMMYFUNCTION("""COMPUTED_VALUE"""),8.692876332E9)</f>
        <v>8692876332</v>
      </c>
      <c r="E748" s="31" t="str">
        <f>IFERROR(__xludf.DUMMYFUNCTION("""COMPUTED_VALUE"""),"Associate Producer")</f>
        <v>Associate Producer</v>
      </c>
      <c r="F748" s="31" t="str">
        <f>IFERROR(__xludf.DUMMYFUNCTION("""COMPUTED_VALUE"""),"Content")</f>
        <v>Content</v>
      </c>
      <c r="G748" s="31" t="str">
        <f>IFERROR(__xludf.DUMMYFUNCTION("""COMPUTED_VALUE"""),"sumitsamarthya@gmail.com")</f>
        <v>sumitsamarthya@gmail.com</v>
      </c>
      <c r="H748" s="31" t="str">
        <f>IFERROR(__xludf.DUMMYFUNCTION("""COMPUTED_VALUE"""),"Anup Thanvi")</f>
        <v>Anup Thanvi</v>
      </c>
      <c r="I748" s="75">
        <f>IFERROR(__xludf.DUMMYFUNCTION("""COMPUTED_VALUE"""),45979.0)</f>
        <v>45979</v>
      </c>
      <c r="J748" s="31" t="str">
        <f>IFERROR(__xludf.DUMMYFUNCTION("""COMPUTED_VALUE"""),"Jaya Tiwari")</f>
        <v>Jaya Tiwari</v>
      </c>
      <c r="K748" s="31" t="str">
        <f>IFERROR(__xludf.DUMMYFUNCTION("""COMPUTED_VALUE"""),"Joined")</f>
        <v>Joined</v>
      </c>
      <c r="L748" s="31" t="str">
        <f>IFERROR(__xludf.DUMMYFUNCTION("""COMPUTED_VALUE"""),"Virtual")</f>
        <v>Virtual</v>
      </c>
      <c r="M748" s="31" t="str">
        <f>IFERROR(__xludf.DUMMYFUNCTION("""COMPUTED_VALUE"""),"sumit.sinha@zupee.in")</f>
        <v>sumit.sinha@zupee.in</v>
      </c>
      <c r="N748" s="31"/>
    </row>
    <row r="749">
      <c r="A749" s="74">
        <f>IFERROR(__xludf.DUMMYFUNCTION("""COMPUTED_VALUE"""),45980.0)</f>
        <v>45980</v>
      </c>
      <c r="B749" s="31" t="str">
        <f>IFERROR(__xludf.DUMMYFUNCTION("""COMPUTED_VALUE"""),"Pradeep Kumar")</f>
        <v>Pradeep Kumar</v>
      </c>
      <c r="C749" s="31" t="str">
        <f>IFERROR(__xludf.DUMMYFUNCTION("""COMPUTED_VALUE"""),"Vertical Tv")</f>
        <v>Vertical Tv</v>
      </c>
      <c r="D749" s="31">
        <f>IFERROR(__xludf.DUMMYFUNCTION("""COMPUTED_VALUE"""),8.169617462E9)</f>
        <v>8169617462</v>
      </c>
      <c r="E749" s="31" t="str">
        <f>IFERROR(__xludf.DUMMYFUNCTION("""COMPUTED_VALUE"""),"Associate Video Editor - Contractual")</f>
        <v>Associate Video Editor - Contractual</v>
      </c>
      <c r="F749" s="31" t="str">
        <f>IFERROR(__xludf.DUMMYFUNCTION("""COMPUTED_VALUE"""),"Content")</f>
        <v>Content</v>
      </c>
      <c r="G749" s="31" t="str">
        <f>IFERROR(__xludf.DUMMYFUNCTION("""COMPUTED_VALUE""")," mandalpradeep555@gmail.com")</f>
        <v> mandalpradeep555@gmail.com</v>
      </c>
      <c r="H749" s="31" t="str">
        <f>IFERROR(__xludf.DUMMYFUNCTION("""COMPUTED_VALUE"""),"Moit Shandilya")</f>
        <v>Moit Shandilya</v>
      </c>
      <c r="I749" s="75">
        <f>IFERROR(__xludf.DUMMYFUNCTION("""COMPUTED_VALUE"""),45979.0)</f>
        <v>45979</v>
      </c>
      <c r="J749" s="31" t="str">
        <f>IFERROR(__xludf.DUMMYFUNCTION("""COMPUTED_VALUE"""),"Shivam Sharma")</f>
        <v>Shivam Sharma</v>
      </c>
      <c r="K749" s="31" t="str">
        <f>IFERROR(__xludf.DUMMYFUNCTION("""COMPUTED_VALUE"""),"Joined")</f>
        <v>Joined</v>
      </c>
      <c r="L749" s="31" t="str">
        <f>IFERROR(__xludf.DUMMYFUNCTION("""COMPUTED_VALUE"""),"Virtual")</f>
        <v>Virtual</v>
      </c>
      <c r="M749" s="31" t="str">
        <f>IFERROR(__xludf.DUMMYFUNCTION("""COMPUTED_VALUE"""),"pradeep.kumar@zupee.in")</f>
        <v>pradeep.kumar@zupee.in</v>
      </c>
      <c r="N749" s="31"/>
    </row>
    <row r="750">
      <c r="A750" s="74">
        <f>IFERROR(__xludf.DUMMYFUNCTION("""COMPUTED_VALUE"""),45992.0)</f>
        <v>45992</v>
      </c>
      <c r="B750" s="31" t="str">
        <f>IFERROR(__xludf.DUMMYFUNCTION("""COMPUTED_VALUE"""),"Bahneman Saikia")</f>
        <v>Bahneman Saikia</v>
      </c>
      <c r="C750" s="31" t="str">
        <f>IFERROR(__xludf.DUMMYFUNCTION("""COMPUTED_VALUE"""),"Vertical Tv")</f>
        <v>Vertical Tv</v>
      </c>
      <c r="D750" s="31">
        <f>IFERROR(__xludf.DUMMYFUNCTION("""COMPUTED_VALUE"""),8.011638948E9)</f>
        <v>8011638948</v>
      </c>
      <c r="E750" s="31" t="str">
        <f>IFERROR(__xludf.DUMMYFUNCTION("""COMPUTED_VALUE"""),"Sound designer")</f>
        <v>Sound designer</v>
      </c>
      <c r="F750" s="31" t="str">
        <f>IFERROR(__xludf.DUMMYFUNCTION("""COMPUTED_VALUE"""),"Content")</f>
        <v>Content</v>
      </c>
      <c r="G750" s="31" t="str">
        <f>IFERROR(__xludf.DUMMYFUNCTION("""COMPUTED_VALUE"""),"bahneman.saikia@gmail.com")</f>
        <v>bahneman.saikia@gmail.com</v>
      </c>
      <c r="H750" s="31" t="str">
        <f>IFERROR(__xludf.DUMMYFUNCTION("""COMPUTED_VALUE"""),"Mohit Shandilya")</f>
        <v>Mohit Shandilya</v>
      </c>
      <c r="I750" s="75">
        <f>IFERROR(__xludf.DUMMYFUNCTION("""COMPUTED_VALUE"""),45979.0)</f>
        <v>45979</v>
      </c>
      <c r="J750" s="31" t="str">
        <f>IFERROR(__xludf.DUMMYFUNCTION("""COMPUTED_VALUE"""),"Cheshtha Sharma")</f>
        <v>Cheshtha Sharma</v>
      </c>
      <c r="K750" s="31" t="str">
        <f>IFERROR(__xludf.DUMMYFUNCTION("""COMPUTED_VALUE"""),"Joined")</f>
        <v>Joined</v>
      </c>
      <c r="L750" s="31" t="str">
        <f>IFERROR(__xludf.DUMMYFUNCTION("""COMPUTED_VALUE"""),"Virtual")</f>
        <v>Virtual</v>
      </c>
      <c r="M750" s="31" t="str">
        <f>IFERROR(__xludf.DUMMYFUNCTION("""COMPUTED_VALUE"""),"bahneman.saikia@zupee.in")</f>
        <v>bahneman.saikia@zupee.in</v>
      </c>
      <c r="N750" s="31"/>
    </row>
    <row r="751">
      <c r="A751" s="74">
        <f>IFERROR(__xludf.DUMMYFUNCTION("""COMPUTED_VALUE"""),46024.0)</f>
        <v>46024</v>
      </c>
      <c r="B751" s="31" t="str">
        <f>IFERROR(__xludf.DUMMYFUNCTION("""COMPUTED_VALUE"""),"Ankush Das")</f>
        <v>Ankush Das</v>
      </c>
      <c r="C751" s="31" t="str">
        <f>IFERROR(__xludf.DUMMYFUNCTION("""COMPUTED_VALUE"""),"Vertical Tv")</f>
        <v>Vertical Tv</v>
      </c>
      <c r="D751" s="31">
        <f>IFERROR(__xludf.DUMMYFUNCTION("""COMPUTED_VALUE"""),8.108262666E9)</f>
        <v>8108262666</v>
      </c>
      <c r="E751" s="31" t="str">
        <f>IFERROR(__xludf.DUMMYFUNCTION("""COMPUTED_VALUE"""),"Senior Video Editor - Creative Team Lead")</f>
        <v>Senior Video Editor - Creative Team Lead</v>
      </c>
      <c r="F751" s="31" t="str">
        <f>IFERROR(__xludf.DUMMYFUNCTION("""COMPUTED_VALUE"""),"Content")</f>
        <v>Content</v>
      </c>
      <c r="G751" s="31" t="str">
        <f>IFERROR(__xludf.DUMMYFUNCTION("""COMPUTED_VALUE"""),"ankush.animator@gmail.com")</f>
        <v>ankush.animator@gmail.com</v>
      </c>
      <c r="H751" s="31" t="str">
        <f>IFERROR(__xludf.DUMMYFUNCTION("""COMPUTED_VALUE"""),"Mohit Shandilya")</f>
        <v>Mohit Shandilya</v>
      </c>
      <c r="I751" s="75">
        <f>IFERROR(__xludf.DUMMYFUNCTION("""COMPUTED_VALUE"""),45979.0)</f>
        <v>45979</v>
      </c>
      <c r="J751" s="31" t="str">
        <f>IFERROR(__xludf.DUMMYFUNCTION("""COMPUTED_VALUE"""),"Cheshtha Sharma")</f>
        <v>Cheshtha Sharma</v>
      </c>
      <c r="K751" s="31" t="str">
        <f>IFERROR(__xludf.DUMMYFUNCTION("""COMPUTED_VALUE"""),"Joined")</f>
        <v>Joined</v>
      </c>
      <c r="L751" s="31" t="str">
        <f>IFERROR(__xludf.DUMMYFUNCTION("""COMPUTED_VALUE"""),"Virtual")</f>
        <v>Virtual</v>
      </c>
      <c r="M751" s="31" t="str">
        <f>IFERROR(__xludf.DUMMYFUNCTION("""COMPUTED_VALUE"""),"ankush.das@zupee.in")</f>
        <v>ankush.das@zupee.in</v>
      </c>
      <c r="N751" s="31"/>
    </row>
    <row r="752">
      <c r="A752" s="74">
        <f>IFERROR(__xludf.DUMMYFUNCTION("""COMPUTED_VALUE"""),45965.0)</f>
        <v>45965</v>
      </c>
      <c r="B752" s="31" t="str">
        <f>IFERROR(__xludf.DUMMYFUNCTION("""COMPUTED_VALUE"""),"Khushboo Bansal")</f>
        <v>Khushboo Bansal</v>
      </c>
      <c r="C752" s="31" t="str">
        <f>IFERROR(__xludf.DUMMYFUNCTION("""COMPUTED_VALUE"""),"Vertical Tv")</f>
        <v>Vertical Tv</v>
      </c>
      <c r="D752" s="31">
        <f>IFERROR(__xludf.DUMMYFUNCTION("""COMPUTED_VALUE"""),8.584006871E9)</f>
        <v>8584006871</v>
      </c>
      <c r="E752" s="31" t="str">
        <f>IFERROR(__xludf.DUMMYFUNCTION("""COMPUTED_VALUE"""),"Promo Producer")</f>
        <v>Promo Producer</v>
      </c>
      <c r="F752" s="31" t="str">
        <f>IFERROR(__xludf.DUMMYFUNCTION("""COMPUTED_VALUE"""),"Content")</f>
        <v>Content</v>
      </c>
      <c r="G752" s="31" t="str">
        <f>IFERROR(__xludf.DUMMYFUNCTION("""COMPUTED_VALUE"""),"khushboo.bansal0404@gmail.com")</f>
        <v>khushboo.bansal0404@gmail.com</v>
      </c>
      <c r="H752" s="31" t="str">
        <f>IFERROR(__xludf.DUMMYFUNCTION("""COMPUTED_VALUE"""),"Mohit Goswami")</f>
        <v>Mohit Goswami</v>
      </c>
      <c r="I752" s="75">
        <f>IFERROR(__xludf.DUMMYFUNCTION("""COMPUTED_VALUE"""),45965.0)</f>
        <v>45965</v>
      </c>
      <c r="J752" s="31" t="str">
        <f>IFERROR(__xludf.DUMMYFUNCTION("""COMPUTED_VALUE"""),"Shivam Sharma")</f>
        <v>Shivam Sharma</v>
      </c>
      <c r="K752" s="31" t="str">
        <f>IFERROR(__xludf.DUMMYFUNCTION("""COMPUTED_VALUE"""),"Joined")</f>
        <v>Joined</v>
      </c>
      <c r="L752" s="31" t="str">
        <f>IFERROR(__xludf.DUMMYFUNCTION("""COMPUTED_VALUE"""),"Virtual")</f>
        <v>Virtual</v>
      </c>
      <c r="M752" s="31" t="str">
        <f>IFERROR(__xludf.DUMMYFUNCTION("""COMPUTED_VALUE"""),"khushboo.bansal@zupee.in")</f>
        <v>khushboo.bansal@zupee.in</v>
      </c>
      <c r="N752" s="31"/>
    </row>
    <row r="753">
      <c r="A753" s="74">
        <f>IFERROR(__xludf.DUMMYFUNCTION("""COMPUTED_VALUE"""),45965.0)</f>
        <v>45965</v>
      </c>
      <c r="B753" s="31" t="str">
        <f>IFERROR(__xludf.DUMMYFUNCTION("""COMPUTED_VALUE""")," KM Sajia")</f>
        <v> KM Sajia</v>
      </c>
      <c r="C753" s="31" t="str">
        <f>IFERROR(__xludf.DUMMYFUNCTION("""COMPUTED_VALUE"""),"Vertical Tv")</f>
        <v>Vertical Tv</v>
      </c>
      <c r="D753" s="31">
        <f>IFERROR(__xludf.DUMMYFUNCTION("""COMPUTED_VALUE"""),7.048976637E9)</f>
        <v>7048976637</v>
      </c>
      <c r="E753" s="31" t="str">
        <f>IFERROR(__xludf.DUMMYFUNCTION("""COMPUTED_VALUE"""),"Promo Producer")</f>
        <v>Promo Producer</v>
      </c>
      <c r="F753" s="31" t="str">
        <f>IFERROR(__xludf.DUMMYFUNCTION("""COMPUTED_VALUE"""),"Content")</f>
        <v>Content</v>
      </c>
      <c r="G753" s="31" t="str">
        <f>IFERROR(__xludf.DUMMYFUNCTION("""COMPUTED_VALUE"""),"life123with@gmail.com")</f>
        <v>life123with@gmail.com</v>
      </c>
      <c r="H753" s="31" t="str">
        <f>IFERROR(__xludf.DUMMYFUNCTION("""COMPUTED_VALUE"""),"Mohit Goswami")</f>
        <v>Mohit Goswami</v>
      </c>
      <c r="I753" s="75">
        <f>IFERROR(__xludf.DUMMYFUNCTION("""COMPUTED_VALUE"""),45965.0)</f>
        <v>45965</v>
      </c>
      <c r="J753" s="31" t="str">
        <f>IFERROR(__xludf.DUMMYFUNCTION("""COMPUTED_VALUE"""),"Shivam Sharma")</f>
        <v>Shivam Sharma</v>
      </c>
      <c r="K753" s="31" t="str">
        <f>IFERROR(__xludf.DUMMYFUNCTION("""COMPUTED_VALUE"""),"Joined")</f>
        <v>Joined</v>
      </c>
      <c r="L753" s="31" t="str">
        <f>IFERROR(__xludf.DUMMYFUNCTION("""COMPUTED_VALUE"""),"Virtual")</f>
        <v>Virtual</v>
      </c>
      <c r="M753" s="31"/>
      <c r="N753" s="31"/>
    </row>
    <row r="754">
      <c r="A754" s="74">
        <f>IFERROR(__xludf.DUMMYFUNCTION("""COMPUTED_VALUE"""),45966.0)</f>
        <v>45966</v>
      </c>
      <c r="B754" s="31" t="str">
        <f>IFERROR(__xludf.DUMMYFUNCTION("""COMPUTED_VALUE"""),"Mukul Vikram")</f>
        <v>Mukul Vikram</v>
      </c>
      <c r="C754" s="31" t="str">
        <f>IFERROR(__xludf.DUMMYFUNCTION("""COMPUTED_VALUE"""),"Vertical Tv")</f>
        <v>Vertical Tv</v>
      </c>
      <c r="D754" s="31">
        <f>IFERROR(__xludf.DUMMYFUNCTION("""COMPUTED_VALUE"""),9.769789207E9)</f>
        <v>9769789207</v>
      </c>
      <c r="E754" s="31" t="str">
        <f>IFERROR(__xludf.DUMMYFUNCTION("""COMPUTED_VALUE"""),"Senior Producer")</f>
        <v>Senior Producer</v>
      </c>
      <c r="F754" s="31" t="str">
        <f>IFERROR(__xludf.DUMMYFUNCTION("""COMPUTED_VALUE"""),"Content")</f>
        <v>Content</v>
      </c>
      <c r="G754" s="31" t="str">
        <f>IFERROR(__xludf.DUMMYFUNCTION("""COMPUTED_VALUE"""),"mukul.vg@gmail.com")</f>
        <v>mukul.vg@gmail.com</v>
      </c>
      <c r="H754" s="31" t="str">
        <f>IFERROR(__xludf.DUMMYFUNCTION("""COMPUTED_VALUE"""),"Anup Thanvi")</f>
        <v>Anup Thanvi</v>
      </c>
      <c r="I754" s="75">
        <f>IFERROR(__xludf.DUMMYFUNCTION("""COMPUTED_VALUE"""),45965.0)</f>
        <v>45965</v>
      </c>
      <c r="J754" s="31" t="str">
        <f>IFERROR(__xludf.DUMMYFUNCTION("""COMPUTED_VALUE"""),"Shivam Sharma")</f>
        <v>Shivam Sharma</v>
      </c>
      <c r="K754" s="31" t="str">
        <f>IFERROR(__xludf.DUMMYFUNCTION("""COMPUTED_VALUE"""),"Joined")</f>
        <v>Joined</v>
      </c>
      <c r="L754" s="31" t="str">
        <f>IFERROR(__xludf.DUMMYFUNCTION("""COMPUTED_VALUE"""),"Virtual")</f>
        <v>Virtual</v>
      </c>
      <c r="M754" s="31" t="str">
        <f>IFERROR(__xludf.DUMMYFUNCTION("""COMPUTED_VALUE"""),"mukul.vikram@zupee.in")</f>
        <v>mukul.vikram@zupee.in</v>
      </c>
      <c r="N754" s="31"/>
    </row>
    <row r="755">
      <c r="A755" s="74">
        <f>IFERROR(__xludf.DUMMYFUNCTION("""COMPUTED_VALUE"""),45971.0)</f>
        <v>45971</v>
      </c>
      <c r="B755" s="31" t="str">
        <f>IFERROR(__xludf.DUMMYFUNCTION("""COMPUTED_VALUE"""),"Divyansh Srivastava")</f>
        <v>Divyansh Srivastava</v>
      </c>
      <c r="C755" s="31" t="str">
        <f>IFERROR(__xludf.DUMMYFUNCTION("""COMPUTED_VALUE"""),"Vertical Tv")</f>
        <v>Vertical Tv</v>
      </c>
      <c r="D755" s="31">
        <f>IFERROR(__xludf.DUMMYFUNCTION("""COMPUTED_VALUE"""),7.290890045E9)</f>
        <v>7290890045</v>
      </c>
      <c r="E755" s="31" t="str">
        <f>IFERROR(__xludf.DUMMYFUNCTION("""COMPUTED_VALUE"""),"Sound Engineer")</f>
        <v>Sound Engineer</v>
      </c>
      <c r="F755" s="31" t="str">
        <f>IFERROR(__xludf.DUMMYFUNCTION("""COMPUTED_VALUE"""),"Content")</f>
        <v>Content</v>
      </c>
      <c r="G755" s="31" t="str">
        <f>IFERROR(__xludf.DUMMYFUNCTION("""COMPUTED_VALUE"""),"xstudiosyt@gmail.com")</f>
        <v>xstudiosyt@gmail.com</v>
      </c>
      <c r="H755" s="31"/>
      <c r="I755" s="75">
        <f>IFERROR(__xludf.DUMMYFUNCTION("""COMPUTED_VALUE"""),45968.0)</f>
        <v>45968</v>
      </c>
      <c r="J755" s="31" t="str">
        <f>IFERROR(__xludf.DUMMYFUNCTION("""COMPUTED_VALUE"""),"Shivam Sharma")</f>
        <v>Shivam Sharma</v>
      </c>
      <c r="K755" s="31" t="str">
        <f>IFERROR(__xludf.DUMMYFUNCTION("""COMPUTED_VALUE"""),"Joined")</f>
        <v>Joined</v>
      </c>
      <c r="L755" s="31" t="str">
        <f>IFERROR(__xludf.DUMMYFUNCTION("""COMPUTED_VALUE"""),"Virtual")</f>
        <v>Virtual</v>
      </c>
      <c r="M755" s="31" t="str">
        <f>IFERROR(__xludf.DUMMYFUNCTION("""COMPUTED_VALUE"""),"divyansh.srivastava@zupee.in")</f>
        <v>divyansh.srivastava@zupee.in</v>
      </c>
      <c r="N755" s="31"/>
    </row>
    <row r="756">
      <c r="A756" s="74">
        <f>IFERROR(__xludf.DUMMYFUNCTION("""COMPUTED_VALUE"""),45971.0)</f>
        <v>45971</v>
      </c>
      <c r="B756" s="31" t="str">
        <f>IFERROR(__xludf.DUMMYFUNCTION("""COMPUTED_VALUE"""),"Sujal Verma")</f>
        <v>Sujal Verma</v>
      </c>
      <c r="C756" s="31" t="str">
        <f>IFERROR(__xludf.DUMMYFUNCTION("""COMPUTED_VALUE"""),"Vertical Tv")</f>
        <v>Vertical Tv</v>
      </c>
      <c r="D756" s="31">
        <f>IFERROR(__xludf.DUMMYFUNCTION("""COMPUTED_VALUE"""),8.585997401E9)</f>
        <v>8585997401</v>
      </c>
      <c r="E756" s="31" t="str">
        <f>IFERROR(__xludf.DUMMYFUNCTION("""COMPUTED_VALUE"""),"Sound Engineer")</f>
        <v>Sound Engineer</v>
      </c>
      <c r="F756" s="31" t="str">
        <f>IFERROR(__xludf.DUMMYFUNCTION("""COMPUTED_VALUE"""),"Content")</f>
        <v>Content</v>
      </c>
      <c r="G756" s="31" t="str">
        <f>IFERROR(__xludf.DUMMYFUNCTION("""COMPUTED_VALUE"""),"sujalv84@gmail.com")</f>
        <v>sujalv84@gmail.com</v>
      </c>
      <c r="H756" s="31"/>
      <c r="I756" s="75">
        <f>IFERROR(__xludf.DUMMYFUNCTION("""COMPUTED_VALUE"""),45968.0)</f>
        <v>45968</v>
      </c>
      <c r="J756" s="31" t="str">
        <f>IFERROR(__xludf.DUMMYFUNCTION("""COMPUTED_VALUE"""),"Shivam Sharma")</f>
        <v>Shivam Sharma</v>
      </c>
      <c r="K756" s="31" t="str">
        <f>IFERROR(__xludf.DUMMYFUNCTION("""COMPUTED_VALUE"""),"Joined")</f>
        <v>Joined</v>
      </c>
      <c r="L756" s="31" t="str">
        <f>IFERROR(__xludf.DUMMYFUNCTION("""COMPUTED_VALUE"""),"Virtual")</f>
        <v>Virtual</v>
      </c>
      <c r="M756" s="31" t="str">
        <f>IFERROR(__xludf.DUMMYFUNCTION("""COMPUTED_VALUE"""),"sujal.verma@zupee.in")</f>
        <v>sujal.verma@zupee.in</v>
      </c>
      <c r="N756" s="31"/>
    </row>
    <row r="757">
      <c r="A757" s="74">
        <f>IFERROR(__xludf.DUMMYFUNCTION("""COMPUTED_VALUE"""),45992.0)</f>
        <v>45992</v>
      </c>
      <c r="B757" s="31" t="str">
        <f>IFERROR(__xludf.DUMMYFUNCTION("""COMPUTED_VALUE"""),"Rahul Bajpai")</f>
        <v>Rahul Bajpai</v>
      </c>
      <c r="C757" s="31" t="str">
        <f>IFERROR(__xludf.DUMMYFUNCTION("""COMPUTED_VALUE"""),"Vertical Tv")</f>
        <v>Vertical Tv</v>
      </c>
      <c r="D757" s="31">
        <f>IFERROR(__xludf.DUMMYFUNCTION("""COMPUTED_VALUE"""),8.340516867E9)</f>
        <v>8340516867</v>
      </c>
      <c r="E757" s="31" t="str">
        <f>IFERROR(__xludf.DUMMYFUNCTION("""COMPUTED_VALUE"""),"Promo Writer")</f>
        <v>Promo Writer</v>
      </c>
      <c r="F757" s="31" t="str">
        <f>IFERROR(__xludf.DUMMYFUNCTION("""COMPUTED_VALUE"""),"Content")</f>
        <v>Content</v>
      </c>
      <c r="G757" s="31" t="str">
        <f>IFERROR(__xludf.DUMMYFUNCTION("""COMPUTED_VALUE"""),"rawrahul721@gmail.com")</f>
        <v>rawrahul721@gmail.com</v>
      </c>
      <c r="H757" s="31" t="str">
        <f>IFERROR(__xludf.DUMMYFUNCTION("""COMPUTED_VALUE"""),"Akash Verma")</f>
        <v>Akash Verma</v>
      </c>
      <c r="I757" s="75">
        <f>IFERROR(__xludf.DUMMYFUNCTION("""COMPUTED_VALUE"""),45974.0)</f>
        <v>45974</v>
      </c>
      <c r="J757" s="31" t="str">
        <f>IFERROR(__xludf.DUMMYFUNCTION("""COMPUTED_VALUE"""),"Jaya Tiwari")</f>
        <v>Jaya Tiwari</v>
      </c>
      <c r="K757" s="31" t="str">
        <f>IFERROR(__xludf.DUMMYFUNCTION("""COMPUTED_VALUE"""),"Joined")</f>
        <v>Joined</v>
      </c>
      <c r="L757" s="31" t="str">
        <f>IFERROR(__xludf.DUMMYFUNCTION("""COMPUTED_VALUE"""),"Virtual")</f>
        <v>Virtual</v>
      </c>
      <c r="M757" s="31" t="str">
        <f>IFERROR(__xludf.DUMMYFUNCTION("""COMPUTED_VALUE"""),"rahul.bajpai@zupee.in")</f>
        <v>rahul.bajpai@zupee.in</v>
      </c>
      <c r="N757" s="31"/>
    </row>
    <row r="758">
      <c r="A758" s="74">
        <f>IFERROR(__xludf.DUMMYFUNCTION("""COMPUTED_VALUE"""),45985.0)</f>
        <v>45985</v>
      </c>
      <c r="B758" s="31" t="str">
        <f>IFERROR(__xludf.DUMMYFUNCTION("""COMPUTED_VALUE"""),"Ashwini Suresh Gaikwad")</f>
        <v>Ashwini Suresh Gaikwad</v>
      </c>
      <c r="C758" s="31" t="str">
        <f>IFERROR(__xludf.DUMMYFUNCTION("""COMPUTED_VALUE"""),"Vertical Tv")</f>
        <v>Vertical Tv</v>
      </c>
      <c r="D758" s="31">
        <f>IFERROR(__xludf.DUMMYFUNCTION("""COMPUTED_VALUE"""),8.433626104E9)</f>
        <v>8433626104</v>
      </c>
      <c r="E758" s="31" t="str">
        <f>IFERROR(__xludf.DUMMYFUNCTION("""COMPUTED_VALUE"""),"Associate Video Editor")</f>
        <v>Associate Video Editor</v>
      </c>
      <c r="F758" s="31" t="str">
        <f>IFERROR(__xludf.DUMMYFUNCTION("""COMPUTED_VALUE"""),"Content")</f>
        <v>Content</v>
      </c>
      <c r="G758" s="31" t="str">
        <f>IFERROR(__xludf.DUMMYFUNCTION("""COMPUTED_VALUE"""),"ashwini.gkwd2899@gmail.com")</f>
        <v>ashwini.gkwd2899@gmail.com</v>
      </c>
      <c r="H758" s="31" t="str">
        <f>IFERROR(__xludf.DUMMYFUNCTION("""COMPUTED_VALUE"""),"Mohit Shandilya")</f>
        <v>Mohit Shandilya</v>
      </c>
      <c r="I758" s="75">
        <f>IFERROR(__xludf.DUMMYFUNCTION("""COMPUTED_VALUE"""),45981.0)</f>
        <v>45981</v>
      </c>
      <c r="J758" s="31" t="str">
        <f>IFERROR(__xludf.DUMMYFUNCTION("""COMPUTED_VALUE"""),"Jaya Tiwari")</f>
        <v>Jaya Tiwari</v>
      </c>
      <c r="K758" s="31" t="str">
        <f>IFERROR(__xludf.DUMMYFUNCTION("""COMPUTED_VALUE"""),"Joined")</f>
        <v>Joined</v>
      </c>
      <c r="L758" s="31" t="str">
        <f>IFERROR(__xludf.DUMMYFUNCTION("""COMPUTED_VALUE"""),"Virtual")</f>
        <v>Virtual</v>
      </c>
      <c r="M758" s="31" t="str">
        <f>IFERROR(__xludf.DUMMYFUNCTION("""COMPUTED_VALUE"""),"ashwini.gaikwad@zupee.in")</f>
        <v>ashwini.gaikwad@zupee.in</v>
      </c>
      <c r="N758" s="31"/>
    </row>
    <row r="759">
      <c r="A759" s="74">
        <f>IFERROR(__xludf.DUMMYFUNCTION("""COMPUTED_VALUE"""),45982.0)</f>
        <v>45982</v>
      </c>
      <c r="B759" s="31" t="str">
        <f>IFERROR(__xludf.DUMMYFUNCTION("""COMPUTED_VALUE"""),"Ankit Anil Waghela")</f>
        <v>Ankit Anil Waghela</v>
      </c>
      <c r="C759" s="31" t="str">
        <f>IFERROR(__xludf.DUMMYFUNCTION("""COMPUTED_VALUE"""),"Vertical Tv")</f>
        <v>Vertical Tv</v>
      </c>
      <c r="D759" s="31">
        <f>IFERROR(__xludf.DUMMYFUNCTION("""COMPUTED_VALUE"""),9.699882199E9)</f>
        <v>9699882199</v>
      </c>
      <c r="E759" s="31" t="str">
        <f>IFERROR(__xludf.DUMMYFUNCTION("""COMPUTED_VALUE"""),"Senior Producer")</f>
        <v>Senior Producer</v>
      </c>
      <c r="F759" s="31" t="str">
        <f>IFERROR(__xludf.DUMMYFUNCTION("""COMPUTED_VALUE"""),"Content")</f>
        <v>Content</v>
      </c>
      <c r="G759" s="31" t="str">
        <f>IFERROR(__xludf.DUMMYFUNCTION("""COMPUTED_VALUE""")," ANKITWAGHELA93@GMAIL.COM")</f>
        <v> ANKITWAGHELA93@GMAIL.COM</v>
      </c>
      <c r="H759" s="31" t="str">
        <f>IFERROR(__xludf.DUMMYFUNCTION("""COMPUTED_VALUE"""),"Anup Thanvi")</f>
        <v>Anup Thanvi</v>
      </c>
      <c r="I759" s="75">
        <f>IFERROR(__xludf.DUMMYFUNCTION("""COMPUTED_VALUE"""),45981.0)</f>
        <v>45981</v>
      </c>
      <c r="J759" s="31" t="str">
        <f>IFERROR(__xludf.DUMMYFUNCTION("""COMPUTED_VALUE"""),"Shivam Sharma")</f>
        <v>Shivam Sharma</v>
      </c>
      <c r="K759" s="31" t="str">
        <f>IFERROR(__xludf.DUMMYFUNCTION("""COMPUTED_VALUE"""),"Joined")</f>
        <v>Joined</v>
      </c>
      <c r="L759" s="31" t="str">
        <f>IFERROR(__xludf.DUMMYFUNCTION("""COMPUTED_VALUE"""),"Virtual")</f>
        <v>Virtual</v>
      </c>
      <c r="M759" s="31" t="str">
        <f>IFERROR(__xludf.DUMMYFUNCTION("""COMPUTED_VALUE"""),"ankit.waghela@zupee.in")</f>
        <v>ankit.waghela@zupee.in</v>
      </c>
      <c r="N759" s="31"/>
    </row>
    <row r="760">
      <c r="A760" s="74">
        <f>IFERROR(__xludf.DUMMYFUNCTION("""COMPUTED_VALUE"""),45992.0)</f>
        <v>45992</v>
      </c>
      <c r="B760" s="31" t="str">
        <f>IFERROR(__xludf.DUMMYFUNCTION("""COMPUTED_VALUE"""),"Rahul Emmanuel")</f>
        <v>Rahul Emmanuel</v>
      </c>
      <c r="C760" s="31" t="str">
        <f>IFERROR(__xludf.DUMMYFUNCTION("""COMPUTED_VALUE"""),"Brand Marketing")</f>
        <v>Brand Marketing</v>
      </c>
      <c r="D760" s="31">
        <f>IFERROR(__xludf.DUMMYFUNCTION("""COMPUTED_VALUE"""),9.871711144E9)</f>
        <v>9871711144</v>
      </c>
      <c r="E760" s="31" t="str">
        <f>IFERROR(__xludf.DUMMYFUNCTION("""COMPUTED_VALUE"""),"Video Editor")</f>
        <v>Video Editor</v>
      </c>
      <c r="F760" s="31" t="str">
        <f>IFERROR(__xludf.DUMMYFUNCTION("""COMPUTED_VALUE"""),"Content")</f>
        <v>Content</v>
      </c>
      <c r="G760" s="31" t="str">
        <f>IFERROR(__xludf.DUMMYFUNCTION("""COMPUTED_VALUE"""),"youreachemmanuel@gmail.com")</f>
        <v>youreachemmanuel@gmail.com</v>
      </c>
      <c r="H760" s="31" t="str">
        <f>IFERROR(__xludf.DUMMYFUNCTION("""COMPUTED_VALUE"""),"Katha Tara")</f>
        <v>Katha Tara</v>
      </c>
      <c r="I760" s="75">
        <f>IFERROR(__xludf.DUMMYFUNCTION("""COMPUTED_VALUE"""),45982.0)</f>
        <v>45982</v>
      </c>
      <c r="J760" s="31" t="str">
        <f>IFERROR(__xludf.DUMMYFUNCTION("""COMPUTED_VALUE"""),"Jaya Tiwari")</f>
        <v>Jaya Tiwari</v>
      </c>
      <c r="K760" s="31" t="str">
        <f>IFERROR(__xludf.DUMMYFUNCTION("""COMPUTED_VALUE"""),"Joined")</f>
        <v>Joined</v>
      </c>
      <c r="L760" s="31" t="str">
        <f>IFERROR(__xludf.DUMMYFUNCTION("""COMPUTED_VALUE"""),"In Office")</f>
        <v>In Office</v>
      </c>
      <c r="M760" s="31" t="str">
        <f>IFERROR(__xludf.DUMMYFUNCTION("""COMPUTED_VALUE"""),"rahul.emmanuel@zupee.in")</f>
        <v>rahul.emmanuel@zupee.in</v>
      </c>
      <c r="N760" s="31" t="str">
        <f>IFERROR(__xludf.DUMMYFUNCTION("""COMPUTED_VALUE"""),"HD4JWF6MQM")</f>
        <v>HD4JWF6MQM</v>
      </c>
    </row>
    <row r="761">
      <c r="A761" s="74">
        <f>IFERROR(__xludf.DUMMYFUNCTION("""COMPUTED_VALUE"""),46002.0)</f>
        <v>46002</v>
      </c>
      <c r="B761" s="31" t="str">
        <f>IFERROR(__xludf.DUMMYFUNCTION("""COMPUTED_VALUE"""),"Aashita Jain")</f>
        <v>Aashita Jain</v>
      </c>
      <c r="C761" s="31" t="str">
        <f>IFERROR(__xludf.DUMMYFUNCTION("""COMPUTED_VALUE"""),"Digital Marketing")</f>
        <v>Digital Marketing</v>
      </c>
      <c r="D761" s="31">
        <f>IFERROR(__xludf.DUMMYFUNCTION("""COMPUTED_VALUE"""),8.447961977E9)</f>
        <v>8447961977</v>
      </c>
      <c r="E761" s="31" t="str">
        <f>IFERROR(__xludf.DUMMYFUNCTION("""COMPUTED_VALUE"""),"Assistant Manager- Digital Marketing")</f>
        <v>Assistant Manager- Digital Marketing</v>
      </c>
      <c r="F761" s="31" t="str">
        <f>IFERROR(__xludf.DUMMYFUNCTION("""COMPUTED_VALUE"""),"Performance Marketing")</f>
        <v>Performance Marketing</v>
      </c>
      <c r="G761" s="31" t="str">
        <f>IFERROR(__xludf.DUMMYFUNCTION("""COMPUTED_VALUE"""),"aashitajaindm@gmail.com")</f>
        <v>aashitajaindm@gmail.com</v>
      </c>
      <c r="H761" s="31" t="str">
        <f>IFERROR(__xludf.DUMMYFUNCTION("""COMPUTED_VALUE"""),"Nishant Jaiswal")</f>
        <v>Nishant Jaiswal</v>
      </c>
      <c r="I761" s="75">
        <f>IFERROR(__xludf.DUMMYFUNCTION("""COMPUTED_VALUE"""),45982.0)</f>
        <v>45982</v>
      </c>
      <c r="J761" s="31" t="str">
        <f>IFERROR(__xludf.DUMMYFUNCTION("""COMPUTED_VALUE"""),"Vipin Kumar")</f>
        <v>Vipin Kumar</v>
      </c>
      <c r="K761" s="31" t="str">
        <f>IFERROR(__xludf.DUMMYFUNCTION("""COMPUTED_VALUE"""),"Joined")</f>
        <v>Joined</v>
      </c>
      <c r="L761" s="31" t="str">
        <f>IFERROR(__xludf.DUMMYFUNCTION("""COMPUTED_VALUE"""),"In Office")</f>
        <v>In Office</v>
      </c>
      <c r="M761" s="31" t="str">
        <f>IFERROR(__xludf.DUMMYFUNCTION("""COMPUTED_VALUE"""),"aashita.jain@zupee.in")</f>
        <v>aashita.jain@zupee.in</v>
      </c>
      <c r="N761" s="31"/>
    </row>
    <row r="762">
      <c r="A762" s="74">
        <f>IFERROR(__xludf.DUMMYFUNCTION("""COMPUTED_VALUE"""),45992.0)</f>
        <v>45992</v>
      </c>
      <c r="B762" s="31" t="str">
        <f>IFERROR(__xludf.DUMMYFUNCTION("""COMPUTED_VALUE"""),"Deepak Upadhayay")</f>
        <v>Deepak Upadhayay</v>
      </c>
      <c r="C762" s="31" t="str">
        <f>IFERROR(__xludf.DUMMYFUNCTION("""COMPUTED_VALUE"""),"Product")</f>
        <v>Product</v>
      </c>
      <c r="D762" s="31">
        <f>IFERROR(__xludf.DUMMYFUNCTION("""COMPUTED_VALUE"""),7.011820266E9)</f>
        <v>7011820266</v>
      </c>
      <c r="E762" s="31" t="str">
        <f>IFERROR(__xludf.DUMMYFUNCTION("""COMPUTED_VALUE"""),"Operations Lead-Contractual")</f>
        <v>Operations Lead-Contractual</v>
      </c>
      <c r="F762" s="31" t="str">
        <f>IFERROR(__xludf.DUMMYFUNCTION("""COMPUTED_VALUE"""),"Operations")</f>
        <v>Operations</v>
      </c>
      <c r="G762" s="31" t="str">
        <f>IFERROR(__xludf.DUMMYFUNCTION("""COMPUTED_VALUE""")," deepakkumar0224@gmail.com")</f>
        <v> deepakkumar0224@gmail.com</v>
      </c>
      <c r="H762" s="31" t="str">
        <f>IFERROR(__xludf.DUMMYFUNCTION("""COMPUTED_VALUE"""),"Divyanshu Rastogi")</f>
        <v>Divyanshu Rastogi</v>
      </c>
      <c r="I762" s="75">
        <f>IFERROR(__xludf.DUMMYFUNCTION("""COMPUTED_VALUE"""),45982.0)</f>
        <v>45982</v>
      </c>
      <c r="J762" s="31" t="str">
        <f>IFERROR(__xludf.DUMMYFUNCTION("""COMPUTED_VALUE"""),"Shivam Sharma")</f>
        <v>Shivam Sharma</v>
      </c>
      <c r="K762" s="31" t="str">
        <f>IFERROR(__xludf.DUMMYFUNCTION("""COMPUTED_VALUE"""),"Joined")</f>
        <v>Joined</v>
      </c>
      <c r="L762" s="31" t="str">
        <f>IFERROR(__xludf.DUMMYFUNCTION("""COMPUTED_VALUE"""),"In Office")</f>
        <v>In Office</v>
      </c>
      <c r="M762" s="31" t="str">
        <f>IFERROR(__xludf.DUMMYFUNCTION("""COMPUTED_VALUE"""),"deepak.upadhayay@zupee.in")</f>
        <v>deepak.upadhayay@zupee.in</v>
      </c>
      <c r="N762" s="31" t="str">
        <f>IFERROR(__xludf.DUMMYFUNCTION("""COMPUTED_VALUE"""),"D4DNPJ1HW2")</f>
        <v>D4DNPJ1HW2</v>
      </c>
    </row>
    <row r="763">
      <c r="A763" s="74">
        <f>IFERROR(__xludf.DUMMYFUNCTION("""COMPUTED_VALUE"""),45985.0)</f>
        <v>45985</v>
      </c>
      <c r="B763" s="31" t="str">
        <f>IFERROR(__xludf.DUMMYFUNCTION("""COMPUTED_VALUE"""),"Rohit Abhay Sawant")</f>
        <v>Rohit Abhay Sawant</v>
      </c>
      <c r="C763" s="31" t="str">
        <f>IFERROR(__xludf.DUMMYFUNCTION("""COMPUTED_VALUE"""),"Vertical Tv")</f>
        <v>Vertical Tv</v>
      </c>
      <c r="D763" s="31">
        <f>IFERROR(__xludf.DUMMYFUNCTION("""COMPUTED_VALUE"""),9.892727454E9)</f>
        <v>9892727454</v>
      </c>
      <c r="E763" s="31" t="str">
        <f>IFERROR(__xludf.DUMMYFUNCTION("""COMPUTED_VALUE"""),"Associate Video Editor- Contractual")</f>
        <v>Associate Video Editor- Contractual</v>
      </c>
      <c r="F763" s="31" t="str">
        <f>IFERROR(__xludf.DUMMYFUNCTION("""COMPUTED_VALUE"""),"Content")</f>
        <v>Content</v>
      </c>
      <c r="G763" s="31" t="str">
        <f>IFERROR(__xludf.DUMMYFUNCTION("""COMPUTED_VALUE"""),"rrohitsawant24@gmail.com")</f>
        <v>rrohitsawant24@gmail.com</v>
      </c>
      <c r="H763" s="31" t="str">
        <f>IFERROR(__xludf.DUMMYFUNCTION("""COMPUTED_VALUE"""),"Mohit Shandilya")</f>
        <v>Mohit Shandilya</v>
      </c>
      <c r="I763" s="75">
        <f>IFERROR(__xludf.DUMMYFUNCTION("""COMPUTED_VALUE"""),45982.0)</f>
        <v>45982</v>
      </c>
      <c r="J763" s="31" t="str">
        <f>IFERROR(__xludf.DUMMYFUNCTION("""COMPUTED_VALUE"""),"Jaya Tiwari")</f>
        <v>Jaya Tiwari</v>
      </c>
      <c r="K763" s="31" t="str">
        <f>IFERROR(__xludf.DUMMYFUNCTION("""COMPUTED_VALUE"""),"Joined")</f>
        <v>Joined</v>
      </c>
      <c r="L763" s="31" t="str">
        <f>IFERROR(__xludf.DUMMYFUNCTION("""COMPUTED_VALUE"""),"Virtual")</f>
        <v>Virtual</v>
      </c>
      <c r="M763" s="31" t="str">
        <f>IFERROR(__xludf.DUMMYFUNCTION("""COMPUTED_VALUE"""),"rohit.sawant@zupee.in")</f>
        <v>rohit.sawant@zupee.in</v>
      </c>
      <c r="N763" s="31"/>
    </row>
    <row r="764">
      <c r="A764" s="74">
        <f>IFERROR(__xludf.DUMMYFUNCTION("""COMPUTED_VALUE"""),45985.0)</f>
        <v>45985</v>
      </c>
      <c r="B764" s="31" t="str">
        <f>IFERROR(__xludf.DUMMYFUNCTION("""COMPUTED_VALUE"""),"Arpan Kapadia")</f>
        <v>Arpan Kapadia</v>
      </c>
      <c r="C764" s="31" t="str">
        <f>IFERROR(__xludf.DUMMYFUNCTION("""COMPUTED_VALUE"""),"Vertical Tv")</f>
        <v>Vertical Tv</v>
      </c>
      <c r="D764" s="31">
        <f>IFERROR(__xludf.DUMMYFUNCTION("""COMPUTED_VALUE"""),8.905239578E9)</f>
        <v>8905239578</v>
      </c>
      <c r="E764" s="31" t="str">
        <f>IFERROR(__xludf.DUMMYFUNCTION("""COMPUTED_VALUE"""),"Associate Video Editor")</f>
        <v>Associate Video Editor</v>
      </c>
      <c r="F764" s="31" t="str">
        <f>IFERROR(__xludf.DUMMYFUNCTION("""COMPUTED_VALUE"""),"Content")</f>
        <v>Content</v>
      </c>
      <c r="G764" s="31" t="str">
        <f>IFERROR(__xludf.DUMMYFUNCTION("""COMPUTED_VALUE"""),"arpankapadia13@gmail.com")</f>
        <v>arpankapadia13@gmail.com</v>
      </c>
      <c r="H764" s="31" t="str">
        <f>IFERROR(__xludf.DUMMYFUNCTION("""COMPUTED_VALUE"""),"Mohit Goswami")</f>
        <v>Mohit Goswami</v>
      </c>
      <c r="I764" s="75">
        <f>IFERROR(__xludf.DUMMYFUNCTION("""COMPUTED_VALUE"""),45982.0)</f>
        <v>45982</v>
      </c>
      <c r="J764" s="31" t="str">
        <f>IFERROR(__xludf.DUMMYFUNCTION("""COMPUTED_VALUE"""),"Cheshtha Sharma")</f>
        <v>Cheshtha Sharma</v>
      </c>
      <c r="K764" s="31" t="str">
        <f>IFERROR(__xludf.DUMMYFUNCTION("""COMPUTED_VALUE"""),"Joined")</f>
        <v>Joined</v>
      </c>
      <c r="L764" s="31" t="str">
        <f>IFERROR(__xludf.DUMMYFUNCTION("""COMPUTED_VALUE"""),"Virtual")</f>
        <v>Virtual</v>
      </c>
      <c r="M764" s="31" t="str">
        <f>IFERROR(__xludf.DUMMYFUNCTION("""COMPUTED_VALUE"""),"arpan.kapadia@zupee.in")</f>
        <v>arpan.kapadia@zupee.in</v>
      </c>
      <c r="N764" s="31"/>
    </row>
    <row r="765">
      <c r="A765" s="74">
        <f>IFERROR(__xludf.DUMMYFUNCTION("""COMPUTED_VALUE"""),45986.0)</f>
        <v>45986</v>
      </c>
      <c r="B765" s="31" t="str">
        <f>IFERROR(__xludf.DUMMYFUNCTION("""COMPUTED_VALUE"""),"Omkar Sanjay Palkar")</f>
        <v>Omkar Sanjay Palkar</v>
      </c>
      <c r="C765" s="31" t="str">
        <f>IFERROR(__xludf.DUMMYFUNCTION("""COMPUTED_VALUE"""),"Vertical Tv")</f>
        <v>Vertical Tv</v>
      </c>
      <c r="D765" s="31">
        <f>IFERROR(__xludf.DUMMYFUNCTION("""COMPUTED_VALUE"""),8.149243177E9)</f>
        <v>8149243177</v>
      </c>
      <c r="E765" s="31" t="str">
        <f>IFERROR(__xludf.DUMMYFUNCTION("""COMPUTED_VALUE"""),"QC Engineer (Promo) - Contractual")</f>
        <v>QC Engineer (Promo) - Contractual</v>
      </c>
      <c r="F765" s="31" t="str">
        <f>IFERROR(__xludf.DUMMYFUNCTION("""COMPUTED_VALUE"""),"Content")</f>
        <v>Content</v>
      </c>
      <c r="G765" s="31" t="str">
        <f>IFERROR(__xludf.DUMMYFUNCTION("""COMPUTED_VALUE"""),"omkar.palkar6@gmail.com")</f>
        <v>omkar.palkar6@gmail.com</v>
      </c>
      <c r="H765" s="31" t="str">
        <f>IFERROR(__xludf.DUMMYFUNCTION("""COMPUTED_VALUE"""),"Mohit Goswami")</f>
        <v>Mohit Goswami</v>
      </c>
      <c r="I765" s="75">
        <f>IFERROR(__xludf.DUMMYFUNCTION("""COMPUTED_VALUE"""),45985.0)</f>
        <v>45985</v>
      </c>
      <c r="J765" s="31" t="str">
        <f>IFERROR(__xludf.DUMMYFUNCTION("""COMPUTED_VALUE"""),"Cheshtha Sharma")</f>
        <v>Cheshtha Sharma</v>
      </c>
      <c r="K765" s="31" t="str">
        <f>IFERROR(__xludf.DUMMYFUNCTION("""COMPUTED_VALUE"""),"Joined")</f>
        <v>Joined</v>
      </c>
      <c r="L765" s="31" t="str">
        <f>IFERROR(__xludf.DUMMYFUNCTION("""COMPUTED_VALUE"""),"Virtual")</f>
        <v>Virtual</v>
      </c>
      <c r="M765" s="31" t="str">
        <f>IFERROR(__xludf.DUMMYFUNCTION("""COMPUTED_VALUE"""),"omkar.palkar@zupee.in")</f>
        <v>omkar.palkar@zupee.in</v>
      </c>
      <c r="N765" s="31"/>
    </row>
    <row r="766">
      <c r="A766" s="74">
        <f>IFERROR(__xludf.DUMMYFUNCTION("""COMPUTED_VALUE"""),45995.0)</f>
        <v>45995</v>
      </c>
      <c r="B766" s="31" t="str">
        <f>IFERROR(__xludf.DUMMYFUNCTION("""COMPUTED_VALUE"""),"Sumit Kumar")</f>
        <v>Sumit Kumar</v>
      </c>
      <c r="C766" s="31" t="str">
        <f>IFERROR(__xludf.DUMMYFUNCTION("""COMPUTED_VALUE"""),"Finance")</f>
        <v>Finance</v>
      </c>
      <c r="D766" s="31">
        <f>IFERROR(__xludf.DUMMYFUNCTION("""COMPUTED_VALUE"""),8.802974665E9)</f>
        <v>8802974665</v>
      </c>
      <c r="E766" s="31" t="str">
        <f>IFERROR(__xludf.DUMMYFUNCTION("""COMPUTED_VALUE"""),"Senior Associate- Taxation")</f>
        <v>Senior Associate- Taxation</v>
      </c>
      <c r="F766" s="31" t="str">
        <f>IFERROR(__xludf.DUMMYFUNCTION("""COMPUTED_VALUE"""),"Taxation")</f>
        <v>Taxation</v>
      </c>
      <c r="G766" s="31" t="str">
        <f>IFERROR(__xludf.DUMMYFUNCTION("""COMPUTED_VALUE"""),"Sumitrajput682@gmail.com")</f>
        <v>Sumitrajput682@gmail.com</v>
      </c>
      <c r="H766" s="31" t="str">
        <f>IFERROR(__xludf.DUMMYFUNCTION("""COMPUTED_VALUE"""),"Sagarika Sarin")</f>
        <v>Sagarika Sarin</v>
      </c>
      <c r="I766" s="75">
        <f>IFERROR(__xludf.DUMMYFUNCTION("""COMPUTED_VALUE"""),45985.0)</f>
        <v>45985</v>
      </c>
      <c r="J766" s="31" t="str">
        <f>IFERROR(__xludf.DUMMYFUNCTION("""COMPUTED_VALUE"""),"Rajneesh Yadav")</f>
        <v>Rajneesh Yadav</v>
      </c>
      <c r="K766" s="31" t="str">
        <f>IFERROR(__xludf.DUMMYFUNCTION("""COMPUTED_VALUE"""),"Joined")</f>
        <v>Joined</v>
      </c>
      <c r="L766" s="31" t="str">
        <f>IFERROR(__xludf.DUMMYFUNCTION("""COMPUTED_VALUE"""),"In Office")</f>
        <v>In Office</v>
      </c>
      <c r="M766" s="31" t="str">
        <f>IFERROR(__xludf.DUMMYFUNCTION("""COMPUTED_VALUE"""),"sumit.k@zupee.in")</f>
        <v>sumit.k@zupee.in</v>
      </c>
      <c r="N766" s="31"/>
    </row>
    <row r="767">
      <c r="A767" s="74">
        <f>IFERROR(__xludf.DUMMYFUNCTION("""COMPUTED_VALUE"""),45993.0)</f>
        <v>45993</v>
      </c>
      <c r="B767" s="31" t="str">
        <f>IFERROR(__xludf.DUMMYFUNCTION("""COMPUTED_VALUE"""),"Manov Bhowmick")</f>
        <v>Manov Bhowmick</v>
      </c>
      <c r="C767" s="31" t="str">
        <f>IFERROR(__xludf.DUMMYFUNCTION("""COMPUTED_VALUE"""),"Vertical Tv")</f>
        <v>Vertical Tv</v>
      </c>
      <c r="D767" s="31">
        <f>IFERROR(__xludf.DUMMYFUNCTION("""COMPUTED_VALUE"""),9.790908296E9)</f>
        <v>9790908296</v>
      </c>
      <c r="E767" s="31" t="str">
        <f>IFERROR(__xludf.DUMMYFUNCTION("""COMPUTED_VALUE"""),"Sound Engineer-Contractual")</f>
        <v>Sound Engineer-Contractual</v>
      </c>
      <c r="F767" s="31" t="str">
        <f>IFERROR(__xludf.DUMMYFUNCTION("""COMPUTED_VALUE"""),"Content")</f>
        <v>Content</v>
      </c>
      <c r="G767" s="31" t="str">
        <f>IFERROR(__xludf.DUMMYFUNCTION("""COMPUTED_VALUE"""),"manov.bhowmick@gmail.com")</f>
        <v>manov.bhowmick@gmail.com</v>
      </c>
      <c r="H767" s="31" t="str">
        <f>IFERROR(__xludf.DUMMYFUNCTION("""COMPUTED_VALUE"""),"Moht Shandiya")</f>
        <v>Moht Shandiya</v>
      </c>
      <c r="I767" s="75">
        <f>IFERROR(__xludf.DUMMYFUNCTION("""COMPUTED_VALUE"""),45985.0)</f>
        <v>45985</v>
      </c>
      <c r="J767" s="31" t="str">
        <f>IFERROR(__xludf.DUMMYFUNCTION("""COMPUTED_VALUE"""),"Jaya Tiwari")</f>
        <v>Jaya Tiwari</v>
      </c>
      <c r="K767" s="31" t="str">
        <f>IFERROR(__xludf.DUMMYFUNCTION("""COMPUTED_VALUE"""),"Joined")</f>
        <v>Joined</v>
      </c>
      <c r="L767" s="31" t="str">
        <f>IFERROR(__xludf.DUMMYFUNCTION("""COMPUTED_VALUE"""),"Virtual")</f>
        <v>Virtual</v>
      </c>
      <c r="M767" s="31" t="str">
        <f>IFERROR(__xludf.DUMMYFUNCTION("""COMPUTED_VALUE"""),"manov.bhowmick@zupee.in")</f>
        <v>manov.bhowmick@zupee.in</v>
      </c>
      <c r="N767" s="31"/>
    </row>
    <row r="768">
      <c r="A768" s="74">
        <f>IFERROR(__xludf.DUMMYFUNCTION("""COMPUTED_VALUE"""),46006.0)</f>
        <v>46006</v>
      </c>
      <c r="B768" s="31" t="str">
        <f>IFERROR(__xludf.DUMMYFUNCTION("""COMPUTED_VALUE"""),"Nupur Aggarwal")</f>
        <v>Nupur Aggarwal</v>
      </c>
      <c r="C768" s="31" t="str">
        <f>IFERROR(__xludf.DUMMYFUNCTION("""COMPUTED_VALUE"""),"Finance")</f>
        <v>Finance</v>
      </c>
      <c r="D768" s="31">
        <f>IFERROR(__xludf.DUMMYFUNCTION("""COMPUTED_VALUE"""),8.779156357E9)</f>
        <v>8779156357</v>
      </c>
      <c r="E768" s="31" t="str">
        <f>IFERROR(__xludf.DUMMYFUNCTION("""COMPUTED_VALUE"""),"Procurement Manager")</f>
        <v>Procurement Manager</v>
      </c>
      <c r="F768" s="31" t="str">
        <f>IFERROR(__xludf.DUMMYFUNCTION("""COMPUTED_VALUE"""),"Procurement")</f>
        <v>Procurement</v>
      </c>
      <c r="G768" s="31" t="str">
        <f>IFERROR(__xludf.DUMMYFUNCTION("""COMPUTED_VALUE"""),"nupur.aggarwwal@gmail.com")</f>
        <v>nupur.aggarwwal@gmail.com</v>
      </c>
      <c r="H768" s="31" t="str">
        <f>IFERROR(__xludf.DUMMYFUNCTION("""COMPUTED_VALUE"""),"Hitesh Vats")</f>
        <v>Hitesh Vats</v>
      </c>
      <c r="I768" s="75">
        <f>IFERROR(__xludf.DUMMYFUNCTION("""COMPUTED_VALUE"""),45986.0)</f>
        <v>45986</v>
      </c>
      <c r="J768" s="31" t="str">
        <f>IFERROR(__xludf.DUMMYFUNCTION("""COMPUTED_VALUE"""),"Shivam Sharma")</f>
        <v>Shivam Sharma</v>
      </c>
      <c r="K768" s="31" t="str">
        <f>IFERROR(__xludf.DUMMYFUNCTION("""COMPUTED_VALUE"""),"Joined")</f>
        <v>Joined</v>
      </c>
      <c r="L768" s="31" t="str">
        <f>IFERROR(__xludf.DUMMYFUNCTION("""COMPUTED_VALUE"""),"In Office")</f>
        <v>In Office</v>
      </c>
      <c r="M768" s="31" t="str">
        <f>IFERROR(__xludf.DUMMYFUNCTION("""COMPUTED_VALUE"""),"nupur.aggarwal@zupee.in")</f>
        <v>nupur.aggarwal@zupee.in</v>
      </c>
      <c r="N768" s="31"/>
    </row>
    <row r="769">
      <c r="A769" s="74">
        <f>IFERROR(__xludf.DUMMYFUNCTION("""COMPUTED_VALUE"""),46006.0)</f>
        <v>46006</v>
      </c>
      <c r="B769" s="31" t="str">
        <f>IFERROR(__xludf.DUMMYFUNCTION("""COMPUTED_VALUE"""),"Ganesh Balaso Karande")</f>
        <v>Ganesh Balaso Karande</v>
      </c>
      <c r="C769" s="31" t="str">
        <f>IFERROR(__xludf.DUMMYFUNCTION("""COMPUTED_VALUE"""),"Vertical Tv")</f>
        <v>Vertical Tv</v>
      </c>
      <c r="D769" s="31">
        <f>IFERROR(__xludf.DUMMYFUNCTION("""COMPUTED_VALUE"""),9.59429584E9)</f>
        <v>9594295840</v>
      </c>
      <c r="E769" s="31" t="str">
        <f>IFERROR(__xludf.DUMMYFUNCTION("""COMPUTED_VALUE"""),"Associate Video Editor")</f>
        <v>Associate Video Editor</v>
      </c>
      <c r="F769" s="31" t="str">
        <f>IFERROR(__xludf.DUMMYFUNCTION("""COMPUTED_VALUE"""),"Content")</f>
        <v>Content</v>
      </c>
      <c r="G769" s="31" t="str">
        <f>IFERROR(__xludf.DUMMYFUNCTION("""COMPUTED_VALUE"""),"ganesh.psmedia@gmail.com")</f>
        <v>ganesh.psmedia@gmail.com</v>
      </c>
      <c r="H769" s="31" t="str">
        <f>IFERROR(__xludf.DUMMYFUNCTION("""COMPUTED_VALUE"""),"Mohit Shandilya")</f>
        <v>Mohit Shandilya</v>
      </c>
      <c r="I769" s="75">
        <f>IFERROR(__xludf.DUMMYFUNCTION("""COMPUTED_VALUE"""),45986.0)</f>
        <v>45986</v>
      </c>
      <c r="J769" s="31" t="str">
        <f>IFERROR(__xludf.DUMMYFUNCTION("""COMPUTED_VALUE"""),"Jaya Tiwari")</f>
        <v>Jaya Tiwari</v>
      </c>
      <c r="K769" s="31" t="str">
        <f>IFERROR(__xludf.DUMMYFUNCTION("""COMPUTED_VALUE"""),"Joined")</f>
        <v>Joined</v>
      </c>
      <c r="L769" s="31" t="str">
        <f>IFERROR(__xludf.DUMMYFUNCTION("""COMPUTED_VALUE"""),"Virtual")</f>
        <v>Virtual</v>
      </c>
      <c r="M769" s="31" t="str">
        <f>IFERROR(__xludf.DUMMYFUNCTION("""COMPUTED_VALUE"""),"ganesh.karande@zupee.in")</f>
        <v>ganesh.karande@zupee.in</v>
      </c>
      <c r="N769" s="31"/>
    </row>
    <row r="770">
      <c r="A770" s="74">
        <f>IFERROR(__xludf.DUMMYFUNCTION("""COMPUTED_VALUE"""),46027.0)</f>
        <v>46027</v>
      </c>
      <c r="B770" s="31" t="str">
        <f>IFERROR(__xludf.DUMMYFUNCTION("""COMPUTED_VALUE"""),"Saiprasanna Srinivasan")</f>
        <v>Saiprasanna Srinivasan</v>
      </c>
      <c r="C770" s="31" t="str">
        <f>IFERROR(__xludf.DUMMYFUNCTION("""COMPUTED_VALUE"""),"Vertical Tv")</f>
        <v>Vertical Tv</v>
      </c>
      <c r="D770" s="31"/>
      <c r="E770" s="31" t="str">
        <f>IFERROR(__xludf.DUMMYFUNCTION("""COMPUTED_VALUE"""),"Sound Engineer")</f>
        <v>Sound Engineer</v>
      </c>
      <c r="F770" s="31" t="str">
        <f>IFERROR(__xludf.DUMMYFUNCTION("""COMPUTED_VALUE"""),"Content")</f>
        <v>Content</v>
      </c>
      <c r="G770" s="31" t="str">
        <f>IFERROR(__xludf.DUMMYFUNCTION("""COMPUTED_VALUE"""),"sala181011@gmail.com")</f>
        <v>sala181011@gmail.com</v>
      </c>
      <c r="H770" s="31" t="str">
        <f>IFERROR(__xludf.DUMMYFUNCTION("""COMPUTED_VALUE"""),"Mohit Shandilya")</f>
        <v>Mohit Shandilya</v>
      </c>
      <c r="I770" s="75">
        <f>IFERROR(__xludf.DUMMYFUNCTION("""COMPUTED_VALUE"""),45986.0)</f>
        <v>45986</v>
      </c>
      <c r="J770" s="31" t="str">
        <f>IFERROR(__xludf.DUMMYFUNCTION("""COMPUTED_VALUE"""),"Jaya Tiwari")</f>
        <v>Jaya Tiwari</v>
      </c>
      <c r="K770" s="31" t="str">
        <f>IFERROR(__xludf.DUMMYFUNCTION("""COMPUTED_VALUE"""),"Joined")</f>
        <v>Joined</v>
      </c>
      <c r="L770" s="31" t="str">
        <f>IFERROR(__xludf.DUMMYFUNCTION("""COMPUTED_VALUE"""),"Virtual")</f>
        <v>Virtual</v>
      </c>
      <c r="M770" s="31" t="str">
        <f>IFERROR(__xludf.DUMMYFUNCTION("""COMPUTED_VALUE"""),"saiprasanna.srinivasan@zupee.in")</f>
        <v>saiprasanna.srinivasan@zupee.in</v>
      </c>
      <c r="N770" s="31"/>
    </row>
    <row r="771">
      <c r="A771" s="74">
        <f>IFERROR(__xludf.DUMMYFUNCTION("""COMPUTED_VALUE"""),45992.0)</f>
        <v>45992</v>
      </c>
      <c r="B771" s="31" t="str">
        <f>IFERROR(__xludf.DUMMYFUNCTION("""COMPUTED_VALUE"""),"Sigfred Dcruz")</f>
        <v>Sigfred Dcruz</v>
      </c>
      <c r="C771" s="31" t="str">
        <f>IFERROR(__xludf.DUMMYFUNCTION("""COMPUTED_VALUE"""),"Vertical Tv")</f>
        <v>Vertical Tv</v>
      </c>
      <c r="D771" s="31">
        <f>IFERROR(__xludf.DUMMYFUNCTION("""COMPUTED_VALUE"""),8.787076339E9)</f>
        <v>8787076339</v>
      </c>
      <c r="E771" s="31" t="str">
        <f>IFERROR(__xludf.DUMMYFUNCTION("""COMPUTED_VALUE"""),"Sound Engineer")</f>
        <v>Sound Engineer</v>
      </c>
      <c r="F771" s="31" t="str">
        <f>IFERROR(__xludf.DUMMYFUNCTION("""COMPUTED_VALUE"""),"Content")</f>
        <v>Content</v>
      </c>
      <c r="G771" s="31" t="str">
        <f>IFERROR(__xludf.DUMMYFUNCTION("""COMPUTED_VALUE"""),"Sigfreddcruz@gmail.com")</f>
        <v>Sigfreddcruz@gmail.com</v>
      </c>
      <c r="H771" s="31" t="str">
        <f>IFERROR(__xludf.DUMMYFUNCTION("""COMPUTED_VALUE"""),"Moht Shandiya")</f>
        <v>Moht Shandiya</v>
      </c>
      <c r="I771" s="75">
        <f>IFERROR(__xludf.DUMMYFUNCTION("""COMPUTED_VALUE"""),45987.0)</f>
        <v>45987</v>
      </c>
      <c r="J771" s="31" t="str">
        <f>IFERROR(__xludf.DUMMYFUNCTION("""COMPUTED_VALUE"""),"Jaya Tiwari")</f>
        <v>Jaya Tiwari</v>
      </c>
      <c r="K771" s="31" t="str">
        <f>IFERROR(__xludf.DUMMYFUNCTION("""COMPUTED_VALUE"""),"Joined")</f>
        <v>Joined</v>
      </c>
      <c r="L771" s="31" t="str">
        <f>IFERROR(__xludf.DUMMYFUNCTION("""COMPUTED_VALUE"""),"Virtual")</f>
        <v>Virtual</v>
      </c>
      <c r="M771" s="31" t="str">
        <f>IFERROR(__xludf.DUMMYFUNCTION("""COMPUTED_VALUE"""),"sigfred.dcruz@zupee.in")</f>
        <v>sigfred.dcruz@zupee.in</v>
      </c>
      <c r="N771" s="31"/>
    </row>
    <row r="772">
      <c r="A772" s="74">
        <f>IFERROR(__xludf.DUMMYFUNCTION("""COMPUTED_VALUE"""),46024.0)</f>
        <v>46024</v>
      </c>
      <c r="B772" s="31" t="str">
        <f>IFERROR(__xludf.DUMMYFUNCTION("""COMPUTED_VALUE"""),"Jyoti Prakash")</f>
        <v>Jyoti Prakash</v>
      </c>
      <c r="C772" s="31" t="str">
        <f>IFERROR(__xludf.DUMMYFUNCTION("""COMPUTED_VALUE"""),"Brand Marketing")</f>
        <v>Brand Marketing</v>
      </c>
      <c r="D772" s="31">
        <f>IFERROR(__xludf.DUMMYFUNCTION("""COMPUTED_VALUE"""),9.990629065E9)</f>
        <v>9990629065</v>
      </c>
      <c r="E772" s="31" t="str">
        <f>IFERROR(__xludf.DUMMYFUNCTION("""COMPUTED_VALUE"""),"Creative Strategist")</f>
        <v>Creative Strategist</v>
      </c>
      <c r="F772" s="31" t="str">
        <f>IFERROR(__xludf.DUMMYFUNCTION("""COMPUTED_VALUE"""),"Content")</f>
        <v>Content</v>
      </c>
      <c r="G772" s="31" t="str">
        <f>IFERROR(__xludf.DUMMYFUNCTION("""COMPUTED_VALUE"""),"jyotiprakash189@gmail.com")</f>
        <v>jyotiprakash189@gmail.com</v>
      </c>
      <c r="H772" s="31" t="str">
        <f>IFERROR(__xludf.DUMMYFUNCTION("""COMPUTED_VALUE"""),"Katha Tara")</f>
        <v>Katha Tara</v>
      </c>
      <c r="I772" s="75">
        <f>IFERROR(__xludf.DUMMYFUNCTION("""COMPUTED_VALUE"""),45987.0)</f>
        <v>45987</v>
      </c>
      <c r="J772" s="31" t="str">
        <f>IFERROR(__xludf.DUMMYFUNCTION("""COMPUTED_VALUE"""),"Rajneesh Yadav")</f>
        <v>Rajneesh Yadav</v>
      </c>
      <c r="K772" s="31" t="str">
        <f>IFERROR(__xludf.DUMMYFUNCTION("""COMPUTED_VALUE"""),"Joined")</f>
        <v>Joined</v>
      </c>
      <c r="L772" s="31" t="str">
        <f>IFERROR(__xludf.DUMMYFUNCTION("""COMPUTED_VALUE"""),"In Office")</f>
        <v>In Office</v>
      </c>
      <c r="M772" s="31"/>
      <c r="N772" s="31"/>
    </row>
    <row r="773">
      <c r="A773" s="74">
        <f>IFERROR(__xludf.DUMMYFUNCTION("""COMPUTED_VALUE"""),46006.0)</f>
        <v>46006</v>
      </c>
      <c r="B773" s="31" t="str">
        <f>IFERROR(__xludf.DUMMYFUNCTION("""COMPUTED_VALUE"""),"Albina Chishty")</f>
        <v>Albina Chishty</v>
      </c>
      <c r="C773" s="31" t="str">
        <f>IFERROR(__xludf.DUMMYFUNCTION("""COMPUTED_VALUE"""),"Vertical Tv")</f>
        <v>Vertical Tv</v>
      </c>
      <c r="D773" s="31">
        <f>IFERROR(__xludf.DUMMYFUNCTION("""COMPUTED_VALUE"""),9.827629787E9)</f>
        <v>9827629787</v>
      </c>
      <c r="E773" s="31" t="str">
        <f>IFERROR(__xludf.DUMMYFUNCTION("""COMPUTED_VALUE"""),"Senior Promo Writer")</f>
        <v>Senior Promo Writer</v>
      </c>
      <c r="F773" s="31" t="str">
        <f>IFERROR(__xludf.DUMMYFUNCTION("""COMPUTED_VALUE"""),"Content")</f>
        <v>Content</v>
      </c>
      <c r="G773" s="31" t="str">
        <f>IFERROR(__xludf.DUMMYFUNCTION("""COMPUTED_VALUE"""),"chishtyalbina2@gmail.com")</f>
        <v>chishtyalbina2@gmail.com</v>
      </c>
      <c r="H773" s="31" t="str">
        <f>IFERROR(__xludf.DUMMYFUNCTION("""COMPUTED_VALUE"""),"Akash Verma")</f>
        <v>Akash Verma</v>
      </c>
      <c r="I773" s="75">
        <f>IFERROR(__xludf.DUMMYFUNCTION("""COMPUTED_VALUE"""),45988.0)</f>
        <v>45988</v>
      </c>
      <c r="J773" s="31" t="str">
        <f>IFERROR(__xludf.DUMMYFUNCTION("""COMPUTED_VALUE"""),"Vipin Kumar")</f>
        <v>Vipin Kumar</v>
      </c>
      <c r="K773" s="31" t="str">
        <f>IFERROR(__xludf.DUMMYFUNCTION("""COMPUTED_VALUE"""),"Joined")</f>
        <v>Joined</v>
      </c>
      <c r="L773" s="31" t="str">
        <f>IFERROR(__xludf.DUMMYFUNCTION("""COMPUTED_VALUE"""),"Virtual")</f>
        <v>Virtual</v>
      </c>
      <c r="M773" s="31" t="str">
        <f>IFERROR(__xludf.DUMMYFUNCTION("""COMPUTED_VALUE"""),"deep.mukhtiar@zupee.in")</f>
        <v>deep.mukhtiar@zupee.in</v>
      </c>
      <c r="N773" s="31"/>
    </row>
    <row r="774">
      <c r="A774" s="74">
        <f>IFERROR(__xludf.DUMMYFUNCTION("""COMPUTED_VALUE"""),46041.0)</f>
        <v>46041</v>
      </c>
      <c r="B774" s="31" t="str">
        <f>IFERROR(__xludf.DUMMYFUNCTION("""COMPUTED_VALUE"""),"Chandervir Singh")</f>
        <v>Chandervir Singh</v>
      </c>
      <c r="C774" s="31" t="str">
        <f>IFERROR(__xludf.DUMMYFUNCTION("""COMPUTED_VALUE"""),"Technology")</f>
        <v>Technology</v>
      </c>
      <c r="D774" s="31">
        <f>IFERROR(__xludf.DUMMYFUNCTION("""COMPUTED_VALUE"""),9.149395197E9)</f>
        <v>9149395197</v>
      </c>
      <c r="E774" s="31" t="str">
        <f>IFERROR(__xludf.DUMMYFUNCTION("""COMPUTED_VALUE"""),"Senior Devops Engineer")</f>
        <v>Senior Devops Engineer</v>
      </c>
      <c r="F774" s="31" t="str">
        <f>IFERROR(__xludf.DUMMYFUNCTION("""COMPUTED_VALUE"""),"DevOps &amp; Security")</f>
        <v>DevOps &amp; Security</v>
      </c>
      <c r="G774" s="31" t="str">
        <f>IFERROR(__xludf.DUMMYFUNCTION("""COMPUTED_VALUE"""),"chandervir2912@gmail.com")</f>
        <v>chandervir2912@gmail.com</v>
      </c>
      <c r="H774" s="31" t="str">
        <f>IFERROR(__xludf.DUMMYFUNCTION("""COMPUTED_VALUE"""),"Saurav Yadav")</f>
        <v>Saurav Yadav</v>
      </c>
      <c r="I774" s="75">
        <f>IFERROR(__xludf.DUMMYFUNCTION("""COMPUTED_VALUE"""),45988.0)</f>
        <v>45988</v>
      </c>
      <c r="J774" s="31" t="str">
        <f>IFERROR(__xludf.DUMMYFUNCTION("""COMPUTED_VALUE"""),"Cheshtha Sharma")</f>
        <v>Cheshtha Sharma</v>
      </c>
      <c r="K774" s="31" t="str">
        <f>IFERROR(__xludf.DUMMYFUNCTION("""COMPUTED_VALUE"""),"Offer Declined")</f>
        <v>Offer Declined</v>
      </c>
      <c r="L774" s="31" t="str">
        <f>IFERROR(__xludf.DUMMYFUNCTION("""COMPUTED_VALUE"""),"In Office")</f>
        <v>In Office</v>
      </c>
      <c r="M774" s="31" t="str">
        <f>IFERROR(__xludf.DUMMYFUNCTION("""COMPUTED_VALUE"""),"saptarshi.de@zupee.in")</f>
        <v>saptarshi.de@zupee.in</v>
      </c>
      <c r="N774" s="31"/>
    </row>
    <row r="775">
      <c r="A775" s="74">
        <f>IFERROR(__xludf.DUMMYFUNCTION("""COMPUTED_VALUE"""),45992.0)</f>
        <v>45992</v>
      </c>
      <c r="B775" s="31" t="str">
        <f>IFERROR(__xludf.DUMMYFUNCTION("""COMPUTED_VALUE"""),"Deep Singh Mukhtiar")</f>
        <v>Deep Singh Mukhtiar</v>
      </c>
      <c r="C775" s="31" t="str">
        <f>IFERROR(__xludf.DUMMYFUNCTION("""COMPUTED_VALUE"""),"Vertical Tv")</f>
        <v>Vertical Tv</v>
      </c>
      <c r="D775" s="31">
        <f>IFERROR(__xludf.DUMMYFUNCTION("""COMPUTED_VALUE"""),9.870027299E9)</f>
        <v>9870027299</v>
      </c>
      <c r="E775" s="31" t="str">
        <f>IFERROR(__xludf.DUMMYFUNCTION("""COMPUTED_VALUE"""),"Sound Engineer")</f>
        <v>Sound Engineer</v>
      </c>
      <c r="F775" s="31" t="str">
        <f>IFERROR(__xludf.DUMMYFUNCTION("""COMPUTED_VALUE"""),"Content")</f>
        <v>Content</v>
      </c>
      <c r="G775" s="31" t="str">
        <f>IFERROR(__xludf.DUMMYFUNCTION("""COMPUTED_VALUE"""),"musician.deepsingh@gmail.com")</f>
        <v>musician.deepsingh@gmail.com</v>
      </c>
      <c r="H775" s="31" t="str">
        <f>IFERROR(__xludf.DUMMYFUNCTION("""COMPUTED_VALUE"""),"Mohit Shandilya")</f>
        <v>Mohit Shandilya</v>
      </c>
      <c r="I775" s="75">
        <f>IFERROR(__xludf.DUMMYFUNCTION("""COMPUTED_VALUE"""),45989.0)</f>
        <v>45989</v>
      </c>
      <c r="J775" s="31" t="str">
        <f>IFERROR(__xludf.DUMMYFUNCTION("""COMPUTED_VALUE"""),"Jaya Tiwari")</f>
        <v>Jaya Tiwari</v>
      </c>
      <c r="K775" s="31" t="str">
        <f>IFERROR(__xludf.DUMMYFUNCTION("""COMPUTED_VALUE"""),"Joined")</f>
        <v>Joined</v>
      </c>
      <c r="L775" s="31" t="str">
        <f>IFERROR(__xludf.DUMMYFUNCTION("""COMPUTED_VALUE"""),"Virtual")</f>
        <v>Virtual</v>
      </c>
      <c r="M775" s="31"/>
      <c r="N775" s="31"/>
    </row>
    <row r="776">
      <c r="A776" s="74">
        <f>IFERROR(__xludf.DUMMYFUNCTION("""COMPUTED_VALUE"""),46024.0)</f>
        <v>46024</v>
      </c>
      <c r="B776" s="31" t="str">
        <f>IFERROR(__xludf.DUMMYFUNCTION("""COMPUTED_VALUE"""),"Nikita Gadal")</f>
        <v>Nikita Gadal</v>
      </c>
      <c r="C776" s="31" t="str">
        <f>IFERROR(__xludf.DUMMYFUNCTION("""COMPUTED_VALUE"""),"Vertical Tv")</f>
        <v>Vertical Tv</v>
      </c>
      <c r="D776" s="31">
        <f>IFERROR(__xludf.DUMMYFUNCTION("""COMPUTED_VALUE"""),8.794766268E9)</f>
        <v>8794766268</v>
      </c>
      <c r="E776" s="31" t="str">
        <f>IFERROR(__xludf.DUMMYFUNCTION("""COMPUTED_VALUE"""),"Senior Producer")</f>
        <v>Senior Producer</v>
      </c>
      <c r="F776" s="31" t="str">
        <f>IFERROR(__xludf.DUMMYFUNCTION("""COMPUTED_VALUE"""),"Content")</f>
        <v>Content</v>
      </c>
      <c r="G776" s="31" t="str">
        <f>IFERROR(__xludf.DUMMYFUNCTION("""COMPUTED_VALUE"""),"nikitagadal1122@gmail.com")</f>
        <v>nikitagadal1122@gmail.com</v>
      </c>
      <c r="H776" s="31" t="str">
        <f>IFERROR(__xludf.DUMMYFUNCTION("""COMPUTED_VALUE"""),"Anup Thanvi")</f>
        <v>Anup Thanvi</v>
      </c>
      <c r="I776" s="75">
        <f>IFERROR(__xludf.DUMMYFUNCTION("""COMPUTED_VALUE"""),45989.0)</f>
        <v>45989</v>
      </c>
      <c r="J776" s="31" t="str">
        <f>IFERROR(__xludf.DUMMYFUNCTION("""COMPUTED_VALUE"""),"Cheshtha Sharma")</f>
        <v>Cheshtha Sharma</v>
      </c>
      <c r="K776" s="31" t="str">
        <f>IFERROR(__xludf.DUMMYFUNCTION("""COMPUTED_VALUE"""),"Joined")</f>
        <v>Joined</v>
      </c>
      <c r="L776" s="31" t="str">
        <f>IFERROR(__xludf.DUMMYFUNCTION("""COMPUTED_VALUE"""),"In Office")</f>
        <v>In Office</v>
      </c>
      <c r="M776" s="31" t="str">
        <f>IFERROR(__xludf.DUMMYFUNCTION("""COMPUTED_VALUE"""),"nikita.gadal@zupee.in")</f>
        <v>nikita.gadal@zupee.in</v>
      </c>
      <c r="N776" s="31"/>
    </row>
    <row r="777">
      <c r="A777" s="74">
        <f>IFERROR(__xludf.DUMMYFUNCTION("""COMPUTED_VALUE"""),45992.0)</f>
        <v>45992</v>
      </c>
      <c r="B777" s="31" t="str">
        <f>IFERROR(__xludf.DUMMYFUNCTION("""COMPUTED_VALUE"""),"Saptarshi De")</f>
        <v>Saptarshi De</v>
      </c>
      <c r="C777" s="31" t="str">
        <f>IFERROR(__xludf.DUMMYFUNCTION("""COMPUTED_VALUE"""),"Vertical Tv")</f>
        <v>Vertical Tv</v>
      </c>
      <c r="D777" s="31">
        <f>IFERROR(__xludf.DUMMYFUNCTION("""COMPUTED_VALUE"""),6.002736494E9)</f>
        <v>6002736494</v>
      </c>
      <c r="E777" s="31" t="str">
        <f>IFERROR(__xludf.DUMMYFUNCTION("""COMPUTED_VALUE""")," Sound Designer cum VO Artist")</f>
        <v> Sound Designer cum VO Artist</v>
      </c>
      <c r="F777" s="31" t="str">
        <f>IFERROR(__xludf.DUMMYFUNCTION("""COMPUTED_VALUE"""),"Content")</f>
        <v>Content</v>
      </c>
      <c r="G777" s="31" t="str">
        <f>IFERROR(__xludf.DUMMYFUNCTION("""COMPUTED_VALUE"""),"  saptarshi4761@gmail.com")</f>
        <v>  saptarshi4761@gmail.com</v>
      </c>
      <c r="H777" s="31" t="str">
        <f>IFERROR(__xludf.DUMMYFUNCTION("""COMPUTED_VALUE"""),"Akash Verma")</f>
        <v>Akash Verma</v>
      </c>
      <c r="I777" s="75">
        <f>IFERROR(__xludf.DUMMYFUNCTION("""COMPUTED_VALUE"""),45992.0)</f>
        <v>45992</v>
      </c>
      <c r="J777" s="31" t="str">
        <f>IFERROR(__xludf.DUMMYFUNCTION("""COMPUTED_VALUE"""),"Shivam Sharma")</f>
        <v>Shivam Sharma</v>
      </c>
      <c r="K777" s="31" t="str">
        <f>IFERROR(__xludf.DUMMYFUNCTION("""COMPUTED_VALUE"""),"Joined")</f>
        <v>Joined</v>
      </c>
      <c r="L777" s="31" t="str">
        <f>IFERROR(__xludf.DUMMYFUNCTION("""COMPUTED_VALUE"""),"Virtual")</f>
        <v>Virtual</v>
      </c>
      <c r="M777" s="31" t="str">
        <f>IFERROR(__xludf.DUMMYFUNCTION("""COMPUTED_VALUE"""),"dattatraya.ghodke@zupee.in")</f>
        <v>dattatraya.ghodke@zupee.in</v>
      </c>
      <c r="N777" s="31"/>
    </row>
    <row r="778">
      <c r="A778" s="74">
        <f>IFERROR(__xludf.DUMMYFUNCTION("""COMPUTED_VALUE"""),46008.0)</f>
        <v>46008</v>
      </c>
      <c r="B778" s="31" t="str">
        <f>IFERROR(__xludf.DUMMYFUNCTION("""COMPUTED_VALUE"""),"Pratik Anil Toradmal")</f>
        <v>Pratik Anil Toradmal</v>
      </c>
      <c r="C778" s="31" t="str">
        <f>IFERROR(__xludf.DUMMYFUNCTION("""COMPUTED_VALUE"""),"Vertical Tv")</f>
        <v>Vertical Tv</v>
      </c>
      <c r="D778" s="31">
        <f>IFERROR(__xludf.DUMMYFUNCTION("""COMPUTED_VALUE"""),9.503728282E9)</f>
        <v>9503728282</v>
      </c>
      <c r="E778" s="31" t="str">
        <f>IFERROR(__xludf.DUMMYFUNCTION("""COMPUTED_VALUE"""),"Promo Writer")</f>
        <v>Promo Writer</v>
      </c>
      <c r="F778" s="31" t="str">
        <f>IFERROR(__xludf.DUMMYFUNCTION("""COMPUTED_VALUE"""),"Content")</f>
        <v>Content</v>
      </c>
      <c r="G778" s="31" t="str">
        <f>IFERROR(__xludf.DUMMYFUNCTION("""COMPUTED_VALUE"""),"pratiktoradmal101@gmail.com")</f>
        <v>pratiktoradmal101@gmail.com</v>
      </c>
      <c r="H778" s="31" t="str">
        <f>IFERROR(__xludf.DUMMYFUNCTION("""COMPUTED_VALUE"""),"Aastha Shah")</f>
        <v>Aastha Shah</v>
      </c>
      <c r="I778" s="75">
        <f>IFERROR(__xludf.DUMMYFUNCTION("""COMPUTED_VALUE"""),45992.0)</f>
        <v>45992</v>
      </c>
      <c r="J778" s="31" t="str">
        <f>IFERROR(__xludf.DUMMYFUNCTION("""COMPUTED_VALUE"""),"Vipin Kumar")</f>
        <v>Vipin Kumar</v>
      </c>
      <c r="K778" s="31" t="str">
        <f>IFERROR(__xludf.DUMMYFUNCTION("""COMPUTED_VALUE"""),"Joined")</f>
        <v>Joined</v>
      </c>
      <c r="L778" s="31" t="str">
        <f>IFERROR(__xludf.DUMMYFUNCTION("""COMPUTED_VALUE"""),"In Office")</f>
        <v>In Office</v>
      </c>
      <c r="M778" s="31" t="str">
        <f>IFERROR(__xludf.DUMMYFUNCTION("""COMPUTED_VALUE"""),"pratik.toradmal@zupee.in")</f>
        <v>pratik.toradmal@zupee.in</v>
      </c>
      <c r="N778" s="31"/>
    </row>
    <row r="779">
      <c r="A779" s="74">
        <f>IFERROR(__xludf.DUMMYFUNCTION("""COMPUTED_VALUE"""),46006.0)</f>
        <v>46006</v>
      </c>
      <c r="B779" s="31" t="str">
        <f>IFERROR(__xludf.DUMMYFUNCTION("""COMPUTED_VALUE"""),"Vrushali Prabhakar Sayam")</f>
        <v>Vrushali Prabhakar Sayam</v>
      </c>
      <c r="C779" s="31" t="str">
        <f>IFERROR(__xludf.DUMMYFUNCTION("""COMPUTED_VALUE"""),"Vertical Tv")</f>
        <v>Vertical Tv</v>
      </c>
      <c r="D779" s="31">
        <f>IFERROR(__xludf.DUMMYFUNCTION("""COMPUTED_VALUE"""),9.545203842E9)</f>
        <v>9545203842</v>
      </c>
      <c r="E779" s="31" t="str">
        <f>IFERROR(__xludf.DUMMYFUNCTION("""COMPUTED_VALUE"""),"Associate Video Editor")</f>
        <v>Associate Video Editor</v>
      </c>
      <c r="F779" s="31" t="str">
        <f>IFERROR(__xludf.DUMMYFUNCTION("""COMPUTED_VALUE"""),"Content")</f>
        <v>Content</v>
      </c>
      <c r="G779" s="31" t="str">
        <f>IFERROR(__xludf.DUMMYFUNCTION("""COMPUTED_VALUE"""),"ojaswinisayam@gmail.com")</f>
        <v>ojaswinisayam@gmail.com</v>
      </c>
      <c r="H779" s="31" t="str">
        <f>IFERROR(__xludf.DUMMYFUNCTION("""COMPUTED_VALUE"""),"Mohit Shandilya")</f>
        <v>Mohit Shandilya</v>
      </c>
      <c r="I779" s="75">
        <f>IFERROR(__xludf.DUMMYFUNCTION("""COMPUTED_VALUE"""),45992.0)</f>
        <v>45992</v>
      </c>
      <c r="J779" s="31" t="str">
        <f>IFERROR(__xludf.DUMMYFUNCTION("""COMPUTED_VALUE"""),"Cheshtha Sharma")</f>
        <v>Cheshtha Sharma</v>
      </c>
      <c r="K779" s="31" t="str">
        <f>IFERROR(__xludf.DUMMYFUNCTION("""COMPUTED_VALUE"""),"Joined")</f>
        <v>Joined</v>
      </c>
      <c r="L779" s="31" t="str">
        <f>IFERROR(__xludf.DUMMYFUNCTION("""COMPUTED_VALUE"""),"In Office")</f>
        <v>In Office</v>
      </c>
      <c r="M779" s="31" t="str">
        <f>IFERROR(__xludf.DUMMYFUNCTION("""COMPUTED_VALUE"""),"suraj.pol@zupee.in")</f>
        <v>suraj.pol@zupee.in</v>
      </c>
      <c r="N779" s="31"/>
    </row>
    <row r="780">
      <c r="A780" s="74">
        <f>IFERROR(__xludf.DUMMYFUNCTION("""COMPUTED_VALUE"""),46008.0)</f>
        <v>46008</v>
      </c>
      <c r="B780" s="31" t="str">
        <f>IFERROR(__xludf.DUMMYFUNCTION("""COMPUTED_VALUE"""),"Suneel Kumar")</f>
        <v>Suneel Kumar</v>
      </c>
      <c r="C780" s="31" t="str">
        <f>IFERROR(__xludf.DUMMYFUNCTION("""COMPUTED_VALUE"""),"Vertical Tv")</f>
        <v>Vertical Tv</v>
      </c>
      <c r="D780" s="31">
        <f>IFERROR(__xludf.DUMMYFUNCTION("""COMPUTED_VALUE"""),9.654319629E9)</f>
        <v>9654319629</v>
      </c>
      <c r="E780" s="31" t="str">
        <f>IFERROR(__xludf.DUMMYFUNCTION("""COMPUTED_VALUE"""),"Promo Writer- Contractual")</f>
        <v>Promo Writer- Contractual</v>
      </c>
      <c r="F780" s="31" t="str">
        <f>IFERROR(__xludf.DUMMYFUNCTION("""COMPUTED_VALUE"""),"Content")</f>
        <v>Content</v>
      </c>
      <c r="G780" s="31" t="str">
        <f>IFERROR(__xludf.DUMMYFUNCTION("""COMPUTED_VALUE"""),"suneelkb029@gmail.com")</f>
        <v>suneelkb029@gmail.com</v>
      </c>
      <c r="H780" s="31" t="str">
        <f>IFERROR(__xludf.DUMMYFUNCTION("""COMPUTED_VALUE"""),"Aastha Shah")</f>
        <v>Aastha Shah</v>
      </c>
      <c r="I780" s="75">
        <f>IFERROR(__xludf.DUMMYFUNCTION("""COMPUTED_VALUE"""),45992.0)</f>
        <v>45992</v>
      </c>
      <c r="J780" s="31" t="str">
        <f>IFERROR(__xludf.DUMMYFUNCTION("""COMPUTED_VALUE"""),"Vipin Kumar")</f>
        <v>Vipin Kumar</v>
      </c>
      <c r="K780" s="31" t="str">
        <f>IFERROR(__xludf.DUMMYFUNCTION("""COMPUTED_VALUE"""),"Joined")</f>
        <v>Joined</v>
      </c>
      <c r="L780" s="31" t="str">
        <f>IFERROR(__xludf.DUMMYFUNCTION("""COMPUTED_VALUE"""),"Virtual")</f>
        <v>Virtual</v>
      </c>
      <c r="M780" s="31" t="str">
        <f>IFERROR(__xludf.DUMMYFUNCTION("""COMPUTED_VALUE"""),"suneel.kumar@zupee.in")</f>
        <v>suneel.kumar@zupee.in</v>
      </c>
      <c r="N780" s="31"/>
    </row>
    <row r="781">
      <c r="A781" s="74">
        <f>IFERROR(__xludf.DUMMYFUNCTION("""COMPUTED_VALUE"""),45994.0)</f>
        <v>45994</v>
      </c>
      <c r="B781" s="31" t="str">
        <f>IFERROR(__xludf.DUMMYFUNCTION("""COMPUTED_VALUE"""),"Dattatraya Prahlad Ghodke")</f>
        <v>Dattatraya Prahlad Ghodke</v>
      </c>
      <c r="C781" s="31" t="str">
        <f>IFERROR(__xludf.DUMMYFUNCTION("""COMPUTED_VALUE"""),"Vertical Tv")</f>
        <v>Vertical Tv</v>
      </c>
      <c r="D781" s="31">
        <f>IFERROR(__xludf.DUMMYFUNCTION("""COMPUTED_VALUE"""),9.819233193E9)</f>
        <v>9819233193</v>
      </c>
      <c r="E781" s="31" t="str">
        <f>IFERROR(__xludf.DUMMYFUNCTION("""COMPUTED_VALUE"""),"Creative Team Lead (Post Production)")</f>
        <v>Creative Team Lead (Post Production)</v>
      </c>
      <c r="F781" s="31" t="str">
        <f>IFERROR(__xludf.DUMMYFUNCTION("""COMPUTED_VALUE"""),"Content")</f>
        <v>Content</v>
      </c>
      <c r="G781" s="31" t="str">
        <f>IFERROR(__xludf.DUMMYFUNCTION("""COMPUTED_VALUE"""),"dattatraya.g@gmail.com")</f>
        <v>dattatraya.g@gmail.com</v>
      </c>
      <c r="H781" s="31" t="str">
        <f>IFERROR(__xludf.DUMMYFUNCTION("""COMPUTED_VALUE"""),"Mohit Goswami")</f>
        <v>Mohit Goswami</v>
      </c>
      <c r="I781" s="75">
        <f>IFERROR(__xludf.DUMMYFUNCTION("""COMPUTED_VALUE"""),45968.0)</f>
        <v>45968</v>
      </c>
      <c r="J781" s="31" t="str">
        <f>IFERROR(__xludf.DUMMYFUNCTION("""COMPUTED_VALUE"""),"Shivam Sharma")</f>
        <v>Shivam Sharma</v>
      </c>
      <c r="K781" s="31" t="str">
        <f>IFERROR(__xludf.DUMMYFUNCTION("""COMPUTED_VALUE"""),"Joined")</f>
        <v>Joined</v>
      </c>
      <c r="L781" s="31" t="str">
        <f>IFERROR(__xludf.DUMMYFUNCTION("""COMPUTED_VALUE"""),"Virtual")</f>
        <v>Virtual</v>
      </c>
      <c r="M781" s="31"/>
      <c r="N781" s="31"/>
    </row>
    <row r="782">
      <c r="A782" s="74">
        <f>IFERROR(__xludf.DUMMYFUNCTION("""COMPUTED_VALUE"""),46027.0)</f>
        <v>46027</v>
      </c>
      <c r="B782" s="31" t="str">
        <f>IFERROR(__xludf.DUMMYFUNCTION("""COMPUTED_VALUE"""),"Danish Uday Shinde")</f>
        <v>Danish Uday Shinde</v>
      </c>
      <c r="C782" s="31" t="str">
        <f>IFERROR(__xludf.DUMMYFUNCTION("""COMPUTED_VALUE"""),"Vertical Tv")</f>
        <v>Vertical Tv</v>
      </c>
      <c r="D782" s="31">
        <f>IFERROR(__xludf.DUMMYFUNCTION("""COMPUTED_VALUE"""),7.738589363E9)</f>
        <v>7738589363</v>
      </c>
      <c r="E782" s="31" t="str">
        <f>IFERROR(__xludf.DUMMYFUNCTION("""COMPUTED_VALUE"""),"Senior Video Editor ( Creative Team Lead )")</f>
        <v>Senior Video Editor ( Creative Team Lead )</v>
      </c>
      <c r="F782" s="31" t="str">
        <f>IFERROR(__xludf.DUMMYFUNCTION("""COMPUTED_VALUE"""),"Content")</f>
        <v>Content</v>
      </c>
      <c r="G782" s="31" t="str">
        <f>IFERROR(__xludf.DUMMYFUNCTION("""COMPUTED_VALUE"""),"danishshinde07@gmail.com")</f>
        <v>danishshinde07@gmail.com</v>
      </c>
      <c r="H782" s="31" t="str">
        <f>IFERROR(__xludf.DUMMYFUNCTION("""COMPUTED_VALUE"""),"Mohit Shandilya")</f>
        <v>Mohit Shandilya</v>
      </c>
      <c r="I782" s="75">
        <f>IFERROR(__xludf.DUMMYFUNCTION("""COMPUTED_VALUE"""),45992.0)</f>
        <v>45992</v>
      </c>
      <c r="J782" s="31" t="str">
        <f>IFERROR(__xludf.DUMMYFUNCTION("""COMPUTED_VALUE"""),"Jaya Tiwari")</f>
        <v>Jaya Tiwari</v>
      </c>
      <c r="K782" s="31" t="str">
        <f>IFERROR(__xludf.DUMMYFUNCTION("""COMPUTED_VALUE"""),"Joined")</f>
        <v>Joined</v>
      </c>
      <c r="L782" s="31" t="str">
        <f>IFERROR(__xludf.DUMMYFUNCTION("""COMPUTED_VALUE"""),"Virtual")</f>
        <v>Virtual</v>
      </c>
      <c r="M782" s="31" t="str">
        <f>IFERROR(__xludf.DUMMYFUNCTION("""COMPUTED_VALUE"""),"rohit.sharma@zupee.in")</f>
        <v>rohit.sharma@zupee.in</v>
      </c>
      <c r="N782" s="31" t="str">
        <f>IFERROR(__xludf.DUMMYFUNCTION("""COMPUTED_VALUE"""),"L729FW9RPK")</f>
        <v>L729FW9RPK</v>
      </c>
    </row>
    <row r="783">
      <c r="A783" s="74">
        <f>IFERROR(__xludf.DUMMYFUNCTION("""COMPUTED_VALUE"""),46027.0)</f>
        <v>46027</v>
      </c>
      <c r="B783" s="31" t="str">
        <f>IFERROR(__xludf.DUMMYFUNCTION("""COMPUTED_VALUE"""),"Hardik Yogesh Maniar")</f>
        <v>Hardik Yogesh Maniar</v>
      </c>
      <c r="C783" s="31" t="str">
        <f>IFERROR(__xludf.DUMMYFUNCTION("""COMPUTED_VALUE"""),"Vertical Tv")</f>
        <v>Vertical Tv</v>
      </c>
      <c r="D783" s="31">
        <f>IFERROR(__xludf.DUMMYFUNCTION("""COMPUTED_VALUE"""),9.930696394E9)</f>
        <v>9930696394</v>
      </c>
      <c r="E783" s="31" t="str">
        <f>IFERROR(__xludf.DUMMYFUNCTION("""COMPUTED_VALUE"""),"Producer (Content)")</f>
        <v>Producer (Content)</v>
      </c>
      <c r="F783" s="31" t="str">
        <f>IFERROR(__xludf.DUMMYFUNCTION("""COMPUTED_VALUE"""),"Content")</f>
        <v>Content</v>
      </c>
      <c r="G783" s="31" t="str">
        <f>IFERROR(__xludf.DUMMYFUNCTION("""COMPUTED_VALUE"""),"hymaniar@gmail.com")</f>
        <v>hymaniar@gmail.com</v>
      </c>
      <c r="H783" s="31" t="str">
        <f>IFERROR(__xludf.DUMMYFUNCTION("""COMPUTED_VALUE"""),"Anup Thanvi")</f>
        <v>Anup Thanvi</v>
      </c>
      <c r="I783" s="75">
        <f>IFERROR(__xludf.DUMMYFUNCTION("""COMPUTED_VALUE"""),45992.0)</f>
        <v>45992</v>
      </c>
      <c r="J783" s="31" t="str">
        <f>IFERROR(__xludf.DUMMYFUNCTION("""COMPUTED_VALUE"""),"Cheshtha Sharma")</f>
        <v>Cheshtha Sharma</v>
      </c>
      <c r="K783" s="31" t="str">
        <f>IFERROR(__xludf.DUMMYFUNCTION("""COMPUTED_VALUE"""),"Joined")</f>
        <v>Joined</v>
      </c>
      <c r="L783" s="31" t="str">
        <f>IFERROR(__xludf.DUMMYFUNCTION("""COMPUTED_VALUE"""),"In Office")</f>
        <v>In Office</v>
      </c>
      <c r="M783" s="31" t="str">
        <f>IFERROR(__xludf.DUMMYFUNCTION("""COMPUTED_VALUE"""),"hardik.maniar@zupee.in")</f>
        <v>hardik.maniar@zupee.in</v>
      </c>
      <c r="N783" s="31"/>
    </row>
    <row r="784">
      <c r="A784" s="74">
        <f>IFERROR(__xludf.DUMMYFUNCTION("""COMPUTED_VALUE"""),45999.0)</f>
        <v>45999</v>
      </c>
      <c r="B784" s="31" t="str">
        <f>IFERROR(__xludf.DUMMYFUNCTION("""COMPUTED_VALUE"""),"Suraj Jalindar Pol")</f>
        <v>Suraj Jalindar Pol</v>
      </c>
      <c r="C784" s="31" t="str">
        <f>IFERROR(__xludf.DUMMYFUNCTION("""COMPUTED_VALUE"""),"Vertical Tv")</f>
        <v>Vertical Tv</v>
      </c>
      <c r="D784" s="31"/>
      <c r="E784" s="31" t="str">
        <f>IFERROR(__xludf.DUMMYFUNCTION("""COMPUTED_VALUE"""),"Associate Video Editor")</f>
        <v>Associate Video Editor</v>
      </c>
      <c r="F784" s="31" t="str">
        <f>IFERROR(__xludf.DUMMYFUNCTION("""COMPUTED_VALUE"""),"Content")</f>
        <v>Content</v>
      </c>
      <c r="G784" s="31" t="str">
        <f>IFERROR(__xludf.DUMMYFUNCTION("""COMPUTED_VALUE"""),"surajpol1518@gmail.com")</f>
        <v>surajpol1518@gmail.com</v>
      </c>
      <c r="H784" s="31" t="str">
        <f>IFERROR(__xludf.DUMMYFUNCTION("""COMPUTED_VALUE"""),"Mohit Shandilya")</f>
        <v>Mohit Shandilya</v>
      </c>
      <c r="I784" s="75">
        <f>IFERROR(__xludf.DUMMYFUNCTION("""COMPUTED_VALUE"""),45995.0)</f>
        <v>45995</v>
      </c>
      <c r="J784" s="31" t="str">
        <f>IFERROR(__xludf.DUMMYFUNCTION("""COMPUTED_VALUE"""),"Jaya Tiwari")</f>
        <v>Jaya Tiwari</v>
      </c>
      <c r="K784" s="31" t="str">
        <f>IFERROR(__xludf.DUMMYFUNCTION("""COMPUTED_VALUE"""),"Joined")</f>
        <v>Joined</v>
      </c>
      <c r="L784" s="31" t="str">
        <f>IFERROR(__xludf.DUMMYFUNCTION("""COMPUTED_VALUE"""),"Virtual")</f>
        <v>Virtual</v>
      </c>
      <c r="M784" s="31"/>
      <c r="N784" s="31"/>
    </row>
    <row r="785">
      <c r="A785" s="74">
        <f>IFERROR(__xludf.DUMMYFUNCTION("""COMPUTED_VALUE"""),46001.0)</f>
        <v>46001</v>
      </c>
      <c r="B785" s="31" t="str">
        <f>IFERROR(__xludf.DUMMYFUNCTION("""COMPUTED_VALUE"""),"Pranshant Kumar")</f>
        <v>Pranshant Kumar</v>
      </c>
      <c r="C785" s="31" t="str">
        <f>IFERROR(__xludf.DUMMYFUNCTION("""COMPUTED_VALUE"""),"Vertical Tv")</f>
        <v>Vertical Tv</v>
      </c>
      <c r="D785" s="31">
        <f>IFERROR(__xludf.DUMMYFUNCTION("""COMPUTED_VALUE"""),8.587095641E9)</f>
        <v>8587095641</v>
      </c>
      <c r="E785" s="31" t="str">
        <f>IFERROR(__xludf.DUMMYFUNCTION("""COMPUTED_VALUE"""),"Promo Writer")</f>
        <v>Promo Writer</v>
      </c>
      <c r="F785" s="31" t="str">
        <f>IFERROR(__xludf.DUMMYFUNCTION("""COMPUTED_VALUE"""),"Content")</f>
        <v>Content</v>
      </c>
      <c r="G785" s="31" t="str">
        <f>IFERROR(__xludf.DUMMYFUNCTION("""COMPUTED_VALUE"""),"prashantsingh161510@gmail.com")</f>
        <v>prashantsingh161510@gmail.com</v>
      </c>
      <c r="H785" s="31" t="str">
        <f>IFERROR(__xludf.DUMMYFUNCTION("""COMPUTED_VALUE"""),"Aastha Shah")</f>
        <v>Aastha Shah</v>
      </c>
      <c r="I785" s="75">
        <f>IFERROR(__xludf.DUMMYFUNCTION("""COMPUTED_VALUE"""),45999.0)</f>
        <v>45999</v>
      </c>
      <c r="J785" s="31" t="str">
        <f>IFERROR(__xludf.DUMMYFUNCTION("""COMPUTED_VALUE"""),"Jaya Tiwari")</f>
        <v>Jaya Tiwari</v>
      </c>
      <c r="K785" s="31" t="str">
        <f>IFERROR(__xludf.DUMMYFUNCTION("""COMPUTED_VALUE"""),"Joined")</f>
        <v>Joined</v>
      </c>
      <c r="L785" s="31" t="str">
        <f>IFERROR(__xludf.DUMMYFUNCTION("""COMPUTED_VALUE"""),"Virtual")</f>
        <v>Virtual</v>
      </c>
      <c r="M785" s="31" t="str">
        <f>IFERROR(__xludf.DUMMYFUNCTION("""COMPUTED_VALUE"""),"prashant.kumar1@zupee.in")</f>
        <v>prashant.kumar1@zupee.in</v>
      </c>
      <c r="N785" s="31"/>
    </row>
    <row r="786">
      <c r="A786" s="74">
        <f>IFERROR(__xludf.DUMMYFUNCTION("""COMPUTED_VALUE"""),45999.0)</f>
        <v>45999</v>
      </c>
      <c r="B786" s="31" t="str">
        <f>IFERROR(__xludf.DUMMYFUNCTION("""COMPUTED_VALUE"""),"Rohit Kumar Sharma")</f>
        <v>Rohit Kumar Sharma</v>
      </c>
      <c r="C786" s="31" t="str">
        <f>IFERROR(__xludf.DUMMYFUNCTION("""COMPUTED_VALUE"""),"Nucanon")</f>
        <v>Nucanon</v>
      </c>
      <c r="D786" s="31">
        <f>IFERROR(__xludf.DUMMYFUNCTION("""COMPUTED_VALUE"""),7.906868262E9)</f>
        <v>7906868262</v>
      </c>
      <c r="E786" s="31" t="str">
        <f>IFERROR(__xludf.DUMMYFUNCTION("""COMPUTED_VALUE"""),"UI/UX Engineer")</f>
        <v>UI/UX Engineer</v>
      </c>
      <c r="F786" s="31" t="str">
        <f>IFERROR(__xludf.DUMMYFUNCTION("""COMPUTED_VALUE"""),"UI/UX Design")</f>
        <v>UI/UX Design</v>
      </c>
      <c r="G786" s="31" t="str">
        <f>IFERROR(__xludf.DUMMYFUNCTION("""COMPUTED_VALUE"""),"rohit41ciicii@gmail.com")</f>
        <v>rohit41ciicii@gmail.com</v>
      </c>
      <c r="H786" s="31" t="str">
        <f>IFERROR(__xludf.DUMMYFUNCTION("""COMPUTED_VALUE"""),"Nilushanan Kulasingham")</f>
        <v>Nilushanan Kulasingham</v>
      </c>
      <c r="I786" s="75">
        <f>IFERROR(__xludf.DUMMYFUNCTION("""COMPUTED_VALUE"""),45995.0)</f>
        <v>45995</v>
      </c>
      <c r="J786" s="31" t="str">
        <f>IFERROR(__xludf.DUMMYFUNCTION("""COMPUTED_VALUE"""),"Naina")</f>
        <v>Naina</v>
      </c>
      <c r="K786" s="31" t="str">
        <f>IFERROR(__xludf.DUMMYFUNCTION("""COMPUTED_VALUE"""),"Joined")</f>
        <v>Joined</v>
      </c>
      <c r="L786" s="31" t="str">
        <f>IFERROR(__xludf.DUMMYFUNCTION("""COMPUTED_VALUE"""),"In Office")</f>
        <v>In Office</v>
      </c>
      <c r="M786" s="31"/>
      <c r="N786" s="31"/>
    </row>
    <row r="787">
      <c r="A787" s="74">
        <f>IFERROR(__xludf.DUMMYFUNCTION("""COMPUTED_VALUE"""),46027.0)</f>
        <v>46027</v>
      </c>
      <c r="B787" s="31" t="str">
        <f>IFERROR(__xludf.DUMMYFUNCTION("""COMPUTED_VALUE"""),"Amrinder Singh Josan")</f>
        <v>Amrinder Singh Josan</v>
      </c>
      <c r="C787" s="31" t="str">
        <f>IFERROR(__xludf.DUMMYFUNCTION("""COMPUTED_VALUE"""),"Digital Marketing")</f>
        <v>Digital Marketing</v>
      </c>
      <c r="D787" s="31">
        <f>IFERROR(__xludf.DUMMYFUNCTION("""COMPUTED_VALUE"""),9.920772023E9)</f>
        <v>9920772023</v>
      </c>
      <c r="E787" s="31" t="str">
        <f>IFERROR(__xludf.DUMMYFUNCTION("""COMPUTED_VALUE"""),"Digital Marketing Manager")</f>
        <v>Digital Marketing Manager</v>
      </c>
      <c r="F787" s="31" t="str">
        <f>IFERROR(__xludf.DUMMYFUNCTION("""COMPUTED_VALUE"""),"Performance Marketing")</f>
        <v>Performance Marketing</v>
      </c>
      <c r="G787" s="31" t="str">
        <f>IFERROR(__xludf.DUMMYFUNCTION("""COMPUTED_VALUE"""),"josan.amrinder@gmail.com")</f>
        <v>josan.amrinder@gmail.com</v>
      </c>
      <c r="H787" s="31" t="str">
        <f>IFERROR(__xludf.DUMMYFUNCTION("""COMPUTED_VALUE"""),"Nishant Jaiswal")</f>
        <v>Nishant Jaiswal</v>
      </c>
      <c r="I787" s="75">
        <f>IFERROR(__xludf.DUMMYFUNCTION("""COMPUTED_VALUE"""),45999.0)</f>
        <v>45999</v>
      </c>
      <c r="J787" s="31" t="str">
        <f>IFERROR(__xludf.DUMMYFUNCTION("""COMPUTED_VALUE"""),"Jaya Tiwari")</f>
        <v>Jaya Tiwari</v>
      </c>
      <c r="K787" s="31" t="str">
        <f>IFERROR(__xludf.DUMMYFUNCTION("""COMPUTED_VALUE"""),"Offer Declined")</f>
        <v>Offer Declined</v>
      </c>
      <c r="L787" s="31" t="str">
        <f>IFERROR(__xludf.DUMMYFUNCTION("""COMPUTED_VALUE"""),"In Office")</f>
        <v>In Office</v>
      </c>
      <c r="M787" s="31"/>
      <c r="N787" s="31"/>
    </row>
    <row r="788">
      <c r="A788" s="74">
        <f>IFERROR(__xludf.DUMMYFUNCTION("""COMPUTED_VALUE"""),46027.0)</f>
        <v>46027</v>
      </c>
      <c r="B788" s="31" t="str">
        <f>IFERROR(__xludf.DUMMYFUNCTION("""COMPUTED_VALUE"""),"Aishwarya Vatsa")</f>
        <v>Aishwarya Vatsa</v>
      </c>
      <c r="C788" s="31" t="str">
        <f>IFERROR(__xludf.DUMMYFUNCTION("""COMPUTED_VALUE"""),"Product")</f>
        <v>Product</v>
      </c>
      <c r="D788" s="31"/>
      <c r="E788" s="31" t="str">
        <f>IFERROR(__xludf.DUMMYFUNCTION("""COMPUTED_VALUE"""),"Product Marketing Manager")</f>
        <v>Product Marketing Manager</v>
      </c>
      <c r="F788" s="31" t="str">
        <f>IFERROR(__xludf.DUMMYFUNCTION("""COMPUTED_VALUE"""),"Product Management")</f>
        <v>Product Management</v>
      </c>
      <c r="G788" s="31" t="str">
        <f>IFERROR(__xludf.DUMMYFUNCTION("""COMPUTED_VALUE"""),"aishwaryavatsa99@gmail.com")</f>
        <v>aishwaryavatsa99@gmail.com</v>
      </c>
      <c r="H788" s="31" t="str">
        <f>IFERROR(__xludf.DUMMYFUNCTION("""COMPUTED_VALUE"""),"Mohit Goswami")</f>
        <v>Mohit Goswami</v>
      </c>
      <c r="I788" s="75">
        <f>IFERROR(__xludf.DUMMYFUNCTION("""COMPUTED_VALUE"""),45999.0)</f>
        <v>45999</v>
      </c>
      <c r="J788" s="31" t="str">
        <f>IFERROR(__xludf.DUMMYFUNCTION("""COMPUTED_VALUE"""),"Jaya Tiwari")</f>
        <v>Jaya Tiwari</v>
      </c>
      <c r="K788" s="31" t="str">
        <f>IFERROR(__xludf.DUMMYFUNCTION("""COMPUTED_VALUE"""),"Offer Declined")</f>
        <v>Offer Declined</v>
      </c>
      <c r="L788" s="31" t="str">
        <f>IFERROR(__xludf.DUMMYFUNCTION("""COMPUTED_VALUE"""),"In Office")</f>
        <v>In Office</v>
      </c>
      <c r="M788" s="31"/>
      <c r="N788" s="31"/>
    </row>
    <row r="789">
      <c r="A789" s="74">
        <f>IFERROR(__xludf.DUMMYFUNCTION("""COMPUTED_VALUE"""),46000.0)</f>
        <v>46000</v>
      </c>
      <c r="B789" s="31" t="str">
        <f>IFERROR(__xludf.DUMMYFUNCTION("""COMPUTED_VALUE"""),"Nikhil Chand")</f>
        <v>Nikhil Chand</v>
      </c>
      <c r="C789" s="31" t="str">
        <f>IFERROR(__xludf.DUMMYFUNCTION("""COMPUTED_VALUE"""),"Vertical Tv")</f>
        <v>Vertical Tv</v>
      </c>
      <c r="D789" s="31">
        <f>IFERROR(__xludf.DUMMYFUNCTION("""COMPUTED_VALUE"""),7.818919531E9)</f>
        <v>7818919531</v>
      </c>
      <c r="E789" s="31" t="str">
        <f>IFERROR(__xludf.DUMMYFUNCTION("""COMPUTED_VALUE"""),"Promo writer")</f>
        <v>Promo writer</v>
      </c>
      <c r="F789" s="31" t="str">
        <f>IFERROR(__xludf.DUMMYFUNCTION("""COMPUTED_VALUE"""),"Content")</f>
        <v>Content</v>
      </c>
      <c r="G789" s="31" t="str">
        <f>IFERROR(__xludf.DUMMYFUNCTION("""COMPUTED_VALUE"""),"rajwar.nikhil123@gmail.com")</f>
        <v>rajwar.nikhil123@gmail.com</v>
      </c>
      <c r="H789" s="31" t="str">
        <f>IFERROR(__xludf.DUMMYFUNCTION("""COMPUTED_VALUE"""),"Mohit Goswami")</f>
        <v>Mohit Goswami</v>
      </c>
      <c r="I789" s="75">
        <f>IFERROR(__xludf.DUMMYFUNCTION("""COMPUTED_VALUE"""),45999.0)</f>
        <v>45999</v>
      </c>
      <c r="J789" s="31" t="str">
        <f>IFERROR(__xludf.DUMMYFUNCTION("""COMPUTED_VALUE"""),"Cheshtha Sharma")</f>
        <v>Cheshtha Sharma</v>
      </c>
      <c r="K789" s="31" t="str">
        <f>IFERROR(__xludf.DUMMYFUNCTION("""COMPUTED_VALUE"""),"Joined")</f>
        <v>Joined</v>
      </c>
      <c r="L789" s="31" t="str">
        <f>IFERROR(__xludf.DUMMYFUNCTION("""COMPUTED_VALUE"""),"Virtual")</f>
        <v>Virtual</v>
      </c>
      <c r="M789" s="31" t="str">
        <f>IFERROR(__xludf.DUMMYFUNCTION("""COMPUTED_VALUE"""),"nikhil.chand@zupee.in")</f>
        <v>nikhil.chand@zupee.in</v>
      </c>
      <c r="N789" s="31"/>
    </row>
    <row r="790">
      <c r="A790" s="74">
        <f>IFERROR(__xludf.DUMMYFUNCTION("""COMPUTED_VALUE"""),46009.0)</f>
        <v>46009</v>
      </c>
      <c r="B790" s="31" t="str">
        <f>IFERROR(__xludf.DUMMYFUNCTION("""COMPUTED_VALUE"""),"Nandan Sharma")</f>
        <v>Nandan Sharma</v>
      </c>
      <c r="C790" s="31" t="str">
        <f>IFERROR(__xludf.DUMMYFUNCTION("""COMPUTED_VALUE"""),"Strategy")</f>
        <v>Strategy</v>
      </c>
      <c r="D790" s="31">
        <f>IFERROR(__xludf.DUMMYFUNCTION("""COMPUTED_VALUE"""),9.816049605E9)</f>
        <v>9816049605</v>
      </c>
      <c r="E790" s="31" t="str">
        <f>IFERROR(__xludf.DUMMYFUNCTION("""COMPUTED_VALUE"""),"Senior Vice President- Growth &amp; Operations")</f>
        <v>Senior Vice President- Growth &amp; Operations</v>
      </c>
      <c r="F790" s="31" t="str">
        <f>IFERROR(__xludf.DUMMYFUNCTION("""COMPUTED_VALUE"""),"Growth &amp; Revenue")</f>
        <v>Growth &amp; Revenue</v>
      </c>
      <c r="G790" s="31" t="str">
        <f>IFERROR(__xludf.DUMMYFUNCTION("""COMPUTED_VALUE"""),"nandan.pec@gmail.com")</f>
        <v>nandan.pec@gmail.com</v>
      </c>
      <c r="H790" s="31" t="str">
        <f>IFERROR(__xludf.DUMMYFUNCTION("""COMPUTED_VALUE"""),"Dilsher Malhi")</f>
        <v>Dilsher Malhi</v>
      </c>
      <c r="I790" s="75">
        <f>IFERROR(__xludf.DUMMYFUNCTION("""COMPUTED_VALUE"""),46000.0)</f>
        <v>46000</v>
      </c>
      <c r="J790" s="31" t="str">
        <f>IFERROR(__xludf.DUMMYFUNCTION("""COMPUTED_VALUE"""),"M Sangeetha")</f>
        <v>M Sangeetha</v>
      </c>
      <c r="K790" s="31" t="str">
        <f>IFERROR(__xludf.DUMMYFUNCTION("""COMPUTED_VALUE"""),"Joined")</f>
        <v>Joined</v>
      </c>
      <c r="L790" s="31" t="str">
        <f>IFERROR(__xludf.DUMMYFUNCTION("""COMPUTED_VALUE"""),"In Office")</f>
        <v>In Office</v>
      </c>
      <c r="M790" s="31" t="str">
        <f>IFERROR(__xludf.DUMMYFUNCTION("""COMPUTED_VALUE"""),"nandan.sharma@zupee.in")</f>
        <v>nandan.sharma@zupee.in</v>
      </c>
      <c r="N790" s="31" t="str">
        <f>IFERROR(__xludf.DUMMYFUNCTION("""COMPUTED_VALUE"""),"HJCNQ9WWGY")</f>
        <v>HJCNQ9WWGY</v>
      </c>
    </row>
    <row r="791">
      <c r="A791" s="74">
        <f>IFERROR(__xludf.DUMMYFUNCTION("""COMPUTED_VALUE"""),46001.0)</f>
        <v>46001</v>
      </c>
      <c r="B791" s="31" t="str">
        <f>IFERROR(__xludf.DUMMYFUNCTION("""COMPUTED_VALUE"""),"Abhijeet Purohit")</f>
        <v>Abhijeet Purohit</v>
      </c>
      <c r="C791" s="31" t="str">
        <f>IFERROR(__xludf.DUMMYFUNCTION("""COMPUTED_VALUE"""),"Vertical Tv")</f>
        <v>Vertical Tv</v>
      </c>
      <c r="D791" s="31">
        <f>IFERROR(__xludf.DUMMYFUNCTION("""COMPUTED_VALUE"""),8.058018483E9)</f>
        <v>8058018483</v>
      </c>
      <c r="E791" s="31" t="str">
        <f>IFERROR(__xludf.DUMMYFUNCTION("""COMPUTED_VALUE"""),"Creative Producer (promo)")</f>
        <v>Creative Producer (promo)</v>
      </c>
      <c r="F791" s="31" t="str">
        <f>IFERROR(__xludf.DUMMYFUNCTION("""COMPUTED_VALUE"""),"Content")</f>
        <v>Content</v>
      </c>
      <c r="G791" s="31" t="str">
        <f>IFERROR(__xludf.DUMMYFUNCTION("""COMPUTED_VALUE"""),"purohit.abhijeet020795@gmail.com")</f>
        <v>purohit.abhijeet020795@gmail.com</v>
      </c>
      <c r="H791" s="31" t="str">
        <f>IFERROR(__xludf.DUMMYFUNCTION("""COMPUTED_VALUE"""),"Mohit Goswami")</f>
        <v>Mohit Goswami</v>
      </c>
      <c r="I791" s="75">
        <f>IFERROR(__xludf.DUMMYFUNCTION("""COMPUTED_VALUE"""),46000.0)</f>
        <v>46000</v>
      </c>
      <c r="J791" s="31" t="str">
        <f>IFERROR(__xludf.DUMMYFUNCTION("""COMPUTED_VALUE"""),"Cheshtha Sharma")</f>
        <v>Cheshtha Sharma</v>
      </c>
      <c r="K791" s="31" t="str">
        <f>IFERROR(__xludf.DUMMYFUNCTION("""COMPUTED_VALUE"""),"Joined")</f>
        <v>Joined</v>
      </c>
      <c r="L791" s="31" t="str">
        <f>IFERROR(__xludf.DUMMYFUNCTION("""COMPUTED_VALUE"""),"Virtual")</f>
        <v>Virtual</v>
      </c>
      <c r="M791" s="31" t="str">
        <f>IFERROR(__xludf.DUMMYFUNCTION("""COMPUTED_VALUE"""),"abhijeet.purohit@zupee.in")</f>
        <v>abhijeet.purohit@zupee.in</v>
      </c>
      <c r="N791" s="31"/>
    </row>
    <row r="792">
      <c r="A792" s="74"/>
      <c r="B792" s="31" t="str">
        <f>IFERROR(__xludf.DUMMYFUNCTION("""COMPUTED_VALUE"""),"Som Nath Jayaswal")</f>
        <v>Som Nath Jayaswal</v>
      </c>
      <c r="C792" s="31" t="str">
        <f>IFERROR(__xludf.DUMMYFUNCTION("""COMPUTED_VALUE"""),"Vertical Tv")</f>
        <v>Vertical Tv</v>
      </c>
      <c r="D792" s="31">
        <f>IFERROR(__xludf.DUMMYFUNCTION("""COMPUTED_VALUE"""),7.355484976E9)</f>
        <v>7355484976</v>
      </c>
      <c r="E792" s="31" t="str">
        <f>IFERROR(__xludf.DUMMYFUNCTION("""COMPUTED_VALUE"""),"Promo writer")</f>
        <v>Promo writer</v>
      </c>
      <c r="F792" s="31" t="str">
        <f>IFERROR(__xludf.DUMMYFUNCTION("""COMPUTED_VALUE"""),"Content")</f>
        <v>Content</v>
      </c>
      <c r="G792" s="31" t="str">
        <f>IFERROR(__xludf.DUMMYFUNCTION("""COMPUTED_VALUE"""),"somnathjaiswal1@gmail.com")</f>
        <v>somnathjaiswal1@gmail.com</v>
      </c>
      <c r="H792" s="31" t="str">
        <f>IFERROR(__xludf.DUMMYFUNCTION("""COMPUTED_VALUE"""),"Mohit Goswami")</f>
        <v>Mohit Goswami</v>
      </c>
      <c r="I792" s="75">
        <f>IFERROR(__xludf.DUMMYFUNCTION("""COMPUTED_VALUE"""),46000.0)</f>
        <v>46000</v>
      </c>
      <c r="J792" s="31" t="str">
        <f>IFERROR(__xludf.DUMMYFUNCTION("""COMPUTED_VALUE"""),"Cheshtha Sharma")</f>
        <v>Cheshtha Sharma</v>
      </c>
      <c r="K792" s="31" t="str">
        <f>IFERROR(__xludf.DUMMYFUNCTION("""COMPUTED_VALUE"""),"Joined")</f>
        <v>Joined</v>
      </c>
      <c r="L792" s="31" t="str">
        <f>IFERROR(__xludf.DUMMYFUNCTION("""COMPUTED_VALUE"""),"Virtual")</f>
        <v>Virtual</v>
      </c>
      <c r="M792" s="31" t="str">
        <f>IFERROR(__xludf.DUMMYFUNCTION("""COMPUTED_VALUE"""),"som.jayaswal@zupee.in")</f>
        <v>som.jayaswal@zupee.in</v>
      </c>
      <c r="N792" s="31"/>
    </row>
    <row r="793">
      <c r="A793" s="74">
        <f>IFERROR(__xludf.DUMMYFUNCTION("""COMPUTED_VALUE"""),46002.0)</f>
        <v>46002</v>
      </c>
      <c r="B793" s="31" t="str">
        <f>IFERROR(__xludf.DUMMYFUNCTION("""COMPUTED_VALUE"""),"Raunak Rajawant Singh")</f>
        <v>Raunak Rajawant Singh</v>
      </c>
      <c r="C793" s="31" t="str">
        <f>IFERROR(__xludf.DUMMYFUNCTION("""COMPUTED_VALUE"""),"Vertical Tv")</f>
        <v>Vertical Tv</v>
      </c>
      <c r="D793" s="31">
        <f>IFERROR(__xludf.DUMMYFUNCTION("""COMPUTED_VALUE"""),9.76952029E9)</f>
        <v>9769520290</v>
      </c>
      <c r="E793" s="31" t="str">
        <f>IFERROR(__xludf.DUMMYFUNCTION("""COMPUTED_VALUE"""),"Producer")</f>
        <v>Producer</v>
      </c>
      <c r="F793" s="31" t="str">
        <f>IFERROR(__xludf.DUMMYFUNCTION("""COMPUTED_VALUE"""),"Content")</f>
        <v>Content</v>
      </c>
      <c r="G793" s="31" t="str">
        <f>IFERROR(__xludf.DUMMYFUNCTION("""COMPUTED_VALUE"""),"ronysingh3007@gmail.com")</f>
        <v>ronysingh3007@gmail.com</v>
      </c>
      <c r="H793" s="31" t="str">
        <f>IFERROR(__xludf.DUMMYFUNCTION("""COMPUTED_VALUE"""),"Anup Thanvi")</f>
        <v>Anup Thanvi</v>
      </c>
      <c r="I793" s="75">
        <f>IFERROR(__xludf.DUMMYFUNCTION("""COMPUTED_VALUE"""),46001.0)</f>
        <v>46001</v>
      </c>
      <c r="J793" s="31" t="str">
        <f>IFERROR(__xludf.DUMMYFUNCTION("""COMPUTED_VALUE"""),"Cheshtha Sharma")</f>
        <v>Cheshtha Sharma</v>
      </c>
      <c r="K793" s="31" t="str">
        <f>IFERROR(__xludf.DUMMYFUNCTION("""COMPUTED_VALUE"""),"Joined")</f>
        <v>Joined</v>
      </c>
      <c r="L793" s="31" t="str">
        <f>IFERROR(__xludf.DUMMYFUNCTION("""COMPUTED_VALUE"""),"In Office")</f>
        <v>In Office</v>
      </c>
      <c r="M793" s="31" t="str">
        <f>IFERROR(__xludf.DUMMYFUNCTION("""COMPUTED_VALUE"""),"raunak.singh@zupee.in")</f>
        <v>raunak.singh@zupee.in</v>
      </c>
      <c r="N793" s="31"/>
    </row>
    <row r="794">
      <c r="A794" s="74">
        <f>IFERROR(__xludf.DUMMYFUNCTION("""COMPUTED_VALUE"""),46027.0)</f>
        <v>46027</v>
      </c>
      <c r="B794" s="31" t="str">
        <f>IFERROR(__xludf.DUMMYFUNCTION("""COMPUTED_VALUE"""),"Vanshika Bansal")</f>
        <v>Vanshika Bansal</v>
      </c>
      <c r="C794" s="31" t="str">
        <f>IFERROR(__xludf.DUMMYFUNCTION("""COMPUTED_VALUE"""),"Data")</f>
        <v>Data</v>
      </c>
      <c r="D794" s="31">
        <f>IFERROR(__xludf.DUMMYFUNCTION("""COMPUTED_VALUE"""),9.990088859E9)</f>
        <v>9990088859</v>
      </c>
      <c r="E794" s="31" t="str">
        <f>IFERROR(__xludf.DUMMYFUNCTION("""COMPUTED_VALUE"""),"Senior Machine Learning Engineer")</f>
        <v>Senior Machine Learning Engineer</v>
      </c>
      <c r="F794" s="31" t="str">
        <f>IFERROR(__xludf.DUMMYFUNCTION("""COMPUTED_VALUE"""),"Data Science")</f>
        <v>Data Science</v>
      </c>
      <c r="G794" s="31" t="str">
        <f>IFERROR(__xludf.DUMMYFUNCTION("""COMPUTED_VALUE""")," vanshikabansal79927@gmail.com")</f>
        <v> vanshikabansal79927@gmail.com</v>
      </c>
      <c r="H794" s="31" t="str">
        <f>IFERROR(__xludf.DUMMYFUNCTION("""COMPUTED_VALUE"""),"Nandeshwar Gupta")</f>
        <v>Nandeshwar Gupta</v>
      </c>
      <c r="I794" s="75">
        <f>IFERROR(__xludf.DUMMYFUNCTION("""COMPUTED_VALUE"""),46002.0)</f>
        <v>46002</v>
      </c>
      <c r="J794" s="31" t="str">
        <f>IFERROR(__xludf.DUMMYFUNCTION("""COMPUTED_VALUE"""),"Shivam Sharma")</f>
        <v>Shivam Sharma</v>
      </c>
      <c r="K794" s="31" t="str">
        <f>IFERROR(__xludf.DUMMYFUNCTION("""COMPUTED_VALUE"""),"Joined")</f>
        <v>Joined</v>
      </c>
      <c r="L794" s="31" t="str">
        <f>IFERROR(__xludf.DUMMYFUNCTION("""COMPUTED_VALUE"""),"In Office")</f>
        <v>In Office</v>
      </c>
      <c r="M794" s="31" t="str">
        <f>IFERROR(__xludf.DUMMYFUNCTION("""COMPUTED_VALUE"""),"vanshika.bansal@zupee.in")</f>
        <v>vanshika.bansal@zupee.in</v>
      </c>
      <c r="N794" s="31" t="str">
        <f>IFERROR(__xludf.DUMMYFUNCTION("""COMPUTED_VALUE"""),"DJRYP6WQWN")</f>
        <v>DJRYP6WQWN</v>
      </c>
    </row>
    <row r="795">
      <c r="A795" s="74">
        <f>IFERROR(__xludf.DUMMYFUNCTION("""COMPUTED_VALUE"""),46006.0)</f>
        <v>46006</v>
      </c>
      <c r="B795" s="31" t="str">
        <f>IFERROR(__xludf.DUMMYFUNCTION("""COMPUTED_VALUE"""),"Tushar Gulati ")</f>
        <v>Tushar Gulati </v>
      </c>
      <c r="C795" s="31" t="str">
        <f>IFERROR(__xludf.DUMMYFUNCTION("""COMPUTED_VALUE"""),"Vertical Tv")</f>
        <v>Vertical Tv</v>
      </c>
      <c r="D795" s="31">
        <f>IFERROR(__xludf.DUMMYFUNCTION("""COMPUTED_VALUE"""),8.851276396E9)</f>
        <v>8851276396</v>
      </c>
      <c r="E795" s="31" t="str">
        <f>IFERROR(__xludf.DUMMYFUNCTION("""COMPUTED_VALUE"""),"Producer")</f>
        <v>Producer</v>
      </c>
      <c r="F795" s="31" t="str">
        <f>IFERROR(__xludf.DUMMYFUNCTION("""COMPUTED_VALUE"""),"Content")</f>
        <v>Content</v>
      </c>
      <c r="G795" s="31" t="str">
        <f>IFERROR(__xludf.DUMMYFUNCTION("""COMPUTED_VALUE"""),"tushargulati.333@gmail.com")</f>
        <v>tushargulati.333@gmail.com</v>
      </c>
      <c r="H795" s="31" t="str">
        <f>IFERROR(__xludf.DUMMYFUNCTION("""COMPUTED_VALUE"""),"Anup Thanvi")</f>
        <v>Anup Thanvi</v>
      </c>
      <c r="I795" s="75">
        <f>IFERROR(__xludf.DUMMYFUNCTION("""COMPUTED_VALUE"""),46002.0)</f>
        <v>46002</v>
      </c>
      <c r="J795" s="31" t="str">
        <f>IFERROR(__xludf.DUMMYFUNCTION("""COMPUTED_VALUE"""),"Naina")</f>
        <v>Naina</v>
      </c>
      <c r="K795" s="31" t="str">
        <f>IFERROR(__xludf.DUMMYFUNCTION("""COMPUTED_VALUE"""),"Joined")</f>
        <v>Joined</v>
      </c>
      <c r="L795" s="31" t="str">
        <f>IFERROR(__xludf.DUMMYFUNCTION("""COMPUTED_VALUE"""),"In Office")</f>
        <v>In Office</v>
      </c>
      <c r="M795" s="31" t="str">
        <f>IFERROR(__xludf.DUMMYFUNCTION("""COMPUTED_VALUE"""),"tushar.gulati@zupee.in")</f>
        <v>tushar.gulati@zupee.in</v>
      </c>
      <c r="N795" s="31"/>
    </row>
    <row r="796">
      <c r="A796" s="74">
        <f>IFERROR(__xludf.DUMMYFUNCTION("""COMPUTED_VALUE"""),46006.0)</f>
        <v>46006</v>
      </c>
      <c r="B796" s="31" t="str">
        <f>IFERROR(__xludf.DUMMYFUNCTION("""COMPUTED_VALUE"""),"Pranay Kumar")</f>
        <v>Pranay Kumar</v>
      </c>
      <c r="C796" s="31" t="str">
        <f>IFERROR(__xludf.DUMMYFUNCTION("""COMPUTED_VALUE"""),"Vertical Tv")</f>
        <v>Vertical Tv</v>
      </c>
      <c r="D796" s="31">
        <f>IFERROR(__xludf.DUMMYFUNCTION("""COMPUTED_VALUE"""),9.304936192E9)</f>
        <v>9304936192</v>
      </c>
      <c r="E796" s="31" t="str">
        <f>IFERROR(__xludf.DUMMYFUNCTION("""COMPUTED_VALUE"""),"Promo Writer- Contractual")</f>
        <v>Promo Writer- Contractual</v>
      </c>
      <c r="F796" s="31" t="str">
        <f>IFERROR(__xludf.DUMMYFUNCTION("""COMPUTED_VALUE"""),"Content")</f>
        <v>Content</v>
      </c>
      <c r="G796" s="31" t="str">
        <f>IFERROR(__xludf.DUMMYFUNCTION("""COMPUTED_VALUE"""),"pranayisall@gmail.com")</f>
        <v>pranayisall@gmail.com</v>
      </c>
      <c r="H796" s="31" t="str">
        <f>IFERROR(__xludf.DUMMYFUNCTION("""COMPUTED_VALUE"""),"Aastha Shah")</f>
        <v>Aastha Shah</v>
      </c>
      <c r="I796" s="75">
        <f>IFERROR(__xludf.DUMMYFUNCTION("""COMPUTED_VALUE"""),46003.0)</f>
        <v>46003</v>
      </c>
      <c r="J796" s="31" t="str">
        <f>IFERROR(__xludf.DUMMYFUNCTION("""COMPUTED_VALUE"""),"Vipin Kumar")</f>
        <v>Vipin Kumar</v>
      </c>
      <c r="K796" s="31" t="str">
        <f>IFERROR(__xludf.DUMMYFUNCTION("""COMPUTED_VALUE"""),"Joined")</f>
        <v>Joined</v>
      </c>
      <c r="L796" s="31" t="str">
        <f>IFERROR(__xludf.DUMMYFUNCTION("""COMPUTED_VALUE"""),"Virtual")</f>
        <v>Virtual</v>
      </c>
      <c r="M796" s="31" t="str">
        <f>IFERROR(__xludf.DUMMYFUNCTION("""COMPUTED_VALUE"""),"pranay.kumar@zupee.in")</f>
        <v>pranay.kumar@zupee.in</v>
      </c>
      <c r="N796" s="31"/>
    </row>
    <row r="797">
      <c r="A797" s="74">
        <f>IFERROR(__xludf.DUMMYFUNCTION("""COMPUTED_VALUE"""),46006.0)</f>
        <v>46006</v>
      </c>
      <c r="B797" s="31" t="str">
        <f>IFERROR(__xludf.DUMMYFUNCTION("""COMPUTED_VALUE"""),"Jahanvi Bhagat")</f>
        <v>Jahanvi Bhagat</v>
      </c>
      <c r="C797" s="31" t="str">
        <f>IFERROR(__xludf.DUMMYFUNCTION("""COMPUTED_VALUE"""),"Vertical Tv")</f>
        <v>Vertical Tv</v>
      </c>
      <c r="D797" s="31">
        <f>IFERROR(__xludf.DUMMYFUNCTION("""COMPUTED_VALUE"""),9.321313054E9)</f>
        <v>9321313054</v>
      </c>
      <c r="E797" s="31" t="str">
        <f>IFERROR(__xludf.DUMMYFUNCTION("""COMPUTED_VALUE"""),"Producer")</f>
        <v>Producer</v>
      </c>
      <c r="F797" s="31" t="str">
        <f>IFERROR(__xludf.DUMMYFUNCTION("""COMPUTED_VALUE"""),"Content")</f>
        <v>Content</v>
      </c>
      <c r="G797" s="31" t="str">
        <f>IFERROR(__xludf.DUMMYFUNCTION("""COMPUTED_VALUE"""),"bhagatjahanvi07@gmail.com")</f>
        <v>bhagatjahanvi07@gmail.com</v>
      </c>
      <c r="H797" s="31" t="str">
        <f>IFERROR(__xludf.DUMMYFUNCTION("""COMPUTED_VALUE"""),"Anup Thanvi")</f>
        <v>Anup Thanvi</v>
      </c>
      <c r="I797" s="75">
        <f>IFERROR(__xludf.DUMMYFUNCTION("""COMPUTED_VALUE"""),46003.0)</f>
        <v>46003</v>
      </c>
      <c r="J797" s="31" t="str">
        <f>IFERROR(__xludf.DUMMYFUNCTION("""COMPUTED_VALUE"""),"Jaya Tiwari")</f>
        <v>Jaya Tiwari</v>
      </c>
      <c r="K797" s="31" t="str">
        <f>IFERROR(__xludf.DUMMYFUNCTION("""COMPUTED_VALUE"""),"Joined")</f>
        <v>Joined</v>
      </c>
      <c r="L797" s="31" t="str">
        <f>IFERROR(__xludf.DUMMYFUNCTION("""COMPUTED_VALUE"""),"Virtual")</f>
        <v>Virtual</v>
      </c>
      <c r="M797" s="31" t="str">
        <f>IFERROR(__xludf.DUMMYFUNCTION("""COMPUTED_VALUE"""),"jahanvi.bhagat@zupee.in")</f>
        <v>jahanvi.bhagat@zupee.in</v>
      </c>
      <c r="N797" s="31"/>
    </row>
    <row r="798">
      <c r="A798" s="74">
        <f>IFERROR(__xludf.DUMMYFUNCTION("""COMPUTED_VALUE"""),46013.0)</f>
        <v>46013</v>
      </c>
      <c r="B798" s="31" t="str">
        <f>IFERROR(__xludf.DUMMYFUNCTION("""COMPUTED_VALUE"""),"Yogesh Ravindra Prajapati")</f>
        <v>Yogesh Ravindra Prajapati</v>
      </c>
      <c r="C798" s="31" t="str">
        <f>IFERROR(__xludf.DUMMYFUNCTION("""COMPUTED_VALUE"""),"Vertical Tv")</f>
        <v>Vertical Tv</v>
      </c>
      <c r="D798" s="31">
        <f>IFERROR(__xludf.DUMMYFUNCTION("""COMPUTED_VALUE"""),9.987082413E9)</f>
        <v>9987082413</v>
      </c>
      <c r="E798" s="31" t="str">
        <f>IFERROR(__xludf.DUMMYFUNCTION("""COMPUTED_VALUE"""),"Video Editor")</f>
        <v>Video Editor</v>
      </c>
      <c r="F798" s="31" t="str">
        <f>IFERROR(__xludf.DUMMYFUNCTION("""COMPUTED_VALUE"""),"Content")</f>
        <v>Content</v>
      </c>
      <c r="G798" s="31" t="str">
        <f>IFERROR(__xludf.DUMMYFUNCTION("""COMPUTED_VALUE"""),"prajapatiyogesh207@gmail.com")</f>
        <v>prajapatiyogesh207@gmail.com</v>
      </c>
      <c r="H798" s="31" t="str">
        <f>IFERROR(__xludf.DUMMYFUNCTION("""COMPUTED_VALUE"""),"Mohit Shandilya")</f>
        <v>Mohit Shandilya</v>
      </c>
      <c r="I798" s="75">
        <f>IFERROR(__xludf.DUMMYFUNCTION("""COMPUTED_VALUE"""),46003.0)</f>
        <v>46003</v>
      </c>
      <c r="J798" s="31" t="str">
        <f>IFERROR(__xludf.DUMMYFUNCTION("""COMPUTED_VALUE"""),"Vipin Kumar")</f>
        <v>Vipin Kumar</v>
      </c>
      <c r="K798" s="31" t="str">
        <f>IFERROR(__xludf.DUMMYFUNCTION("""COMPUTED_VALUE"""),"Joined")</f>
        <v>Joined</v>
      </c>
      <c r="L798" s="31" t="str">
        <f>IFERROR(__xludf.DUMMYFUNCTION("""COMPUTED_VALUE"""),"In Office")</f>
        <v>In Office</v>
      </c>
      <c r="M798" s="31" t="str">
        <f>IFERROR(__xludf.DUMMYFUNCTION("""COMPUTED_VALUE"""),"yogesh.prajapati@zupee.in")</f>
        <v>yogesh.prajapati@zupee.in</v>
      </c>
      <c r="N798" s="31"/>
    </row>
    <row r="799">
      <c r="A799" s="74">
        <f>IFERROR(__xludf.DUMMYFUNCTION("""COMPUTED_VALUE"""),46031.0)</f>
        <v>46031</v>
      </c>
      <c r="B799" s="31" t="str">
        <f>IFERROR(__xludf.DUMMYFUNCTION("""COMPUTED_VALUE"""),"Sarthak Ahuja")</f>
        <v>Sarthak Ahuja</v>
      </c>
      <c r="C799" s="31" t="str">
        <f>IFERROR(__xludf.DUMMYFUNCTION("""COMPUTED_VALUE"""),"Strategy")</f>
        <v>Strategy</v>
      </c>
      <c r="D799" s="31">
        <f>IFERROR(__xludf.DUMMYFUNCTION("""COMPUTED_VALUE"""),9.95332693E9)</f>
        <v>9953326930</v>
      </c>
      <c r="E799" s="31" t="str">
        <f>IFERROR(__xludf.DUMMYFUNCTION("""COMPUTED_VALUE"""),"Senior Manager- Operations")</f>
        <v>Senior Manager- Operations</v>
      </c>
      <c r="F799" s="31" t="str">
        <f>IFERROR(__xludf.DUMMYFUNCTION("""COMPUTED_VALUE"""),"Growth &amp; Revenue")</f>
        <v>Growth &amp; Revenue</v>
      </c>
      <c r="G799" s="31" t="str">
        <f>IFERROR(__xludf.DUMMYFUNCTION("""COMPUTED_VALUE"""),"sarthakahuja89@gmail.com")</f>
        <v>sarthakahuja89@gmail.com</v>
      </c>
      <c r="H799" s="31" t="str">
        <f>IFERROR(__xludf.DUMMYFUNCTION("""COMPUTED_VALUE"""),"Nandan Sharma")</f>
        <v>Nandan Sharma</v>
      </c>
      <c r="I799" s="75">
        <f>IFERROR(__xludf.DUMMYFUNCTION("""COMPUTED_VALUE"""),46006.0)</f>
        <v>46006</v>
      </c>
      <c r="J799" s="31" t="str">
        <f>IFERROR(__xludf.DUMMYFUNCTION("""COMPUTED_VALUE"""),"Rajneesh Yadav")</f>
        <v>Rajneesh Yadav</v>
      </c>
      <c r="K799" s="31" t="str">
        <f>IFERROR(__xludf.DUMMYFUNCTION("""COMPUTED_VALUE"""),"Joined")</f>
        <v>Joined</v>
      </c>
      <c r="L799" s="31" t="str">
        <f>IFERROR(__xludf.DUMMYFUNCTION("""COMPUTED_VALUE"""),"In Office")</f>
        <v>In Office</v>
      </c>
      <c r="M799" s="31" t="str">
        <f>IFERROR(__xludf.DUMMYFUNCTION("""COMPUTED_VALUE"""),"sarthak.ahuja@zupee.in")</f>
        <v>sarthak.ahuja@zupee.in</v>
      </c>
      <c r="N799" s="31" t="str">
        <f>IFERROR(__xludf.DUMMYFUNCTION("""COMPUTED_VALUE"""),"FMV02PRHV9")</f>
        <v>FMV02PRHV9</v>
      </c>
    </row>
    <row r="800">
      <c r="A800" s="74">
        <f>IFERROR(__xludf.DUMMYFUNCTION("""COMPUTED_VALUE"""),46027.0)</f>
        <v>46027</v>
      </c>
      <c r="B800" s="31" t="str">
        <f>IFERROR(__xludf.DUMMYFUNCTION("""COMPUTED_VALUE"""),"Deepika Goyal")</f>
        <v>Deepika Goyal</v>
      </c>
      <c r="C800" s="31" t="str">
        <f>IFERROR(__xludf.DUMMYFUNCTION("""COMPUTED_VALUE"""),"Finance")</f>
        <v>Finance</v>
      </c>
      <c r="D800" s="31">
        <f>IFERROR(__xludf.DUMMYFUNCTION("""COMPUTED_VALUE"""),8.950819562E9)</f>
        <v>8950819562</v>
      </c>
      <c r="E800" s="31" t="str">
        <f>IFERROR(__xludf.DUMMYFUNCTION("""COMPUTED_VALUE"""),"CA Intern")</f>
        <v>CA Intern</v>
      </c>
      <c r="F800" s="31" t="str">
        <f>IFERROR(__xludf.DUMMYFUNCTION("""COMPUTED_VALUE"""),"Business Finance")</f>
        <v>Business Finance</v>
      </c>
      <c r="G800" s="31" t="str">
        <f>IFERROR(__xludf.DUMMYFUNCTION("""COMPUTED_VALUE"""),"goyaldeepika210@gmail.com")</f>
        <v>goyaldeepika210@gmail.com</v>
      </c>
      <c r="H800" s="31" t="str">
        <f>IFERROR(__xludf.DUMMYFUNCTION("""COMPUTED_VALUE"""),"Sagarika Sarin")</f>
        <v>Sagarika Sarin</v>
      </c>
      <c r="I800" s="75">
        <f>IFERROR(__xludf.DUMMYFUNCTION("""COMPUTED_VALUE"""),46008.0)</f>
        <v>46008</v>
      </c>
      <c r="J800" s="31" t="str">
        <f>IFERROR(__xludf.DUMMYFUNCTION("""COMPUTED_VALUE"""),"Cheshtha Sharma")</f>
        <v>Cheshtha Sharma</v>
      </c>
      <c r="K800" s="31" t="str">
        <f>IFERROR(__xludf.DUMMYFUNCTION("""COMPUTED_VALUE"""),"Joined")</f>
        <v>Joined</v>
      </c>
      <c r="L800" s="31" t="str">
        <f>IFERROR(__xludf.DUMMYFUNCTION("""COMPUTED_VALUE"""),"In Office")</f>
        <v>In Office</v>
      </c>
      <c r="M800" s="31" t="str">
        <f>IFERROR(__xludf.DUMMYFUNCTION("""COMPUTED_VALUE"""),"deepika.goyal@zupee.in")</f>
        <v>deepika.goyal@zupee.in</v>
      </c>
      <c r="N800" s="31" t="str">
        <f>IFERROR(__xludf.DUMMYFUNCTION("""COMPUTED_VALUE"""),"PG04MFJA")</f>
        <v>PG04MFJA</v>
      </c>
    </row>
    <row r="801">
      <c r="A801" s="74">
        <f>IFERROR(__xludf.DUMMYFUNCTION("""COMPUTED_VALUE"""),46010.0)</f>
        <v>46010</v>
      </c>
      <c r="B801" s="31" t="str">
        <f>IFERROR(__xludf.DUMMYFUNCTION("""COMPUTED_VALUE"""),"Chhavi Joshi")</f>
        <v>Chhavi Joshi</v>
      </c>
      <c r="C801" s="31" t="str">
        <f>IFERROR(__xludf.DUMMYFUNCTION("""COMPUTED_VALUE"""),"Brand Marketing")</f>
        <v>Brand Marketing</v>
      </c>
      <c r="D801" s="31">
        <f>IFERROR(__xludf.DUMMYFUNCTION("""COMPUTED_VALUE"""),8.80024985E9)</f>
        <v>8800249850</v>
      </c>
      <c r="E801" s="31" t="str">
        <f>IFERROR(__xludf.DUMMYFUNCTION("""COMPUTED_VALUE"""),"Consultant")</f>
        <v>Consultant</v>
      </c>
      <c r="F801" s="31" t="str">
        <f>IFERROR(__xludf.DUMMYFUNCTION("""COMPUTED_VALUE"""),"Content / Social")</f>
        <v>Content / Social</v>
      </c>
      <c r="G801" s="31" t="str">
        <f>IFERROR(__xludf.DUMMYFUNCTION("""COMPUTED_VALUE"""),"chhavjojoshi@gmail.com")</f>
        <v>chhavjojoshi@gmail.com</v>
      </c>
      <c r="H801" s="31" t="str">
        <f>IFERROR(__xludf.DUMMYFUNCTION("""COMPUTED_VALUE"""),"Katha Tara")</f>
        <v>Katha Tara</v>
      </c>
      <c r="I801" s="75">
        <f>IFERROR(__xludf.DUMMYFUNCTION("""COMPUTED_VALUE"""),46009.0)</f>
        <v>46009</v>
      </c>
      <c r="J801" s="31" t="str">
        <f>IFERROR(__xludf.DUMMYFUNCTION("""COMPUTED_VALUE"""),"Rajneesh Yadav")</f>
        <v>Rajneesh Yadav</v>
      </c>
      <c r="K801" s="31" t="str">
        <f>IFERROR(__xludf.DUMMYFUNCTION("""COMPUTED_VALUE"""),"Joined")</f>
        <v>Joined</v>
      </c>
      <c r="L801" s="31" t="str">
        <f>IFERROR(__xludf.DUMMYFUNCTION("""COMPUTED_VALUE"""),"In Office")</f>
        <v>In Office</v>
      </c>
      <c r="M801" s="31" t="str">
        <f>IFERROR(__xludf.DUMMYFUNCTION("""COMPUTED_VALUE"""),"chhavi.joshi@zupee.in")</f>
        <v>chhavi.joshi@zupee.in</v>
      </c>
      <c r="N801" s="31"/>
    </row>
    <row r="802">
      <c r="A802" s="74">
        <f>IFERROR(__xludf.DUMMYFUNCTION("""COMPUTED_VALUE"""),46027.0)</f>
        <v>46027</v>
      </c>
      <c r="B802" s="31" t="str">
        <f>IFERROR(__xludf.DUMMYFUNCTION("""COMPUTED_VALUE"""),"Sarwat Niazi")</f>
        <v>Sarwat Niazi</v>
      </c>
      <c r="C802" s="31" t="str">
        <f>IFERROR(__xludf.DUMMYFUNCTION("""COMPUTED_VALUE"""),"Vertical Tv")</f>
        <v>Vertical Tv</v>
      </c>
      <c r="D802" s="31">
        <f>IFERROR(__xludf.DUMMYFUNCTION("""COMPUTED_VALUE"""),7.300601787E9)</f>
        <v>7300601787</v>
      </c>
      <c r="E802" s="31" t="str">
        <f>IFERROR(__xludf.DUMMYFUNCTION("""COMPUTED_VALUE"""),"Associate Video Editor")</f>
        <v>Associate Video Editor</v>
      </c>
      <c r="F802" s="31" t="str">
        <f>IFERROR(__xludf.DUMMYFUNCTION("""COMPUTED_VALUE"""),"Content")</f>
        <v>Content</v>
      </c>
      <c r="G802" s="31" t="str">
        <f>IFERROR(__xludf.DUMMYFUNCTION("""COMPUTED_VALUE"""),"sarwatniazi4@gmail.com")</f>
        <v>sarwatniazi4@gmail.com</v>
      </c>
      <c r="H802" s="31" t="str">
        <f>IFERROR(__xludf.DUMMYFUNCTION("""COMPUTED_VALUE"""),"Mohit Shandilya")</f>
        <v>Mohit Shandilya</v>
      </c>
      <c r="I802" s="75">
        <f>IFERROR(__xludf.DUMMYFUNCTION("""COMPUTED_VALUE"""),46009.0)</f>
        <v>46009</v>
      </c>
      <c r="J802" s="31" t="str">
        <f>IFERROR(__xludf.DUMMYFUNCTION("""COMPUTED_VALUE"""),"Jaya Tiwari")</f>
        <v>Jaya Tiwari</v>
      </c>
      <c r="K802" s="31" t="str">
        <f>IFERROR(__xludf.DUMMYFUNCTION("""COMPUTED_VALUE"""),"Joined")</f>
        <v>Joined</v>
      </c>
      <c r="L802" s="31" t="str">
        <f>IFERROR(__xludf.DUMMYFUNCTION("""COMPUTED_VALUE"""),"Virtual")</f>
        <v>Virtual</v>
      </c>
      <c r="M802" s="31" t="str">
        <f>IFERROR(__xludf.DUMMYFUNCTION("""COMPUTED_VALUE"""),"sarwat.niazi@zupee.in")</f>
        <v>sarwat.niazi@zupee.in</v>
      </c>
      <c r="N802" s="31"/>
    </row>
    <row r="803">
      <c r="A803" s="74">
        <f>IFERROR(__xludf.DUMMYFUNCTION("""COMPUTED_VALUE"""),46027.0)</f>
        <v>46027</v>
      </c>
      <c r="B803" s="31" t="str">
        <f>IFERROR(__xludf.DUMMYFUNCTION("""COMPUTED_VALUE"""),"Adarsh Choudhary")</f>
        <v>Adarsh Choudhary</v>
      </c>
      <c r="C803" s="31" t="str">
        <f>IFERROR(__xludf.DUMMYFUNCTION("""COMPUTED_VALUE"""),"Vertical Tv")</f>
        <v>Vertical Tv</v>
      </c>
      <c r="D803" s="31">
        <f>IFERROR(__xludf.DUMMYFUNCTION("""COMPUTED_VALUE"""),8.340624094E9)</f>
        <v>8340624094</v>
      </c>
      <c r="E803" s="31" t="str">
        <f>IFERROR(__xludf.DUMMYFUNCTION("""COMPUTED_VALUE"""),"Promo Editor-Contractual")</f>
        <v>Promo Editor-Contractual</v>
      </c>
      <c r="F803" s="31" t="str">
        <f>IFERROR(__xludf.DUMMYFUNCTION("""COMPUTED_VALUE"""),"Content")</f>
        <v>Content</v>
      </c>
      <c r="G803" s="31" t="str">
        <f>IFERROR(__xludf.DUMMYFUNCTION("""COMPUTED_VALUE"""),"adarsh.choudhary.adarsh7@gmail.com")</f>
        <v>adarsh.choudhary.adarsh7@gmail.com</v>
      </c>
      <c r="H803" s="31" t="str">
        <f>IFERROR(__xludf.DUMMYFUNCTION("""COMPUTED_VALUE"""),"Aastha Shah")</f>
        <v>Aastha Shah</v>
      </c>
      <c r="I803" s="75">
        <f>IFERROR(__xludf.DUMMYFUNCTION("""COMPUTED_VALUE"""),46009.0)</f>
        <v>46009</v>
      </c>
      <c r="J803" s="31" t="str">
        <f>IFERROR(__xludf.DUMMYFUNCTION("""COMPUTED_VALUE"""),"Jaya Tiwari")</f>
        <v>Jaya Tiwari</v>
      </c>
      <c r="K803" s="31" t="str">
        <f>IFERROR(__xludf.DUMMYFUNCTION("""COMPUTED_VALUE"""),"Joined")</f>
        <v>Joined</v>
      </c>
      <c r="L803" s="31" t="str">
        <f>IFERROR(__xludf.DUMMYFUNCTION("""COMPUTED_VALUE"""),"Virtual")</f>
        <v>Virtual</v>
      </c>
      <c r="M803" s="31" t="str">
        <f>IFERROR(__xludf.DUMMYFUNCTION("""COMPUTED_VALUE"""),"adarsh.choudhary@zupee.in")</f>
        <v>adarsh.choudhary@zupee.in</v>
      </c>
      <c r="N803" s="31"/>
    </row>
    <row r="804">
      <c r="A804" s="74">
        <f>IFERROR(__xludf.DUMMYFUNCTION("""COMPUTED_VALUE"""),46014.0)</f>
        <v>46014</v>
      </c>
      <c r="B804" s="31" t="str">
        <f>IFERROR(__xludf.DUMMYFUNCTION("""COMPUTED_VALUE"""),"Fuzail Mushir")</f>
        <v>Fuzail Mushir</v>
      </c>
      <c r="C804" s="31" t="str">
        <f>IFERROR(__xludf.DUMMYFUNCTION("""COMPUTED_VALUE"""),"Vertical Tv")</f>
        <v>Vertical Tv</v>
      </c>
      <c r="D804" s="31">
        <f>IFERROR(__xludf.DUMMYFUNCTION("""COMPUTED_VALUE"""),9.919920506E9)</f>
        <v>9919920506</v>
      </c>
      <c r="E804" s="31" t="str">
        <f>IFERROR(__xludf.DUMMYFUNCTION("""COMPUTED_VALUE"""),"Promo Video Editor- Contractual")</f>
        <v>Promo Video Editor- Contractual</v>
      </c>
      <c r="F804" s="31" t="str">
        <f>IFERROR(__xludf.DUMMYFUNCTION("""COMPUTED_VALUE"""),"Content")</f>
        <v>Content</v>
      </c>
      <c r="G804" s="31" t="str">
        <f>IFERROR(__xludf.DUMMYFUNCTION("""COMPUTED_VALUE"""),"mushirfuzail@gmail.com")</f>
        <v>mushirfuzail@gmail.com</v>
      </c>
      <c r="H804" s="31" t="str">
        <f>IFERROR(__xludf.DUMMYFUNCTION("""COMPUTED_VALUE"""),"Mohit Shandilya")</f>
        <v>Mohit Shandilya</v>
      </c>
      <c r="I804" s="75">
        <f>IFERROR(__xludf.DUMMYFUNCTION("""COMPUTED_VALUE"""),46013.0)</f>
        <v>46013</v>
      </c>
      <c r="J804" s="31" t="str">
        <f>IFERROR(__xludf.DUMMYFUNCTION("""COMPUTED_VALUE"""),"Jaya Tiwari")</f>
        <v>Jaya Tiwari</v>
      </c>
      <c r="K804" s="31" t="str">
        <f>IFERROR(__xludf.DUMMYFUNCTION("""COMPUTED_VALUE"""),"Joined")</f>
        <v>Joined</v>
      </c>
      <c r="L804" s="31" t="str">
        <f>IFERROR(__xludf.DUMMYFUNCTION("""COMPUTED_VALUE"""),"Virtual")</f>
        <v>Virtual</v>
      </c>
      <c r="M804" s="31" t="str">
        <f>IFERROR(__xludf.DUMMYFUNCTION("""COMPUTED_VALUE"""),"fuzail.mushir@zupee.in")</f>
        <v>fuzail.mushir@zupee.in</v>
      </c>
      <c r="N804" s="31"/>
    </row>
    <row r="805">
      <c r="A805" s="74">
        <f>IFERROR(__xludf.DUMMYFUNCTION("""COMPUTED_VALUE"""),46015.0)</f>
        <v>46015</v>
      </c>
      <c r="B805" s="31" t="str">
        <f>IFERROR(__xludf.DUMMYFUNCTION("""COMPUTED_VALUE"""),"Akshay Vidyanand Katkar")</f>
        <v>Akshay Vidyanand Katkar</v>
      </c>
      <c r="C805" s="31" t="str">
        <f>IFERROR(__xludf.DUMMYFUNCTION("""COMPUTED_VALUE"""),"Vertical Tv")</f>
        <v>Vertical Tv</v>
      </c>
      <c r="D805" s="31">
        <f>IFERROR(__xludf.DUMMYFUNCTION("""COMPUTED_VALUE"""),7.972240735E9)</f>
        <v>7972240735</v>
      </c>
      <c r="E805" s="31" t="str">
        <f>IFERROR(__xludf.DUMMYFUNCTION("""COMPUTED_VALUE"""),"Promo Quality Control- Associate-Contractual")</f>
        <v>Promo Quality Control- Associate-Contractual</v>
      </c>
      <c r="F805" s="31" t="str">
        <f>IFERROR(__xludf.DUMMYFUNCTION("""COMPUTED_VALUE"""),"Content")</f>
        <v>Content</v>
      </c>
      <c r="G805" s="31" t="str">
        <f>IFERROR(__xludf.DUMMYFUNCTION("""COMPUTED_VALUE"""),"akshaykatkar0137@gmail.com")</f>
        <v>akshaykatkar0137@gmail.com</v>
      </c>
      <c r="H805" s="31" t="str">
        <f>IFERROR(__xludf.DUMMYFUNCTION("""COMPUTED_VALUE"""),"Akash Verma")</f>
        <v>Akash Verma</v>
      </c>
      <c r="I805" s="75">
        <f>IFERROR(__xludf.DUMMYFUNCTION("""COMPUTED_VALUE"""),46013.0)</f>
        <v>46013</v>
      </c>
      <c r="J805" s="31" t="str">
        <f>IFERROR(__xludf.DUMMYFUNCTION("""COMPUTED_VALUE"""),"Jaya Tiwari")</f>
        <v>Jaya Tiwari</v>
      </c>
      <c r="K805" s="31" t="str">
        <f>IFERROR(__xludf.DUMMYFUNCTION("""COMPUTED_VALUE"""),"Joined")</f>
        <v>Joined</v>
      </c>
      <c r="L805" s="31" t="str">
        <f>IFERROR(__xludf.DUMMYFUNCTION("""COMPUTED_VALUE"""),"Virtual")</f>
        <v>Virtual</v>
      </c>
      <c r="M805" s="31" t="str">
        <f>IFERROR(__xludf.DUMMYFUNCTION("""COMPUTED_VALUE"""),"akshay.katkar@zupee.in")</f>
        <v>akshay.katkar@zupee.in</v>
      </c>
      <c r="N805" s="31"/>
    </row>
    <row r="806">
      <c r="A806" s="74">
        <f>IFERROR(__xludf.DUMMYFUNCTION("""COMPUTED_VALUE"""),46014.0)</f>
        <v>46014</v>
      </c>
      <c r="B806" s="31" t="str">
        <f>IFERROR(__xludf.DUMMYFUNCTION("""COMPUTED_VALUE"""),"Ritesh Kumar")</f>
        <v>Ritesh Kumar</v>
      </c>
      <c r="C806" s="31" t="str">
        <f>IFERROR(__xludf.DUMMYFUNCTION("""COMPUTED_VALUE"""),"Vertical Tv")</f>
        <v>Vertical Tv</v>
      </c>
      <c r="D806" s="31">
        <f>IFERROR(__xludf.DUMMYFUNCTION("""COMPUTED_VALUE"""),7.045587972E9)</f>
        <v>7045587972</v>
      </c>
      <c r="E806" s="31" t="str">
        <f>IFERROR(__xludf.DUMMYFUNCTION("""COMPUTED_VALUE"""),"QC Executive - Contract")</f>
        <v>QC Executive - Contract</v>
      </c>
      <c r="F806" s="31" t="str">
        <f>IFERROR(__xludf.DUMMYFUNCTION("""COMPUTED_VALUE"""),"Content")</f>
        <v>Content</v>
      </c>
      <c r="G806" s="31" t="str">
        <f>IFERROR(__xludf.DUMMYFUNCTION("""COMPUTED_VALUE"""),"audioguyritesh@gmail.com")</f>
        <v>audioguyritesh@gmail.com</v>
      </c>
      <c r="H806" s="31" t="str">
        <f>IFERROR(__xludf.DUMMYFUNCTION("""COMPUTED_VALUE"""),"Akash Verma")</f>
        <v>Akash Verma</v>
      </c>
      <c r="I806" s="75">
        <f>IFERROR(__xludf.DUMMYFUNCTION("""COMPUTED_VALUE"""),46013.0)</f>
        <v>46013</v>
      </c>
      <c r="J806" s="31" t="str">
        <f>IFERROR(__xludf.DUMMYFUNCTION("""COMPUTED_VALUE"""),"Cheshtha Sharma")</f>
        <v>Cheshtha Sharma</v>
      </c>
      <c r="K806" s="31" t="str">
        <f>IFERROR(__xludf.DUMMYFUNCTION("""COMPUTED_VALUE"""),"Joined")</f>
        <v>Joined</v>
      </c>
      <c r="L806" s="31" t="str">
        <f>IFERROR(__xludf.DUMMYFUNCTION("""COMPUTED_VALUE"""),"Virtual")</f>
        <v>Virtual</v>
      </c>
      <c r="M806" s="31" t="str">
        <f>IFERROR(__xludf.DUMMYFUNCTION("""COMPUTED_VALUE"""),"ritesh.kumar@zupee.in")</f>
        <v>ritesh.kumar@zupee.in</v>
      </c>
      <c r="N806" s="31"/>
    </row>
    <row r="807">
      <c r="A807" s="74">
        <f>IFERROR(__xludf.DUMMYFUNCTION("""COMPUTED_VALUE"""),46024.0)</f>
        <v>46024</v>
      </c>
      <c r="B807" s="31" t="str">
        <f>IFERROR(__xludf.DUMMYFUNCTION("""COMPUTED_VALUE"""),"Piyush Maurya")</f>
        <v>Piyush Maurya</v>
      </c>
      <c r="C807" s="31" t="str">
        <f>IFERROR(__xludf.DUMMYFUNCTION("""COMPUTED_VALUE"""),"Strategy")</f>
        <v>Strategy</v>
      </c>
      <c r="D807" s="31">
        <f>IFERROR(__xludf.DUMMYFUNCTION("""COMPUTED_VALUE"""),9.807163858E9)</f>
        <v>9807163858</v>
      </c>
      <c r="E807" s="31" t="str">
        <f>IFERROR(__xludf.DUMMYFUNCTION("""COMPUTED_VALUE"""),"Senior Associate- Operations")</f>
        <v>Senior Associate- Operations</v>
      </c>
      <c r="F807" s="31" t="str">
        <f>IFERROR(__xludf.DUMMYFUNCTION("""COMPUTED_VALUE"""),"Growth &amp; Revenue")</f>
        <v>Growth &amp; Revenue</v>
      </c>
      <c r="G807" s="31" t="str">
        <f>IFERROR(__xludf.DUMMYFUNCTION("""COMPUTED_VALUE"""),"pm.ddugu@gmail.com")</f>
        <v>pm.ddugu@gmail.com</v>
      </c>
      <c r="H807" s="31" t="str">
        <f>IFERROR(__xludf.DUMMYFUNCTION("""COMPUTED_VALUE"""),"Nandan Sharma")</f>
        <v>Nandan Sharma</v>
      </c>
      <c r="I807" s="75">
        <f>IFERROR(__xludf.DUMMYFUNCTION("""COMPUTED_VALUE"""),46014.0)</f>
        <v>46014</v>
      </c>
      <c r="J807" s="31" t="str">
        <f>IFERROR(__xludf.DUMMYFUNCTION("""COMPUTED_VALUE"""),"Rajneesh Yadav")</f>
        <v>Rajneesh Yadav</v>
      </c>
      <c r="K807" s="31" t="str">
        <f>IFERROR(__xludf.DUMMYFUNCTION("""COMPUTED_VALUE"""),"Joined")</f>
        <v>Joined</v>
      </c>
      <c r="L807" s="31" t="str">
        <f>IFERROR(__xludf.DUMMYFUNCTION("""COMPUTED_VALUE"""),"In Office")</f>
        <v>In Office</v>
      </c>
      <c r="M807" s="31" t="str">
        <f>IFERROR(__xludf.DUMMYFUNCTION("""COMPUTED_VALUE"""),"piyush.maurya1@zupee.in")</f>
        <v>piyush.maurya1@zupee.in</v>
      </c>
      <c r="N807" s="31" t="str">
        <f>IFERROR(__xludf.DUMMYFUNCTION("""COMPUTED_VALUE"""),"KQJMY00T47")</f>
        <v>KQJMY00T47</v>
      </c>
    </row>
    <row r="808">
      <c r="A808" s="74">
        <f>IFERROR(__xludf.DUMMYFUNCTION("""COMPUTED_VALUE"""),46030.0)</f>
        <v>46030</v>
      </c>
      <c r="B808" s="31" t="str">
        <f>IFERROR(__xludf.DUMMYFUNCTION("""COMPUTED_VALUE"""),"Sarthak Chawla")</f>
        <v>Sarthak Chawla</v>
      </c>
      <c r="C808" s="31" t="str">
        <f>IFERROR(__xludf.DUMMYFUNCTION("""COMPUTED_VALUE"""),"Strategy")</f>
        <v>Strategy</v>
      </c>
      <c r="D808" s="31">
        <f>IFERROR(__xludf.DUMMYFUNCTION("""COMPUTED_VALUE"""),7.303312567E9)</f>
        <v>7303312567</v>
      </c>
      <c r="E808" s="31" t="str">
        <f>IFERROR(__xludf.DUMMYFUNCTION("""COMPUTED_VALUE"""),"Associate- Operations")</f>
        <v>Associate- Operations</v>
      </c>
      <c r="F808" s="31" t="str">
        <f>IFERROR(__xludf.DUMMYFUNCTION("""COMPUTED_VALUE"""),"Growth &amp; Revenue")</f>
        <v>Growth &amp; Revenue</v>
      </c>
      <c r="G808" s="31" t="str">
        <f>IFERROR(__xludf.DUMMYFUNCTION("""COMPUTED_VALUE"""),"sarthak.chawla54@gmail.com")</f>
        <v>sarthak.chawla54@gmail.com</v>
      </c>
      <c r="H808" s="31" t="str">
        <f>IFERROR(__xludf.DUMMYFUNCTION("""COMPUTED_VALUE"""),"Nandan Sharma")</f>
        <v>Nandan Sharma</v>
      </c>
      <c r="I808" s="75">
        <f>IFERROR(__xludf.DUMMYFUNCTION("""COMPUTED_VALUE"""),46014.0)</f>
        <v>46014</v>
      </c>
      <c r="J808" s="31" t="str">
        <f>IFERROR(__xludf.DUMMYFUNCTION("""COMPUTED_VALUE"""),"Rajneesh Yadav")</f>
        <v>Rajneesh Yadav</v>
      </c>
      <c r="K808" s="31" t="str">
        <f>IFERROR(__xludf.DUMMYFUNCTION("""COMPUTED_VALUE"""),"Joined")</f>
        <v>Joined</v>
      </c>
      <c r="L808" s="31" t="str">
        <f>IFERROR(__xludf.DUMMYFUNCTION("""COMPUTED_VALUE"""),"In Office")</f>
        <v>In Office</v>
      </c>
      <c r="M808" s="31" t="str">
        <f>IFERROR(__xludf.DUMMYFUNCTION("""COMPUTED_VALUE"""),"sarthak.chawla@zupee.in")</f>
        <v>sarthak.chawla@zupee.in</v>
      </c>
      <c r="N808" s="31" t="str">
        <f>IFERROR(__xludf.DUMMYFUNCTION("""COMPUTED_VALUE"""),"DQPG2YMVFG")</f>
        <v>DQPG2YMVFG</v>
      </c>
    </row>
    <row r="809">
      <c r="A809" s="74">
        <f>IFERROR(__xludf.DUMMYFUNCTION("""COMPUTED_VALUE"""),46027.0)</f>
        <v>46027</v>
      </c>
      <c r="B809" s="31" t="str">
        <f>IFERROR(__xludf.DUMMYFUNCTION("""COMPUTED_VALUE"""),"Prashant Kashinath Malve")</f>
        <v>Prashant Kashinath Malve</v>
      </c>
      <c r="C809" s="31" t="str">
        <f>IFERROR(__xludf.DUMMYFUNCTION("""COMPUTED_VALUE"""),"Vertical Tv")</f>
        <v>Vertical Tv</v>
      </c>
      <c r="D809" s="31">
        <f>IFERROR(__xludf.DUMMYFUNCTION("""COMPUTED_VALUE"""),9.307756774E9)</f>
        <v>9307756774</v>
      </c>
      <c r="E809" s="31" t="str">
        <f>IFERROR(__xludf.DUMMYFUNCTION("""COMPUTED_VALUE"""),"Video Editor")</f>
        <v>Video Editor</v>
      </c>
      <c r="F809" s="31" t="str">
        <f>IFERROR(__xludf.DUMMYFUNCTION("""COMPUTED_VALUE"""),"Content")</f>
        <v>Content</v>
      </c>
      <c r="G809" s="31" t="str">
        <f>IFERROR(__xludf.DUMMYFUNCTION("""COMPUTED_VALUE"""),"prashant.malve15@gmail.com")</f>
        <v>prashant.malve15@gmail.com</v>
      </c>
      <c r="H809" s="31" t="str">
        <f>IFERROR(__xludf.DUMMYFUNCTION("""COMPUTED_VALUE"""),"Mohit Shandilya")</f>
        <v>Mohit Shandilya</v>
      </c>
      <c r="I809" s="75">
        <f>IFERROR(__xludf.DUMMYFUNCTION("""COMPUTED_VALUE"""),46014.0)</f>
        <v>46014</v>
      </c>
      <c r="J809" s="31" t="str">
        <f>IFERROR(__xludf.DUMMYFUNCTION("""COMPUTED_VALUE"""),"Vipin Kumar")</f>
        <v>Vipin Kumar</v>
      </c>
      <c r="K809" s="31" t="str">
        <f>IFERROR(__xludf.DUMMYFUNCTION("""COMPUTED_VALUE"""),"Joined")</f>
        <v>Joined</v>
      </c>
      <c r="L809" s="31" t="str">
        <f>IFERROR(__xludf.DUMMYFUNCTION("""COMPUTED_VALUE"""),"In Office")</f>
        <v>In Office</v>
      </c>
      <c r="M809" s="31" t="str">
        <f>IFERROR(__xludf.DUMMYFUNCTION("""COMPUTED_VALUE"""),"prashant.malve@zupee.in")</f>
        <v>prashant.malve@zupee.in</v>
      </c>
      <c r="N809" s="31"/>
    </row>
    <row r="810">
      <c r="A810" s="74">
        <f>IFERROR(__xludf.DUMMYFUNCTION("""COMPUTED_VALUE"""),46015.0)</f>
        <v>46015</v>
      </c>
      <c r="B810" s="31" t="str">
        <f>IFERROR(__xludf.DUMMYFUNCTION("""COMPUTED_VALUE"""),"Avirath Kadam")</f>
        <v>Avirath Kadam</v>
      </c>
      <c r="C810" s="31" t="str">
        <f>IFERROR(__xludf.DUMMYFUNCTION("""COMPUTED_VALUE"""),"Vertical Tv")</f>
        <v>Vertical Tv</v>
      </c>
      <c r="D810" s="31">
        <f>IFERROR(__xludf.DUMMYFUNCTION("""COMPUTED_VALUE"""),9.920396455E9)</f>
        <v>9920396455</v>
      </c>
      <c r="E810" s="31" t="str">
        <f>IFERROR(__xludf.DUMMYFUNCTION("""COMPUTED_VALUE"""),"Video Editor")</f>
        <v>Video Editor</v>
      </c>
      <c r="F810" s="31" t="str">
        <f>IFERROR(__xludf.DUMMYFUNCTION("""COMPUTED_VALUE"""),"Content")</f>
        <v>Content</v>
      </c>
      <c r="G810" s="31" t="str">
        <f>IFERROR(__xludf.DUMMYFUNCTION("""COMPUTED_VALUE"""),"avirathkadam@gmail.com")</f>
        <v>avirathkadam@gmail.com</v>
      </c>
      <c r="H810" s="31" t="str">
        <f>IFERROR(__xludf.DUMMYFUNCTION("""COMPUTED_VALUE"""),"Mohit Shandilya")</f>
        <v>Mohit Shandilya</v>
      </c>
      <c r="I810" s="75">
        <f>IFERROR(__xludf.DUMMYFUNCTION("""COMPUTED_VALUE"""),46014.0)</f>
        <v>46014</v>
      </c>
      <c r="J810" s="31" t="str">
        <f>IFERROR(__xludf.DUMMYFUNCTION("""COMPUTED_VALUE"""),"Vipin Kumar")</f>
        <v>Vipin Kumar</v>
      </c>
      <c r="K810" s="31" t="str">
        <f>IFERROR(__xludf.DUMMYFUNCTION("""COMPUTED_VALUE"""),"Joined")</f>
        <v>Joined</v>
      </c>
      <c r="L810" s="31" t="str">
        <f>IFERROR(__xludf.DUMMYFUNCTION("""COMPUTED_VALUE"""),"In Office")</f>
        <v>In Office</v>
      </c>
      <c r="M810" s="31" t="str">
        <f>IFERROR(__xludf.DUMMYFUNCTION("""COMPUTED_VALUE"""),"avirath.kadam@zupee.in")</f>
        <v>avirath.kadam@zupee.in</v>
      </c>
      <c r="N810" s="31"/>
    </row>
    <row r="811">
      <c r="A811" s="74">
        <f>IFERROR(__xludf.DUMMYFUNCTION("""COMPUTED_VALUE"""),46015.0)</f>
        <v>46015</v>
      </c>
      <c r="B811" s="31" t="str">
        <f>IFERROR(__xludf.DUMMYFUNCTION("""COMPUTED_VALUE"""),"Arshdeep Kaur")</f>
        <v>Arshdeep Kaur</v>
      </c>
      <c r="C811" s="31" t="str">
        <f>IFERROR(__xludf.DUMMYFUNCTION("""COMPUTED_VALUE"""),"Vertical Tv")</f>
        <v>Vertical Tv</v>
      </c>
      <c r="D811" s="31">
        <f>IFERROR(__xludf.DUMMYFUNCTION("""COMPUTED_VALUE"""),9.888029314E9)</f>
        <v>9888029314</v>
      </c>
      <c r="E811" s="31" t="str">
        <f>IFERROR(__xludf.DUMMYFUNCTION("""COMPUTED_VALUE"""),"Associate Video Editor")</f>
        <v>Associate Video Editor</v>
      </c>
      <c r="F811" s="31" t="str">
        <f>IFERROR(__xludf.DUMMYFUNCTION("""COMPUTED_VALUE"""),"Content")</f>
        <v>Content</v>
      </c>
      <c r="G811" s="31" t="str">
        <f>IFERROR(__xludf.DUMMYFUNCTION("""COMPUTED_VALUE"""),"arshkaur0407@gmail.com")</f>
        <v>arshkaur0407@gmail.com</v>
      </c>
      <c r="H811" s="31" t="str">
        <f>IFERROR(__xludf.DUMMYFUNCTION("""COMPUTED_VALUE"""),"Mohit Shandilya")</f>
        <v>Mohit Shandilya</v>
      </c>
      <c r="I811" s="75">
        <f>IFERROR(__xludf.DUMMYFUNCTION("""COMPUTED_VALUE"""),46014.0)</f>
        <v>46014</v>
      </c>
      <c r="J811" s="31" t="str">
        <f>IFERROR(__xludf.DUMMYFUNCTION("""COMPUTED_VALUE"""),"Cheshtha Sharma")</f>
        <v>Cheshtha Sharma</v>
      </c>
      <c r="K811" s="31" t="str">
        <f>IFERROR(__xludf.DUMMYFUNCTION("""COMPUTED_VALUE"""),"Joined")</f>
        <v>Joined</v>
      </c>
      <c r="L811" s="31" t="str">
        <f>IFERROR(__xludf.DUMMYFUNCTION("""COMPUTED_VALUE"""),"Virtual")</f>
        <v>Virtual</v>
      </c>
      <c r="M811" s="31" t="str">
        <f>IFERROR(__xludf.DUMMYFUNCTION("""COMPUTED_VALUE"""),"arshdeep.kaur@zupee.in")</f>
        <v>arshdeep.kaur@zupee.in</v>
      </c>
      <c r="N811" s="31"/>
    </row>
    <row r="812">
      <c r="A812" s="74">
        <f>IFERROR(__xludf.DUMMYFUNCTION("""COMPUTED_VALUE"""),46015.0)</f>
        <v>46015</v>
      </c>
      <c r="B812" s="31" t="str">
        <f>IFERROR(__xludf.DUMMYFUNCTION("""COMPUTED_VALUE"""),"Sourav Ganguly")</f>
        <v>Sourav Ganguly</v>
      </c>
      <c r="C812" s="31" t="str">
        <f>IFERROR(__xludf.DUMMYFUNCTION("""COMPUTED_VALUE"""),"Vertical Tv")</f>
        <v>Vertical Tv</v>
      </c>
      <c r="D812" s="31">
        <f>IFERROR(__xludf.DUMMYFUNCTION("""COMPUTED_VALUE"""),7.439019277E9)</f>
        <v>7439019277</v>
      </c>
      <c r="E812" s="31" t="str">
        <f>IFERROR(__xludf.DUMMYFUNCTION("""COMPUTED_VALUE"""),"Promo writer - Contractual")</f>
        <v>Promo writer - Contractual</v>
      </c>
      <c r="F812" s="31" t="str">
        <f>IFERROR(__xludf.DUMMYFUNCTION("""COMPUTED_VALUE"""),"Content")</f>
        <v>Content</v>
      </c>
      <c r="G812" s="31" t="str">
        <f>IFERROR(__xludf.DUMMYFUNCTION("""COMPUTED_VALUE"""),"souravganguly2301@gmail.com")</f>
        <v>souravganguly2301@gmail.com</v>
      </c>
      <c r="H812" s="31" t="str">
        <f>IFERROR(__xludf.DUMMYFUNCTION("""COMPUTED_VALUE"""),"Mohit Goswami")</f>
        <v>Mohit Goswami</v>
      </c>
      <c r="I812" s="75">
        <f>IFERROR(__xludf.DUMMYFUNCTION("""COMPUTED_VALUE"""),46014.0)</f>
        <v>46014</v>
      </c>
      <c r="J812" s="31" t="str">
        <f>IFERROR(__xludf.DUMMYFUNCTION("""COMPUTED_VALUE"""),"Cheshtha Sharma")</f>
        <v>Cheshtha Sharma</v>
      </c>
      <c r="K812" s="31" t="str">
        <f>IFERROR(__xludf.DUMMYFUNCTION("""COMPUTED_VALUE"""),"Joined")</f>
        <v>Joined</v>
      </c>
      <c r="L812" s="31" t="str">
        <f>IFERROR(__xludf.DUMMYFUNCTION("""COMPUTED_VALUE"""),"Virtual")</f>
        <v>Virtual</v>
      </c>
      <c r="M812" s="31" t="str">
        <f>IFERROR(__xludf.DUMMYFUNCTION("""COMPUTED_VALUE"""),"sourav.ganguly@zupee.in")</f>
        <v>sourav.ganguly@zupee.in</v>
      </c>
      <c r="N812" s="31"/>
    </row>
    <row r="813">
      <c r="A813" s="74">
        <f>IFERROR(__xludf.DUMMYFUNCTION("""COMPUTED_VALUE"""),46015.0)</f>
        <v>46015</v>
      </c>
      <c r="B813" s="31" t="str">
        <f>IFERROR(__xludf.DUMMYFUNCTION("""COMPUTED_VALUE"""),"Suraj Ganesh Ubale")</f>
        <v>Suraj Ganesh Ubale</v>
      </c>
      <c r="C813" s="31" t="str">
        <f>IFERROR(__xludf.DUMMYFUNCTION("""COMPUTED_VALUE"""),"Vertical Tv")</f>
        <v>Vertical Tv</v>
      </c>
      <c r="D813" s="31">
        <f>IFERROR(__xludf.DUMMYFUNCTION("""COMPUTED_VALUE"""),9.767022878E9)</f>
        <v>9767022878</v>
      </c>
      <c r="E813" s="31" t="str">
        <f>IFERROR(__xludf.DUMMYFUNCTION("""COMPUTED_VALUE"""),"Promo Video Editor")</f>
        <v>Promo Video Editor</v>
      </c>
      <c r="F813" s="31" t="str">
        <f>IFERROR(__xludf.DUMMYFUNCTION("""COMPUTED_VALUE"""),"Content")</f>
        <v>Content</v>
      </c>
      <c r="G813" s="31" t="str">
        <f>IFERROR(__xludf.DUMMYFUNCTION("""COMPUTED_VALUE"""),"Surajubalelove@gmail.com")</f>
        <v>Surajubalelove@gmail.com</v>
      </c>
      <c r="H813" s="31" t="str">
        <f>IFERROR(__xludf.DUMMYFUNCTION("""COMPUTED_VALUE"""),"Mohit Shandilya")</f>
        <v>Mohit Shandilya</v>
      </c>
      <c r="I813" s="75">
        <f>IFERROR(__xludf.DUMMYFUNCTION("""COMPUTED_VALUE"""),46014.0)</f>
        <v>46014</v>
      </c>
      <c r="J813" s="31" t="str">
        <f>IFERROR(__xludf.DUMMYFUNCTION("""COMPUTED_VALUE"""),"Cheshtha Sharma")</f>
        <v>Cheshtha Sharma</v>
      </c>
      <c r="K813" s="31" t="str">
        <f>IFERROR(__xludf.DUMMYFUNCTION("""COMPUTED_VALUE"""),"Joined")</f>
        <v>Joined</v>
      </c>
      <c r="L813" s="31" t="str">
        <f>IFERROR(__xludf.DUMMYFUNCTION("""COMPUTED_VALUE"""),"In Office")</f>
        <v>In Office</v>
      </c>
      <c r="M813" s="31" t="str">
        <f>IFERROR(__xludf.DUMMYFUNCTION("""COMPUTED_VALUE"""),"suraj.ubale@zupee.in")</f>
        <v>suraj.ubale@zupee.in</v>
      </c>
      <c r="N813" s="31"/>
    </row>
    <row r="814">
      <c r="A814" s="74">
        <f>IFERROR(__xludf.DUMMYFUNCTION("""COMPUTED_VALUE"""),46027.0)</f>
        <v>46027</v>
      </c>
      <c r="B814" s="31" t="str">
        <f>IFERROR(__xludf.DUMMYFUNCTION("""COMPUTED_VALUE"""),"Yatharth Sharma")</f>
        <v>Yatharth Sharma</v>
      </c>
      <c r="C814" s="31" t="str">
        <f>IFERROR(__xludf.DUMMYFUNCTION("""COMPUTED_VALUE"""),"Vertical Tv")</f>
        <v>Vertical Tv</v>
      </c>
      <c r="D814" s="31">
        <f>IFERROR(__xludf.DUMMYFUNCTION("""COMPUTED_VALUE"""),9.833386587E9)</f>
        <v>9833386587</v>
      </c>
      <c r="E814" s="31" t="str">
        <f>IFERROR(__xludf.DUMMYFUNCTION("""COMPUTED_VALUE"""),"Sound Engineer - Final mix and master")</f>
        <v>Sound Engineer - Final mix and master</v>
      </c>
      <c r="F814" s="31" t="str">
        <f>IFERROR(__xludf.DUMMYFUNCTION("""COMPUTED_VALUE"""),"Content")</f>
        <v>Content</v>
      </c>
      <c r="G814" s="31" t="str">
        <f>IFERROR(__xludf.DUMMYFUNCTION("""COMPUTED_VALUE"""),"yatharth465@gmail.com")</f>
        <v>yatharth465@gmail.com</v>
      </c>
      <c r="H814" s="31" t="str">
        <f>IFERROR(__xludf.DUMMYFUNCTION("""COMPUTED_VALUE"""),"Mohit Shandilya")</f>
        <v>Mohit Shandilya</v>
      </c>
      <c r="I814" s="75">
        <f>IFERROR(__xludf.DUMMYFUNCTION("""COMPUTED_VALUE"""),46014.0)</f>
        <v>46014</v>
      </c>
      <c r="J814" s="31" t="str">
        <f>IFERROR(__xludf.DUMMYFUNCTION("""COMPUTED_VALUE"""),"Cheshtha Sharma")</f>
        <v>Cheshtha Sharma</v>
      </c>
      <c r="K814" s="31" t="str">
        <f>IFERROR(__xludf.DUMMYFUNCTION("""COMPUTED_VALUE"""),"Joined")</f>
        <v>Joined</v>
      </c>
      <c r="L814" s="31" t="str">
        <f>IFERROR(__xludf.DUMMYFUNCTION("""COMPUTED_VALUE"""),"Virtual")</f>
        <v>Virtual</v>
      </c>
      <c r="M814" s="31" t="str">
        <f>IFERROR(__xludf.DUMMYFUNCTION("""COMPUTED_VALUE"""),"yatharth.sharma@zupee.in")</f>
        <v>yatharth.sharma@zupee.in</v>
      </c>
      <c r="N814" s="31"/>
    </row>
    <row r="815">
      <c r="A815" s="74">
        <f>IFERROR(__xludf.DUMMYFUNCTION("""COMPUTED_VALUE"""),46015.0)</f>
        <v>46015</v>
      </c>
      <c r="B815" s="31" t="str">
        <f>IFERROR(__xludf.DUMMYFUNCTION("""COMPUTED_VALUE""")," Shaad Salim Attar")</f>
        <v> Shaad Salim Attar</v>
      </c>
      <c r="C815" s="31" t="str">
        <f>IFERROR(__xludf.DUMMYFUNCTION("""COMPUTED_VALUE"""),"Vertical Tv")</f>
        <v>Vertical Tv</v>
      </c>
      <c r="D815" s="31">
        <f>IFERROR(__xludf.DUMMYFUNCTION("""COMPUTED_VALUE"""),9.08262611E9)</f>
        <v>9082626110</v>
      </c>
      <c r="E815" s="31" t="str">
        <f>IFERROR(__xludf.DUMMYFUNCTION("""COMPUTED_VALUE"""),"Promo Video Editor")</f>
        <v>Promo Video Editor</v>
      </c>
      <c r="F815" s="31" t="str">
        <f>IFERROR(__xludf.DUMMYFUNCTION("""COMPUTED_VALUE"""),"Content")</f>
        <v>Content</v>
      </c>
      <c r="G815" s="31" t="str">
        <f>IFERROR(__xludf.DUMMYFUNCTION("""COMPUTED_VALUE"""),"createwithflash@gmail.com")</f>
        <v>createwithflash@gmail.com</v>
      </c>
      <c r="H815" s="31" t="str">
        <f>IFERROR(__xludf.DUMMYFUNCTION("""COMPUTED_VALUE"""),"Aastha Shah")</f>
        <v>Aastha Shah</v>
      </c>
      <c r="I815" s="75">
        <f>IFERROR(__xludf.DUMMYFUNCTION("""COMPUTED_VALUE"""),46014.0)</f>
        <v>46014</v>
      </c>
      <c r="J815" s="31" t="str">
        <f>IFERROR(__xludf.DUMMYFUNCTION("""COMPUTED_VALUE"""),"Jaya Tiwari")</f>
        <v>Jaya Tiwari</v>
      </c>
      <c r="K815" s="31" t="str">
        <f>IFERROR(__xludf.DUMMYFUNCTION("""COMPUTED_VALUE"""),"Joined")</f>
        <v>Joined</v>
      </c>
      <c r="L815" s="31" t="str">
        <f>IFERROR(__xludf.DUMMYFUNCTION("""COMPUTED_VALUE"""),"Virtual")</f>
        <v>Virtual</v>
      </c>
      <c r="M815" s="31" t="str">
        <f>IFERROR(__xludf.DUMMYFUNCTION("""COMPUTED_VALUE"""),"shaad.attar@zupee.in")</f>
        <v>shaad.attar@zupee.in</v>
      </c>
      <c r="N815" s="31"/>
    </row>
    <row r="816">
      <c r="A816" s="74">
        <f>IFERROR(__xludf.DUMMYFUNCTION("""COMPUTED_VALUE"""),46015.0)</f>
        <v>46015</v>
      </c>
      <c r="B816" s="31" t="str">
        <f>IFERROR(__xludf.DUMMYFUNCTION("""COMPUTED_VALUE"""),"Vaibhav Gupta")</f>
        <v>Vaibhav Gupta</v>
      </c>
      <c r="C816" s="31" t="str">
        <f>IFERROR(__xludf.DUMMYFUNCTION("""COMPUTED_VALUE"""),"Vertical Tv")</f>
        <v>Vertical Tv</v>
      </c>
      <c r="D816" s="31">
        <f>IFERROR(__xludf.DUMMYFUNCTION("""COMPUTED_VALUE"""),6.38685154E9)</f>
        <v>6386851540</v>
      </c>
      <c r="E816" s="31" t="str">
        <f>IFERROR(__xludf.DUMMYFUNCTION("""COMPUTED_VALUE"""),"Sound Designer cum VO Artist - Contractual ")</f>
        <v>Sound Designer cum VO Artist - Contractual </v>
      </c>
      <c r="F816" s="31" t="str">
        <f>IFERROR(__xludf.DUMMYFUNCTION("""COMPUTED_VALUE"""),"Content")</f>
        <v>Content</v>
      </c>
      <c r="G816" s="31" t="str">
        <f>IFERROR(__xludf.DUMMYFUNCTION("""COMPUTED_VALUE"""),"vaibhav0240gupta@gmail.com")</f>
        <v>vaibhav0240gupta@gmail.com</v>
      </c>
      <c r="H816" s="31" t="str">
        <f>IFERROR(__xludf.DUMMYFUNCTION("""COMPUTED_VALUE"""),"Aastha Shah")</f>
        <v>Aastha Shah</v>
      </c>
      <c r="I816" s="75">
        <f>IFERROR(__xludf.DUMMYFUNCTION("""COMPUTED_VALUE"""),46014.0)</f>
        <v>46014</v>
      </c>
      <c r="J816" s="31" t="str">
        <f>IFERROR(__xludf.DUMMYFUNCTION("""COMPUTED_VALUE"""),"Jaya Tiwari")</f>
        <v>Jaya Tiwari</v>
      </c>
      <c r="K816" s="31" t="str">
        <f>IFERROR(__xludf.DUMMYFUNCTION("""COMPUTED_VALUE"""),"Joined")</f>
        <v>Joined</v>
      </c>
      <c r="L816" s="31" t="str">
        <f>IFERROR(__xludf.DUMMYFUNCTION("""COMPUTED_VALUE"""),"Virtual")</f>
        <v>Virtual</v>
      </c>
      <c r="M816" s="31" t="str">
        <f>IFERROR(__xludf.DUMMYFUNCTION("""COMPUTED_VALUE"""),"vaibhav.gupta@zupee.in")</f>
        <v>vaibhav.gupta@zupee.in</v>
      </c>
      <c r="N816" s="31"/>
    </row>
    <row r="817">
      <c r="A817" s="74">
        <f>IFERROR(__xludf.DUMMYFUNCTION("""COMPUTED_VALUE"""),46069.0)</f>
        <v>46069</v>
      </c>
      <c r="B817" s="31" t="str">
        <f>IFERROR(__xludf.DUMMYFUNCTION("""COMPUTED_VALUE"""),"Tanya Vishal")</f>
        <v>Tanya Vishal</v>
      </c>
      <c r="C817" s="31" t="str">
        <f>IFERROR(__xludf.DUMMYFUNCTION("""COMPUTED_VALUE"""),"Vertical Tv")</f>
        <v>Vertical Tv</v>
      </c>
      <c r="D817" s="31">
        <f>IFERROR(__xludf.DUMMYFUNCTION("""COMPUTED_VALUE"""),7.01911038E9)</f>
        <v>7019110380</v>
      </c>
      <c r="E817" s="31" t="str">
        <f>IFERROR(__xludf.DUMMYFUNCTION("""COMPUTED_VALUE"""),"Social Strategist")</f>
        <v>Social Strategist</v>
      </c>
      <c r="F817" s="31" t="str">
        <f>IFERROR(__xludf.DUMMYFUNCTION("""COMPUTED_VALUE"""),"Content")</f>
        <v>Content</v>
      </c>
      <c r="G817" s="31" t="str">
        <f>IFERROR(__xludf.DUMMYFUNCTION("""COMPUTED_VALUE"""),"tanyavishalwork@gmail.com")</f>
        <v>tanyavishalwork@gmail.com</v>
      </c>
      <c r="H817" s="31" t="str">
        <f>IFERROR(__xludf.DUMMYFUNCTION("""COMPUTED_VALUE"""),"Mohit Goswami")</f>
        <v>Mohit Goswami</v>
      </c>
      <c r="I817" s="75">
        <f>IFERROR(__xludf.DUMMYFUNCTION("""COMPUTED_VALUE"""),46017.0)</f>
        <v>46017</v>
      </c>
      <c r="J817" s="31" t="str">
        <f>IFERROR(__xludf.DUMMYFUNCTION("""COMPUTED_VALUE"""),"Naina")</f>
        <v>Naina</v>
      </c>
      <c r="K817" s="31" t="str">
        <f>IFERROR(__xludf.DUMMYFUNCTION("""COMPUTED_VALUE"""),"Offer Accepted")</f>
        <v>Offer Accepted</v>
      </c>
      <c r="L817" s="31" t="str">
        <f>IFERROR(__xludf.DUMMYFUNCTION("""COMPUTED_VALUE"""),"In Office")</f>
        <v>In Office</v>
      </c>
      <c r="M817" s="31" t="str">
        <f>IFERROR(__xludf.DUMMYFUNCTION("""COMPUTED_VALUE"""),"tanya.vishal@zupee.in")</f>
        <v>tanya.vishal@zupee.in</v>
      </c>
      <c r="N817" s="31"/>
    </row>
    <row r="818">
      <c r="A818" s="74">
        <f>IFERROR(__xludf.DUMMYFUNCTION("""COMPUTED_VALUE"""),46057.0)</f>
        <v>46057</v>
      </c>
      <c r="B818" s="31" t="str">
        <f>IFERROR(__xludf.DUMMYFUNCTION("""COMPUTED_VALUE"""),"Deeba Sharfe Amil Khan")</f>
        <v>Deeba Sharfe Amil Khan</v>
      </c>
      <c r="C818" s="31" t="str">
        <f>IFERROR(__xludf.DUMMYFUNCTION("""COMPUTED_VALUE"""),"Vertical Tv")</f>
        <v>Vertical Tv</v>
      </c>
      <c r="D818" s="31">
        <f>IFERROR(__xludf.DUMMYFUNCTION("""COMPUTED_VALUE"""),9.833151541E9)</f>
        <v>9833151541</v>
      </c>
      <c r="E818" s="31" t="str">
        <f>IFERROR(__xludf.DUMMYFUNCTION("""COMPUTED_VALUE"""),"Senior Producer")</f>
        <v>Senior Producer</v>
      </c>
      <c r="F818" s="31" t="str">
        <f>IFERROR(__xludf.DUMMYFUNCTION("""COMPUTED_VALUE"""),"Content")</f>
        <v>Content</v>
      </c>
      <c r="G818" s="31" t="str">
        <f>IFERROR(__xludf.DUMMYFUNCTION("""COMPUTED_VALUE"""),"k.deeba27@gmail.com")</f>
        <v>k.deeba27@gmail.com</v>
      </c>
      <c r="H818" s="31" t="str">
        <f>IFERROR(__xludf.DUMMYFUNCTION("""COMPUTED_VALUE"""),"Anup Thanvi")</f>
        <v>Anup Thanvi</v>
      </c>
      <c r="I818" s="75">
        <f>IFERROR(__xludf.DUMMYFUNCTION("""COMPUTED_VALUE"""),46017.0)</f>
        <v>46017</v>
      </c>
      <c r="J818" s="31" t="str">
        <f>IFERROR(__xludf.DUMMYFUNCTION("""COMPUTED_VALUE"""),"Naina")</f>
        <v>Naina</v>
      </c>
      <c r="K818" s="31" t="str">
        <f>IFERROR(__xludf.DUMMYFUNCTION("""COMPUTED_VALUE"""),"Offer Released")</f>
        <v>Offer Released</v>
      </c>
      <c r="L818" s="31" t="str">
        <f>IFERROR(__xludf.DUMMYFUNCTION("""COMPUTED_VALUE"""),"In Office")</f>
        <v>In Office</v>
      </c>
      <c r="M818" s="31"/>
      <c r="N818" s="31"/>
    </row>
    <row r="819">
      <c r="A819" s="74">
        <f>IFERROR(__xludf.DUMMYFUNCTION("""COMPUTED_VALUE"""),46024.0)</f>
        <v>46024</v>
      </c>
      <c r="B819" s="31" t="str">
        <f>IFERROR(__xludf.DUMMYFUNCTION("""COMPUTED_VALUE"""),"Rishab Pratap Singh ")</f>
        <v>Rishab Pratap Singh </v>
      </c>
      <c r="C819" s="31" t="str">
        <f>IFERROR(__xludf.DUMMYFUNCTION("""COMPUTED_VALUE"""),"Product Design")</f>
        <v>Product Design</v>
      </c>
      <c r="D819" s="31"/>
      <c r="E819" s="31" t="str">
        <f>IFERROR(__xludf.DUMMYFUNCTION("""COMPUTED_VALUE"""),"Graphic Designer")</f>
        <v>Graphic Designer</v>
      </c>
      <c r="F819" s="31" t="str">
        <f>IFERROR(__xludf.DUMMYFUNCTION("""COMPUTED_VALUE"""),"Design")</f>
        <v>Design</v>
      </c>
      <c r="G819" s="31" t="str">
        <f>IFERROR(__xludf.DUMMYFUNCTION("""COMPUTED_VALUE"""),"rishabhpratap20995@gmail.com")</f>
        <v>rishabhpratap20995@gmail.com</v>
      </c>
      <c r="H819" s="31" t="str">
        <f>IFERROR(__xludf.DUMMYFUNCTION("""COMPUTED_VALUE"""),"Abhishek Srivastava")</f>
        <v>Abhishek Srivastava</v>
      </c>
      <c r="I819" s="75">
        <f>IFERROR(__xludf.DUMMYFUNCTION("""COMPUTED_VALUE"""),46024.0)</f>
        <v>46024</v>
      </c>
      <c r="J819" s="31" t="str">
        <f>IFERROR(__xludf.DUMMYFUNCTION("""COMPUTED_VALUE"""),"Shivam Sharma")</f>
        <v>Shivam Sharma</v>
      </c>
      <c r="K819" s="31" t="str">
        <f>IFERROR(__xludf.DUMMYFUNCTION("""COMPUTED_VALUE"""),"Joined")</f>
        <v>Joined</v>
      </c>
      <c r="L819" s="31" t="str">
        <f>IFERROR(__xludf.DUMMYFUNCTION("""COMPUTED_VALUE"""),"In Office")</f>
        <v>In Office</v>
      </c>
      <c r="M819" s="31"/>
      <c r="N819" s="31"/>
    </row>
    <row r="820">
      <c r="A820" s="74">
        <f>IFERROR(__xludf.DUMMYFUNCTION("""COMPUTED_VALUE"""),46057.0)</f>
        <v>46057</v>
      </c>
      <c r="B820" s="31" t="str">
        <f>IFERROR(__xludf.DUMMYFUNCTION("""COMPUTED_VALUE"""),"Tanvi Kaur")</f>
        <v>Tanvi Kaur</v>
      </c>
      <c r="C820" s="31" t="str">
        <f>IFERROR(__xludf.DUMMYFUNCTION("""COMPUTED_VALUE"""),"Digital Marketing")</f>
        <v>Digital Marketing</v>
      </c>
      <c r="D820" s="31">
        <f>IFERROR(__xludf.DUMMYFUNCTION("""COMPUTED_VALUE"""),9.711661515E9)</f>
        <v>9711661515</v>
      </c>
      <c r="E820" s="31" t="str">
        <f>IFERROR(__xludf.DUMMYFUNCTION("""COMPUTED_VALUE"""),"Associate- Digital Marketing")</f>
        <v>Associate- Digital Marketing</v>
      </c>
      <c r="F820" s="31" t="str">
        <f>IFERROR(__xludf.DUMMYFUNCTION("""COMPUTED_VALUE"""),"Performance Marketing")</f>
        <v>Performance Marketing</v>
      </c>
      <c r="G820" s="31" t="str">
        <f>IFERROR(__xludf.DUMMYFUNCTION("""COMPUTED_VALUE"""),"tanvikaur03@gmail.com")</f>
        <v>tanvikaur03@gmail.com</v>
      </c>
      <c r="H820" s="31" t="str">
        <f>IFERROR(__xludf.DUMMYFUNCTION("""COMPUTED_VALUE"""),"Nishant Jaiswal")</f>
        <v>Nishant Jaiswal</v>
      </c>
      <c r="I820" s="75">
        <f>IFERROR(__xludf.DUMMYFUNCTION("""COMPUTED_VALUE"""),46024.0)</f>
        <v>46024</v>
      </c>
      <c r="J820" s="31" t="str">
        <f>IFERROR(__xludf.DUMMYFUNCTION("""COMPUTED_VALUE"""),"Vipin Kumar")</f>
        <v>Vipin Kumar</v>
      </c>
      <c r="K820" s="31" t="str">
        <f>IFERROR(__xludf.DUMMYFUNCTION("""COMPUTED_VALUE"""),"Offer Accepted")</f>
        <v>Offer Accepted</v>
      </c>
      <c r="L820" s="31" t="str">
        <f>IFERROR(__xludf.DUMMYFUNCTION("""COMPUTED_VALUE"""),"In Office")</f>
        <v>In Office</v>
      </c>
      <c r="M820" s="31" t="str">
        <f>IFERROR(__xludf.DUMMYFUNCTION("""COMPUTED_VALUE"""),"tanvi.kaur@zupee.in")</f>
        <v>tanvi.kaur@zupee.in</v>
      </c>
      <c r="N820" s="31" t="str">
        <f>IFERROR(__xludf.DUMMYFUNCTION("""COMPUTED_VALUE"""),"M6HLXVX4LJ")</f>
        <v>M6HLXVX4LJ</v>
      </c>
    </row>
    <row r="821">
      <c r="A821" s="74">
        <f>IFERROR(__xludf.DUMMYFUNCTION("""COMPUTED_VALUE"""),46045.0)</f>
        <v>46045</v>
      </c>
      <c r="B821" s="31" t="str">
        <f>IFERROR(__xludf.DUMMYFUNCTION("""COMPUTED_VALUE"""),"Gopi Bhaskar Chettiar")</f>
        <v>Gopi Bhaskar Chettiar</v>
      </c>
      <c r="C821" s="31" t="str">
        <f>IFERROR(__xludf.DUMMYFUNCTION("""COMPUTED_VALUE"""),"Vertical Tv")</f>
        <v>Vertical Tv</v>
      </c>
      <c r="D821" s="31">
        <f>IFERROR(__xludf.DUMMYFUNCTION("""COMPUTED_VALUE"""),9.619207873E9)</f>
        <v>9619207873</v>
      </c>
      <c r="E821" s="31" t="str">
        <f>IFERROR(__xludf.DUMMYFUNCTION("""COMPUTED_VALUE"""),"Video Editor")</f>
        <v>Video Editor</v>
      </c>
      <c r="F821" s="31" t="str">
        <f>IFERROR(__xludf.DUMMYFUNCTION("""COMPUTED_VALUE"""),"Content")</f>
        <v>Content</v>
      </c>
      <c r="G821" s="31" t="str">
        <f>IFERROR(__xludf.DUMMYFUNCTION("""COMPUTED_VALUE"""),"gopalh20@gmail.com")</f>
        <v>gopalh20@gmail.com</v>
      </c>
      <c r="H821" s="31" t="str">
        <f>IFERROR(__xludf.DUMMYFUNCTION("""COMPUTED_VALUE"""),"Mohit Shandilya")</f>
        <v>Mohit Shandilya</v>
      </c>
      <c r="I821" s="75">
        <f>IFERROR(__xludf.DUMMYFUNCTION("""COMPUTED_VALUE"""),46024.0)</f>
        <v>46024</v>
      </c>
      <c r="J821" s="31" t="str">
        <f>IFERROR(__xludf.DUMMYFUNCTION("""COMPUTED_VALUE"""),"Cheshtha Sharma")</f>
        <v>Cheshtha Sharma</v>
      </c>
      <c r="K821" s="31" t="str">
        <f>IFERROR(__xludf.DUMMYFUNCTION("""COMPUTED_VALUE"""),"Offer Declined")</f>
        <v>Offer Declined</v>
      </c>
      <c r="L821" s="31" t="str">
        <f>IFERROR(__xludf.DUMMYFUNCTION("""COMPUTED_VALUE"""),"In Office")</f>
        <v>In Office</v>
      </c>
      <c r="M821" s="31"/>
      <c r="N821" s="31"/>
    </row>
    <row r="822">
      <c r="A822" s="74">
        <f>IFERROR(__xludf.DUMMYFUNCTION("""COMPUTED_VALUE"""),46058.0)</f>
        <v>46058</v>
      </c>
      <c r="B822" s="31" t="str">
        <f>IFERROR(__xludf.DUMMYFUNCTION("""COMPUTED_VALUE"""),"Yash Naresh Tatkare")</f>
        <v>Yash Naresh Tatkare</v>
      </c>
      <c r="C822" s="31" t="str">
        <f>IFERROR(__xludf.DUMMYFUNCTION("""COMPUTED_VALUE"""),"Vertical Tv")</f>
        <v>Vertical Tv</v>
      </c>
      <c r="D822" s="31">
        <f>IFERROR(__xludf.DUMMYFUNCTION("""COMPUTED_VALUE"""),9.004066044E9)</f>
        <v>9004066044</v>
      </c>
      <c r="E822" s="31" t="str">
        <f>IFERROR(__xludf.DUMMYFUNCTION("""COMPUTED_VALUE"""),"Video Editor")</f>
        <v>Video Editor</v>
      </c>
      <c r="F822" s="31" t="str">
        <f>IFERROR(__xludf.DUMMYFUNCTION("""COMPUTED_VALUE"""),"Content")</f>
        <v>Content</v>
      </c>
      <c r="G822" s="31" t="str">
        <f>IFERROR(__xludf.DUMMYFUNCTION("""COMPUTED_VALUE"""),"yashtatkare05@gmail.com")</f>
        <v>yashtatkare05@gmail.com</v>
      </c>
      <c r="H822" s="31" t="str">
        <f>IFERROR(__xludf.DUMMYFUNCTION("""COMPUTED_VALUE"""),"Mohit Shandilya")</f>
        <v>Mohit Shandilya</v>
      </c>
      <c r="I822" s="75">
        <f>IFERROR(__xludf.DUMMYFUNCTION("""COMPUTED_VALUE"""),46030.0)</f>
        <v>46030</v>
      </c>
      <c r="J822" s="31" t="str">
        <f>IFERROR(__xludf.DUMMYFUNCTION("""COMPUTED_VALUE"""),"Vipin Kumar")</f>
        <v>Vipin Kumar</v>
      </c>
      <c r="K822" s="31" t="str">
        <f>IFERROR(__xludf.DUMMYFUNCTION("""COMPUTED_VALUE"""),"Offer Accepted")</f>
        <v>Offer Accepted</v>
      </c>
      <c r="L822" s="31" t="str">
        <f>IFERROR(__xludf.DUMMYFUNCTION("""COMPUTED_VALUE"""),"In Office")</f>
        <v>In Office</v>
      </c>
      <c r="M822" s="31" t="str">
        <f>IFERROR(__xludf.DUMMYFUNCTION("""COMPUTED_VALUE"""),"yash.tatkare@zupee.in")</f>
        <v>yash.tatkare@zupee.in</v>
      </c>
      <c r="N822" s="31"/>
    </row>
    <row r="823">
      <c r="A823" s="74">
        <f>IFERROR(__xludf.DUMMYFUNCTION("""COMPUTED_VALUE"""),46062.0)</f>
        <v>46062</v>
      </c>
      <c r="B823" s="31" t="str">
        <f>IFERROR(__xludf.DUMMYFUNCTION("""COMPUTED_VALUE"""),"Vivek Nana Vairal")</f>
        <v>Vivek Nana Vairal</v>
      </c>
      <c r="C823" s="31" t="str">
        <f>IFERROR(__xludf.DUMMYFUNCTION("""COMPUTED_VALUE"""),"Vertical Tv")</f>
        <v>Vertical Tv</v>
      </c>
      <c r="D823" s="31">
        <f>IFERROR(__xludf.DUMMYFUNCTION("""COMPUTED_VALUE"""),9.833227062E9)</f>
        <v>9833227062</v>
      </c>
      <c r="E823" s="31" t="str">
        <f>IFERROR(__xludf.DUMMYFUNCTION("""COMPUTED_VALUE"""),"Video Editor")</f>
        <v>Video Editor</v>
      </c>
      <c r="F823" s="31" t="str">
        <f>IFERROR(__xludf.DUMMYFUNCTION("""COMPUTED_VALUE"""),"Content")</f>
        <v>Content</v>
      </c>
      <c r="G823" s="31" t="str">
        <f>IFERROR(__xludf.DUMMYFUNCTION("""COMPUTED_VALUE"""),"vivek.vairal@gmail.com")</f>
        <v>vivek.vairal@gmail.com</v>
      </c>
      <c r="H823" s="31" t="str">
        <f>IFERROR(__xludf.DUMMYFUNCTION("""COMPUTED_VALUE"""),"Mohit Shandilya")</f>
        <v>Mohit Shandilya</v>
      </c>
      <c r="I823" s="75">
        <f>IFERROR(__xludf.DUMMYFUNCTION("""COMPUTED_VALUE"""),46030.0)</f>
        <v>46030</v>
      </c>
      <c r="J823" s="31" t="str">
        <f>IFERROR(__xludf.DUMMYFUNCTION("""COMPUTED_VALUE"""),"Cheshtha Sharma")</f>
        <v>Cheshtha Sharma</v>
      </c>
      <c r="K823" s="31" t="str">
        <f>IFERROR(__xludf.DUMMYFUNCTION("""COMPUTED_VALUE"""),"Offer Accepted")</f>
        <v>Offer Accepted</v>
      </c>
      <c r="L823" s="31" t="str">
        <f>IFERROR(__xludf.DUMMYFUNCTION("""COMPUTED_VALUE"""),"In Office")</f>
        <v>In Office</v>
      </c>
      <c r="M823" s="31" t="str">
        <f>IFERROR(__xludf.DUMMYFUNCTION("""COMPUTED_VALUE"""),"vivek.vairal@zupee.in")</f>
        <v>vivek.vairal@zupee.in</v>
      </c>
      <c r="N823" s="31"/>
    </row>
    <row r="824">
      <c r="A824" s="74">
        <f>IFERROR(__xludf.DUMMYFUNCTION("""COMPUTED_VALUE"""),46055.0)</f>
        <v>46055</v>
      </c>
      <c r="B824" s="31" t="str">
        <f>IFERROR(__xludf.DUMMYFUNCTION("""COMPUTED_VALUE"""),"Prince Sharma")</f>
        <v>Prince Sharma</v>
      </c>
      <c r="C824" s="31" t="str">
        <f>IFERROR(__xludf.DUMMYFUNCTION("""COMPUTED_VALUE"""),"Technology")</f>
        <v>Technology</v>
      </c>
      <c r="D824" s="31">
        <f>IFERROR(__xludf.DUMMYFUNCTION("""COMPUTED_VALUE"""),7.071812741E9)</f>
        <v>7071812741</v>
      </c>
      <c r="E824" s="31" t="str">
        <f>IFERROR(__xludf.DUMMYFUNCTION("""COMPUTED_VALUE"""),"Software Engineer - Devops")</f>
        <v>Software Engineer - Devops</v>
      </c>
      <c r="F824" s="31" t="str">
        <f>IFERROR(__xludf.DUMMYFUNCTION("""COMPUTED_VALUE"""),"DevOps &amp; Security")</f>
        <v>DevOps &amp; Security</v>
      </c>
      <c r="G824" s="31" t="str">
        <f>IFERROR(__xludf.DUMMYFUNCTION("""COMPUTED_VALUE"""),"princesharma1522@gmail.com")</f>
        <v>princesharma1522@gmail.com</v>
      </c>
      <c r="H824" s="31" t="str">
        <f>IFERROR(__xludf.DUMMYFUNCTION("""COMPUTED_VALUE"""),"Saurav Yadav")</f>
        <v>Saurav Yadav</v>
      </c>
      <c r="I824" s="75">
        <f>IFERROR(__xludf.DUMMYFUNCTION("""COMPUTED_VALUE"""),46030.0)</f>
        <v>46030</v>
      </c>
      <c r="J824" s="31" t="str">
        <f>IFERROR(__xludf.DUMMYFUNCTION("""COMPUTED_VALUE"""),"Cheshtha Sharma")</f>
        <v>Cheshtha Sharma</v>
      </c>
      <c r="K824" s="31" t="str">
        <f>IFERROR(__xludf.DUMMYFUNCTION("""COMPUTED_VALUE"""),"Offer Declined")</f>
        <v>Offer Declined</v>
      </c>
      <c r="L824" s="31" t="str">
        <f>IFERROR(__xludf.DUMMYFUNCTION("""COMPUTED_VALUE"""),"In Office")</f>
        <v>In Office</v>
      </c>
      <c r="M824" s="31"/>
      <c r="N824" s="31"/>
    </row>
    <row r="825">
      <c r="A825" s="74">
        <f>IFERROR(__xludf.DUMMYFUNCTION("""COMPUTED_VALUE"""),46034.0)</f>
        <v>46034</v>
      </c>
      <c r="B825" s="31" t="str">
        <f>IFERROR(__xludf.DUMMYFUNCTION("""COMPUTED_VALUE"""),"Richa Sanwal")</f>
        <v>Richa Sanwal</v>
      </c>
      <c r="C825" s="31" t="str">
        <f>IFERROR(__xludf.DUMMYFUNCTION("""COMPUTED_VALUE"""),"Vertical Tv")</f>
        <v>Vertical Tv</v>
      </c>
      <c r="D825" s="31">
        <f>IFERROR(__xludf.DUMMYFUNCTION("""COMPUTED_VALUE"""),7.506843803E9)</f>
        <v>7506843803</v>
      </c>
      <c r="E825" s="31" t="str">
        <f>IFERROR(__xludf.DUMMYFUNCTION("""COMPUTED_VALUE"""),"Senior Producer")</f>
        <v>Senior Producer</v>
      </c>
      <c r="F825" s="31" t="str">
        <f>IFERROR(__xludf.DUMMYFUNCTION("""COMPUTED_VALUE"""),"Content")</f>
        <v>Content</v>
      </c>
      <c r="G825" s="31" t="str">
        <f>IFERROR(__xludf.DUMMYFUNCTION("""COMPUTED_VALUE"""),"sanwal.richa@gmail.com")</f>
        <v>sanwal.richa@gmail.com</v>
      </c>
      <c r="H825" s="31" t="str">
        <f>IFERROR(__xludf.DUMMYFUNCTION("""COMPUTED_VALUE"""),"Anup Thanvi")</f>
        <v>Anup Thanvi</v>
      </c>
      <c r="I825" s="75">
        <f>IFERROR(__xludf.DUMMYFUNCTION("""COMPUTED_VALUE"""),46030.0)</f>
        <v>46030</v>
      </c>
      <c r="J825" s="31" t="str">
        <f>IFERROR(__xludf.DUMMYFUNCTION("""COMPUTED_VALUE"""),"Naina")</f>
        <v>Naina</v>
      </c>
      <c r="K825" s="31" t="str">
        <f>IFERROR(__xludf.DUMMYFUNCTION("""COMPUTED_VALUE"""),"Joined")</f>
        <v>Joined</v>
      </c>
      <c r="L825" s="31" t="str">
        <f>IFERROR(__xludf.DUMMYFUNCTION("""COMPUTED_VALUE"""),"In Office")</f>
        <v>In Office</v>
      </c>
      <c r="M825" s="31" t="str">
        <f>IFERROR(__xludf.DUMMYFUNCTION("""COMPUTED_VALUE"""),"richa.sanwal@zupee.in")</f>
        <v>richa.sanwal@zupee.in</v>
      </c>
      <c r="N825" s="31"/>
    </row>
    <row r="826">
      <c r="A826" s="74">
        <f>IFERROR(__xludf.DUMMYFUNCTION("""COMPUTED_VALUE"""),46055.0)</f>
        <v>46055</v>
      </c>
      <c r="B826" s="31" t="str">
        <f>IFERROR(__xludf.DUMMYFUNCTION("""COMPUTED_VALUE"""),"Shekhar Sambhaji Shelar")</f>
        <v>Shekhar Sambhaji Shelar</v>
      </c>
      <c r="C826" s="31" t="str">
        <f>IFERROR(__xludf.DUMMYFUNCTION("""COMPUTED_VALUE"""),"Vertical Tv")</f>
        <v>Vertical Tv</v>
      </c>
      <c r="D826" s="31">
        <f>IFERROR(__xludf.DUMMYFUNCTION("""COMPUTED_VALUE"""),8.459900944E9)</f>
        <v>8459900944</v>
      </c>
      <c r="E826" s="31" t="str">
        <f>IFERROR(__xludf.DUMMYFUNCTION("""COMPUTED_VALUE"""),"Video Editor")</f>
        <v>Video Editor</v>
      </c>
      <c r="F826" s="31" t="str">
        <f>IFERROR(__xludf.DUMMYFUNCTION("""COMPUTED_VALUE"""),"Content")</f>
        <v>Content</v>
      </c>
      <c r="G826" s="31" t="str">
        <f>IFERROR(__xludf.DUMMYFUNCTION("""COMPUTED_VALUE"""),"shekharshelar67514@gmail.com")</f>
        <v>shekharshelar67514@gmail.com</v>
      </c>
      <c r="H826" s="31" t="str">
        <f>IFERROR(__xludf.DUMMYFUNCTION("""COMPUTED_VALUE"""),"Mohit Shandilya")</f>
        <v>Mohit Shandilya</v>
      </c>
      <c r="I826" s="75">
        <f>IFERROR(__xludf.DUMMYFUNCTION("""COMPUTED_VALUE"""),46030.0)</f>
        <v>46030</v>
      </c>
      <c r="J826" s="31" t="str">
        <f>IFERROR(__xludf.DUMMYFUNCTION("""COMPUTED_VALUE"""),"Jaya Tiwari")</f>
        <v>Jaya Tiwari</v>
      </c>
      <c r="K826" s="31" t="str">
        <f>IFERROR(__xludf.DUMMYFUNCTION("""COMPUTED_VALUE"""),"Offer Accepted")</f>
        <v>Offer Accepted</v>
      </c>
      <c r="L826" s="31" t="str">
        <f>IFERROR(__xludf.DUMMYFUNCTION("""COMPUTED_VALUE"""),"In Office")</f>
        <v>In Office</v>
      </c>
      <c r="M826" s="31" t="str">
        <f>IFERROR(__xludf.DUMMYFUNCTION("""COMPUTED_VALUE"""),"shekhar.shelar@zupee.in")</f>
        <v>shekhar.shelar@zupee.in</v>
      </c>
      <c r="N826" s="31"/>
    </row>
    <row r="827">
      <c r="A827" s="74">
        <f>IFERROR(__xludf.DUMMYFUNCTION("""COMPUTED_VALUE"""),46035.0)</f>
        <v>46035</v>
      </c>
      <c r="B827" s="31" t="str">
        <f>IFERROR(__xludf.DUMMYFUNCTION("""COMPUTED_VALUE"""),"Dhruv")</f>
        <v>Dhruv</v>
      </c>
      <c r="C827" s="31" t="str">
        <f>IFERROR(__xludf.DUMMYFUNCTION("""COMPUTED_VALUE"""),"Finance")</f>
        <v>Finance</v>
      </c>
      <c r="D827" s="31">
        <f>IFERROR(__xludf.DUMMYFUNCTION("""COMPUTED_VALUE"""),9.312414201E9)</f>
        <v>9312414201</v>
      </c>
      <c r="E827" s="31" t="str">
        <f>IFERROR(__xludf.DUMMYFUNCTION("""COMPUTED_VALUE"""),"CA Intern")</f>
        <v>CA Intern</v>
      </c>
      <c r="F827" s="31" t="str">
        <f>IFERROR(__xludf.DUMMYFUNCTION("""COMPUTED_VALUE"""),"Business Finance")</f>
        <v>Business Finance</v>
      </c>
      <c r="G827" s="31" t="str">
        <f>IFERROR(__xludf.DUMMYFUNCTION("""COMPUTED_VALUE"""),"singhdhruv7481@gmail.com")</f>
        <v>singhdhruv7481@gmail.com</v>
      </c>
      <c r="H827" s="31" t="str">
        <f>IFERROR(__xludf.DUMMYFUNCTION("""COMPUTED_VALUE"""),"Hitesh Vats")</f>
        <v>Hitesh Vats</v>
      </c>
      <c r="I827" s="75">
        <f>IFERROR(__xludf.DUMMYFUNCTION("""COMPUTED_VALUE"""),46031.0)</f>
        <v>46031</v>
      </c>
      <c r="J827" s="31" t="str">
        <f>IFERROR(__xludf.DUMMYFUNCTION("""COMPUTED_VALUE"""),"Cheshtha Sharma")</f>
        <v>Cheshtha Sharma</v>
      </c>
      <c r="K827" s="31" t="str">
        <f>IFERROR(__xludf.DUMMYFUNCTION("""COMPUTED_VALUE"""),"Joined")</f>
        <v>Joined</v>
      </c>
      <c r="L827" s="31" t="str">
        <f>IFERROR(__xludf.DUMMYFUNCTION("""COMPUTED_VALUE"""),"In Office")</f>
        <v>In Office</v>
      </c>
      <c r="M827" s="31" t="str">
        <f>IFERROR(__xludf.DUMMYFUNCTION("""COMPUTED_VALUE"""),"dhruv.singh@zupee.in")</f>
        <v>dhruv.singh@zupee.in</v>
      </c>
      <c r="N827" s="31"/>
    </row>
    <row r="828">
      <c r="A828" s="74">
        <f>IFERROR(__xludf.DUMMYFUNCTION("""COMPUTED_VALUE"""),46034.0)</f>
        <v>46034</v>
      </c>
      <c r="B828" s="31" t="str">
        <f>IFERROR(__xludf.DUMMYFUNCTION("""COMPUTED_VALUE"""),"Anuj Dagar")</f>
        <v>Anuj Dagar</v>
      </c>
      <c r="C828" s="31" t="str">
        <f>IFERROR(__xludf.DUMMYFUNCTION("""COMPUTED_VALUE"""),"Finance")</f>
        <v>Finance</v>
      </c>
      <c r="D828" s="31">
        <f>IFERROR(__xludf.DUMMYFUNCTION("""COMPUTED_VALUE"""),8.950200704E9)</f>
        <v>8950200704</v>
      </c>
      <c r="E828" s="31" t="str">
        <f>IFERROR(__xludf.DUMMYFUNCTION("""COMPUTED_VALUE"""),"CA Intern")</f>
        <v>CA Intern</v>
      </c>
      <c r="F828" s="31" t="str">
        <f>IFERROR(__xludf.DUMMYFUNCTION("""COMPUTED_VALUE"""),"Business Finance")</f>
        <v>Business Finance</v>
      </c>
      <c r="G828" s="31" t="str">
        <f>IFERROR(__xludf.DUMMYFUNCTION("""COMPUTED_VALUE"""),"iamanujdagar@gmail.com")</f>
        <v>iamanujdagar@gmail.com</v>
      </c>
      <c r="H828" s="31" t="str">
        <f>IFERROR(__xludf.DUMMYFUNCTION("""COMPUTED_VALUE"""),"Shashank Gupta")</f>
        <v>Shashank Gupta</v>
      </c>
      <c r="I828" s="75">
        <f>IFERROR(__xludf.DUMMYFUNCTION("""COMPUTED_VALUE"""),46031.0)</f>
        <v>46031</v>
      </c>
      <c r="J828" s="31" t="str">
        <f>IFERROR(__xludf.DUMMYFUNCTION("""COMPUTED_VALUE"""),"Cheshtha Sharma")</f>
        <v>Cheshtha Sharma</v>
      </c>
      <c r="K828" s="31" t="str">
        <f>IFERROR(__xludf.DUMMYFUNCTION("""COMPUTED_VALUE"""),"Joined")</f>
        <v>Joined</v>
      </c>
      <c r="L828" s="31" t="str">
        <f>IFERROR(__xludf.DUMMYFUNCTION("""COMPUTED_VALUE"""),"In Office")</f>
        <v>In Office</v>
      </c>
      <c r="M828" s="31" t="str">
        <f>IFERROR(__xludf.DUMMYFUNCTION("""COMPUTED_VALUE"""),"anuj.dagar@zupee.in")</f>
        <v>anuj.dagar@zupee.in</v>
      </c>
      <c r="N828" s="31"/>
    </row>
    <row r="829">
      <c r="A829" s="74">
        <f>IFERROR(__xludf.DUMMYFUNCTION("""COMPUTED_VALUE"""),46045.0)</f>
        <v>46045</v>
      </c>
      <c r="B829" s="31" t="str">
        <f>IFERROR(__xludf.DUMMYFUNCTION("""COMPUTED_VALUE"""),"Abhishek Saurabh")</f>
        <v>Abhishek Saurabh</v>
      </c>
      <c r="C829" s="31" t="str">
        <f>IFERROR(__xludf.DUMMYFUNCTION("""COMPUTED_VALUE"""),"Technology")</f>
        <v>Technology</v>
      </c>
      <c r="D829" s="31">
        <f>IFERROR(__xludf.DUMMYFUNCTION("""COMPUTED_VALUE"""),7.654554999E9)</f>
        <v>7654554999</v>
      </c>
      <c r="E829" s="31" t="str">
        <f>IFERROR(__xludf.DUMMYFUNCTION("""COMPUTED_VALUE"""),"Software Engineer - Devops")</f>
        <v>Software Engineer - Devops</v>
      </c>
      <c r="F829" s="31" t="str">
        <f>IFERROR(__xludf.DUMMYFUNCTION("""COMPUTED_VALUE"""),"DevOps &amp; Security")</f>
        <v>DevOps &amp; Security</v>
      </c>
      <c r="G829" s="31" t="str">
        <f>IFERROR(__xludf.DUMMYFUNCTION("""COMPUTED_VALUE"""),"saurabhabhishek60@gmail.com")</f>
        <v>saurabhabhishek60@gmail.com</v>
      </c>
      <c r="H829" s="31" t="str">
        <f>IFERROR(__xludf.DUMMYFUNCTION("""COMPUTED_VALUE"""),"Saurav Yadav")</f>
        <v>Saurav Yadav</v>
      </c>
      <c r="I829" s="75">
        <f>IFERROR(__xludf.DUMMYFUNCTION("""COMPUTED_VALUE"""),46031.0)</f>
        <v>46031</v>
      </c>
      <c r="J829" s="31" t="str">
        <f>IFERROR(__xludf.DUMMYFUNCTION("""COMPUTED_VALUE"""),"Cheshtha Sharma")</f>
        <v>Cheshtha Sharma</v>
      </c>
      <c r="K829" s="31" t="str">
        <f>IFERROR(__xludf.DUMMYFUNCTION("""COMPUTED_VALUE"""),"Offer Declined")</f>
        <v>Offer Declined</v>
      </c>
      <c r="L829" s="31" t="str">
        <f>IFERROR(__xludf.DUMMYFUNCTION("""COMPUTED_VALUE"""),"In Office")</f>
        <v>In Office</v>
      </c>
      <c r="M829" s="31"/>
      <c r="N829" s="31"/>
    </row>
    <row r="830">
      <c r="A830" s="74">
        <f>IFERROR(__xludf.DUMMYFUNCTION("""COMPUTED_VALUE"""),46037.0)</f>
        <v>46037</v>
      </c>
      <c r="B830" s="31" t="str">
        <f>IFERROR(__xludf.DUMMYFUNCTION("""COMPUTED_VALUE"""),"Aditya Deepak Salgaonkar")</f>
        <v>Aditya Deepak Salgaonkar</v>
      </c>
      <c r="C830" s="31" t="str">
        <f>IFERROR(__xludf.DUMMYFUNCTION("""COMPUTED_VALUE"""),"Vertical Tv")</f>
        <v>Vertical Tv</v>
      </c>
      <c r="D830" s="31">
        <f>IFERROR(__xludf.DUMMYFUNCTION("""COMPUTED_VALUE"""),8.692042116E9)</f>
        <v>8692042116</v>
      </c>
      <c r="E830" s="31" t="str">
        <f>IFERROR(__xludf.DUMMYFUNCTION("""COMPUTED_VALUE"""),"Graphic Designer")</f>
        <v>Graphic Designer</v>
      </c>
      <c r="F830" s="31" t="str">
        <f>IFERROR(__xludf.DUMMYFUNCTION("""COMPUTED_VALUE"""),"Content")</f>
        <v>Content</v>
      </c>
      <c r="G830" s="31" t="str">
        <f>IFERROR(__xludf.DUMMYFUNCTION("""COMPUTED_VALUE"""),"adityasalgaonkar77@gmail.com")</f>
        <v>adityasalgaonkar77@gmail.com</v>
      </c>
      <c r="H830" s="31" t="str">
        <f>IFERROR(__xludf.DUMMYFUNCTION("""COMPUTED_VALUE"""),"Vengadesan Devagourou")</f>
        <v>Vengadesan Devagourou</v>
      </c>
      <c r="I830" s="75">
        <f>IFERROR(__xludf.DUMMYFUNCTION("""COMPUTED_VALUE"""),46034.0)</f>
        <v>46034</v>
      </c>
      <c r="J830" s="31" t="str">
        <f>IFERROR(__xludf.DUMMYFUNCTION("""COMPUTED_VALUE"""),"Jaya Tiwari")</f>
        <v>Jaya Tiwari</v>
      </c>
      <c r="K830" s="31" t="str">
        <f>IFERROR(__xludf.DUMMYFUNCTION("""COMPUTED_VALUE"""),"Joined")</f>
        <v>Joined</v>
      </c>
      <c r="L830" s="31" t="str">
        <f>IFERROR(__xludf.DUMMYFUNCTION("""COMPUTED_VALUE"""),"In Office")</f>
        <v>In Office</v>
      </c>
      <c r="M830" s="31" t="str">
        <f>IFERROR(__xludf.DUMMYFUNCTION("""COMPUTED_VALUE"""),"aditya.salgaonkar@zupee.in")</f>
        <v>aditya.salgaonkar@zupee.in</v>
      </c>
      <c r="N830" s="31"/>
    </row>
    <row r="831">
      <c r="A831" s="74">
        <f>IFERROR(__xludf.DUMMYFUNCTION("""COMPUTED_VALUE"""),46055.0)</f>
        <v>46055</v>
      </c>
      <c r="B831" s="31" t="str">
        <f>IFERROR(__xludf.DUMMYFUNCTION("""COMPUTED_VALUE"""),"Prakash Sudhakar Bhatle")</f>
        <v>Prakash Sudhakar Bhatle</v>
      </c>
      <c r="C831" s="31" t="str">
        <f>IFERROR(__xludf.DUMMYFUNCTION("""COMPUTED_VALUE"""),"Vertical Tv")</f>
        <v>Vertical Tv</v>
      </c>
      <c r="D831" s="31">
        <f>IFERROR(__xludf.DUMMYFUNCTION("""COMPUTED_VALUE"""),9.930613916E9)</f>
        <v>9930613916</v>
      </c>
      <c r="E831" s="31" t="str">
        <f>IFERROR(__xludf.DUMMYFUNCTION("""COMPUTED_VALUE"""),"Video Editor")</f>
        <v>Video Editor</v>
      </c>
      <c r="F831" s="31" t="str">
        <f>IFERROR(__xludf.DUMMYFUNCTION("""COMPUTED_VALUE"""),"Content")</f>
        <v>Content</v>
      </c>
      <c r="G831" s="31" t="str">
        <f>IFERROR(__xludf.DUMMYFUNCTION("""COMPUTED_VALUE"""),"prakash.bhatle@gmail.com")</f>
        <v>prakash.bhatle@gmail.com</v>
      </c>
      <c r="H831" s="31" t="str">
        <f>IFERROR(__xludf.DUMMYFUNCTION("""COMPUTED_VALUE"""),"Mohit Shandilya")</f>
        <v>Mohit Shandilya</v>
      </c>
      <c r="I831" s="75">
        <f>IFERROR(__xludf.DUMMYFUNCTION("""COMPUTED_VALUE"""),46034.0)</f>
        <v>46034</v>
      </c>
      <c r="J831" s="31" t="str">
        <f>IFERROR(__xludf.DUMMYFUNCTION("""COMPUTED_VALUE"""),"Vipin Kumar")</f>
        <v>Vipin Kumar</v>
      </c>
      <c r="K831" s="31" t="str">
        <f>IFERROR(__xludf.DUMMYFUNCTION("""COMPUTED_VALUE"""),"Offer Accepted")</f>
        <v>Offer Accepted</v>
      </c>
      <c r="L831" s="31" t="str">
        <f>IFERROR(__xludf.DUMMYFUNCTION("""COMPUTED_VALUE"""),"In Office")</f>
        <v>In Office</v>
      </c>
      <c r="M831" s="31" t="str">
        <f>IFERROR(__xludf.DUMMYFUNCTION("""COMPUTED_VALUE"""),"prakash.bhatle@zupee.in")</f>
        <v>prakash.bhatle@zupee.in</v>
      </c>
      <c r="N831" s="31"/>
    </row>
    <row r="832">
      <c r="A832" s="74">
        <f>IFERROR(__xludf.DUMMYFUNCTION("""COMPUTED_VALUE"""),46055.0)</f>
        <v>46055</v>
      </c>
      <c r="B832" s="31" t="str">
        <f>IFERROR(__xludf.DUMMYFUNCTION("""COMPUTED_VALUE"""),"Kunal Khatri ")</f>
        <v>Kunal Khatri </v>
      </c>
      <c r="C832" s="31" t="str">
        <f>IFERROR(__xludf.DUMMYFUNCTION("""COMPUTED_VALUE"""),"Finance")</f>
        <v>Finance</v>
      </c>
      <c r="D832" s="31">
        <f>IFERROR(__xludf.DUMMYFUNCTION("""COMPUTED_VALUE"""),7.906888501E9)</f>
        <v>7906888501</v>
      </c>
      <c r="E832" s="31" t="str">
        <f>IFERROR(__xludf.DUMMYFUNCTION("""COMPUTED_VALUE"""),"Assistant Manager – Accounts Receivable &amp; Controllership")</f>
        <v>Assistant Manager – Accounts Receivable &amp; Controllership</v>
      </c>
      <c r="F832" s="31" t="str">
        <f>IFERROR(__xludf.DUMMYFUNCTION("""COMPUTED_VALUE"""),"Controllership")</f>
        <v>Controllership</v>
      </c>
      <c r="G832" s="31" t="str">
        <f>IFERROR(__xludf.DUMMYFUNCTION("""COMPUTED_VALUE"""),"Kunal.khatri@mail.ca.in")</f>
        <v>Kunal.khatri@mail.ca.in</v>
      </c>
      <c r="H832" s="31" t="str">
        <f>IFERROR(__xludf.DUMMYFUNCTION("""COMPUTED_VALUE"""),"Aman Patni")</f>
        <v>Aman Patni</v>
      </c>
      <c r="I832" s="75">
        <f>IFERROR(__xludf.DUMMYFUNCTION("""COMPUTED_VALUE"""),46035.0)</f>
        <v>46035</v>
      </c>
      <c r="J832" s="31" t="str">
        <f>IFERROR(__xludf.DUMMYFUNCTION("""COMPUTED_VALUE"""),"Naina")</f>
        <v>Naina</v>
      </c>
      <c r="K832" s="31" t="str">
        <f>IFERROR(__xludf.DUMMYFUNCTION("""COMPUTED_VALUE"""),"Offer Revoked")</f>
        <v>Offer Revoked</v>
      </c>
      <c r="L832" s="31" t="str">
        <f>IFERROR(__xludf.DUMMYFUNCTION("""COMPUTED_VALUE"""),"In Office")</f>
        <v>In Office</v>
      </c>
      <c r="M832" s="31"/>
      <c r="N832" s="31"/>
    </row>
    <row r="833">
      <c r="A833" s="74">
        <f>IFERROR(__xludf.DUMMYFUNCTION("""COMPUTED_VALUE"""),46045.0)</f>
        <v>46045</v>
      </c>
      <c r="B833" s="31" t="str">
        <f>IFERROR(__xludf.DUMMYFUNCTION("""COMPUTED_VALUE"""),"Ryan Dsouza")</f>
        <v>Ryan Dsouza</v>
      </c>
      <c r="C833" s="31" t="str">
        <f>IFERROR(__xludf.DUMMYFUNCTION("""COMPUTED_VALUE"""),"Vertical Tv")</f>
        <v>Vertical Tv</v>
      </c>
      <c r="D833" s="31">
        <f>IFERROR(__xludf.DUMMYFUNCTION("""COMPUTED_VALUE"""),8.779797773E9)</f>
        <v>8779797773</v>
      </c>
      <c r="E833" s="31" t="str">
        <f>IFERROR(__xludf.DUMMYFUNCTION("""COMPUTED_VALUE"""),"Music Producer")</f>
        <v>Music Producer</v>
      </c>
      <c r="F833" s="31" t="str">
        <f>IFERROR(__xludf.DUMMYFUNCTION("""COMPUTED_VALUE"""),"Content")</f>
        <v>Content</v>
      </c>
      <c r="G833" s="31" t="str">
        <f>IFERROR(__xludf.DUMMYFUNCTION("""COMPUTED_VALUE"""),"ryan13.dsouza@gmail.com")</f>
        <v>ryan13.dsouza@gmail.com</v>
      </c>
      <c r="H833" s="31" t="str">
        <f>IFERROR(__xludf.DUMMYFUNCTION("""COMPUTED_VALUE"""),"Mohit Shandilya")</f>
        <v>Mohit Shandilya</v>
      </c>
      <c r="I833" s="75">
        <f>IFERROR(__xludf.DUMMYFUNCTION("""COMPUTED_VALUE"""),46035.0)</f>
        <v>46035</v>
      </c>
      <c r="J833" s="31" t="str">
        <f>IFERROR(__xludf.DUMMYFUNCTION("""COMPUTED_VALUE"""),"Cheshtha Sharma")</f>
        <v>Cheshtha Sharma</v>
      </c>
      <c r="K833" s="31" t="str">
        <f>IFERROR(__xludf.DUMMYFUNCTION("""COMPUTED_VALUE"""),"Joined")</f>
        <v>Joined</v>
      </c>
      <c r="L833" s="31" t="str">
        <f>IFERROR(__xludf.DUMMYFUNCTION("""COMPUTED_VALUE"""),"In Office")</f>
        <v>In Office</v>
      </c>
      <c r="M833" s="31" t="str">
        <f>IFERROR(__xludf.DUMMYFUNCTION("""COMPUTED_VALUE"""),"ryan.dsouza@zupee.in")</f>
        <v>ryan.dsouza@zupee.in</v>
      </c>
      <c r="N833" s="31"/>
    </row>
    <row r="834">
      <c r="A834" s="74">
        <f>IFERROR(__xludf.DUMMYFUNCTION("""COMPUTED_VALUE"""),46083.0)</f>
        <v>46083</v>
      </c>
      <c r="B834" s="31" t="str">
        <f>IFERROR(__xludf.DUMMYFUNCTION("""COMPUTED_VALUE"""),"Shreya Chhabra")</f>
        <v>Shreya Chhabra</v>
      </c>
      <c r="C834" s="31" t="str">
        <f>IFERROR(__xludf.DUMMYFUNCTION("""COMPUTED_VALUE"""),"Brand Marketing")</f>
        <v>Brand Marketing</v>
      </c>
      <c r="D834" s="31">
        <f>IFERROR(__xludf.DUMMYFUNCTION("""COMPUTED_VALUE"""),9.136229232E9)</f>
        <v>9136229232</v>
      </c>
      <c r="E834" s="31" t="str">
        <f>IFERROR(__xludf.DUMMYFUNCTION("""COMPUTED_VALUE"""),"Marketing Intern")</f>
        <v>Marketing Intern</v>
      </c>
      <c r="F834" s="31" t="str">
        <f>IFERROR(__xludf.DUMMYFUNCTION("""COMPUTED_VALUE"""),"Brand")</f>
        <v>Brand</v>
      </c>
      <c r="G834" s="31" t="str">
        <f>IFERROR(__xludf.DUMMYFUNCTION("""COMPUTED_VALUE"""),"schhabra0710@gmail.com")</f>
        <v>schhabra0710@gmail.com</v>
      </c>
      <c r="H834" s="31" t="str">
        <f>IFERROR(__xludf.DUMMYFUNCTION("""COMPUTED_VALUE"""),"Anmol")</f>
        <v>Anmol</v>
      </c>
      <c r="I834" s="75">
        <f>IFERROR(__xludf.DUMMYFUNCTION("""COMPUTED_VALUE"""),46079.0)</f>
        <v>46079</v>
      </c>
      <c r="J834" s="31" t="str">
        <f>IFERROR(__xludf.DUMMYFUNCTION("""COMPUTED_VALUE"""),"Vipin Kumar")</f>
        <v>Vipin Kumar</v>
      </c>
      <c r="K834" s="31" t="str">
        <f>IFERROR(__xludf.DUMMYFUNCTION("""COMPUTED_VALUE"""),"Joined")</f>
        <v>Joined</v>
      </c>
      <c r="L834" s="31" t="str">
        <f>IFERROR(__xludf.DUMMYFUNCTION("""COMPUTED_VALUE"""),"In Office")</f>
        <v>In Office</v>
      </c>
      <c r="M834" s="31" t="str">
        <f>IFERROR(__xludf.DUMMYFUNCTION("""COMPUTED_VALUE"""),"shreya.chhabra@zupee.in")</f>
        <v>shreya.chhabra@zupee.in</v>
      </c>
      <c r="N834" s="31" t="str">
        <f>IFERROR(__xludf.DUMMYFUNCTION("""COMPUTED_VALUE"""),"G7C92FMWJ4")</f>
        <v>G7C92FMWJ4</v>
      </c>
    </row>
    <row r="835">
      <c r="A835" s="74">
        <f>IFERROR(__xludf.DUMMYFUNCTION("""COMPUTED_VALUE"""),46084.0)</f>
        <v>46084</v>
      </c>
      <c r="B835" s="31" t="str">
        <f>IFERROR(__xludf.DUMMYFUNCTION("""COMPUTED_VALUE"""),"Yash Sinha")</f>
        <v>Yash Sinha</v>
      </c>
      <c r="C835" s="31" t="str">
        <f>IFERROR(__xludf.DUMMYFUNCTION("""COMPUTED_VALUE"""),"Technology")</f>
        <v>Technology</v>
      </c>
      <c r="D835" s="31">
        <f>IFERROR(__xludf.DUMMYFUNCTION("""COMPUTED_VALUE"""),8.800765105E9)</f>
        <v>8800765105</v>
      </c>
      <c r="E835" s="31" t="str">
        <f>IFERROR(__xludf.DUMMYFUNCTION("""COMPUTED_VALUE"""),"Software Engineer Intern")</f>
        <v>Software Engineer Intern</v>
      </c>
      <c r="F835" s="31" t="str">
        <f>IFERROR(__xludf.DUMMYFUNCTION("""COMPUTED_VALUE"""),"Engineering ")</f>
        <v>Engineering </v>
      </c>
      <c r="G835" s="31" t="str">
        <f>IFERROR(__xludf.DUMMYFUNCTION("""COMPUTED_VALUE"""),"yashsinha680@gmail.com")</f>
        <v>yashsinha680@gmail.com</v>
      </c>
      <c r="H835" s="31" t="str">
        <f>IFERROR(__xludf.DUMMYFUNCTION("""COMPUTED_VALUE"""),"Piyush Shukla")</f>
        <v>Piyush Shukla</v>
      </c>
      <c r="I835" s="75">
        <f>IFERROR(__xludf.DUMMYFUNCTION("""COMPUTED_VALUE"""),46083.0)</f>
        <v>46083</v>
      </c>
      <c r="J835" s="31" t="str">
        <f>IFERROR(__xludf.DUMMYFUNCTION("""COMPUTED_VALUE"""),"Vipin Kumar")</f>
        <v>Vipin Kumar</v>
      </c>
      <c r="K835" s="31" t="str">
        <f>IFERROR(__xludf.DUMMYFUNCTION("""COMPUTED_VALUE"""),"Joined")</f>
        <v>Joined</v>
      </c>
      <c r="L835" s="31" t="str">
        <f>IFERROR(__xludf.DUMMYFUNCTION("""COMPUTED_VALUE"""),"In Office")</f>
        <v>In Office</v>
      </c>
      <c r="M835" s="31" t="str">
        <f>IFERROR(__xludf.DUMMYFUNCTION("""COMPUTED_VALUE"""),"yash.sinha@zupee.in")</f>
        <v>yash.sinha@zupee.in</v>
      </c>
      <c r="N835" s="31" t="str">
        <f>IFERROR(__xludf.DUMMYFUNCTION("""COMPUTED_VALUE"""),"JDW2MJYH2C")</f>
        <v>JDW2MJYH2C</v>
      </c>
    </row>
    <row r="836">
      <c r="A836" s="74">
        <f>IFERROR(__xludf.DUMMYFUNCTION("""COMPUTED_VALUE"""),46084.0)</f>
        <v>46084</v>
      </c>
      <c r="B836" s="31" t="str">
        <f>IFERROR(__xludf.DUMMYFUNCTION("""COMPUTED_VALUE"""),"Lakshay sharma ")</f>
        <v>Lakshay sharma </v>
      </c>
      <c r="C836" s="31" t="str">
        <f>IFERROR(__xludf.DUMMYFUNCTION("""COMPUTED_VALUE"""),"Technology")</f>
        <v>Technology</v>
      </c>
      <c r="D836" s="31">
        <f>IFERROR(__xludf.DUMMYFUNCTION("""COMPUTED_VALUE"""),7.827868853E9)</f>
        <v>7827868853</v>
      </c>
      <c r="E836" s="31" t="str">
        <f>IFERROR(__xludf.DUMMYFUNCTION("""COMPUTED_VALUE"""),"Software Engineer Intern")</f>
        <v>Software Engineer Intern</v>
      </c>
      <c r="F836" s="31" t="str">
        <f>IFERROR(__xludf.DUMMYFUNCTION("""COMPUTED_VALUE"""),"Engineering ")</f>
        <v>Engineering </v>
      </c>
      <c r="G836" s="31" t="str">
        <f>IFERROR(__xludf.DUMMYFUNCTION("""COMPUTED_VALUE"""),"Laakshaysharma03@gmail.com")</f>
        <v>Laakshaysharma03@gmail.com</v>
      </c>
      <c r="H836" s="31" t="str">
        <f>IFERROR(__xludf.DUMMYFUNCTION("""COMPUTED_VALUE"""),"Piyush Shukla")</f>
        <v>Piyush Shukla</v>
      </c>
      <c r="I836" s="75">
        <f>IFERROR(__xludf.DUMMYFUNCTION("""COMPUTED_VALUE"""),46083.0)</f>
        <v>46083</v>
      </c>
      <c r="J836" s="31" t="str">
        <f>IFERROR(__xludf.DUMMYFUNCTION("""COMPUTED_VALUE"""),"Vipin Kumar")</f>
        <v>Vipin Kumar</v>
      </c>
      <c r="K836" s="31" t="str">
        <f>IFERROR(__xludf.DUMMYFUNCTION("""COMPUTED_VALUE"""),"Joined")</f>
        <v>Joined</v>
      </c>
      <c r="L836" s="31" t="str">
        <f>IFERROR(__xludf.DUMMYFUNCTION("""COMPUTED_VALUE"""),"In Office")</f>
        <v>In Office</v>
      </c>
      <c r="M836" s="31" t="str">
        <f>IFERROR(__xludf.DUMMYFUNCTION("""COMPUTED_VALUE"""),"lakshay.sharma@zupee.in")</f>
        <v>lakshay.sharma@zupee.in</v>
      </c>
      <c r="N836" s="31" t="str">
        <f>IFERROR(__xludf.DUMMYFUNCTION("""COMPUTED_VALUE"""),"H54G2QXMM6")</f>
        <v>H54G2QXMM6</v>
      </c>
    </row>
    <row r="837">
      <c r="A837" s="74">
        <f>IFERROR(__xludf.DUMMYFUNCTION("""COMPUTED_VALUE"""),46087.0)</f>
        <v>46087</v>
      </c>
      <c r="B837" s="31" t="str">
        <f>IFERROR(__xludf.DUMMYFUNCTION("""COMPUTED_VALUE"""),"Navin Kumar")</f>
        <v>Navin Kumar</v>
      </c>
      <c r="C837" s="31" t="str">
        <f>IFERROR(__xludf.DUMMYFUNCTION("""COMPUTED_VALUE"""),"Technology")</f>
        <v>Technology</v>
      </c>
      <c r="D837" s="31">
        <f>IFERROR(__xludf.DUMMYFUNCTION("""COMPUTED_VALUE"""),8.102329113E9)</f>
        <v>8102329113</v>
      </c>
      <c r="E837" s="31" t="str">
        <f>IFERROR(__xludf.DUMMYFUNCTION("""COMPUTED_VALUE"""),"Software Engineer Intern")</f>
        <v>Software Engineer Intern</v>
      </c>
      <c r="F837" s="31" t="str">
        <f>IFERROR(__xludf.DUMMYFUNCTION("""COMPUTED_VALUE"""),"Engineering ")</f>
        <v>Engineering </v>
      </c>
      <c r="G837" s="31" t="str">
        <f>IFERROR(__xludf.DUMMYFUNCTION("""COMPUTED_VALUE"""),"navinpal512002@gmail.com")</f>
        <v>navinpal512002@gmail.com</v>
      </c>
      <c r="H837" s="31" t="str">
        <f>IFERROR(__xludf.DUMMYFUNCTION("""COMPUTED_VALUE"""),"Piyush Shukla")</f>
        <v>Piyush Shukla</v>
      </c>
      <c r="I837" s="75">
        <f>IFERROR(__xludf.DUMMYFUNCTION("""COMPUTED_VALUE"""),46086.0)</f>
        <v>46086</v>
      </c>
      <c r="J837" s="31" t="str">
        <f>IFERROR(__xludf.DUMMYFUNCTION("""COMPUTED_VALUE"""),"Vipin Kumar")</f>
        <v>Vipin Kumar</v>
      </c>
      <c r="K837" s="31" t="str">
        <f>IFERROR(__xludf.DUMMYFUNCTION("""COMPUTED_VALUE"""),"Joined")</f>
        <v>Joined</v>
      </c>
      <c r="L837" s="31" t="str">
        <f>IFERROR(__xludf.DUMMYFUNCTION("""COMPUTED_VALUE"""),"In Office")</f>
        <v>In Office</v>
      </c>
      <c r="M837" s="31" t="str">
        <f>IFERROR(__xludf.DUMMYFUNCTION("""COMPUTED_VALUE"""),"navin.kumar@zupee.in")</f>
        <v>navin.kumar@zupee.in</v>
      </c>
      <c r="N837" s="31" t="str">
        <f>IFERROR(__xludf.DUMMYFUNCTION("""COMPUTED_VALUE"""),"MVX3QF6H51")</f>
        <v>MVX3QF6H51</v>
      </c>
    </row>
    <row r="838">
      <c r="A838" s="74">
        <f>IFERROR(__xludf.DUMMYFUNCTION("""COMPUTED_VALUE"""),46106.0)</f>
        <v>46106</v>
      </c>
      <c r="B838" s="31" t="str">
        <f>IFERROR(__xludf.DUMMYFUNCTION("""COMPUTED_VALUE"""),"Pratiksha Kumari")</f>
        <v>Pratiksha Kumari</v>
      </c>
      <c r="C838" s="31" t="str">
        <f>IFERROR(__xludf.DUMMYFUNCTION("""COMPUTED_VALUE"""),"Digital Marketing")</f>
        <v>Digital Marketing</v>
      </c>
      <c r="D838" s="31">
        <f>IFERROR(__xludf.DUMMYFUNCTION("""COMPUTED_VALUE"""),9.135347758E9)</f>
        <v>9135347758</v>
      </c>
      <c r="E838" s="31" t="str">
        <f>IFERROR(__xludf.DUMMYFUNCTION("""COMPUTED_VALUE"""),"Content Writer")</f>
        <v>Content Writer</v>
      </c>
      <c r="F838" s="31" t="str">
        <f>IFERROR(__xludf.DUMMYFUNCTION("""COMPUTED_VALUE"""),"SEO/ASO")</f>
        <v>SEO/ASO</v>
      </c>
      <c r="G838" s="31" t="str">
        <f>IFERROR(__xludf.DUMMYFUNCTION("""COMPUTED_VALUE"""),"pratikshapandey1124@gmail.com")</f>
        <v>pratikshapandey1124@gmail.com</v>
      </c>
      <c r="H838" s="31" t="str">
        <f>IFERROR(__xludf.DUMMYFUNCTION("""COMPUTED_VALUE"""),"Saumil Shah")</f>
        <v>Saumil Shah</v>
      </c>
      <c r="I838" s="75">
        <f>IFERROR(__xludf.DUMMYFUNCTION("""COMPUTED_VALUE"""),46093.0)</f>
        <v>46093</v>
      </c>
      <c r="J838" s="31" t="str">
        <f>IFERROR(__xludf.DUMMYFUNCTION("""COMPUTED_VALUE"""),"Vipin Kumar")</f>
        <v>Vipin Kumar</v>
      </c>
      <c r="K838" s="31" t="str">
        <f>IFERROR(__xludf.DUMMYFUNCTION("""COMPUTED_VALUE"""),"Offer Accepted")</f>
        <v>Offer Accepted</v>
      </c>
      <c r="L838" s="31" t="str">
        <f>IFERROR(__xludf.DUMMYFUNCTION("""COMPUTED_VALUE"""),"In Office")</f>
        <v>In Office</v>
      </c>
      <c r="M838" s="31"/>
      <c r="N838" s="31"/>
    </row>
    <row r="839">
      <c r="A839" s="74"/>
      <c r="B839" s="31"/>
      <c r="C839" s="31"/>
      <c r="D839" s="31"/>
      <c r="E839" s="31"/>
      <c r="F839" s="31"/>
      <c r="G839" s="31"/>
      <c r="H839" s="31"/>
      <c r="I839" s="75"/>
      <c r="J839" s="31"/>
      <c r="K839" s="31"/>
      <c r="L839" s="31"/>
      <c r="M839" s="31"/>
      <c r="N839" s="31"/>
    </row>
    <row r="840">
      <c r="A840" s="74"/>
      <c r="B840" s="31"/>
      <c r="C840" s="31"/>
      <c r="D840" s="31"/>
      <c r="E840" s="31"/>
      <c r="F840" s="31"/>
      <c r="G840" s="31"/>
      <c r="H840" s="31"/>
      <c r="I840" s="75"/>
      <c r="J840" s="31"/>
      <c r="K840" s="31"/>
      <c r="L840" s="31"/>
      <c r="M840" s="31"/>
      <c r="N840" s="31"/>
    </row>
    <row r="841">
      <c r="A841" s="74"/>
      <c r="B841" s="31"/>
      <c r="C841" s="31"/>
      <c r="D841" s="31"/>
      <c r="E841" s="31"/>
      <c r="F841" s="31"/>
      <c r="G841" s="31"/>
      <c r="H841" s="31"/>
      <c r="I841" s="75"/>
      <c r="J841" s="31"/>
      <c r="K841" s="31"/>
      <c r="L841" s="31"/>
      <c r="M841" s="31"/>
      <c r="N841" s="31"/>
    </row>
    <row r="842">
      <c r="A842" s="74"/>
      <c r="B842" s="31"/>
      <c r="C842" s="31"/>
      <c r="D842" s="31"/>
      <c r="E842" s="31"/>
      <c r="F842" s="31"/>
      <c r="G842" s="31"/>
      <c r="H842" s="31"/>
      <c r="I842" s="75"/>
      <c r="J842" s="31"/>
      <c r="K842" s="31"/>
      <c r="L842" s="31"/>
      <c r="M842" s="31"/>
      <c r="N842" s="31"/>
    </row>
    <row r="843">
      <c r="A843" s="74"/>
      <c r="B843" s="31"/>
      <c r="C843" s="31"/>
      <c r="D843" s="31"/>
      <c r="E843" s="31"/>
      <c r="F843" s="31"/>
      <c r="G843" s="31"/>
      <c r="H843" s="31"/>
      <c r="I843" s="75"/>
      <c r="J843" s="31"/>
      <c r="K843" s="31"/>
      <c r="L843" s="31"/>
      <c r="M843" s="31"/>
      <c r="N843" s="31"/>
    </row>
    <row r="844">
      <c r="A844" s="74"/>
      <c r="B844" s="31"/>
      <c r="C844" s="31"/>
      <c r="D844" s="31"/>
      <c r="E844" s="31"/>
      <c r="F844" s="31"/>
      <c r="G844" s="31"/>
      <c r="H844" s="31"/>
      <c r="I844" s="75"/>
      <c r="J844" s="31"/>
      <c r="K844" s="31"/>
      <c r="L844" s="31"/>
      <c r="M844" s="31"/>
      <c r="N844" s="31"/>
    </row>
    <row r="845">
      <c r="A845" s="74"/>
      <c r="B845" s="31"/>
      <c r="C845" s="31"/>
      <c r="D845" s="31"/>
      <c r="E845" s="31"/>
      <c r="F845" s="31"/>
      <c r="G845" s="31"/>
      <c r="H845" s="31"/>
      <c r="I845" s="75"/>
      <c r="J845" s="31"/>
      <c r="K845" s="31"/>
      <c r="L845" s="31"/>
      <c r="M845" s="31"/>
      <c r="N845" s="31"/>
    </row>
    <row r="846">
      <c r="A846" s="74"/>
      <c r="B846" s="31"/>
      <c r="C846" s="31"/>
      <c r="D846" s="31"/>
      <c r="E846" s="31"/>
      <c r="F846" s="31"/>
      <c r="G846" s="31"/>
      <c r="H846" s="31"/>
      <c r="I846" s="75"/>
      <c r="J846" s="31"/>
      <c r="K846" s="31"/>
      <c r="L846" s="31"/>
      <c r="M846" s="31"/>
      <c r="N846" s="31"/>
    </row>
    <row r="847">
      <c r="A847" s="74"/>
      <c r="B847" s="31"/>
      <c r="C847" s="31"/>
      <c r="D847" s="31"/>
      <c r="E847" s="31"/>
      <c r="F847" s="31"/>
      <c r="G847" s="31"/>
      <c r="H847" s="31"/>
      <c r="I847" s="75"/>
      <c r="J847" s="31"/>
      <c r="K847" s="31"/>
      <c r="L847" s="31"/>
      <c r="M847" s="31"/>
      <c r="N847" s="31"/>
    </row>
    <row r="848">
      <c r="A848" s="74"/>
      <c r="B848" s="31"/>
      <c r="C848" s="31"/>
      <c r="D848" s="31"/>
      <c r="E848" s="31"/>
      <c r="F848" s="31"/>
      <c r="G848" s="31"/>
      <c r="H848" s="31"/>
      <c r="I848" s="75"/>
      <c r="J848" s="31"/>
      <c r="K848" s="31"/>
      <c r="L848" s="31"/>
      <c r="M848" s="31"/>
      <c r="N848" s="31"/>
    </row>
    <row r="849">
      <c r="A849" s="74"/>
      <c r="B849" s="31"/>
      <c r="C849" s="31"/>
      <c r="D849" s="31"/>
      <c r="E849" s="31"/>
      <c r="F849" s="31"/>
      <c r="G849" s="31"/>
      <c r="H849" s="31"/>
      <c r="I849" s="75"/>
      <c r="J849" s="31"/>
      <c r="K849" s="31"/>
      <c r="L849" s="31"/>
      <c r="M849" s="31"/>
      <c r="N849" s="31"/>
    </row>
    <row r="850">
      <c r="A850" s="74"/>
      <c r="B850" s="31"/>
      <c r="C850" s="31"/>
      <c r="D850" s="31"/>
      <c r="E850" s="31"/>
      <c r="F850" s="31"/>
      <c r="G850" s="31"/>
      <c r="H850" s="31"/>
      <c r="I850" s="75"/>
      <c r="J850" s="31"/>
      <c r="K850" s="31"/>
      <c r="L850" s="31"/>
      <c r="M850" s="31"/>
      <c r="N850" s="31"/>
    </row>
    <row r="851">
      <c r="A851" s="74"/>
      <c r="B851" s="31"/>
      <c r="C851" s="31"/>
      <c r="D851" s="31"/>
      <c r="E851" s="31"/>
      <c r="F851" s="31"/>
      <c r="G851" s="31"/>
      <c r="H851" s="31"/>
      <c r="I851" s="75"/>
      <c r="J851" s="31"/>
      <c r="K851" s="31"/>
      <c r="L851" s="31"/>
      <c r="M851" s="31"/>
      <c r="N851" s="31"/>
    </row>
    <row r="852">
      <c r="A852" s="74"/>
      <c r="B852" s="31"/>
      <c r="C852" s="31"/>
      <c r="D852" s="31"/>
      <c r="E852" s="31"/>
      <c r="F852" s="31"/>
      <c r="G852" s="31"/>
      <c r="H852" s="31"/>
      <c r="I852" s="75"/>
      <c r="J852" s="31"/>
      <c r="K852" s="31"/>
      <c r="L852" s="31"/>
      <c r="M852" s="31"/>
      <c r="N852" s="31"/>
    </row>
    <row r="853">
      <c r="A853" s="74"/>
      <c r="B853" s="31"/>
      <c r="C853" s="31"/>
      <c r="D853" s="31"/>
      <c r="E853" s="31"/>
      <c r="F853" s="31"/>
      <c r="G853" s="31"/>
      <c r="H853" s="31"/>
      <c r="I853" s="75"/>
      <c r="J853" s="31"/>
      <c r="K853" s="31"/>
      <c r="L853" s="31"/>
      <c r="M853" s="31"/>
      <c r="N853" s="31"/>
    </row>
    <row r="854">
      <c r="A854" s="74"/>
      <c r="B854" s="31"/>
      <c r="C854" s="31"/>
      <c r="D854" s="31"/>
      <c r="E854" s="31"/>
      <c r="F854" s="31"/>
      <c r="G854" s="31"/>
      <c r="H854" s="31"/>
      <c r="I854" s="75"/>
      <c r="J854" s="31"/>
      <c r="K854" s="31"/>
      <c r="L854" s="31"/>
      <c r="M854" s="31"/>
      <c r="N854" s="31"/>
    </row>
    <row r="855">
      <c r="A855" s="74"/>
      <c r="B855" s="31"/>
      <c r="C855" s="31"/>
      <c r="D855" s="31"/>
      <c r="E855" s="31"/>
      <c r="F855" s="31"/>
      <c r="G855" s="31"/>
      <c r="H855" s="31"/>
      <c r="I855" s="75"/>
      <c r="J855" s="31"/>
      <c r="K855" s="31"/>
      <c r="L855" s="31"/>
      <c r="M855" s="31"/>
      <c r="N855" s="31"/>
    </row>
    <row r="856">
      <c r="A856" s="74"/>
      <c r="B856" s="31"/>
      <c r="C856" s="31"/>
      <c r="D856" s="31"/>
      <c r="E856" s="31"/>
      <c r="F856" s="31"/>
      <c r="G856" s="31"/>
      <c r="H856" s="31"/>
      <c r="I856" s="75"/>
      <c r="J856" s="31"/>
      <c r="K856" s="31"/>
      <c r="L856" s="31"/>
      <c r="M856" s="31"/>
      <c r="N856" s="31"/>
    </row>
    <row r="857">
      <c r="A857" s="74"/>
      <c r="B857" s="31"/>
      <c r="C857" s="31"/>
      <c r="D857" s="31"/>
      <c r="E857" s="31"/>
      <c r="F857" s="31"/>
      <c r="G857" s="31"/>
      <c r="H857" s="31"/>
      <c r="I857" s="75"/>
      <c r="J857" s="31"/>
      <c r="K857" s="31"/>
      <c r="L857" s="31"/>
      <c r="M857" s="31"/>
      <c r="N857" s="31"/>
    </row>
    <row r="858">
      <c r="A858" s="74"/>
      <c r="B858" s="31"/>
      <c r="C858" s="31"/>
      <c r="D858" s="31"/>
      <c r="E858" s="31"/>
      <c r="F858" s="31"/>
      <c r="G858" s="31"/>
      <c r="H858" s="31"/>
      <c r="I858" s="75"/>
      <c r="J858" s="31"/>
      <c r="K858" s="31"/>
      <c r="L858" s="31"/>
      <c r="M858" s="31"/>
      <c r="N858" s="31"/>
    </row>
    <row r="859">
      <c r="A859" s="74"/>
      <c r="B859" s="31"/>
      <c r="C859" s="31"/>
      <c r="D859" s="31"/>
      <c r="E859" s="31"/>
      <c r="F859" s="31"/>
      <c r="G859" s="31"/>
      <c r="H859" s="31"/>
      <c r="I859" s="75"/>
      <c r="J859" s="31"/>
      <c r="K859" s="31"/>
      <c r="L859" s="31"/>
      <c r="M859" s="31"/>
      <c r="N859" s="31"/>
    </row>
    <row r="860">
      <c r="A860" s="74"/>
      <c r="B860" s="31"/>
      <c r="C860" s="31"/>
      <c r="D860" s="31"/>
      <c r="E860" s="31"/>
      <c r="F860" s="31"/>
      <c r="G860" s="31"/>
      <c r="H860" s="31"/>
      <c r="I860" s="75"/>
      <c r="J860" s="31"/>
      <c r="K860" s="31"/>
      <c r="L860" s="31"/>
      <c r="M860" s="31"/>
      <c r="N860" s="31"/>
    </row>
    <row r="861">
      <c r="A861" s="74"/>
      <c r="B861" s="31"/>
      <c r="C861" s="31"/>
      <c r="D861" s="31"/>
      <c r="E861" s="31"/>
      <c r="F861" s="31"/>
      <c r="G861" s="31"/>
      <c r="H861" s="31"/>
      <c r="I861" s="75"/>
      <c r="J861" s="31"/>
      <c r="K861" s="31"/>
      <c r="L861" s="31"/>
      <c r="M861" s="31"/>
      <c r="N861" s="31"/>
    </row>
    <row r="862">
      <c r="A862" s="74"/>
      <c r="B862" s="31"/>
      <c r="C862" s="31"/>
      <c r="D862" s="31"/>
      <c r="E862" s="31"/>
      <c r="F862" s="31"/>
      <c r="G862" s="31"/>
      <c r="H862" s="31"/>
      <c r="I862" s="75"/>
      <c r="J862" s="31"/>
      <c r="K862" s="31"/>
      <c r="L862" s="31"/>
      <c r="M862" s="31"/>
      <c r="N862" s="31"/>
    </row>
    <row r="863">
      <c r="A863" s="74"/>
      <c r="B863" s="31"/>
      <c r="C863" s="31"/>
      <c r="D863" s="31"/>
      <c r="E863" s="31"/>
      <c r="F863" s="31"/>
      <c r="G863" s="31"/>
      <c r="H863" s="31"/>
      <c r="I863" s="75"/>
      <c r="J863" s="31"/>
      <c r="K863" s="31"/>
      <c r="L863" s="31"/>
      <c r="M863" s="31"/>
      <c r="N863" s="31"/>
    </row>
    <row r="864">
      <c r="A864" s="74"/>
      <c r="B864" s="31"/>
      <c r="C864" s="31"/>
      <c r="D864" s="31"/>
      <c r="E864" s="31"/>
      <c r="F864" s="31"/>
      <c r="G864" s="31"/>
      <c r="H864" s="31"/>
      <c r="I864" s="75"/>
      <c r="J864" s="31"/>
      <c r="K864" s="31"/>
      <c r="L864" s="31"/>
      <c r="M864" s="31"/>
      <c r="N864" s="31"/>
    </row>
    <row r="865">
      <c r="A865" s="74"/>
      <c r="B865" s="31"/>
      <c r="C865" s="31"/>
      <c r="D865" s="31"/>
      <c r="E865" s="31"/>
      <c r="F865" s="31"/>
      <c r="G865" s="31"/>
      <c r="H865" s="31"/>
      <c r="I865" s="75"/>
      <c r="J865" s="31"/>
      <c r="K865" s="31"/>
      <c r="L865" s="31"/>
      <c r="M865" s="31"/>
      <c r="N865" s="31"/>
    </row>
    <row r="866">
      <c r="A866" s="74"/>
      <c r="B866" s="31"/>
      <c r="C866" s="31"/>
      <c r="D866" s="31"/>
      <c r="E866" s="31"/>
      <c r="F866" s="31"/>
      <c r="G866" s="31"/>
      <c r="H866" s="31"/>
      <c r="I866" s="75"/>
      <c r="J866" s="31"/>
      <c r="K866" s="31"/>
      <c r="L866" s="31"/>
      <c r="M866" s="31"/>
      <c r="N866" s="31"/>
    </row>
    <row r="867">
      <c r="A867" s="74"/>
      <c r="B867" s="31"/>
      <c r="C867" s="31"/>
      <c r="D867" s="31"/>
      <c r="E867" s="31"/>
      <c r="F867" s="31"/>
      <c r="G867" s="31"/>
      <c r="H867" s="31"/>
      <c r="I867" s="75"/>
      <c r="J867" s="31"/>
      <c r="K867" s="31"/>
      <c r="L867" s="31"/>
      <c r="M867" s="31"/>
      <c r="N867" s="31"/>
    </row>
    <row r="868">
      <c r="A868" s="74"/>
      <c r="B868" s="31"/>
      <c r="C868" s="31"/>
      <c r="D868" s="31"/>
      <c r="E868" s="31"/>
      <c r="F868" s="31"/>
      <c r="G868" s="31"/>
      <c r="H868" s="31"/>
      <c r="I868" s="75"/>
      <c r="J868" s="31"/>
      <c r="K868" s="31"/>
      <c r="L868" s="31"/>
      <c r="M868" s="31"/>
      <c r="N868" s="31"/>
    </row>
    <row r="869">
      <c r="A869" s="74"/>
      <c r="B869" s="31"/>
      <c r="C869" s="31"/>
      <c r="D869" s="31"/>
      <c r="E869" s="31"/>
      <c r="F869" s="31"/>
      <c r="G869" s="31"/>
      <c r="H869" s="31"/>
      <c r="I869" s="75"/>
      <c r="J869" s="31"/>
      <c r="K869" s="31"/>
      <c r="L869" s="31"/>
      <c r="M869" s="31"/>
      <c r="N869" s="31"/>
    </row>
    <row r="870">
      <c r="A870" s="74"/>
      <c r="B870" s="31"/>
      <c r="C870" s="31"/>
      <c r="D870" s="31"/>
      <c r="E870" s="31"/>
      <c r="F870" s="31"/>
      <c r="G870" s="31"/>
      <c r="H870" s="31"/>
      <c r="I870" s="75"/>
      <c r="J870" s="31"/>
      <c r="K870" s="31"/>
      <c r="L870" s="31"/>
      <c r="M870" s="31"/>
      <c r="N870" s="31"/>
    </row>
    <row r="871">
      <c r="A871" s="74"/>
      <c r="B871" s="31"/>
      <c r="C871" s="31"/>
      <c r="D871" s="31"/>
      <c r="E871" s="31"/>
      <c r="F871" s="31"/>
      <c r="G871" s="31"/>
      <c r="H871" s="31"/>
      <c r="I871" s="75"/>
      <c r="J871" s="31"/>
      <c r="K871" s="31"/>
      <c r="L871" s="31"/>
      <c r="M871" s="31"/>
      <c r="N871" s="31"/>
    </row>
    <row r="872">
      <c r="A872" s="74"/>
      <c r="B872" s="31"/>
      <c r="C872" s="31"/>
      <c r="D872" s="31"/>
      <c r="E872" s="31"/>
      <c r="F872" s="31"/>
      <c r="G872" s="31"/>
      <c r="H872" s="31"/>
      <c r="I872" s="75"/>
      <c r="J872" s="31"/>
      <c r="K872" s="31"/>
      <c r="L872" s="31"/>
      <c r="M872" s="31"/>
      <c r="N872" s="31"/>
    </row>
    <row r="873">
      <c r="A873" s="74"/>
      <c r="B873" s="31"/>
      <c r="C873" s="31"/>
      <c r="D873" s="31"/>
      <c r="E873" s="31"/>
      <c r="F873" s="31"/>
      <c r="G873" s="31"/>
      <c r="H873" s="31"/>
      <c r="I873" s="75"/>
      <c r="J873" s="31"/>
      <c r="K873" s="31"/>
      <c r="L873" s="31"/>
      <c r="M873" s="31"/>
      <c r="N873" s="31"/>
    </row>
    <row r="874">
      <c r="A874" s="74"/>
      <c r="B874" s="31"/>
      <c r="C874" s="31"/>
      <c r="D874" s="31"/>
      <c r="E874" s="31"/>
      <c r="F874" s="31"/>
      <c r="G874" s="31"/>
      <c r="H874" s="31"/>
      <c r="I874" s="75"/>
      <c r="J874" s="31"/>
      <c r="K874" s="31"/>
      <c r="L874" s="31"/>
      <c r="M874" s="31"/>
      <c r="N874" s="31"/>
    </row>
    <row r="875">
      <c r="A875" s="74"/>
      <c r="B875" s="31"/>
      <c r="C875" s="31"/>
      <c r="D875" s="31"/>
      <c r="E875" s="31"/>
      <c r="F875" s="31"/>
      <c r="G875" s="31"/>
      <c r="H875" s="31"/>
      <c r="I875" s="75"/>
      <c r="J875" s="31"/>
      <c r="K875" s="31"/>
      <c r="L875" s="31"/>
      <c r="M875" s="31"/>
      <c r="N875" s="31"/>
    </row>
    <row r="876">
      <c r="A876" s="74"/>
      <c r="B876" s="31"/>
      <c r="C876" s="31"/>
      <c r="D876" s="31"/>
      <c r="E876" s="31"/>
      <c r="F876" s="31"/>
      <c r="G876" s="31"/>
      <c r="H876" s="31"/>
      <c r="I876" s="75"/>
      <c r="J876" s="31"/>
      <c r="K876" s="31"/>
      <c r="L876" s="31"/>
      <c r="M876" s="31"/>
      <c r="N876" s="31"/>
    </row>
    <row r="877">
      <c r="A877" s="74"/>
      <c r="B877" s="31"/>
      <c r="C877" s="31"/>
      <c r="D877" s="31"/>
      <c r="E877" s="31"/>
      <c r="F877" s="31"/>
      <c r="G877" s="31"/>
      <c r="H877" s="31"/>
      <c r="I877" s="75"/>
      <c r="J877" s="31"/>
      <c r="K877" s="31"/>
      <c r="L877" s="31"/>
      <c r="M877" s="31"/>
      <c r="N877" s="31"/>
    </row>
    <row r="878">
      <c r="A878" s="74"/>
      <c r="B878" s="31"/>
      <c r="C878" s="31"/>
      <c r="D878" s="31"/>
      <c r="E878" s="31"/>
      <c r="F878" s="31"/>
      <c r="G878" s="31"/>
      <c r="H878" s="31"/>
      <c r="I878" s="75"/>
      <c r="J878" s="31"/>
      <c r="K878" s="31"/>
      <c r="L878" s="31"/>
      <c r="M878" s="31"/>
      <c r="N878" s="31"/>
    </row>
    <row r="879">
      <c r="A879" s="74"/>
      <c r="B879" s="31"/>
      <c r="C879" s="31"/>
      <c r="D879" s="31"/>
      <c r="E879" s="31"/>
      <c r="F879" s="31"/>
      <c r="G879" s="31"/>
      <c r="H879" s="31"/>
      <c r="I879" s="75"/>
      <c r="J879" s="31"/>
      <c r="K879" s="31"/>
      <c r="L879" s="31"/>
      <c r="M879" s="31"/>
      <c r="N879" s="31"/>
    </row>
    <row r="880">
      <c r="A880" s="74"/>
      <c r="B880" s="31"/>
      <c r="C880" s="31"/>
      <c r="D880" s="31"/>
      <c r="E880" s="31"/>
      <c r="F880" s="31"/>
      <c r="G880" s="31"/>
      <c r="H880" s="31"/>
      <c r="I880" s="75"/>
      <c r="J880" s="31"/>
      <c r="K880" s="31"/>
      <c r="L880" s="31"/>
      <c r="M880" s="31"/>
      <c r="N880" s="31"/>
    </row>
    <row r="881">
      <c r="A881" s="74"/>
      <c r="B881" s="31"/>
      <c r="C881" s="31"/>
      <c r="D881" s="31"/>
      <c r="E881" s="31"/>
      <c r="F881" s="31"/>
      <c r="G881" s="31"/>
      <c r="H881" s="31"/>
      <c r="I881" s="75"/>
      <c r="J881" s="31"/>
      <c r="K881" s="31"/>
      <c r="L881" s="31"/>
      <c r="M881" s="31"/>
      <c r="N881" s="31"/>
    </row>
    <row r="882">
      <c r="A882" s="74"/>
      <c r="B882" s="31"/>
      <c r="C882" s="31"/>
      <c r="D882" s="31"/>
      <c r="E882" s="31"/>
      <c r="F882" s="31"/>
      <c r="G882" s="31"/>
      <c r="H882" s="31"/>
      <c r="I882" s="75"/>
      <c r="J882" s="31"/>
      <c r="K882" s="31"/>
      <c r="L882" s="31"/>
      <c r="M882" s="31"/>
      <c r="N882" s="31"/>
    </row>
    <row r="883">
      <c r="A883" s="74"/>
      <c r="B883" s="31"/>
      <c r="C883" s="31"/>
      <c r="D883" s="31"/>
      <c r="E883" s="31"/>
      <c r="F883" s="31"/>
      <c r="G883" s="31"/>
      <c r="H883" s="31"/>
      <c r="I883" s="75"/>
      <c r="J883" s="31"/>
      <c r="K883" s="31"/>
      <c r="L883" s="31"/>
      <c r="M883" s="31"/>
      <c r="N883" s="31"/>
    </row>
    <row r="884">
      <c r="A884" s="74"/>
      <c r="B884" s="31"/>
      <c r="C884" s="31"/>
      <c r="D884" s="31"/>
      <c r="E884" s="31"/>
      <c r="F884" s="31"/>
      <c r="G884" s="31"/>
      <c r="H884" s="31"/>
      <c r="I884" s="75"/>
      <c r="J884" s="31"/>
      <c r="K884" s="31"/>
      <c r="L884" s="31"/>
      <c r="M884" s="31"/>
      <c r="N884" s="31"/>
    </row>
    <row r="885">
      <c r="A885" s="74"/>
      <c r="B885" s="31"/>
      <c r="C885" s="31"/>
      <c r="D885" s="31"/>
      <c r="E885" s="31"/>
      <c r="F885" s="31"/>
      <c r="G885" s="31"/>
      <c r="H885" s="31"/>
      <c r="I885" s="75"/>
      <c r="J885" s="31"/>
      <c r="K885" s="31"/>
      <c r="L885" s="31"/>
      <c r="M885" s="31"/>
      <c r="N885" s="31"/>
    </row>
    <row r="886">
      <c r="A886" s="74"/>
      <c r="B886" s="31"/>
      <c r="C886" s="31"/>
      <c r="D886" s="31"/>
      <c r="E886" s="31"/>
      <c r="F886" s="31"/>
      <c r="G886" s="31"/>
      <c r="H886" s="31"/>
      <c r="I886" s="75"/>
      <c r="J886" s="31"/>
      <c r="K886" s="31"/>
      <c r="L886" s="31"/>
      <c r="M886" s="31"/>
      <c r="N886" s="31"/>
    </row>
    <row r="887">
      <c r="A887" s="74"/>
      <c r="B887" s="31"/>
      <c r="C887" s="31"/>
      <c r="D887" s="31"/>
      <c r="E887" s="31"/>
      <c r="F887" s="31"/>
      <c r="G887" s="31"/>
      <c r="H887" s="31"/>
      <c r="I887" s="75"/>
      <c r="J887" s="31"/>
      <c r="K887" s="31"/>
      <c r="L887" s="31"/>
      <c r="M887" s="31"/>
      <c r="N887" s="31"/>
    </row>
    <row r="888">
      <c r="A888" s="74"/>
      <c r="B888" s="31"/>
      <c r="C888" s="31"/>
      <c r="D888" s="31"/>
      <c r="E888" s="31"/>
      <c r="F888" s="31"/>
      <c r="G888" s="31"/>
      <c r="H888" s="31"/>
      <c r="I888" s="75"/>
      <c r="J888" s="31"/>
      <c r="K888" s="31"/>
      <c r="L888" s="31"/>
      <c r="M888" s="31"/>
      <c r="N888" s="31"/>
    </row>
    <row r="889">
      <c r="A889" s="74"/>
      <c r="B889" s="31"/>
      <c r="C889" s="31"/>
      <c r="D889" s="31"/>
      <c r="E889" s="31"/>
      <c r="F889" s="31"/>
      <c r="G889" s="31"/>
      <c r="H889" s="31"/>
      <c r="I889" s="75"/>
      <c r="J889" s="31"/>
      <c r="K889" s="31"/>
      <c r="L889" s="31"/>
      <c r="M889" s="31"/>
      <c r="N889" s="31"/>
    </row>
    <row r="890">
      <c r="A890" s="74"/>
      <c r="B890" s="31"/>
      <c r="C890" s="31"/>
      <c r="D890" s="31"/>
      <c r="E890" s="31"/>
      <c r="F890" s="31"/>
      <c r="G890" s="31"/>
      <c r="H890" s="31"/>
      <c r="I890" s="75"/>
      <c r="J890" s="31"/>
      <c r="K890" s="31"/>
      <c r="L890" s="31"/>
      <c r="M890" s="31"/>
      <c r="N890" s="31"/>
    </row>
    <row r="891">
      <c r="A891" s="74"/>
      <c r="B891" s="31"/>
      <c r="C891" s="31"/>
      <c r="D891" s="31"/>
      <c r="E891" s="31"/>
      <c r="F891" s="31"/>
      <c r="G891" s="31"/>
      <c r="H891" s="31"/>
      <c r="I891" s="75"/>
      <c r="J891" s="31"/>
      <c r="K891" s="31"/>
      <c r="L891" s="31"/>
      <c r="M891" s="31"/>
      <c r="N891" s="31"/>
    </row>
    <row r="892">
      <c r="A892" s="74"/>
      <c r="B892" s="31"/>
      <c r="C892" s="31"/>
      <c r="D892" s="31"/>
      <c r="E892" s="31"/>
      <c r="F892" s="31"/>
      <c r="G892" s="31"/>
      <c r="H892" s="31"/>
      <c r="I892" s="75"/>
      <c r="J892" s="31"/>
      <c r="K892" s="31"/>
      <c r="L892" s="31"/>
      <c r="M892" s="31"/>
      <c r="N892" s="31"/>
    </row>
    <row r="893">
      <c r="A893" s="74"/>
      <c r="B893" s="31"/>
      <c r="C893" s="31"/>
      <c r="D893" s="31"/>
      <c r="E893" s="31"/>
      <c r="F893" s="31"/>
      <c r="G893" s="31"/>
      <c r="H893" s="31"/>
      <c r="I893" s="75"/>
      <c r="J893" s="31"/>
      <c r="K893" s="31"/>
      <c r="L893" s="31"/>
      <c r="M893" s="31"/>
      <c r="N893" s="31"/>
    </row>
    <row r="894">
      <c r="A894" s="74"/>
      <c r="B894" s="31"/>
      <c r="C894" s="31"/>
      <c r="D894" s="31"/>
      <c r="E894" s="31"/>
      <c r="F894" s="31"/>
      <c r="G894" s="31"/>
      <c r="H894" s="31"/>
      <c r="I894" s="75"/>
      <c r="J894" s="31"/>
      <c r="K894" s="31"/>
      <c r="L894" s="31"/>
      <c r="M894" s="31"/>
      <c r="N894" s="31"/>
    </row>
    <row r="895">
      <c r="A895" s="74"/>
      <c r="B895" s="31"/>
      <c r="C895" s="31"/>
      <c r="D895" s="31"/>
      <c r="E895" s="31"/>
      <c r="F895" s="31"/>
      <c r="G895" s="31"/>
      <c r="H895" s="31"/>
      <c r="I895" s="75"/>
      <c r="J895" s="31"/>
      <c r="K895" s="31"/>
      <c r="L895" s="31"/>
      <c r="M895" s="31"/>
      <c r="N895" s="31"/>
    </row>
    <row r="896">
      <c r="A896" s="74"/>
      <c r="B896" s="31"/>
      <c r="C896" s="31"/>
      <c r="D896" s="31"/>
      <c r="E896" s="31"/>
      <c r="F896" s="31"/>
      <c r="G896" s="31"/>
      <c r="H896" s="31"/>
      <c r="I896" s="75"/>
      <c r="J896" s="31"/>
      <c r="K896" s="31"/>
      <c r="L896" s="31"/>
      <c r="M896" s="31"/>
      <c r="N896" s="31"/>
    </row>
    <row r="897">
      <c r="A897" s="74"/>
      <c r="B897" s="31"/>
      <c r="C897" s="31"/>
      <c r="D897" s="31"/>
      <c r="E897" s="31"/>
      <c r="F897" s="31"/>
      <c r="G897" s="31"/>
      <c r="H897" s="31"/>
      <c r="I897" s="75"/>
      <c r="J897" s="31"/>
      <c r="K897" s="31"/>
      <c r="L897" s="31"/>
      <c r="M897" s="31"/>
      <c r="N897" s="31"/>
    </row>
    <row r="898">
      <c r="A898" s="74"/>
      <c r="B898" s="31"/>
      <c r="C898" s="31"/>
      <c r="D898" s="31"/>
      <c r="E898" s="31"/>
      <c r="F898" s="31"/>
      <c r="G898" s="31"/>
      <c r="H898" s="31"/>
      <c r="I898" s="75"/>
      <c r="J898" s="31"/>
      <c r="K898" s="31"/>
      <c r="L898" s="31"/>
      <c r="M898" s="31"/>
      <c r="N898" s="31"/>
    </row>
    <row r="899">
      <c r="A899" s="74"/>
      <c r="B899" s="31"/>
      <c r="C899" s="31"/>
      <c r="D899" s="31"/>
      <c r="E899" s="31"/>
      <c r="F899" s="31"/>
      <c r="G899" s="31"/>
      <c r="H899" s="31"/>
      <c r="I899" s="75"/>
      <c r="J899" s="31"/>
      <c r="K899" s="31"/>
      <c r="L899" s="31"/>
      <c r="M899" s="31"/>
      <c r="N899" s="31"/>
    </row>
    <row r="900">
      <c r="A900" s="74"/>
      <c r="B900" s="31"/>
      <c r="C900" s="31"/>
      <c r="D900" s="31"/>
      <c r="E900" s="31"/>
      <c r="F900" s="31"/>
      <c r="G900" s="31"/>
      <c r="H900" s="31"/>
      <c r="I900" s="75"/>
      <c r="J900" s="31"/>
      <c r="K900" s="31"/>
      <c r="L900" s="31"/>
      <c r="M900" s="31"/>
      <c r="N900" s="31"/>
    </row>
    <row r="901">
      <c r="A901" s="74"/>
      <c r="B901" s="31"/>
      <c r="C901" s="31"/>
      <c r="D901" s="31"/>
      <c r="E901" s="31"/>
      <c r="F901" s="31"/>
      <c r="G901" s="31"/>
      <c r="H901" s="31"/>
      <c r="I901" s="75"/>
      <c r="J901" s="31"/>
      <c r="K901" s="31"/>
      <c r="L901" s="31"/>
      <c r="M901" s="31"/>
      <c r="N901" s="31"/>
    </row>
    <row r="902">
      <c r="A902" s="74"/>
      <c r="B902" s="31"/>
      <c r="C902" s="31"/>
      <c r="D902" s="31"/>
      <c r="E902" s="31"/>
      <c r="F902" s="31"/>
      <c r="G902" s="31"/>
      <c r="H902" s="31"/>
      <c r="I902" s="75"/>
      <c r="J902" s="31"/>
      <c r="K902" s="31"/>
      <c r="L902" s="31"/>
      <c r="M902" s="31"/>
      <c r="N902" s="31"/>
    </row>
    <row r="903">
      <c r="A903" s="74"/>
      <c r="B903" s="31"/>
      <c r="C903" s="31"/>
      <c r="D903" s="31"/>
      <c r="E903" s="31"/>
      <c r="F903" s="31"/>
      <c r="G903" s="31"/>
      <c r="H903" s="31"/>
      <c r="I903" s="75"/>
      <c r="J903" s="31"/>
      <c r="K903" s="31"/>
      <c r="L903" s="31"/>
      <c r="M903" s="31"/>
      <c r="N903" s="31"/>
    </row>
    <row r="904">
      <c r="A904" s="74"/>
      <c r="B904" s="31"/>
      <c r="C904" s="31"/>
      <c r="D904" s="31"/>
      <c r="E904" s="31"/>
      <c r="F904" s="31"/>
      <c r="G904" s="31"/>
      <c r="H904" s="31"/>
      <c r="I904" s="75"/>
      <c r="J904" s="31"/>
      <c r="K904" s="31"/>
      <c r="L904" s="31"/>
      <c r="M904" s="31"/>
      <c r="N904" s="31"/>
    </row>
    <row r="905">
      <c r="A905" s="74"/>
      <c r="B905" s="31"/>
      <c r="C905" s="31"/>
      <c r="D905" s="31"/>
      <c r="E905" s="31"/>
      <c r="F905" s="31"/>
      <c r="G905" s="31"/>
      <c r="H905" s="31"/>
      <c r="I905" s="75"/>
      <c r="J905" s="31"/>
      <c r="K905" s="31"/>
      <c r="L905" s="31"/>
      <c r="M905" s="31"/>
      <c r="N905" s="31"/>
    </row>
    <row r="906">
      <c r="A906" s="74"/>
      <c r="B906" s="31"/>
      <c r="C906" s="31"/>
      <c r="D906" s="31"/>
      <c r="E906" s="31"/>
      <c r="F906" s="31"/>
      <c r="G906" s="31"/>
      <c r="H906" s="31"/>
      <c r="I906" s="75"/>
      <c r="J906" s="31"/>
      <c r="K906" s="31"/>
      <c r="L906" s="31"/>
      <c r="M906" s="31"/>
      <c r="N906" s="31"/>
    </row>
    <row r="907">
      <c r="A907" s="74"/>
      <c r="B907" s="31"/>
      <c r="C907" s="31"/>
      <c r="D907" s="31"/>
      <c r="E907" s="31"/>
      <c r="F907" s="31"/>
      <c r="G907" s="31"/>
      <c r="H907" s="31"/>
      <c r="I907" s="75"/>
      <c r="J907" s="31"/>
      <c r="K907" s="31"/>
      <c r="L907" s="31"/>
      <c r="M907" s="31"/>
      <c r="N907" s="31"/>
    </row>
    <row r="908">
      <c r="A908" s="74"/>
      <c r="B908" s="31"/>
      <c r="C908" s="31"/>
      <c r="D908" s="31"/>
      <c r="E908" s="31"/>
      <c r="F908" s="31"/>
      <c r="G908" s="31"/>
      <c r="H908" s="31"/>
      <c r="I908" s="75"/>
      <c r="J908" s="31"/>
      <c r="K908" s="31"/>
      <c r="L908" s="31"/>
      <c r="M908" s="31"/>
      <c r="N908" s="31"/>
    </row>
    <row r="909">
      <c r="A909" s="74"/>
      <c r="B909" s="31"/>
      <c r="C909" s="31"/>
      <c r="D909" s="31"/>
      <c r="E909" s="31"/>
      <c r="F909" s="31"/>
      <c r="G909" s="31"/>
      <c r="H909" s="31"/>
      <c r="I909" s="75"/>
      <c r="J909" s="31"/>
      <c r="K909" s="31"/>
      <c r="L909" s="31"/>
      <c r="M909" s="31"/>
      <c r="N909" s="31"/>
    </row>
    <row r="910">
      <c r="A910" s="74"/>
      <c r="B910" s="31"/>
      <c r="C910" s="31"/>
      <c r="D910" s="31"/>
      <c r="E910" s="31"/>
      <c r="F910" s="31"/>
      <c r="G910" s="31"/>
      <c r="H910" s="31"/>
      <c r="I910" s="75"/>
      <c r="J910" s="31"/>
      <c r="K910" s="31"/>
      <c r="L910" s="31"/>
      <c r="M910" s="31"/>
      <c r="N910" s="31"/>
    </row>
    <row r="911">
      <c r="A911" s="74"/>
      <c r="B911" s="31"/>
      <c r="C911" s="31"/>
      <c r="D911" s="31"/>
      <c r="E911" s="31"/>
      <c r="F911" s="31"/>
      <c r="G911" s="31"/>
      <c r="H911" s="31"/>
      <c r="I911" s="75"/>
      <c r="J911" s="31"/>
      <c r="K911" s="31"/>
      <c r="L911" s="31"/>
      <c r="M911" s="31"/>
      <c r="N911" s="31"/>
    </row>
    <row r="912">
      <c r="A912" s="74"/>
      <c r="B912" s="31"/>
      <c r="C912" s="31"/>
      <c r="D912" s="31"/>
      <c r="E912" s="31"/>
      <c r="F912" s="31"/>
      <c r="G912" s="31"/>
      <c r="H912" s="31"/>
      <c r="I912" s="75"/>
      <c r="J912" s="31"/>
      <c r="K912" s="31"/>
      <c r="L912" s="31"/>
      <c r="M912" s="31"/>
      <c r="N912" s="31"/>
    </row>
    <row r="913">
      <c r="A913" s="74"/>
      <c r="B913" s="31"/>
      <c r="C913" s="31"/>
      <c r="D913" s="31"/>
      <c r="E913" s="31"/>
      <c r="F913" s="31"/>
      <c r="G913" s="31"/>
      <c r="H913" s="31"/>
      <c r="I913" s="75"/>
      <c r="J913" s="31"/>
      <c r="K913" s="31"/>
      <c r="L913" s="31"/>
      <c r="M913" s="31"/>
      <c r="N913" s="31"/>
    </row>
    <row r="914">
      <c r="A914" s="74"/>
      <c r="B914" s="31"/>
      <c r="C914" s="31"/>
      <c r="D914" s="31"/>
      <c r="E914" s="31"/>
      <c r="F914" s="31"/>
      <c r="G914" s="31"/>
      <c r="H914" s="31"/>
      <c r="I914" s="75"/>
      <c r="J914" s="31"/>
      <c r="K914" s="31"/>
      <c r="L914" s="31"/>
      <c r="M914" s="31"/>
      <c r="N914" s="31"/>
    </row>
    <row r="915">
      <c r="A915" s="74"/>
      <c r="B915" s="31"/>
      <c r="C915" s="31"/>
      <c r="D915" s="31"/>
      <c r="E915" s="31"/>
      <c r="F915" s="31"/>
      <c r="G915" s="31"/>
      <c r="H915" s="31"/>
      <c r="I915" s="75"/>
      <c r="J915" s="31"/>
      <c r="K915" s="31"/>
      <c r="L915" s="31"/>
      <c r="M915" s="31"/>
      <c r="N915" s="31"/>
    </row>
    <row r="916">
      <c r="A916" s="74"/>
      <c r="B916" s="31"/>
      <c r="C916" s="31"/>
      <c r="D916" s="31"/>
      <c r="E916" s="31"/>
      <c r="F916" s="31"/>
      <c r="G916" s="31"/>
      <c r="H916" s="31"/>
      <c r="I916" s="75"/>
      <c r="J916" s="31"/>
      <c r="K916" s="31"/>
      <c r="L916" s="31"/>
      <c r="M916" s="31"/>
      <c r="N916" s="31"/>
    </row>
    <row r="917">
      <c r="A917" s="74"/>
      <c r="B917" s="31"/>
      <c r="C917" s="31"/>
      <c r="D917" s="31"/>
      <c r="E917" s="31"/>
      <c r="F917" s="31"/>
      <c r="G917" s="31"/>
      <c r="H917" s="31"/>
      <c r="I917" s="75"/>
      <c r="J917" s="31"/>
      <c r="K917" s="31"/>
      <c r="L917" s="31"/>
      <c r="M917" s="31"/>
      <c r="N917" s="31"/>
    </row>
    <row r="918">
      <c r="A918" s="74"/>
      <c r="B918" s="31"/>
      <c r="C918" s="31"/>
      <c r="D918" s="31"/>
      <c r="E918" s="31"/>
      <c r="F918" s="31"/>
      <c r="G918" s="31"/>
      <c r="H918" s="31"/>
      <c r="I918" s="75"/>
      <c r="J918" s="31"/>
      <c r="K918" s="31"/>
      <c r="L918" s="31"/>
      <c r="M918" s="31"/>
      <c r="N918" s="31"/>
    </row>
    <row r="919">
      <c r="A919" s="74"/>
      <c r="B919" s="31"/>
      <c r="C919" s="31"/>
      <c r="D919" s="31"/>
      <c r="E919" s="31"/>
      <c r="F919" s="31"/>
      <c r="G919" s="31"/>
      <c r="H919" s="31"/>
      <c r="I919" s="75"/>
      <c r="J919" s="31"/>
      <c r="K919" s="31"/>
      <c r="L919" s="31"/>
      <c r="M919" s="31"/>
      <c r="N919" s="31"/>
    </row>
    <row r="920">
      <c r="A920" s="74"/>
      <c r="B920" s="31"/>
      <c r="C920" s="31"/>
      <c r="D920" s="31"/>
      <c r="E920" s="31"/>
      <c r="F920" s="31"/>
      <c r="G920" s="31"/>
      <c r="H920" s="31"/>
      <c r="I920" s="75"/>
      <c r="J920" s="31"/>
      <c r="K920" s="31"/>
      <c r="L920" s="31"/>
      <c r="M920" s="31"/>
      <c r="N920" s="31"/>
    </row>
    <row r="921">
      <c r="A921" s="74"/>
      <c r="B921" s="31"/>
      <c r="C921" s="31"/>
      <c r="D921" s="31"/>
      <c r="E921" s="31"/>
      <c r="F921" s="31"/>
      <c r="G921" s="31"/>
      <c r="H921" s="31"/>
      <c r="I921" s="75"/>
      <c r="J921" s="31"/>
      <c r="K921" s="31"/>
      <c r="L921" s="31"/>
      <c r="M921" s="31"/>
      <c r="N921" s="31"/>
    </row>
    <row r="922">
      <c r="A922" s="74"/>
      <c r="B922" s="31"/>
      <c r="C922" s="31"/>
      <c r="D922" s="31"/>
      <c r="E922" s="31"/>
      <c r="F922" s="31"/>
      <c r="G922" s="31"/>
      <c r="H922" s="31"/>
      <c r="I922" s="75"/>
      <c r="J922" s="31"/>
      <c r="K922" s="31"/>
      <c r="L922" s="31"/>
      <c r="M922" s="31"/>
      <c r="N922" s="31"/>
    </row>
    <row r="923">
      <c r="A923" s="74"/>
      <c r="B923" s="31"/>
      <c r="C923" s="31"/>
      <c r="D923" s="31"/>
      <c r="E923" s="31"/>
      <c r="F923" s="31"/>
      <c r="G923" s="31"/>
      <c r="H923" s="31"/>
      <c r="I923" s="75"/>
      <c r="J923" s="31"/>
      <c r="K923" s="31"/>
      <c r="L923" s="31"/>
      <c r="M923" s="31"/>
      <c r="N923" s="31"/>
    </row>
    <row r="924">
      <c r="A924" s="74"/>
      <c r="B924" s="31"/>
      <c r="C924" s="31"/>
      <c r="D924" s="31"/>
      <c r="E924" s="31"/>
      <c r="F924" s="31"/>
      <c r="G924" s="31"/>
      <c r="H924" s="31"/>
      <c r="I924" s="75"/>
      <c r="J924" s="31"/>
      <c r="K924" s="31"/>
      <c r="L924" s="31"/>
      <c r="M924" s="31"/>
      <c r="N924" s="31"/>
    </row>
    <row r="925">
      <c r="A925" s="74"/>
      <c r="B925" s="31"/>
      <c r="C925" s="31"/>
      <c r="D925" s="31"/>
      <c r="E925" s="31"/>
      <c r="F925" s="31"/>
      <c r="G925" s="31"/>
      <c r="H925" s="31"/>
      <c r="I925" s="75"/>
      <c r="J925" s="31"/>
      <c r="K925" s="31"/>
      <c r="L925" s="31"/>
      <c r="M925" s="31"/>
      <c r="N925" s="31"/>
    </row>
    <row r="926">
      <c r="A926" s="74"/>
      <c r="B926" s="31"/>
      <c r="C926" s="31"/>
      <c r="D926" s="31"/>
      <c r="E926" s="31"/>
      <c r="F926" s="31"/>
      <c r="G926" s="31"/>
      <c r="H926" s="31"/>
      <c r="I926" s="75"/>
      <c r="J926" s="31"/>
      <c r="K926" s="31"/>
      <c r="L926" s="31"/>
      <c r="M926" s="31"/>
      <c r="N926" s="31"/>
    </row>
    <row r="927">
      <c r="A927" s="74"/>
      <c r="B927" s="31"/>
      <c r="C927" s="31"/>
      <c r="D927" s="31"/>
      <c r="E927" s="31"/>
      <c r="F927" s="31"/>
      <c r="G927" s="31"/>
      <c r="H927" s="31"/>
      <c r="I927" s="75"/>
      <c r="J927" s="31"/>
      <c r="K927" s="31"/>
      <c r="L927" s="31"/>
      <c r="M927" s="31"/>
      <c r="N927" s="31"/>
    </row>
    <row r="928">
      <c r="A928" s="74"/>
      <c r="B928" s="31"/>
      <c r="C928" s="31"/>
      <c r="D928" s="31"/>
      <c r="E928" s="31"/>
      <c r="F928" s="31"/>
      <c r="G928" s="31"/>
      <c r="H928" s="31"/>
      <c r="I928" s="75"/>
      <c r="J928" s="31"/>
      <c r="K928" s="31"/>
      <c r="L928" s="31"/>
      <c r="M928" s="31"/>
      <c r="N928" s="31"/>
    </row>
    <row r="929">
      <c r="A929" s="74"/>
      <c r="B929" s="31"/>
      <c r="C929" s="31"/>
      <c r="D929" s="31"/>
      <c r="E929" s="31"/>
      <c r="F929" s="31"/>
      <c r="G929" s="31"/>
      <c r="H929" s="31"/>
      <c r="I929" s="75"/>
      <c r="J929" s="31"/>
      <c r="K929" s="31"/>
      <c r="L929" s="31"/>
      <c r="M929" s="31"/>
      <c r="N929" s="31"/>
    </row>
    <row r="930">
      <c r="A930" s="74"/>
      <c r="B930" s="31"/>
      <c r="C930" s="31"/>
      <c r="D930" s="31"/>
      <c r="E930" s="31"/>
      <c r="F930" s="31"/>
      <c r="G930" s="31"/>
      <c r="H930" s="31"/>
      <c r="I930" s="75"/>
      <c r="J930" s="31"/>
      <c r="K930" s="31"/>
      <c r="L930" s="31"/>
      <c r="M930" s="31"/>
      <c r="N930" s="31"/>
    </row>
    <row r="931">
      <c r="A931" s="74"/>
      <c r="B931" s="31"/>
      <c r="C931" s="31"/>
      <c r="D931" s="31"/>
      <c r="E931" s="31"/>
      <c r="F931" s="31"/>
      <c r="G931" s="31"/>
      <c r="H931" s="31"/>
      <c r="I931" s="75"/>
      <c r="J931" s="31"/>
      <c r="K931" s="31"/>
      <c r="L931" s="31"/>
      <c r="M931" s="31"/>
      <c r="N931" s="31"/>
    </row>
    <row r="932">
      <c r="A932" s="74"/>
      <c r="B932" s="31"/>
      <c r="C932" s="31"/>
      <c r="D932" s="31"/>
      <c r="E932" s="31"/>
      <c r="F932" s="31"/>
      <c r="G932" s="31"/>
      <c r="H932" s="31"/>
      <c r="I932" s="75"/>
      <c r="J932" s="31"/>
      <c r="K932" s="31"/>
      <c r="L932" s="31"/>
      <c r="M932" s="31"/>
      <c r="N932" s="31"/>
    </row>
    <row r="933">
      <c r="A933" s="74"/>
      <c r="B933" s="31"/>
      <c r="C933" s="31"/>
      <c r="D933" s="31"/>
      <c r="E933" s="31"/>
      <c r="F933" s="31"/>
      <c r="G933" s="31"/>
      <c r="H933" s="31"/>
      <c r="I933" s="75"/>
      <c r="J933" s="31"/>
      <c r="K933" s="31"/>
      <c r="L933" s="31"/>
      <c r="M933" s="31"/>
      <c r="N933" s="31"/>
    </row>
    <row r="934">
      <c r="A934" s="74"/>
      <c r="B934" s="31"/>
      <c r="C934" s="31"/>
      <c r="D934" s="31"/>
      <c r="E934" s="31"/>
      <c r="F934" s="31"/>
      <c r="G934" s="31"/>
      <c r="H934" s="31"/>
      <c r="I934" s="75"/>
      <c r="J934" s="31"/>
      <c r="K934" s="31"/>
      <c r="L934" s="31"/>
      <c r="M934" s="31"/>
      <c r="N934" s="31"/>
    </row>
    <row r="935">
      <c r="A935" s="74"/>
      <c r="B935" s="31"/>
      <c r="C935" s="31"/>
      <c r="D935" s="31"/>
      <c r="E935" s="31"/>
      <c r="F935" s="31"/>
      <c r="G935" s="31"/>
      <c r="H935" s="31"/>
      <c r="I935" s="75"/>
      <c r="J935" s="31"/>
      <c r="K935" s="31"/>
      <c r="L935" s="31"/>
      <c r="M935" s="31"/>
      <c r="N935" s="31"/>
    </row>
    <row r="936">
      <c r="A936" s="74"/>
      <c r="B936" s="31"/>
      <c r="C936" s="31"/>
      <c r="D936" s="31"/>
      <c r="E936" s="31"/>
      <c r="F936" s="31"/>
      <c r="G936" s="31"/>
      <c r="H936" s="31"/>
      <c r="I936" s="75"/>
      <c r="J936" s="31"/>
      <c r="K936" s="31"/>
      <c r="L936" s="31"/>
      <c r="M936" s="31"/>
      <c r="N936" s="31"/>
    </row>
    <row r="937">
      <c r="A937" s="74"/>
      <c r="B937" s="31"/>
      <c r="C937" s="31"/>
      <c r="D937" s="31"/>
      <c r="E937" s="31"/>
      <c r="F937" s="31"/>
      <c r="G937" s="31"/>
      <c r="H937" s="31"/>
      <c r="I937" s="75"/>
      <c r="J937" s="31"/>
      <c r="K937" s="31"/>
      <c r="L937" s="31"/>
      <c r="M937" s="31"/>
      <c r="N937" s="31"/>
    </row>
    <row r="938">
      <c r="A938" s="74"/>
      <c r="B938" s="31"/>
      <c r="C938" s="31"/>
      <c r="D938" s="31"/>
      <c r="E938" s="31"/>
      <c r="F938" s="31"/>
      <c r="G938" s="31"/>
      <c r="H938" s="31"/>
      <c r="I938" s="75"/>
      <c r="J938" s="31"/>
      <c r="K938" s="31"/>
      <c r="L938" s="31"/>
      <c r="M938" s="31"/>
      <c r="N938" s="31"/>
    </row>
    <row r="939">
      <c r="A939" s="74"/>
      <c r="B939" s="31"/>
      <c r="C939" s="31"/>
      <c r="D939" s="31"/>
      <c r="E939" s="31"/>
      <c r="F939" s="31"/>
      <c r="G939" s="31"/>
      <c r="H939" s="31"/>
      <c r="I939" s="75"/>
      <c r="J939" s="31"/>
      <c r="K939" s="31"/>
      <c r="L939" s="31"/>
      <c r="M939" s="31"/>
      <c r="N939" s="31"/>
    </row>
    <row r="940">
      <c r="A940" s="74"/>
      <c r="B940" s="31"/>
      <c r="C940" s="31"/>
      <c r="D940" s="31"/>
      <c r="E940" s="31"/>
      <c r="F940" s="31"/>
      <c r="G940" s="31"/>
      <c r="H940" s="31"/>
      <c r="I940" s="75"/>
      <c r="J940" s="31"/>
      <c r="K940" s="31"/>
      <c r="L940" s="31"/>
      <c r="M940" s="31"/>
      <c r="N940" s="31"/>
    </row>
    <row r="941">
      <c r="A941" s="74"/>
      <c r="B941" s="31"/>
      <c r="C941" s="31"/>
      <c r="D941" s="31"/>
      <c r="E941" s="31"/>
      <c r="F941" s="31"/>
      <c r="G941" s="31"/>
      <c r="H941" s="31"/>
      <c r="I941" s="75"/>
      <c r="J941" s="31"/>
      <c r="K941" s="31"/>
      <c r="L941" s="31"/>
      <c r="M941" s="31"/>
      <c r="N941" s="31"/>
    </row>
    <row r="942">
      <c r="A942" s="74"/>
      <c r="B942" s="31"/>
      <c r="C942" s="31"/>
      <c r="D942" s="31"/>
      <c r="E942" s="31"/>
      <c r="F942" s="31"/>
      <c r="G942" s="31"/>
      <c r="H942" s="31"/>
      <c r="I942" s="75"/>
      <c r="J942" s="31"/>
      <c r="K942" s="31"/>
      <c r="L942" s="31"/>
      <c r="M942" s="31"/>
      <c r="N942" s="31"/>
    </row>
    <row r="943">
      <c r="A943" s="74"/>
      <c r="B943" s="31"/>
      <c r="C943" s="31"/>
      <c r="D943" s="31"/>
      <c r="E943" s="31"/>
      <c r="F943" s="31"/>
      <c r="G943" s="31"/>
      <c r="H943" s="31"/>
      <c r="I943" s="75"/>
      <c r="J943" s="31"/>
      <c r="K943" s="31"/>
      <c r="L943" s="31"/>
      <c r="M943" s="31"/>
      <c r="N943" s="31"/>
    </row>
    <row r="944">
      <c r="A944" s="74"/>
      <c r="B944" s="31"/>
      <c r="C944" s="31"/>
      <c r="D944" s="31"/>
      <c r="E944" s="31"/>
      <c r="F944" s="31"/>
      <c r="G944" s="31"/>
      <c r="H944" s="31"/>
      <c r="I944" s="75"/>
      <c r="J944" s="31"/>
      <c r="K944" s="31"/>
      <c r="L944" s="31"/>
      <c r="M944" s="31"/>
      <c r="N944" s="31"/>
    </row>
    <row r="945">
      <c r="A945" s="74"/>
      <c r="B945" s="31"/>
      <c r="C945" s="31"/>
      <c r="D945" s="31"/>
      <c r="E945" s="31"/>
      <c r="F945" s="31"/>
      <c r="G945" s="31"/>
      <c r="H945" s="31"/>
      <c r="I945" s="75"/>
      <c r="J945" s="31"/>
      <c r="K945" s="31"/>
      <c r="L945" s="31"/>
      <c r="M945" s="31"/>
      <c r="N945" s="31"/>
    </row>
    <row r="946">
      <c r="A946" s="74"/>
      <c r="B946" s="31"/>
      <c r="C946" s="31"/>
      <c r="D946" s="31"/>
      <c r="E946" s="31"/>
      <c r="F946" s="31"/>
      <c r="G946" s="31"/>
      <c r="H946" s="31"/>
      <c r="I946" s="75"/>
      <c r="J946" s="31"/>
      <c r="K946" s="31"/>
      <c r="L946" s="31"/>
      <c r="M946" s="31"/>
      <c r="N946" s="31"/>
    </row>
    <row r="947">
      <c r="A947" s="74"/>
      <c r="B947" s="31"/>
      <c r="C947" s="31"/>
      <c r="D947" s="31"/>
      <c r="E947" s="31"/>
      <c r="F947" s="31"/>
      <c r="G947" s="31"/>
      <c r="H947" s="31"/>
      <c r="I947" s="75"/>
      <c r="J947" s="31"/>
      <c r="K947" s="31"/>
      <c r="L947" s="31"/>
      <c r="M947" s="31"/>
      <c r="N947" s="31"/>
    </row>
    <row r="948">
      <c r="A948" s="74"/>
      <c r="B948" s="31"/>
      <c r="C948" s="31"/>
      <c r="D948" s="31"/>
      <c r="E948" s="31"/>
      <c r="F948" s="31"/>
      <c r="G948" s="31"/>
      <c r="H948" s="31"/>
      <c r="I948" s="75"/>
      <c r="J948" s="31"/>
      <c r="K948" s="31"/>
      <c r="L948" s="31"/>
      <c r="M948" s="31"/>
      <c r="N948" s="31"/>
    </row>
    <row r="949">
      <c r="A949" s="74"/>
      <c r="B949" s="31"/>
      <c r="C949" s="31"/>
      <c r="D949" s="31"/>
      <c r="E949" s="31"/>
      <c r="F949" s="31"/>
      <c r="G949" s="31"/>
      <c r="H949" s="31"/>
      <c r="I949" s="75"/>
      <c r="J949" s="31"/>
      <c r="K949" s="31"/>
      <c r="L949" s="31"/>
      <c r="M949" s="31"/>
      <c r="N949" s="31"/>
    </row>
    <row r="950">
      <c r="A950" s="74"/>
      <c r="B950" s="31"/>
      <c r="C950" s="31"/>
      <c r="D950" s="31"/>
      <c r="E950" s="31"/>
      <c r="F950" s="31"/>
      <c r="G950" s="31"/>
      <c r="H950" s="31"/>
      <c r="I950" s="75"/>
      <c r="J950" s="31"/>
      <c r="K950" s="31"/>
      <c r="L950" s="31"/>
      <c r="M950" s="31"/>
      <c r="N950" s="31"/>
    </row>
    <row r="951">
      <c r="A951" s="74"/>
      <c r="B951" s="31"/>
      <c r="C951" s="31"/>
      <c r="D951" s="31"/>
      <c r="E951" s="31"/>
      <c r="F951" s="31"/>
      <c r="G951" s="31"/>
      <c r="H951" s="31"/>
      <c r="I951" s="75"/>
      <c r="J951" s="31"/>
      <c r="K951" s="31"/>
      <c r="L951" s="31"/>
      <c r="M951" s="31"/>
      <c r="N951" s="31"/>
    </row>
    <row r="952">
      <c r="A952" s="74"/>
      <c r="B952" s="31"/>
      <c r="C952" s="31"/>
      <c r="D952" s="31"/>
      <c r="E952" s="31"/>
      <c r="F952" s="31"/>
      <c r="G952" s="31"/>
      <c r="H952" s="31"/>
      <c r="I952" s="75"/>
      <c r="J952" s="31"/>
      <c r="K952" s="31"/>
      <c r="L952" s="31"/>
      <c r="M952" s="31"/>
      <c r="N952" s="31"/>
    </row>
    <row r="953">
      <c r="A953" s="74"/>
      <c r="B953" s="31"/>
      <c r="C953" s="31"/>
      <c r="D953" s="31"/>
      <c r="E953" s="31"/>
      <c r="F953" s="31"/>
      <c r="G953" s="31"/>
      <c r="H953" s="31"/>
      <c r="I953" s="75"/>
      <c r="J953" s="31"/>
      <c r="K953" s="31"/>
      <c r="L953" s="31"/>
      <c r="M953" s="31"/>
      <c r="N953" s="31"/>
    </row>
    <row r="954">
      <c r="A954" s="74"/>
      <c r="B954" s="31"/>
      <c r="C954" s="31"/>
      <c r="D954" s="31"/>
      <c r="E954" s="31"/>
      <c r="F954" s="31"/>
      <c r="G954" s="31"/>
      <c r="H954" s="31"/>
      <c r="I954" s="75"/>
      <c r="J954" s="31"/>
      <c r="K954" s="31"/>
      <c r="L954" s="31"/>
      <c r="M954" s="31"/>
      <c r="N954" s="31"/>
    </row>
    <row r="955">
      <c r="A955" s="74"/>
      <c r="B955" s="31"/>
      <c r="C955" s="31"/>
      <c r="D955" s="31"/>
      <c r="E955" s="31"/>
      <c r="F955" s="31"/>
      <c r="G955" s="31"/>
      <c r="H955" s="31"/>
      <c r="I955" s="75"/>
      <c r="J955" s="31"/>
      <c r="K955" s="31"/>
      <c r="L955" s="31"/>
      <c r="M955" s="31"/>
      <c r="N955" s="31"/>
    </row>
    <row r="956">
      <c r="A956" s="74"/>
      <c r="B956" s="31"/>
      <c r="C956" s="31"/>
      <c r="D956" s="31"/>
      <c r="E956" s="31"/>
      <c r="F956" s="31"/>
      <c r="G956" s="31"/>
      <c r="H956" s="31"/>
      <c r="I956" s="75"/>
      <c r="J956" s="31"/>
      <c r="K956" s="31"/>
      <c r="L956" s="31"/>
      <c r="M956" s="31"/>
      <c r="N956" s="31"/>
    </row>
    <row r="957">
      <c r="A957" s="74"/>
      <c r="B957" s="31"/>
      <c r="C957" s="31"/>
      <c r="D957" s="31"/>
      <c r="E957" s="31"/>
      <c r="F957" s="31"/>
      <c r="G957" s="31"/>
      <c r="H957" s="31"/>
      <c r="I957" s="75"/>
      <c r="J957" s="31"/>
      <c r="K957" s="31"/>
      <c r="L957" s="31"/>
      <c r="M957" s="31"/>
      <c r="N957" s="31"/>
    </row>
    <row r="958">
      <c r="A958" s="74"/>
      <c r="B958" s="31"/>
      <c r="C958" s="31"/>
      <c r="D958" s="31"/>
      <c r="E958" s="31"/>
      <c r="F958" s="31"/>
      <c r="G958" s="31"/>
      <c r="H958" s="31"/>
      <c r="I958" s="75"/>
      <c r="J958" s="31"/>
      <c r="K958" s="31"/>
      <c r="L958" s="31"/>
      <c r="M958" s="31"/>
      <c r="N958" s="31"/>
    </row>
    <row r="959">
      <c r="A959" s="74"/>
      <c r="B959" s="31"/>
      <c r="C959" s="31"/>
      <c r="D959" s="31"/>
      <c r="E959" s="31"/>
      <c r="F959" s="31"/>
      <c r="G959" s="31"/>
      <c r="H959" s="31"/>
      <c r="I959" s="75"/>
      <c r="J959" s="31"/>
      <c r="K959" s="31"/>
      <c r="L959" s="31"/>
      <c r="M959" s="31"/>
      <c r="N959" s="31"/>
    </row>
    <row r="960">
      <c r="A960" s="74"/>
      <c r="B960" s="31"/>
      <c r="C960" s="31"/>
      <c r="D960" s="31"/>
      <c r="E960" s="31"/>
      <c r="F960" s="31"/>
      <c r="G960" s="31"/>
      <c r="H960" s="31"/>
      <c r="I960" s="75"/>
      <c r="J960" s="31"/>
      <c r="K960" s="31"/>
      <c r="L960" s="31"/>
      <c r="M960" s="31"/>
      <c r="N960" s="31"/>
    </row>
    <row r="961">
      <c r="A961" s="74"/>
      <c r="B961" s="31"/>
      <c r="C961" s="31"/>
      <c r="D961" s="31"/>
      <c r="E961" s="31"/>
      <c r="F961" s="31"/>
      <c r="G961" s="31"/>
      <c r="H961" s="31"/>
      <c r="I961" s="75"/>
      <c r="J961" s="31"/>
      <c r="K961" s="31"/>
      <c r="L961" s="31"/>
      <c r="M961" s="31"/>
      <c r="N961" s="31"/>
    </row>
    <row r="962">
      <c r="A962" s="74"/>
      <c r="B962" s="31"/>
      <c r="C962" s="31"/>
      <c r="D962" s="31"/>
      <c r="E962" s="31"/>
      <c r="F962" s="31"/>
      <c r="G962" s="31"/>
      <c r="H962" s="31"/>
      <c r="I962" s="75"/>
      <c r="J962" s="31"/>
      <c r="K962" s="31"/>
      <c r="L962" s="31"/>
      <c r="M962" s="31"/>
      <c r="N962" s="31"/>
    </row>
    <row r="963">
      <c r="A963" s="74"/>
      <c r="B963" s="31"/>
      <c r="C963" s="31"/>
      <c r="D963" s="31"/>
      <c r="E963" s="31"/>
      <c r="F963" s="31"/>
      <c r="G963" s="31"/>
      <c r="H963" s="31"/>
      <c r="I963" s="75"/>
      <c r="J963" s="31"/>
      <c r="K963" s="31"/>
      <c r="L963" s="31"/>
      <c r="M963" s="31"/>
      <c r="N963" s="31"/>
    </row>
    <row r="964">
      <c r="A964" s="74"/>
      <c r="B964" s="31"/>
      <c r="C964" s="31"/>
      <c r="D964" s="31"/>
      <c r="E964" s="31"/>
      <c r="F964" s="31"/>
      <c r="G964" s="31"/>
      <c r="H964" s="31"/>
      <c r="I964" s="75"/>
      <c r="J964" s="31"/>
      <c r="K964" s="31"/>
      <c r="L964" s="31"/>
      <c r="M964" s="31"/>
      <c r="N964" s="31"/>
    </row>
    <row r="965">
      <c r="A965" s="74"/>
      <c r="B965" s="31"/>
      <c r="C965" s="31"/>
      <c r="D965" s="31"/>
      <c r="E965" s="31"/>
      <c r="F965" s="31"/>
      <c r="G965" s="31"/>
      <c r="H965" s="31"/>
      <c r="I965" s="75"/>
      <c r="J965" s="31"/>
      <c r="K965" s="31"/>
      <c r="L965" s="31"/>
      <c r="M965" s="31"/>
      <c r="N965" s="31"/>
    </row>
    <row r="966">
      <c r="A966" s="74"/>
      <c r="B966" s="31"/>
      <c r="C966" s="31"/>
      <c r="D966" s="31"/>
      <c r="E966" s="31"/>
      <c r="F966" s="31"/>
      <c r="G966" s="31"/>
      <c r="H966" s="31"/>
      <c r="I966" s="75"/>
      <c r="J966" s="31"/>
      <c r="K966" s="31"/>
      <c r="L966" s="31"/>
      <c r="M966" s="31"/>
      <c r="N966" s="31"/>
    </row>
    <row r="967">
      <c r="A967" s="74"/>
      <c r="B967" s="31"/>
      <c r="C967" s="31"/>
      <c r="D967" s="31"/>
      <c r="E967" s="31"/>
      <c r="F967" s="31"/>
      <c r="G967" s="31"/>
      <c r="H967" s="31"/>
      <c r="I967" s="75"/>
      <c r="J967" s="31"/>
      <c r="K967" s="31"/>
      <c r="L967" s="31"/>
      <c r="M967" s="31"/>
      <c r="N967" s="31"/>
    </row>
    <row r="968">
      <c r="A968" s="74"/>
      <c r="B968" s="31"/>
      <c r="C968" s="31"/>
      <c r="D968" s="31"/>
      <c r="E968" s="31"/>
      <c r="F968" s="31"/>
      <c r="G968" s="31"/>
      <c r="H968" s="31"/>
      <c r="I968" s="75"/>
      <c r="J968" s="31"/>
      <c r="K968" s="31"/>
      <c r="L968" s="31"/>
      <c r="M968" s="31"/>
      <c r="N968" s="31"/>
    </row>
    <row r="969">
      <c r="A969" s="74"/>
      <c r="B969" s="31"/>
      <c r="C969" s="31"/>
      <c r="D969" s="31"/>
      <c r="E969" s="31"/>
      <c r="F969" s="31"/>
      <c r="G969" s="31"/>
      <c r="H969" s="31"/>
      <c r="I969" s="75"/>
      <c r="J969" s="31"/>
      <c r="K969" s="31"/>
      <c r="L969" s="31"/>
      <c r="M969" s="31"/>
      <c r="N969" s="31"/>
    </row>
    <row r="970">
      <c r="A970" s="74"/>
      <c r="B970" s="31"/>
      <c r="C970" s="31"/>
      <c r="D970" s="31"/>
      <c r="E970" s="31"/>
      <c r="F970" s="31"/>
      <c r="G970" s="31"/>
      <c r="H970" s="31"/>
      <c r="I970" s="75"/>
      <c r="J970" s="31"/>
      <c r="K970" s="31"/>
      <c r="L970" s="31"/>
      <c r="M970" s="31"/>
      <c r="N970" s="31"/>
    </row>
    <row r="971">
      <c r="A971" s="74"/>
      <c r="B971" s="31"/>
      <c r="C971" s="31"/>
      <c r="D971" s="31"/>
      <c r="E971" s="31"/>
      <c r="F971" s="31"/>
      <c r="G971" s="31"/>
      <c r="H971" s="31"/>
      <c r="I971" s="75"/>
      <c r="J971" s="31"/>
      <c r="K971" s="31"/>
      <c r="L971" s="31"/>
      <c r="M971" s="31"/>
      <c r="N971" s="31"/>
    </row>
    <row r="972">
      <c r="A972" s="74"/>
      <c r="B972" s="31"/>
      <c r="C972" s="31"/>
      <c r="D972" s="31"/>
      <c r="E972" s="31"/>
      <c r="F972" s="31"/>
      <c r="G972" s="31"/>
      <c r="H972" s="31"/>
      <c r="I972" s="75"/>
      <c r="J972" s="31"/>
      <c r="K972" s="31"/>
      <c r="L972" s="31"/>
      <c r="M972" s="31"/>
      <c r="N972" s="31"/>
    </row>
    <row r="973">
      <c r="A973" s="74"/>
      <c r="B973" s="31"/>
      <c r="C973" s="31"/>
      <c r="D973" s="31"/>
      <c r="E973" s="31"/>
      <c r="F973" s="31"/>
      <c r="G973" s="31"/>
      <c r="H973" s="31"/>
      <c r="I973" s="75"/>
      <c r="J973" s="31"/>
      <c r="K973" s="31"/>
      <c r="L973" s="31"/>
      <c r="M973" s="31"/>
      <c r="N973" s="31"/>
    </row>
    <row r="974">
      <c r="A974" s="74"/>
      <c r="B974" s="31"/>
      <c r="C974" s="31"/>
      <c r="D974" s="31"/>
      <c r="E974" s="31"/>
      <c r="F974" s="31"/>
      <c r="G974" s="31"/>
      <c r="H974" s="31"/>
      <c r="I974" s="75"/>
      <c r="J974" s="31"/>
      <c r="K974" s="31"/>
      <c r="L974" s="31"/>
      <c r="M974" s="31"/>
      <c r="N974" s="31"/>
    </row>
    <row r="975">
      <c r="A975" s="74"/>
      <c r="B975" s="31"/>
      <c r="C975" s="31"/>
      <c r="D975" s="31"/>
      <c r="E975" s="31"/>
      <c r="F975" s="31"/>
      <c r="G975" s="31"/>
      <c r="H975" s="31"/>
      <c r="I975" s="75"/>
      <c r="J975" s="31"/>
      <c r="K975" s="31"/>
      <c r="L975" s="31"/>
      <c r="M975" s="31"/>
      <c r="N975" s="31"/>
    </row>
    <row r="976">
      <c r="A976" s="74"/>
      <c r="B976" s="31"/>
      <c r="C976" s="31"/>
      <c r="D976" s="31"/>
      <c r="E976" s="31"/>
      <c r="F976" s="31"/>
      <c r="G976" s="31"/>
      <c r="H976" s="31"/>
      <c r="I976" s="75"/>
      <c r="J976" s="31"/>
      <c r="K976" s="31"/>
      <c r="L976" s="31"/>
      <c r="M976" s="31"/>
      <c r="N976" s="31"/>
    </row>
    <row r="977">
      <c r="A977" s="74"/>
      <c r="B977" s="31"/>
      <c r="C977" s="31"/>
      <c r="D977" s="31"/>
      <c r="E977" s="31"/>
      <c r="F977" s="31"/>
      <c r="G977" s="31"/>
      <c r="H977" s="31"/>
      <c r="I977" s="75"/>
      <c r="J977" s="31"/>
      <c r="K977" s="31"/>
      <c r="L977" s="31"/>
      <c r="M977" s="31"/>
      <c r="N977" s="31"/>
    </row>
    <row r="978">
      <c r="A978" s="74"/>
      <c r="B978" s="31"/>
      <c r="C978" s="31"/>
      <c r="D978" s="31"/>
      <c r="E978" s="31"/>
      <c r="F978" s="31"/>
      <c r="G978" s="31"/>
      <c r="H978" s="31"/>
      <c r="I978" s="75"/>
      <c r="J978" s="31"/>
      <c r="K978" s="31"/>
      <c r="L978" s="31"/>
      <c r="M978" s="31"/>
      <c r="N978" s="31"/>
    </row>
    <row r="979">
      <c r="A979" s="74"/>
      <c r="B979" s="31"/>
      <c r="C979" s="31"/>
      <c r="D979" s="31"/>
      <c r="E979" s="31"/>
      <c r="F979" s="31"/>
      <c r="G979" s="31"/>
      <c r="H979" s="31"/>
      <c r="I979" s="75"/>
      <c r="J979" s="31"/>
      <c r="K979" s="31"/>
      <c r="L979" s="31"/>
      <c r="M979" s="31"/>
      <c r="N979" s="31"/>
    </row>
    <row r="980">
      <c r="A980" s="74"/>
      <c r="B980" s="31"/>
      <c r="C980" s="31"/>
      <c r="D980" s="31"/>
      <c r="E980" s="31"/>
      <c r="F980" s="31"/>
      <c r="G980" s="31"/>
      <c r="H980" s="31"/>
      <c r="I980" s="75"/>
      <c r="J980" s="31"/>
      <c r="K980" s="31"/>
      <c r="L980" s="31"/>
      <c r="M980" s="31"/>
      <c r="N980" s="31"/>
    </row>
    <row r="981">
      <c r="A981" s="74"/>
      <c r="B981" s="31"/>
      <c r="C981" s="31"/>
      <c r="D981" s="31"/>
      <c r="E981" s="31"/>
      <c r="F981" s="31"/>
      <c r="G981" s="31"/>
      <c r="H981" s="31"/>
      <c r="I981" s="75"/>
      <c r="J981" s="31"/>
      <c r="K981" s="31"/>
      <c r="L981" s="31"/>
      <c r="M981" s="31"/>
      <c r="N981" s="31"/>
    </row>
    <row r="982">
      <c r="A982" s="74"/>
      <c r="B982" s="31"/>
      <c r="C982" s="31"/>
      <c r="D982" s="31"/>
      <c r="E982" s="31"/>
      <c r="F982" s="31"/>
      <c r="G982" s="31"/>
      <c r="H982" s="31"/>
      <c r="I982" s="75"/>
      <c r="J982" s="31"/>
      <c r="K982" s="31"/>
      <c r="L982" s="31"/>
      <c r="M982" s="31"/>
      <c r="N982" s="31"/>
    </row>
    <row r="983">
      <c r="A983" s="74"/>
      <c r="B983" s="31"/>
      <c r="C983" s="31"/>
      <c r="D983" s="31"/>
      <c r="E983" s="31"/>
      <c r="F983" s="31"/>
      <c r="G983" s="31"/>
      <c r="H983" s="31"/>
      <c r="I983" s="75"/>
      <c r="J983" s="31"/>
      <c r="K983" s="31"/>
      <c r="L983" s="31"/>
      <c r="M983" s="31"/>
      <c r="N983" s="31"/>
    </row>
    <row r="984">
      <c r="A984" s="74"/>
      <c r="B984" s="31"/>
      <c r="C984" s="31"/>
      <c r="D984" s="31"/>
      <c r="E984" s="31"/>
      <c r="F984" s="31"/>
      <c r="G984" s="31"/>
      <c r="H984" s="31"/>
      <c r="I984" s="75"/>
      <c r="J984" s="31"/>
      <c r="K984" s="31"/>
      <c r="L984" s="31"/>
      <c r="M984" s="31"/>
      <c r="N984" s="31"/>
    </row>
    <row r="985">
      <c r="A985" s="74"/>
      <c r="B985" s="31"/>
      <c r="C985" s="31"/>
      <c r="D985" s="31"/>
      <c r="E985" s="31"/>
      <c r="F985" s="31"/>
      <c r="G985" s="31"/>
      <c r="H985" s="31"/>
      <c r="I985" s="75"/>
      <c r="J985" s="31"/>
      <c r="K985" s="31"/>
      <c r="L985" s="31"/>
      <c r="M985" s="31"/>
      <c r="N985" s="31"/>
    </row>
    <row r="986">
      <c r="A986" s="74"/>
      <c r="B986" s="31"/>
      <c r="C986" s="31"/>
      <c r="D986" s="31"/>
      <c r="E986" s="31"/>
      <c r="F986" s="31"/>
      <c r="G986" s="31"/>
      <c r="H986" s="31"/>
      <c r="I986" s="75"/>
      <c r="J986" s="31"/>
      <c r="K986" s="31"/>
      <c r="L986" s="31"/>
      <c r="M986" s="31"/>
      <c r="N986" s="31"/>
    </row>
    <row r="987">
      <c r="A987" s="74"/>
      <c r="B987" s="31"/>
      <c r="C987" s="31"/>
      <c r="D987" s="31"/>
      <c r="E987" s="31"/>
      <c r="F987" s="31"/>
      <c r="G987" s="31"/>
      <c r="H987" s="31"/>
      <c r="I987" s="75"/>
      <c r="J987" s="31"/>
      <c r="K987" s="31"/>
      <c r="L987" s="31"/>
      <c r="M987" s="31"/>
      <c r="N987" s="31"/>
    </row>
    <row r="988">
      <c r="A988" s="74"/>
      <c r="B988" s="31"/>
      <c r="C988" s="31"/>
      <c r="D988" s="31"/>
      <c r="E988" s="31"/>
      <c r="F988" s="31"/>
      <c r="G988" s="31"/>
      <c r="H988" s="31"/>
      <c r="I988" s="75"/>
      <c r="J988" s="31"/>
      <c r="K988" s="31"/>
      <c r="L988" s="31"/>
      <c r="M988" s="31"/>
      <c r="N988" s="31"/>
    </row>
    <row r="989">
      <c r="A989" s="74"/>
      <c r="B989" s="31"/>
      <c r="C989" s="31"/>
      <c r="D989" s="31"/>
      <c r="E989" s="31"/>
      <c r="F989" s="31"/>
      <c r="G989" s="31"/>
      <c r="H989" s="31"/>
      <c r="I989" s="75"/>
      <c r="J989" s="31"/>
      <c r="K989" s="31"/>
      <c r="L989" s="31"/>
      <c r="M989" s="31"/>
      <c r="N989" s="31"/>
    </row>
    <row r="990">
      <c r="A990" s="74"/>
      <c r="B990" s="31"/>
      <c r="C990" s="31"/>
      <c r="D990" s="31"/>
      <c r="E990" s="31"/>
      <c r="F990" s="31"/>
      <c r="G990" s="31"/>
      <c r="H990" s="31"/>
      <c r="I990" s="75"/>
      <c r="J990" s="31"/>
      <c r="K990" s="31"/>
      <c r="L990" s="31"/>
      <c r="M990" s="31"/>
      <c r="N990" s="31"/>
    </row>
    <row r="991">
      <c r="A991" s="74"/>
      <c r="B991" s="31"/>
      <c r="C991" s="31"/>
      <c r="D991" s="31"/>
      <c r="E991" s="31"/>
      <c r="F991" s="31"/>
      <c r="G991" s="31"/>
      <c r="H991" s="31"/>
      <c r="I991" s="75"/>
      <c r="J991" s="31"/>
      <c r="K991" s="31"/>
      <c r="L991" s="31"/>
      <c r="M991" s="31"/>
      <c r="N991" s="31"/>
    </row>
    <row r="992">
      <c r="A992" s="74"/>
      <c r="B992" s="31"/>
      <c r="C992" s="31"/>
      <c r="D992" s="31"/>
      <c r="E992" s="31"/>
      <c r="F992" s="31"/>
      <c r="G992" s="31"/>
      <c r="H992" s="31"/>
      <c r="I992" s="75"/>
      <c r="J992" s="31"/>
      <c r="K992" s="31"/>
      <c r="L992" s="31"/>
      <c r="M992" s="31"/>
      <c r="N992" s="31"/>
    </row>
    <row r="993">
      <c r="A993" s="74"/>
      <c r="B993" s="31"/>
      <c r="C993" s="31"/>
      <c r="D993" s="31"/>
      <c r="E993" s="31"/>
      <c r="F993" s="31"/>
      <c r="G993" s="31"/>
      <c r="H993" s="31"/>
      <c r="I993" s="75"/>
      <c r="J993" s="31"/>
      <c r="K993" s="31"/>
      <c r="L993" s="31"/>
      <c r="M993" s="31"/>
      <c r="N993" s="31"/>
    </row>
    <row r="994">
      <c r="A994" s="74"/>
      <c r="B994" s="31"/>
      <c r="C994" s="31"/>
      <c r="D994" s="31"/>
      <c r="E994" s="31"/>
      <c r="F994" s="31"/>
      <c r="G994" s="31"/>
      <c r="H994" s="31"/>
      <c r="I994" s="75"/>
      <c r="J994" s="31"/>
      <c r="K994" s="31"/>
      <c r="L994" s="31"/>
      <c r="M994" s="31"/>
      <c r="N994" s="31"/>
    </row>
    <row r="995">
      <c r="A995" s="74"/>
      <c r="B995" s="31"/>
      <c r="C995" s="31"/>
      <c r="D995" s="31"/>
      <c r="E995" s="31"/>
      <c r="F995" s="31"/>
      <c r="G995" s="31"/>
      <c r="H995" s="31"/>
      <c r="I995" s="75"/>
      <c r="J995" s="31"/>
      <c r="K995" s="31"/>
      <c r="L995" s="31"/>
      <c r="M995" s="31"/>
      <c r="N995" s="31"/>
    </row>
    <row r="996">
      <c r="A996" s="74"/>
      <c r="B996" s="31"/>
      <c r="C996" s="31"/>
      <c r="D996" s="31"/>
      <c r="E996" s="31"/>
      <c r="F996" s="31"/>
      <c r="G996" s="31"/>
      <c r="H996" s="31"/>
      <c r="I996" s="75"/>
      <c r="J996" s="31"/>
      <c r="K996" s="31"/>
      <c r="L996" s="31"/>
      <c r="M996" s="31"/>
      <c r="N996" s="31"/>
    </row>
    <row r="997">
      <c r="A997" s="74"/>
      <c r="B997" s="31"/>
      <c r="C997" s="31"/>
      <c r="D997" s="31"/>
      <c r="E997" s="31"/>
      <c r="F997" s="31"/>
      <c r="G997" s="31"/>
      <c r="H997" s="31"/>
      <c r="I997" s="75"/>
      <c r="J997" s="31"/>
      <c r="K997" s="31"/>
      <c r="L997" s="31"/>
      <c r="M997" s="31"/>
      <c r="N997" s="31"/>
    </row>
    <row r="998">
      <c r="A998" s="74"/>
      <c r="B998" s="31"/>
      <c r="C998" s="31"/>
      <c r="D998" s="31"/>
      <c r="E998" s="31"/>
      <c r="F998" s="31"/>
      <c r="G998" s="31"/>
      <c r="H998" s="31"/>
      <c r="I998" s="75"/>
      <c r="J998" s="31"/>
      <c r="K998" s="31"/>
      <c r="L998" s="31"/>
      <c r="M998" s="31"/>
      <c r="N998" s="31"/>
    </row>
    <row r="999">
      <c r="A999" s="74"/>
      <c r="B999" s="31"/>
      <c r="C999" s="31"/>
      <c r="D999" s="31"/>
      <c r="E999" s="31"/>
      <c r="F999" s="31"/>
      <c r="G999" s="31"/>
      <c r="H999" s="31"/>
      <c r="I999" s="75"/>
      <c r="J999" s="31"/>
      <c r="K999" s="31"/>
      <c r="L999" s="31"/>
      <c r="M999" s="31"/>
      <c r="N999" s="31"/>
    </row>
    <row r="1000">
      <c r="A1000" s="74"/>
      <c r="B1000" s="31"/>
      <c r="C1000" s="31"/>
      <c r="D1000" s="31"/>
      <c r="E1000" s="31"/>
      <c r="F1000" s="31"/>
      <c r="G1000" s="31"/>
      <c r="H1000" s="31"/>
      <c r="I1000" s="75"/>
      <c r="J1000" s="31"/>
      <c r="K1000" s="31"/>
      <c r="L1000" s="31"/>
      <c r="M1000" s="31"/>
      <c r="N1000" s="31"/>
    </row>
    <row r="1001">
      <c r="A1001" s="74"/>
      <c r="B1001" s="31"/>
      <c r="C1001" s="31"/>
      <c r="D1001" s="31"/>
      <c r="E1001" s="31"/>
      <c r="F1001" s="31"/>
      <c r="G1001" s="31"/>
      <c r="H1001" s="31"/>
      <c r="I1001" s="75"/>
      <c r="J1001" s="31"/>
      <c r="K1001" s="31"/>
      <c r="L1001" s="31"/>
      <c r="M1001" s="31"/>
      <c r="N1001" s="31"/>
    </row>
    <row r="1002">
      <c r="A1002" s="74"/>
      <c r="B1002" s="31"/>
      <c r="C1002" s="31"/>
      <c r="D1002" s="31"/>
      <c r="E1002" s="31"/>
      <c r="F1002" s="31"/>
      <c r="G1002" s="31"/>
      <c r="H1002" s="31"/>
      <c r="I1002" s="75"/>
      <c r="J1002" s="31"/>
      <c r="K1002" s="31"/>
      <c r="L1002" s="31"/>
      <c r="M1002" s="31"/>
      <c r="N1002" s="31"/>
    </row>
    <row r="1003">
      <c r="A1003" s="74"/>
      <c r="B1003" s="31"/>
      <c r="C1003" s="31"/>
      <c r="D1003" s="31"/>
      <c r="E1003" s="31"/>
      <c r="F1003" s="31"/>
      <c r="G1003" s="31"/>
      <c r="H1003" s="31"/>
      <c r="I1003" s="75"/>
      <c r="J1003" s="31"/>
      <c r="K1003" s="31"/>
      <c r="L1003" s="31"/>
      <c r="M1003" s="31"/>
      <c r="N1003" s="31"/>
    </row>
    <row r="1004">
      <c r="A1004" s="74"/>
      <c r="B1004" s="31"/>
      <c r="C1004" s="31"/>
      <c r="D1004" s="31"/>
      <c r="E1004" s="31"/>
      <c r="F1004" s="31"/>
      <c r="G1004" s="31"/>
      <c r="H1004" s="31"/>
      <c r="I1004" s="75"/>
      <c r="J1004" s="31"/>
      <c r="K1004" s="31"/>
      <c r="L1004" s="31"/>
      <c r="M1004" s="31"/>
      <c r="N1004" s="31"/>
    </row>
    <row r="1005">
      <c r="A1005" s="74"/>
      <c r="B1005" s="31"/>
      <c r="C1005" s="31"/>
      <c r="D1005" s="31"/>
      <c r="E1005" s="31"/>
      <c r="F1005" s="31"/>
      <c r="G1005" s="31"/>
      <c r="H1005" s="31"/>
      <c r="I1005" s="75"/>
      <c r="J1005" s="31"/>
      <c r="K1005" s="31"/>
      <c r="L1005" s="31"/>
      <c r="M1005" s="31"/>
      <c r="N1005" s="31"/>
    </row>
    <row r="1006">
      <c r="A1006" s="74"/>
      <c r="B1006" s="31"/>
      <c r="C1006" s="31"/>
      <c r="D1006" s="31"/>
      <c r="E1006" s="31"/>
      <c r="F1006" s="31"/>
      <c r="G1006" s="31"/>
      <c r="H1006" s="31"/>
      <c r="I1006" s="75"/>
      <c r="J1006" s="31"/>
      <c r="K1006" s="31"/>
      <c r="L1006" s="31"/>
      <c r="M1006" s="31"/>
      <c r="N1006" s="31"/>
    </row>
    <row r="1007">
      <c r="A1007" s="74"/>
      <c r="B1007" s="31"/>
      <c r="C1007" s="31"/>
      <c r="D1007" s="31"/>
      <c r="E1007" s="31"/>
      <c r="F1007" s="31"/>
      <c r="G1007" s="31"/>
      <c r="H1007" s="31"/>
      <c r="I1007" s="75"/>
      <c r="J1007" s="31"/>
      <c r="K1007" s="31"/>
      <c r="L1007" s="31"/>
      <c r="M1007" s="31"/>
      <c r="N1007" s="31"/>
    </row>
    <row r="1008">
      <c r="A1008" s="74"/>
      <c r="B1008" s="31"/>
      <c r="C1008" s="31"/>
      <c r="D1008" s="31"/>
      <c r="E1008" s="31"/>
      <c r="F1008" s="31"/>
      <c r="G1008" s="31"/>
      <c r="H1008" s="31"/>
      <c r="I1008" s="75"/>
      <c r="J1008" s="31"/>
      <c r="K1008" s="31"/>
      <c r="L1008" s="31"/>
      <c r="M1008" s="31"/>
      <c r="N1008" s="31"/>
    </row>
    <row r="1009">
      <c r="A1009" s="74"/>
      <c r="B1009" s="31"/>
      <c r="C1009" s="31"/>
      <c r="D1009" s="31"/>
      <c r="E1009" s="31"/>
      <c r="F1009" s="31"/>
      <c r="G1009" s="31"/>
      <c r="H1009" s="31"/>
      <c r="I1009" s="75"/>
      <c r="J1009" s="31"/>
      <c r="K1009" s="31"/>
      <c r="L1009" s="31"/>
      <c r="M1009" s="31"/>
      <c r="N1009" s="31"/>
    </row>
    <row r="1010">
      <c r="A1010" s="74"/>
      <c r="B1010" s="31"/>
      <c r="C1010" s="31"/>
      <c r="D1010" s="31"/>
      <c r="E1010" s="31"/>
      <c r="F1010" s="31"/>
      <c r="G1010" s="31"/>
      <c r="H1010" s="31"/>
      <c r="I1010" s="75"/>
      <c r="J1010" s="31"/>
      <c r="K1010" s="31"/>
      <c r="L1010" s="31"/>
      <c r="M1010" s="31"/>
      <c r="N1010" s="31"/>
    </row>
    <row r="1011">
      <c r="A1011" s="74"/>
      <c r="B1011" s="31"/>
      <c r="C1011" s="31"/>
      <c r="D1011" s="31"/>
      <c r="E1011" s="31"/>
      <c r="F1011" s="31"/>
      <c r="G1011" s="31"/>
      <c r="H1011" s="31"/>
      <c r="I1011" s="75"/>
      <c r="J1011" s="31"/>
      <c r="K1011" s="31"/>
      <c r="L1011" s="31"/>
      <c r="M1011" s="31"/>
      <c r="N1011" s="31"/>
    </row>
    <row r="1012">
      <c r="A1012" s="74"/>
      <c r="B1012" s="31"/>
      <c r="C1012" s="31"/>
      <c r="D1012" s="31"/>
      <c r="E1012" s="31"/>
      <c r="F1012" s="31"/>
      <c r="G1012" s="31"/>
      <c r="H1012" s="31"/>
      <c r="I1012" s="75"/>
      <c r="J1012" s="31"/>
      <c r="K1012" s="31"/>
      <c r="L1012" s="31"/>
      <c r="M1012" s="31"/>
      <c r="N1012" s="31"/>
    </row>
    <row r="1013">
      <c r="A1013" s="74"/>
      <c r="B1013" s="31"/>
      <c r="C1013" s="31"/>
      <c r="D1013" s="31"/>
      <c r="E1013" s="31"/>
      <c r="F1013" s="31"/>
      <c r="G1013" s="31"/>
      <c r="H1013" s="31"/>
      <c r="I1013" s="75"/>
      <c r="J1013" s="31"/>
      <c r="K1013" s="31"/>
      <c r="L1013" s="31"/>
      <c r="M1013" s="31"/>
      <c r="N1013" s="31"/>
    </row>
    <row r="1014">
      <c r="A1014" s="74"/>
      <c r="B1014" s="31"/>
      <c r="C1014" s="31"/>
      <c r="D1014" s="31"/>
      <c r="E1014" s="31"/>
      <c r="F1014" s="31"/>
      <c r="G1014" s="31"/>
      <c r="H1014" s="31"/>
      <c r="I1014" s="75"/>
      <c r="J1014" s="31"/>
      <c r="K1014" s="31"/>
      <c r="L1014" s="31"/>
      <c r="M1014" s="31"/>
      <c r="N1014" s="31"/>
    </row>
    <row r="1015">
      <c r="A1015" s="74"/>
      <c r="B1015" s="31"/>
      <c r="C1015" s="31"/>
      <c r="D1015" s="31"/>
      <c r="E1015" s="31"/>
      <c r="F1015" s="31"/>
      <c r="G1015" s="31"/>
      <c r="H1015" s="31"/>
      <c r="I1015" s="75"/>
      <c r="J1015" s="31"/>
      <c r="K1015" s="31"/>
      <c r="L1015" s="31"/>
      <c r="M1015" s="31"/>
      <c r="N1015" s="31"/>
    </row>
    <row r="1016">
      <c r="A1016" s="74"/>
      <c r="B1016" s="31"/>
      <c r="C1016" s="31"/>
      <c r="D1016" s="31"/>
      <c r="E1016" s="31"/>
      <c r="F1016" s="31"/>
      <c r="G1016" s="31"/>
      <c r="H1016" s="31"/>
      <c r="I1016" s="75"/>
      <c r="J1016" s="31"/>
      <c r="K1016" s="31"/>
      <c r="L1016" s="31"/>
      <c r="M1016" s="31"/>
      <c r="N1016" s="31"/>
    </row>
    <row r="1017">
      <c r="A1017" s="74"/>
      <c r="B1017" s="31"/>
      <c r="C1017" s="31"/>
      <c r="D1017" s="31"/>
      <c r="E1017" s="31"/>
      <c r="F1017" s="31"/>
      <c r="G1017" s="31"/>
      <c r="H1017" s="31"/>
      <c r="I1017" s="75"/>
      <c r="J1017" s="31"/>
      <c r="K1017" s="31"/>
      <c r="L1017" s="31"/>
      <c r="M1017" s="31"/>
      <c r="N1017" s="31"/>
    </row>
    <row r="1018">
      <c r="A1018" s="74"/>
      <c r="B1018" s="31"/>
      <c r="C1018" s="31"/>
      <c r="D1018" s="31"/>
      <c r="E1018" s="31"/>
      <c r="F1018" s="31"/>
      <c r="G1018" s="31"/>
      <c r="H1018" s="31"/>
      <c r="I1018" s="75"/>
      <c r="J1018" s="31"/>
      <c r="K1018" s="31"/>
      <c r="L1018" s="31"/>
      <c r="M1018" s="31"/>
      <c r="N1018" s="31"/>
    </row>
    <row r="1019">
      <c r="A1019" s="74"/>
      <c r="B1019" s="31"/>
      <c r="C1019" s="31"/>
      <c r="D1019" s="31"/>
      <c r="E1019" s="31"/>
      <c r="F1019" s="31"/>
      <c r="G1019" s="31"/>
      <c r="H1019" s="31"/>
      <c r="I1019" s="75"/>
      <c r="J1019" s="31"/>
      <c r="K1019" s="31"/>
      <c r="L1019" s="31"/>
      <c r="M1019" s="31"/>
      <c r="N1019" s="31"/>
    </row>
    <row r="1020">
      <c r="A1020" s="74"/>
      <c r="B1020" s="31"/>
      <c r="C1020" s="31"/>
      <c r="D1020" s="31"/>
      <c r="E1020" s="31"/>
      <c r="F1020" s="31"/>
      <c r="G1020" s="31"/>
      <c r="H1020" s="31"/>
      <c r="I1020" s="75"/>
      <c r="J1020" s="31"/>
      <c r="K1020" s="31"/>
      <c r="L1020" s="31"/>
      <c r="M1020" s="31"/>
      <c r="N1020" s="31"/>
    </row>
    <row r="1021">
      <c r="A1021" s="74"/>
      <c r="B1021" s="31"/>
      <c r="C1021" s="31"/>
      <c r="D1021" s="31"/>
      <c r="E1021" s="31"/>
      <c r="F1021" s="31"/>
      <c r="G1021" s="31"/>
      <c r="H1021" s="31"/>
      <c r="I1021" s="75"/>
      <c r="J1021" s="31"/>
      <c r="K1021" s="31"/>
      <c r="L1021" s="31"/>
      <c r="M1021" s="31"/>
      <c r="N1021" s="31"/>
    </row>
    <row r="1022">
      <c r="A1022" s="74"/>
      <c r="B1022" s="31"/>
      <c r="C1022" s="31"/>
      <c r="D1022" s="31"/>
      <c r="E1022" s="31"/>
      <c r="F1022" s="31"/>
      <c r="G1022" s="31"/>
      <c r="H1022" s="31"/>
      <c r="I1022" s="75"/>
      <c r="J1022" s="31"/>
      <c r="K1022" s="31"/>
      <c r="L1022" s="31"/>
      <c r="M1022" s="31"/>
      <c r="N1022" s="31"/>
    </row>
    <row r="1023">
      <c r="A1023" s="74"/>
      <c r="B1023" s="31"/>
      <c r="C1023" s="31"/>
      <c r="D1023" s="31"/>
      <c r="E1023" s="31"/>
      <c r="F1023" s="31"/>
      <c r="G1023" s="31"/>
      <c r="H1023" s="31"/>
      <c r="I1023" s="75"/>
      <c r="J1023" s="31"/>
      <c r="K1023" s="31"/>
      <c r="L1023" s="31"/>
      <c r="M1023" s="31"/>
      <c r="N1023" s="31"/>
    </row>
    <row r="1024">
      <c r="A1024" s="74"/>
      <c r="B1024" s="31"/>
      <c r="C1024" s="31"/>
      <c r="D1024" s="31"/>
      <c r="E1024" s="31"/>
      <c r="F1024" s="31"/>
      <c r="G1024" s="31"/>
      <c r="H1024" s="31"/>
      <c r="I1024" s="75"/>
      <c r="J1024" s="31"/>
      <c r="K1024" s="31"/>
      <c r="L1024" s="31"/>
      <c r="M1024" s="31"/>
      <c r="N1024" s="31"/>
    </row>
    <row r="1025">
      <c r="A1025" s="74"/>
      <c r="B1025" s="31"/>
      <c r="C1025" s="31"/>
      <c r="D1025" s="31"/>
      <c r="E1025" s="31"/>
      <c r="F1025" s="31"/>
      <c r="G1025" s="31"/>
      <c r="H1025" s="31"/>
      <c r="I1025" s="75"/>
      <c r="J1025" s="31"/>
      <c r="K1025" s="31"/>
      <c r="L1025" s="31"/>
      <c r="M1025" s="31"/>
      <c r="N1025" s="31"/>
    </row>
    <row r="1026">
      <c r="A1026" s="74"/>
      <c r="B1026" s="31"/>
      <c r="C1026" s="31"/>
      <c r="D1026" s="31"/>
      <c r="E1026" s="31"/>
      <c r="F1026" s="31"/>
      <c r="G1026" s="31"/>
      <c r="H1026" s="31"/>
      <c r="I1026" s="75"/>
      <c r="J1026" s="31"/>
      <c r="K1026" s="31"/>
      <c r="L1026" s="31"/>
      <c r="M1026" s="31"/>
      <c r="N1026" s="31"/>
    </row>
    <row r="1027">
      <c r="A1027" s="74"/>
      <c r="B1027" s="31"/>
      <c r="C1027" s="31"/>
      <c r="D1027" s="31"/>
      <c r="E1027" s="31"/>
      <c r="F1027" s="31"/>
      <c r="G1027" s="31"/>
      <c r="H1027" s="31"/>
      <c r="I1027" s="75"/>
      <c r="J1027" s="31"/>
      <c r="K1027" s="31"/>
      <c r="L1027" s="31"/>
      <c r="M1027" s="31"/>
      <c r="N1027" s="31"/>
    </row>
    <row r="1028">
      <c r="A1028" s="74"/>
      <c r="B1028" s="31"/>
      <c r="C1028" s="31"/>
      <c r="D1028" s="31"/>
      <c r="E1028" s="31"/>
      <c r="F1028" s="31"/>
      <c r="G1028" s="31"/>
      <c r="H1028" s="31"/>
      <c r="I1028" s="75"/>
      <c r="J1028" s="31"/>
      <c r="K1028" s="31"/>
      <c r="L1028" s="31"/>
      <c r="M1028" s="31"/>
      <c r="N1028" s="31"/>
    </row>
    <row r="1029">
      <c r="A1029" s="74"/>
      <c r="B1029" s="31"/>
      <c r="C1029" s="31"/>
      <c r="D1029" s="31"/>
      <c r="E1029" s="31"/>
      <c r="F1029" s="31"/>
      <c r="G1029" s="31"/>
      <c r="H1029" s="31"/>
      <c r="I1029" s="75"/>
      <c r="J1029" s="31"/>
      <c r="K1029" s="31"/>
      <c r="L1029" s="31"/>
      <c r="M1029" s="31"/>
      <c r="N1029" s="31"/>
    </row>
    <row r="1030">
      <c r="A1030" s="74"/>
      <c r="B1030" s="31"/>
      <c r="C1030" s="31"/>
      <c r="D1030" s="31"/>
      <c r="E1030" s="31"/>
      <c r="F1030" s="31"/>
      <c r="G1030" s="31"/>
      <c r="H1030" s="31"/>
      <c r="I1030" s="75"/>
      <c r="J1030" s="31"/>
      <c r="K1030" s="31"/>
      <c r="L1030" s="31"/>
      <c r="M1030" s="31"/>
      <c r="N1030" s="31"/>
    </row>
    <row r="1031">
      <c r="A1031" s="74"/>
      <c r="B1031" s="31"/>
      <c r="C1031" s="31"/>
      <c r="D1031" s="31"/>
      <c r="E1031" s="31"/>
      <c r="F1031" s="31"/>
      <c r="G1031" s="31"/>
      <c r="H1031" s="31"/>
      <c r="I1031" s="75"/>
      <c r="J1031" s="31"/>
      <c r="K1031" s="31"/>
      <c r="L1031" s="31"/>
      <c r="M1031" s="31"/>
      <c r="N1031" s="31"/>
    </row>
    <row r="1032">
      <c r="A1032" s="74"/>
      <c r="B1032" s="31"/>
      <c r="C1032" s="31"/>
      <c r="D1032" s="31"/>
      <c r="E1032" s="31"/>
      <c r="F1032" s="31"/>
      <c r="G1032" s="31"/>
      <c r="H1032" s="31"/>
      <c r="I1032" s="75"/>
      <c r="J1032" s="31"/>
      <c r="K1032" s="31"/>
      <c r="L1032" s="31"/>
      <c r="M1032" s="31"/>
      <c r="N1032" s="31"/>
    </row>
    <row r="1033">
      <c r="A1033" s="74"/>
      <c r="B1033" s="31"/>
      <c r="C1033" s="31"/>
      <c r="D1033" s="31"/>
      <c r="E1033" s="31"/>
      <c r="F1033" s="31"/>
      <c r="G1033" s="31"/>
      <c r="H1033" s="31"/>
      <c r="I1033" s="75"/>
      <c r="J1033" s="31"/>
      <c r="K1033" s="31"/>
      <c r="L1033" s="31"/>
      <c r="M1033" s="31"/>
      <c r="N1033" s="31"/>
    </row>
    <row r="1034">
      <c r="A1034" s="74"/>
      <c r="B1034" s="31"/>
      <c r="C1034" s="31"/>
      <c r="D1034" s="31"/>
      <c r="E1034" s="31"/>
      <c r="F1034" s="31"/>
      <c r="G1034" s="31"/>
      <c r="H1034" s="31"/>
      <c r="I1034" s="75"/>
      <c r="J1034" s="31"/>
      <c r="K1034" s="31"/>
      <c r="L1034" s="31"/>
      <c r="M1034" s="31"/>
      <c r="N1034" s="31"/>
    </row>
    <row r="1035">
      <c r="A1035" s="74"/>
      <c r="B1035" s="31"/>
      <c r="C1035" s="31"/>
      <c r="D1035" s="31"/>
      <c r="E1035" s="31"/>
      <c r="F1035" s="31"/>
      <c r="G1035" s="31"/>
      <c r="H1035" s="31"/>
      <c r="I1035" s="75"/>
      <c r="J1035" s="31"/>
      <c r="K1035" s="31"/>
      <c r="L1035" s="31"/>
      <c r="M1035" s="31"/>
      <c r="N1035" s="31"/>
    </row>
    <row r="1036">
      <c r="A1036" s="74"/>
      <c r="B1036" s="31"/>
      <c r="C1036" s="31"/>
      <c r="D1036" s="31"/>
      <c r="E1036" s="31"/>
      <c r="F1036" s="31"/>
      <c r="G1036" s="31"/>
      <c r="H1036" s="31"/>
      <c r="I1036" s="75"/>
      <c r="J1036" s="31"/>
      <c r="K1036" s="31"/>
      <c r="L1036" s="31"/>
      <c r="M1036" s="31"/>
      <c r="N1036" s="31"/>
    </row>
    <row r="1037">
      <c r="A1037" s="74"/>
      <c r="B1037" s="31"/>
      <c r="C1037" s="31"/>
      <c r="D1037" s="31"/>
      <c r="E1037" s="31"/>
      <c r="F1037" s="31"/>
      <c r="G1037" s="31"/>
      <c r="H1037" s="31"/>
      <c r="I1037" s="75"/>
      <c r="J1037" s="31"/>
      <c r="K1037" s="31"/>
      <c r="L1037" s="31"/>
      <c r="M1037" s="31"/>
      <c r="N1037" s="31"/>
    </row>
    <row r="1038">
      <c r="A1038" s="74"/>
      <c r="B1038" s="31"/>
      <c r="C1038" s="31"/>
      <c r="D1038" s="31"/>
      <c r="E1038" s="31"/>
      <c r="F1038" s="31"/>
      <c r="G1038" s="31"/>
      <c r="H1038" s="31"/>
      <c r="I1038" s="75"/>
      <c r="J1038" s="31"/>
      <c r="K1038" s="31"/>
      <c r="L1038" s="31"/>
      <c r="M1038" s="31"/>
      <c r="N1038" s="31"/>
    </row>
    <row r="1039">
      <c r="A1039" s="74"/>
      <c r="B1039" s="31"/>
      <c r="C1039" s="31"/>
      <c r="D1039" s="31"/>
      <c r="E1039" s="31"/>
      <c r="F1039" s="31"/>
      <c r="G1039" s="31"/>
      <c r="H1039" s="31"/>
      <c r="I1039" s="75"/>
      <c r="J1039" s="31"/>
      <c r="K1039" s="31"/>
      <c r="L1039" s="31"/>
      <c r="M1039" s="31"/>
      <c r="N1039" s="31"/>
    </row>
    <row r="1040">
      <c r="A1040" s="74"/>
      <c r="B1040" s="31"/>
      <c r="C1040" s="31"/>
      <c r="D1040" s="31"/>
      <c r="E1040" s="31"/>
      <c r="F1040" s="31"/>
      <c r="G1040" s="31"/>
      <c r="H1040" s="31"/>
      <c r="I1040" s="75"/>
      <c r="J1040" s="31"/>
      <c r="K1040" s="31"/>
      <c r="L1040" s="31"/>
      <c r="M1040" s="31"/>
      <c r="N1040" s="31"/>
    </row>
    <row r="1041">
      <c r="A1041" s="74"/>
      <c r="B1041" s="31"/>
      <c r="C1041" s="31"/>
      <c r="D1041" s="31"/>
      <c r="E1041" s="31"/>
      <c r="F1041" s="31"/>
      <c r="G1041" s="31"/>
      <c r="H1041" s="31"/>
      <c r="I1041" s="75"/>
      <c r="J1041" s="31"/>
      <c r="K1041" s="31"/>
      <c r="L1041" s="31"/>
      <c r="M1041" s="31"/>
      <c r="N1041" s="31"/>
    </row>
    <row r="1042">
      <c r="A1042" s="74"/>
      <c r="B1042" s="31"/>
      <c r="C1042" s="31"/>
      <c r="D1042" s="31"/>
      <c r="E1042" s="31"/>
      <c r="F1042" s="31"/>
      <c r="G1042" s="31"/>
      <c r="H1042" s="31"/>
      <c r="I1042" s="75"/>
      <c r="J1042" s="31"/>
      <c r="K1042" s="31"/>
      <c r="L1042" s="31"/>
      <c r="M1042" s="31"/>
      <c r="N1042" s="31"/>
    </row>
    <row r="1043">
      <c r="A1043" s="74"/>
      <c r="B1043" s="31"/>
      <c r="C1043" s="31"/>
      <c r="D1043" s="31"/>
      <c r="E1043" s="31"/>
      <c r="F1043" s="31"/>
      <c r="G1043" s="31"/>
      <c r="H1043" s="31"/>
      <c r="I1043" s="75"/>
      <c r="J1043" s="31"/>
      <c r="K1043" s="31"/>
      <c r="L1043" s="31"/>
      <c r="M1043" s="31"/>
      <c r="N1043" s="31"/>
    </row>
    <row r="1044">
      <c r="A1044" s="74"/>
      <c r="B1044" s="31"/>
      <c r="C1044" s="31"/>
      <c r="D1044" s="31"/>
      <c r="E1044" s="31"/>
      <c r="F1044" s="31"/>
      <c r="G1044" s="31"/>
      <c r="H1044" s="31"/>
      <c r="I1044" s="75"/>
      <c r="J1044" s="31"/>
      <c r="K1044" s="31"/>
      <c r="L1044" s="31"/>
      <c r="M1044" s="31"/>
      <c r="N1044" s="31"/>
    </row>
    <row r="1045">
      <c r="A1045" s="74"/>
      <c r="B1045" s="31"/>
      <c r="C1045" s="31"/>
      <c r="D1045" s="31"/>
      <c r="E1045" s="31"/>
      <c r="F1045" s="31"/>
      <c r="G1045" s="31"/>
      <c r="H1045" s="31"/>
      <c r="I1045" s="75"/>
      <c r="J1045" s="31"/>
      <c r="K1045" s="31"/>
      <c r="L1045" s="31"/>
      <c r="M1045" s="31"/>
      <c r="N1045" s="31"/>
    </row>
    <row r="1046">
      <c r="A1046" s="74"/>
      <c r="B1046" s="31"/>
      <c r="C1046" s="31"/>
      <c r="D1046" s="31"/>
      <c r="E1046" s="31"/>
      <c r="F1046" s="31"/>
      <c r="G1046" s="31"/>
      <c r="H1046" s="31"/>
      <c r="I1046" s="75"/>
      <c r="J1046" s="31"/>
      <c r="K1046" s="31"/>
      <c r="L1046" s="31"/>
      <c r="M1046" s="31"/>
      <c r="N1046" s="31"/>
    </row>
    <row r="1047">
      <c r="A1047" s="74"/>
      <c r="B1047" s="31"/>
      <c r="C1047" s="31"/>
      <c r="D1047" s="31"/>
      <c r="E1047" s="31"/>
      <c r="F1047" s="31"/>
      <c r="G1047" s="31"/>
      <c r="H1047" s="31"/>
      <c r="I1047" s="75"/>
      <c r="J1047" s="31"/>
      <c r="K1047" s="31"/>
      <c r="L1047" s="31"/>
      <c r="M1047" s="31"/>
      <c r="N1047" s="31"/>
    </row>
    <row r="1048">
      <c r="A1048" s="74"/>
      <c r="B1048" s="31"/>
      <c r="C1048" s="31"/>
      <c r="D1048" s="31"/>
      <c r="E1048" s="31"/>
      <c r="F1048" s="31"/>
      <c r="G1048" s="31"/>
      <c r="H1048" s="31"/>
      <c r="I1048" s="75"/>
      <c r="J1048" s="31"/>
      <c r="K1048" s="31"/>
      <c r="L1048" s="31"/>
      <c r="M1048" s="31"/>
      <c r="N1048" s="31"/>
    </row>
    <row r="1049">
      <c r="A1049" s="74"/>
      <c r="B1049" s="31"/>
      <c r="C1049" s="31"/>
      <c r="D1049" s="31"/>
      <c r="E1049" s="31"/>
      <c r="F1049" s="31"/>
      <c r="G1049" s="31"/>
      <c r="H1049" s="31"/>
      <c r="I1049" s="75"/>
      <c r="J1049" s="31"/>
      <c r="K1049" s="31"/>
      <c r="L1049" s="31"/>
      <c r="M1049" s="31"/>
      <c r="N1049" s="31"/>
    </row>
    <row r="1050">
      <c r="A1050" s="74"/>
      <c r="B1050" s="31"/>
      <c r="C1050" s="31"/>
      <c r="D1050" s="31"/>
      <c r="E1050" s="31"/>
      <c r="F1050" s="31"/>
      <c r="G1050" s="31"/>
      <c r="H1050" s="31"/>
      <c r="I1050" s="75"/>
      <c r="J1050" s="31"/>
      <c r="K1050" s="31"/>
      <c r="L1050" s="31"/>
      <c r="M1050" s="31"/>
      <c r="N1050" s="31"/>
    </row>
    <row r="1051">
      <c r="A1051" s="74"/>
      <c r="B1051" s="31"/>
      <c r="C1051" s="31"/>
      <c r="D1051" s="31"/>
      <c r="E1051" s="31"/>
      <c r="F1051" s="31"/>
      <c r="G1051" s="31"/>
      <c r="H1051" s="31"/>
      <c r="I1051" s="75"/>
      <c r="J1051" s="31"/>
      <c r="K1051" s="31"/>
      <c r="L1051" s="31"/>
      <c r="M1051" s="31"/>
      <c r="N1051" s="31"/>
    </row>
    <row r="1052">
      <c r="A1052" s="74"/>
      <c r="B1052" s="31"/>
      <c r="C1052" s="31"/>
      <c r="D1052" s="31"/>
      <c r="E1052" s="31"/>
      <c r="F1052" s="31"/>
      <c r="G1052" s="31"/>
      <c r="H1052" s="31"/>
      <c r="I1052" s="75"/>
      <c r="J1052" s="31"/>
      <c r="K1052" s="31"/>
      <c r="L1052" s="31"/>
      <c r="M1052" s="31"/>
      <c r="N1052" s="31"/>
    </row>
    <row r="1053">
      <c r="A1053" s="74"/>
      <c r="B1053" s="31"/>
      <c r="C1053" s="31"/>
      <c r="D1053" s="31"/>
      <c r="E1053" s="31"/>
      <c r="F1053" s="31"/>
      <c r="G1053" s="31"/>
      <c r="H1053" s="31"/>
      <c r="I1053" s="75"/>
      <c r="J1053" s="31"/>
      <c r="K1053" s="31"/>
      <c r="L1053" s="31"/>
      <c r="M1053" s="31"/>
      <c r="N1053" s="31"/>
    </row>
    <row r="1054">
      <c r="A1054" s="74"/>
      <c r="B1054" s="31"/>
      <c r="C1054" s="31"/>
      <c r="D1054" s="31"/>
      <c r="E1054" s="31"/>
      <c r="F1054" s="31"/>
      <c r="G1054" s="31"/>
      <c r="H1054" s="31"/>
      <c r="I1054" s="75"/>
      <c r="J1054" s="31"/>
      <c r="K1054" s="31"/>
      <c r="L1054" s="31"/>
      <c r="M1054" s="31"/>
      <c r="N1054" s="31"/>
    </row>
    <row r="1055">
      <c r="A1055" s="74"/>
      <c r="B1055" s="31"/>
      <c r="C1055" s="31"/>
      <c r="D1055" s="31"/>
      <c r="E1055" s="31"/>
      <c r="F1055" s="31"/>
      <c r="G1055" s="31"/>
      <c r="H1055" s="31"/>
      <c r="I1055" s="75"/>
      <c r="J1055" s="31"/>
      <c r="K1055" s="31"/>
      <c r="L1055" s="31"/>
      <c r="M1055" s="31"/>
      <c r="N1055" s="31"/>
    </row>
    <row r="1056">
      <c r="A1056" s="74"/>
      <c r="B1056" s="31"/>
      <c r="C1056" s="31"/>
      <c r="D1056" s="31"/>
      <c r="E1056" s="31"/>
      <c r="F1056" s="31"/>
      <c r="G1056" s="31"/>
      <c r="H1056" s="31"/>
      <c r="I1056" s="75"/>
      <c r="J1056" s="31"/>
      <c r="K1056" s="31"/>
      <c r="L1056" s="31"/>
      <c r="M1056" s="31"/>
      <c r="N1056" s="31"/>
    </row>
    <row r="1057">
      <c r="A1057" s="74"/>
      <c r="B1057" s="31"/>
      <c r="C1057" s="31"/>
      <c r="D1057" s="31"/>
      <c r="E1057" s="31"/>
      <c r="F1057" s="31"/>
      <c r="G1057" s="31"/>
      <c r="H1057" s="31"/>
      <c r="I1057" s="75"/>
      <c r="J1057" s="31"/>
      <c r="K1057" s="31"/>
      <c r="L1057" s="31"/>
      <c r="M1057" s="31"/>
      <c r="N1057" s="31"/>
    </row>
    <row r="1058">
      <c r="A1058" s="74"/>
      <c r="B1058" s="31"/>
      <c r="C1058" s="31"/>
      <c r="D1058" s="31"/>
      <c r="E1058" s="31"/>
      <c r="F1058" s="31"/>
      <c r="G1058" s="31"/>
      <c r="H1058" s="31"/>
      <c r="I1058" s="75"/>
      <c r="J1058" s="31"/>
      <c r="K1058" s="31"/>
      <c r="L1058" s="31"/>
      <c r="M1058" s="31"/>
      <c r="N1058" s="31"/>
    </row>
    <row r="1059">
      <c r="A1059" s="74"/>
      <c r="B1059" s="31"/>
      <c r="C1059" s="31"/>
      <c r="D1059" s="31"/>
      <c r="E1059" s="31"/>
      <c r="F1059" s="31"/>
      <c r="G1059" s="31"/>
      <c r="H1059" s="31"/>
      <c r="I1059" s="75"/>
      <c r="J1059" s="31"/>
      <c r="K1059" s="31"/>
      <c r="L1059" s="31"/>
      <c r="M1059" s="31"/>
      <c r="N1059" s="31"/>
    </row>
    <row r="1060">
      <c r="A1060" s="74"/>
      <c r="B1060" s="31"/>
      <c r="C1060" s="31"/>
      <c r="D1060" s="31"/>
      <c r="E1060" s="31"/>
      <c r="F1060" s="31"/>
      <c r="G1060" s="31"/>
      <c r="H1060" s="31"/>
      <c r="I1060" s="75"/>
      <c r="J1060" s="31"/>
      <c r="K1060" s="31"/>
      <c r="L1060" s="31"/>
      <c r="M1060" s="31"/>
      <c r="N1060" s="31"/>
    </row>
    <row r="1061">
      <c r="A1061" s="74"/>
      <c r="B1061" s="31"/>
      <c r="C1061" s="31"/>
      <c r="D1061" s="31"/>
      <c r="E1061" s="31"/>
      <c r="F1061" s="31"/>
      <c r="G1061" s="31"/>
      <c r="H1061" s="31"/>
      <c r="I1061" s="75"/>
      <c r="J1061" s="31"/>
      <c r="K1061" s="31"/>
      <c r="L1061" s="31"/>
      <c r="M1061" s="31"/>
      <c r="N1061" s="31"/>
    </row>
    <row r="1062">
      <c r="A1062" s="74"/>
      <c r="B1062" s="31"/>
      <c r="C1062" s="31"/>
      <c r="D1062" s="31"/>
      <c r="E1062" s="31"/>
      <c r="F1062" s="31"/>
      <c r="G1062" s="31"/>
      <c r="H1062" s="31"/>
      <c r="I1062" s="75"/>
      <c r="J1062" s="31"/>
      <c r="K1062" s="31"/>
      <c r="L1062" s="31"/>
      <c r="M1062" s="31"/>
      <c r="N1062" s="31"/>
    </row>
    <row r="1063">
      <c r="A1063" s="74"/>
      <c r="B1063" s="31"/>
      <c r="C1063" s="31"/>
      <c r="D1063" s="31"/>
      <c r="E1063" s="31"/>
      <c r="F1063" s="31"/>
      <c r="G1063" s="31"/>
      <c r="H1063" s="31"/>
      <c r="I1063" s="75"/>
      <c r="J1063" s="31"/>
      <c r="K1063" s="31"/>
      <c r="L1063" s="31"/>
      <c r="M1063" s="31"/>
      <c r="N1063" s="31"/>
    </row>
    <row r="1064">
      <c r="A1064" s="74"/>
      <c r="B1064" s="31"/>
      <c r="C1064" s="31"/>
      <c r="D1064" s="31"/>
      <c r="E1064" s="31"/>
      <c r="F1064" s="31"/>
      <c r="G1064" s="31"/>
      <c r="H1064" s="31"/>
      <c r="I1064" s="75"/>
      <c r="J1064" s="31"/>
      <c r="K1064" s="31"/>
      <c r="L1064" s="31"/>
      <c r="M1064" s="31"/>
      <c r="N1064" s="31"/>
    </row>
    <row r="1065">
      <c r="A1065" s="74"/>
      <c r="B1065" s="31"/>
      <c r="C1065" s="31"/>
      <c r="D1065" s="31"/>
      <c r="E1065" s="31"/>
      <c r="F1065" s="31"/>
      <c r="G1065" s="31"/>
      <c r="H1065" s="31"/>
      <c r="I1065" s="75"/>
      <c r="J1065" s="31"/>
      <c r="K1065" s="31"/>
      <c r="L1065" s="31"/>
      <c r="M1065" s="31"/>
      <c r="N1065" s="31"/>
    </row>
    <row r="1066">
      <c r="A1066" s="74"/>
      <c r="B1066" s="31"/>
      <c r="C1066" s="31"/>
      <c r="D1066" s="31"/>
      <c r="E1066" s="31"/>
      <c r="F1066" s="31"/>
      <c r="G1066" s="31"/>
      <c r="H1066" s="31"/>
      <c r="I1066" s="75"/>
      <c r="J1066" s="31"/>
      <c r="K1066" s="31"/>
      <c r="L1066" s="31"/>
      <c r="M1066" s="31"/>
      <c r="N1066" s="31"/>
    </row>
    <row r="1067">
      <c r="A1067" s="74"/>
      <c r="B1067" s="31"/>
      <c r="C1067" s="31"/>
      <c r="D1067" s="31"/>
      <c r="E1067" s="31"/>
      <c r="F1067" s="31"/>
      <c r="G1067" s="31"/>
      <c r="H1067" s="31"/>
      <c r="I1067" s="75"/>
      <c r="J1067" s="31"/>
      <c r="K1067" s="31"/>
      <c r="L1067" s="31"/>
      <c r="M1067" s="31"/>
      <c r="N1067" s="31"/>
    </row>
    <row r="1068">
      <c r="A1068" s="74"/>
      <c r="B1068" s="31"/>
      <c r="C1068" s="31"/>
      <c r="D1068" s="31"/>
      <c r="E1068" s="31"/>
      <c r="F1068" s="31"/>
      <c r="G1068" s="31"/>
      <c r="H1068" s="31"/>
      <c r="I1068" s="75"/>
      <c r="J1068" s="31"/>
      <c r="K1068" s="31"/>
      <c r="L1068" s="31"/>
      <c r="M1068" s="31"/>
      <c r="N1068" s="31"/>
    </row>
    <row r="1069">
      <c r="A1069" s="74"/>
      <c r="B1069" s="31"/>
      <c r="C1069" s="31"/>
      <c r="D1069" s="31"/>
      <c r="E1069" s="31"/>
      <c r="F1069" s="31"/>
      <c r="G1069" s="31"/>
      <c r="H1069" s="31"/>
      <c r="I1069" s="75"/>
      <c r="J1069" s="31"/>
      <c r="K1069" s="31"/>
      <c r="L1069" s="31"/>
      <c r="M1069" s="31"/>
      <c r="N1069" s="31"/>
    </row>
    <row r="1070">
      <c r="A1070" s="74"/>
      <c r="B1070" s="31"/>
      <c r="C1070" s="31"/>
      <c r="D1070" s="31"/>
      <c r="E1070" s="31"/>
      <c r="F1070" s="31"/>
      <c r="G1070" s="31"/>
      <c r="H1070" s="31"/>
      <c r="I1070" s="75"/>
      <c r="J1070" s="31"/>
      <c r="K1070" s="31"/>
      <c r="L1070" s="31"/>
      <c r="M1070" s="31"/>
      <c r="N1070" s="31"/>
    </row>
    <row r="1071">
      <c r="A1071" s="74"/>
      <c r="B1071" s="31"/>
      <c r="C1071" s="31"/>
      <c r="D1071" s="31"/>
      <c r="E1071" s="31"/>
      <c r="F1071" s="31"/>
      <c r="G1071" s="31"/>
      <c r="H1071" s="31"/>
      <c r="I1071" s="75"/>
      <c r="J1071" s="31"/>
      <c r="K1071" s="31"/>
      <c r="L1071" s="31"/>
      <c r="M1071" s="31"/>
      <c r="N1071" s="31"/>
    </row>
    <row r="1072">
      <c r="A1072" s="74"/>
      <c r="B1072" s="31"/>
      <c r="C1072" s="31"/>
      <c r="D1072" s="31"/>
      <c r="E1072" s="31"/>
      <c r="F1072" s="31"/>
      <c r="G1072" s="31"/>
      <c r="H1072" s="31"/>
      <c r="I1072" s="75"/>
      <c r="J1072" s="31"/>
      <c r="K1072" s="31"/>
      <c r="L1072" s="31"/>
      <c r="M1072" s="31"/>
      <c r="N1072" s="31"/>
    </row>
    <row r="1073">
      <c r="A1073" s="74"/>
      <c r="B1073" s="31"/>
      <c r="C1073" s="31"/>
      <c r="D1073" s="31"/>
      <c r="E1073" s="31"/>
      <c r="F1073" s="31"/>
      <c r="G1073" s="31"/>
      <c r="H1073" s="31"/>
      <c r="I1073" s="75"/>
      <c r="J1073" s="31"/>
      <c r="K1073" s="31"/>
      <c r="L1073" s="31"/>
      <c r="M1073" s="31"/>
      <c r="N1073" s="31"/>
    </row>
    <row r="1074">
      <c r="A1074" s="74"/>
      <c r="B1074" s="31"/>
      <c r="C1074" s="31"/>
      <c r="D1074" s="31"/>
      <c r="E1074" s="31"/>
      <c r="F1074" s="31"/>
      <c r="G1074" s="31"/>
      <c r="H1074" s="31"/>
      <c r="I1074" s="75"/>
      <c r="J1074" s="31"/>
      <c r="K1074" s="31"/>
      <c r="L1074" s="31"/>
      <c r="M1074" s="31"/>
      <c r="N1074" s="31"/>
    </row>
    <row r="1075">
      <c r="A1075" s="74"/>
      <c r="B1075" s="31"/>
      <c r="C1075" s="31"/>
      <c r="D1075" s="31"/>
      <c r="E1075" s="31"/>
      <c r="F1075" s="31"/>
      <c r="G1075" s="31"/>
      <c r="H1075" s="31"/>
      <c r="I1075" s="75"/>
      <c r="J1075" s="31"/>
      <c r="K1075" s="31"/>
      <c r="L1075" s="31"/>
      <c r="M1075" s="31"/>
      <c r="N1075" s="31"/>
    </row>
    <row r="1076">
      <c r="A1076" s="74"/>
      <c r="B1076" s="31"/>
      <c r="C1076" s="31"/>
      <c r="D1076" s="31"/>
      <c r="E1076" s="31"/>
      <c r="F1076" s="31"/>
      <c r="G1076" s="31"/>
      <c r="H1076" s="31"/>
      <c r="I1076" s="75"/>
      <c r="J1076" s="31"/>
      <c r="K1076" s="31"/>
      <c r="L1076" s="31"/>
      <c r="M1076" s="31"/>
      <c r="N1076" s="31"/>
    </row>
    <row r="1077">
      <c r="A1077" s="74"/>
      <c r="B1077" s="31"/>
      <c r="C1077" s="31"/>
      <c r="D1077" s="31"/>
      <c r="E1077" s="31"/>
      <c r="F1077" s="31"/>
      <c r="G1077" s="31"/>
      <c r="H1077" s="31"/>
      <c r="I1077" s="75"/>
      <c r="J1077" s="31"/>
      <c r="K1077" s="31"/>
      <c r="L1077" s="31"/>
      <c r="M1077" s="31"/>
      <c r="N1077" s="31"/>
    </row>
    <row r="1078">
      <c r="A1078" s="74"/>
      <c r="B1078" s="31"/>
      <c r="C1078" s="31"/>
      <c r="D1078" s="31"/>
      <c r="E1078" s="31"/>
      <c r="F1078" s="31"/>
      <c r="G1078" s="31"/>
      <c r="H1078" s="31"/>
      <c r="I1078" s="75"/>
      <c r="J1078" s="31"/>
      <c r="K1078" s="31"/>
      <c r="L1078" s="31"/>
      <c r="M1078" s="31"/>
      <c r="N1078" s="31"/>
    </row>
    <row r="1079">
      <c r="A1079" s="74"/>
      <c r="B1079" s="31"/>
      <c r="C1079" s="31"/>
      <c r="D1079" s="31"/>
      <c r="E1079" s="31"/>
      <c r="F1079" s="31"/>
      <c r="G1079" s="31"/>
      <c r="H1079" s="31"/>
      <c r="I1079" s="75"/>
      <c r="J1079" s="31"/>
      <c r="K1079" s="31"/>
      <c r="L1079" s="31"/>
      <c r="M1079" s="31"/>
      <c r="N1079" s="31"/>
    </row>
    <row r="1080">
      <c r="A1080" s="74"/>
      <c r="B1080" s="31"/>
      <c r="C1080" s="31"/>
      <c r="D1080" s="31"/>
      <c r="E1080" s="31"/>
      <c r="F1080" s="31"/>
      <c r="G1080" s="31"/>
      <c r="H1080" s="31"/>
      <c r="I1080" s="75"/>
      <c r="J1080" s="31"/>
      <c r="K1080" s="31"/>
      <c r="L1080" s="31"/>
      <c r="M1080" s="31"/>
      <c r="N1080" s="31"/>
    </row>
    <row r="1081">
      <c r="A1081" s="74"/>
      <c r="B1081" s="31"/>
      <c r="C1081" s="31"/>
      <c r="D1081" s="31"/>
      <c r="E1081" s="31"/>
      <c r="F1081" s="31"/>
      <c r="G1081" s="31"/>
      <c r="H1081" s="31"/>
      <c r="I1081" s="75"/>
      <c r="J1081" s="31"/>
      <c r="K1081" s="31"/>
      <c r="L1081" s="31"/>
      <c r="M1081" s="31"/>
      <c r="N1081" s="31"/>
    </row>
    <row r="1082">
      <c r="A1082" s="74"/>
      <c r="B1082" s="31"/>
      <c r="C1082" s="31"/>
      <c r="D1082" s="31"/>
      <c r="E1082" s="31"/>
      <c r="F1082" s="31"/>
      <c r="G1082" s="31"/>
      <c r="H1082" s="31"/>
      <c r="I1082" s="75"/>
      <c r="J1082" s="31"/>
      <c r="K1082" s="31"/>
      <c r="L1082" s="31"/>
      <c r="M1082" s="31"/>
      <c r="N1082" s="31"/>
    </row>
    <row r="1083">
      <c r="A1083" s="74"/>
      <c r="B1083" s="31"/>
      <c r="C1083" s="31"/>
      <c r="D1083" s="31"/>
      <c r="E1083" s="31"/>
      <c r="F1083" s="31"/>
      <c r="G1083" s="31"/>
      <c r="H1083" s="31"/>
      <c r="I1083" s="75"/>
      <c r="J1083" s="31"/>
      <c r="K1083" s="31"/>
      <c r="L1083" s="31"/>
      <c r="M1083" s="31"/>
      <c r="N1083" s="31"/>
    </row>
    <row r="1084">
      <c r="A1084" s="74"/>
      <c r="B1084" s="31"/>
      <c r="C1084" s="31"/>
      <c r="D1084" s="31"/>
      <c r="E1084" s="31"/>
      <c r="F1084" s="31"/>
      <c r="G1084" s="31"/>
      <c r="H1084" s="31"/>
      <c r="I1084" s="75"/>
      <c r="J1084" s="31"/>
      <c r="K1084" s="31"/>
      <c r="L1084" s="31"/>
      <c r="M1084" s="31"/>
      <c r="N1084" s="31"/>
    </row>
    <row r="1085">
      <c r="A1085" s="74"/>
      <c r="B1085" s="31"/>
      <c r="C1085" s="31"/>
      <c r="D1085" s="31"/>
      <c r="E1085" s="31"/>
      <c r="F1085" s="31"/>
      <c r="G1085" s="31"/>
      <c r="H1085" s="31"/>
      <c r="I1085" s="75"/>
      <c r="J1085" s="31"/>
      <c r="K1085" s="31"/>
      <c r="L1085" s="31"/>
      <c r="M1085" s="31"/>
      <c r="N1085" s="31"/>
    </row>
    <row r="1086">
      <c r="A1086" s="74"/>
      <c r="B1086" s="31"/>
      <c r="C1086" s="31"/>
      <c r="D1086" s="31"/>
      <c r="E1086" s="31"/>
      <c r="F1086" s="31"/>
      <c r="G1086" s="31"/>
      <c r="H1086" s="31"/>
      <c r="I1086" s="75"/>
      <c r="J1086" s="31"/>
      <c r="K1086" s="31"/>
      <c r="L1086" s="31"/>
      <c r="M1086" s="31"/>
      <c r="N1086" s="31"/>
    </row>
    <row r="1087">
      <c r="A1087" s="74"/>
      <c r="B1087" s="31"/>
      <c r="C1087" s="31"/>
      <c r="D1087" s="31"/>
      <c r="E1087" s="31"/>
      <c r="F1087" s="31"/>
      <c r="G1087" s="31"/>
      <c r="H1087" s="31"/>
      <c r="I1087" s="75"/>
      <c r="J1087" s="31"/>
      <c r="K1087" s="31"/>
      <c r="L1087" s="31"/>
      <c r="M1087" s="31"/>
      <c r="N1087" s="31"/>
    </row>
    <row r="1088">
      <c r="A1088" s="74"/>
      <c r="B1088" s="31"/>
      <c r="C1088" s="31"/>
      <c r="D1088" s="31"/>
      <c r="E1088" s="31"/>
      <c r="F1088" s="31"/>
      <c r="G1088" s="31"/>
      <c r="H1088" s="31"/>
      <c r="I1088" s="75"/>
      <c r="J1088" s="31"/>
      <c r="K1088" s="31"/>
      <c r="L1088" s="31"/>
      <c r="M1088" s="31"/>
      <c r="N1088" s="31"/>
    </row>
    <row r="1089">
      <c r="A1089" s="74"/>
      <c r="B1089" s="31"/>
      <c r="C1089" s="31"/>
      <c r="D1089" s="31"/>
      <c r="E1089" s="31"/>
      <c r="F1089" s="31"/>
      <c r="G1089" s="31"/>
      <c r="H1089" s="31"/>
      <c r="I1089" s="75"/>
      <c r="J1089" s="31"/>
      <c r="K1089" s="31"/>
      <c r="L1089" s="31"/>
      <c r="M1089" s="31"/>
      <c r="N1089" s="31"/>
    </row>
    <row r="1090">
      <c r="A1090" s="74"/>
      <c r="B1090" s="31"/>
      <c r="C1090" s="31"/>
      <c r="D1090" s="31"/>
      <c r="E1090" s="31"/>
      <c r="F1090" s="31"/>
      <c r="G1090" s="31"/>
      <c r="H1090" s="31"/>
      <c r="I1090" s="75"/>
      <c r="J1090" s="31"/>
      <c r="K1090" s="31"/>
      <c r="L1090" s="31"/>
      <c r="M1090" s="31"/>
      <c r="N1090" s="31"/>
    </row>
    <row r="1091">
      <c r="A1091" s="74"/>
      <c r="B1091" s="31"/>
      <c r="C1091" s="31"/>
      <c r="D1091" s="31"/>
      <c r="E1091" s="31"/>
      <c r="F1091" s="31"/>
      <c r="G1091" s="31"/>
      <c r="H1091" s="31"/>
      <c r="I1091" s="75"/>
      <c r="J1091" s="31"/>
      <c r="K1091" s="31"/>
      <c r="L1091" s="31"/>
      <c r="M1091" s="31"/>
      <c r="N1091" s="31"/>
    </row>
    <row r="1092">
      <c r="A1092" s="74"/>
      <c r="B1092" s="31"/>
      <c r="C1092" s="31"/>
      <c r="D1092" s="31"/>
      <c r="E1092" s="31"/>
      <c r="F1092" s="31"/>
      <c r="G1092" s="31"/>
      <c r="H1092" s="31"/>
      <c r="I1092" s="75"/>
      <c r="J1092" s="31"/>
      <c r="K1092" s="31"/>
      <c r="L1092" s="31"/>
      <c r="M1092" s="31"/>
      <c r="N1092" s="31"/>
    </row>
    <row r="1093">
      <c r="A1093" s="74"/>
      <c r="B1093" s="31"/>
      <c r="C1093" s="31"/>
      <c r="D1093" s="31"/>
      <c r="E1093" s="31"/>
      <c r="F1093" s="31"/>
      <c r="G1093" s="31"/>
      <c r="H1093" s="31"/>
      <c r="I1093" s="75"/>
      <c r="J1093" s="31"/>
      <c r="K1093" s="31"/>
      <c r="L1093" s="31"/>
      <c r="M1093" s="31"/>
      <c r="N1093" s="31"/>
    </row>
    <row r="1094">
      <c r="A1094" s="74"/>
      <c r="B1094" s="31"/>
      <c r="C1094" s="31"/>
      <c r="D1094" s="31"/>
      <c r="E1094" s="31"/>
      <c r="F1094" s="31"/>
      <c r="G1094" s="31"/>
      <c r="H1094" s="31"/>
      <c r="I1094" s="75"/>
      <c r="J1094" s="31"/>
      <c r="K1094" s="31"/>
      <c r="L1094" s="31"/>
      <c r="M1094" s="31"/>
      <c r="N1094" s="31"/>
    </row>
    <row r="1095">
      <c r="A1095" s="74"/>
      <c r="B1095" s="31"/>
      <c r="C1095" s="31"/>
      <c r="D1095" s="31"/>
      <c r="E1095" s="31"/>
      <c r="F1095" s="31"/>
      <c r="G1095" s="31"/>
      <c r="H1095" s="31"/>
      <c r="I1095" s="75"/>
      <c r="J1095" s="31"/>
      <c r="K1095" s="31"/>
      <c r="L1095" s="31"/>
      <c r="M1095" s="31"/>
      <c r="N1095" s="31"/>
    </row>
    <row r="1096">
      <c r="A1096" s="74"/>
      <c r="B1096" s="31"/>
      <c r="C1096" s="31"/>
      <c r="D1096" s="31"/>
      <c r="E1096" s="31"/>
      <c r="F1096" s="31"/>
      <c r="G1096" s="31"/>
      <c r="H1096" s="31"/>
      <c r="I1096" s="75"/>
      <c r="J1096" s="31"/>
      <c r="K1096" s="31"/>
      <c r="L1096" s="31"/>
      <c r="M1096" s="31"/>
      <c r="N1096" s="31"/>
    </row>
    <row r="1097">
      <c r="A1097" s="74"/>
      <c r="B1097" s="31"/>
      <c r="C1097" s="31"/>
      <c r="D1097" s="31"/>
      <c r="E1097" s="31"/>
      <c r="F1097" s="31"/>
      <c r="G1097" s="31"/>
      <c r="H1097" s="31"/>
      <c r="I1097" s="75"/>
      <c r="J1097" s="31"/>
      <c r="K1097" s="31"/>
      <c r="L1097" s="31"/>
      <c r="M1097" s="31"/>
      <c r="N1097" s="31"/>
    </row>
    <row r="1098">
      <c r="A1098" s="74"/>
      <c r="B1098" s="31"/>
      <c r="C1098" s="31"/>
      <c r="D1098" s="31"/>
      <c r="E1098" s="31"/>
      <c r="F1098" s="31"/>
      <c r="G1098" s="31"/>
      <c r="H1098" s="31"/>
      <c r="I1098" s="75"/>
      <c r="J1098" s="31"/>
      <c r="K1098" s="31"/>
      <c r="L1098" s="31"/>
      <c r="M1098" s="31"/>
      <c r="N1098" s="31"/>
    </row>
    <row r="1099">
      <c r="A1099" s="74"/>
      <c r="B1099" s="31"/>
      <c r="C1099" s="31"/>
      <c r="D1099" s="31"/>
      <c r="E1099" s="31"/>
      <c r="F1099" s="31"/>
      <c r="G1099" s="31"/>
      <c r="H1099" s="31"/>
      <c r="I1099" s="75"/>
      <c r="J1099" s="31"/>
      <c r="K1099" s="31"/>
      <c r="L1099" s="31"/>
      <c r="M1099" s="31"/>
      <c r="N1099" s="31"/>
    </row>
    <row r="1100">
      <c r="A1100" s="74"/>
      <c r="B1100" s="31"/>
      <c r="C1100" s="31"/>
      <c r="D1100" s="31"/>
      <c r="E1100" s="31"/>
      <c r="F1100" s="31"/>
      <c r="G1100" s="31"/>
      <c r="H1100" s="31"/>
      <c r="I1100" s="75"/>
      <c r="J1100" s="31"/>
      <c r="K1100" s="31"/>
      <c r="L1100" s="31"/>
      <c r="M1100" s="31"/>
      <c r="N1100" s="31"/>
    </row>
    <row r="1101">
      <c r="A1101" s="74"/>
      <c r="B1101" s="31"/>
      <c r="C1101" s="31"/>
      <c r="D1101" s="31"/>
      <c r="E1101" s="31"/>
      <c r="F1101" s="31"/>
      <c r="G1101" s="31"/>
      <c r="H1101" s="31"/>
      <c r="I1101" s="75"/>
      <c r="J1101" s="31"/>
      <c r="K1101" s="31"/>
      <c r="L1101" s="31"/>
      <c r="M1101" s="31"/>
      <c r="N1101" s="31"/>
    </row>
    <row r="1102">
      <c r="A1102" s="74"/>
      <c r="B1102" s="31"/>
      <c r="C1102" s="31"/>
      <c r="D1102" s="31"/>
      <c r="E1102" s="31"/>
      <c r="F1102" s="31"/>
      <c r="G1102" s="31"/>
      <c r="H1102" s="31"/>
      <c r="I1102" s="75"/>
      <c r="J1102" s="31"/>
      <c r="K1102" s="31"/>
      <c r="L1102" s="31"/>
      <c r="M1102" s="31"/>
      <c r="N1102" s="31"/>
    </row>
    <row r="1103">
      <c r="A1103" s="74"/>
      <c r="B1103" s="31"/>
      <c r="C1103" s="31"/>
      <c r="D1103" s="31"/>
      <c r="E1103" s="31"/>
      <c r="F1103" s="31"/>
      <c r="G1103" s="31"/>
      <c r="H1103" s="31"/>
      <c r="I1103" s="75"/>
      <c r="J1103" s="31"/>
      <c r="K1103" s="31"/>
      <c r="L1103" s="31"/>
      <c r="M1103" s="31"/>
      <c r="N1103" s="31"/>
    </row>
    <row r="1104">
      <c r="A1104" s="74"/>
      <c r="B1104" s="31"/>
      <c r="C1104" s="31"/>
      <c r="D1104" s="31"/>
      <c r="E1104" s="31"/>
      <c r="F1104" s="31"/>
      <c r="G1104" s="31"/>
      <c r="H1104" s="31"/>
      <c r="I1104" s="75"/>
      <c r="J1104" s="31"/>
      <c r="K1104" s="31"/>
      <c r="L1104" s="31"/>
      <c r="M1104" s="31"/>
      <c r="N1104" s="31"/>
    </row>
    <row r="1105">
      <c r="A1105" s="74"/>
      <c r="B1105" s="31"/>
      <c r="C1105" s="31"/>
      <c r="D1105" s="31"/>
      <c r="E1105" s="31"/>
      <c r="F1105" s="31"/>
      <c r="G1105" s="31"/>
      <c r="H1105" s="31"/>
      <c r="I1105" s="75"/>
      <c r="J1105" s="31"/>
      <c r="K1105" s="31"/>
      <c r="L1105" s="31"/>
      <c r="M1105" s="31"/>
      <c r="N1105" s="31"/>
    </row>
    <row r="1106">
      <c r="A1106" s="74"/>
      <c r="B1106" s="31"/>
      <c r="C1106" s="31"/>
      <c r="D1106" s="31"/>
      <c r="E1106" s="31"/>
      <c r="F1106" s="31"/>
      <c r="G1106" s="31"/>
      <c r="H1106" s="31"/>
      <c r="I1106" s="75"/>
      <c r="J1106" s="31"/>
      <c r="K1106" s="31"/>
      <c r="L1106" s="31"/>
      <c r="M1106" s="31"/>
      <c r="N1106" s="31"/>
    </row>
    <row r="1107">
      <c r="A1107" s="74"/>
      <c r="B1107" s="31"/>
      <c r="C1107" s="31"/>
      <c r="D1107" s="31"/>
      <c r="E1107" s="31"/>
      <c r="F1107" s="31"/>
      <c r="G1107" s="31"/>
      <c r="H1107" s="31"/>
      <c r="I1107" s="75"/>
      <c r="J1107" s="31"/>
      <c r="K1107" s="31"/>
      <c r="L1107" s="31"/>
      <c r="M1107" s="31"/>
      <c r="N1107" s="31"/>
    </row>
    <row r="1108">
      <c r="A1108" s="74"/>
      <c r="B1108" s="31"/>
      <c r="C1108" s="31"/>
      <c r="D1108" s="31"/>
      <c r="E1108" s="31"/>
      <c r="F1108" s="31"/>
      <c r="G1108" s="31"/>
      <c r="H1108" s="31"/>
      <c r="I1108" s="75"/>
      <c r="J1108" s="31"/>
      <c r="K1108" s="31"/>
      <c r="L1108" s="31"/>
      <c r="M1108" s="31"/>
      <c r="N1108" s="31"/>
    </row>
    <row r="1109">
      <c r="A1109" s="74"/>
      <c r="B1109" s="31"/>
      <c r="C1109" s="31"/>
      <c r="D1109" s="31"/>
      <c r="E1109" s="31"/>
      <c r="F1109" s="31"/>
      <c r="G1109" s="31"/>
      <c r="H1109" s="31"/>
      <c r="I1109" s="75"/>
      <c r="J1109" s="31"/>
      <c r="K1109" s="31"/>
      <c r="L1109" s="31"/>
      <c r="M1109" s="31"/>
      <c r="N1109" s="31"/>
    </row>
    <row r="1110">
      <c r="A1110" s="74"/>
      <c r="B1110" s="31"/>
      <c r="C1110" s="31"/>
      <c r="D1110" s="31"/>
      <c r="E1110" s="31"/>
      <c r="F1110" s="31"/>
      <c r="G1110" s="31"/>
      <c r="H1110" s="31"/>
      <c r="I1110" s="75"/>
      <c r="J1110" s="31"/>
      <c r="K1110" s="31"/>
      <c r="L1110" s="31"/>
      <c r="M1110" s="31"/>
      <c r="N1110" s="31"/>
    </row>
    <row r="1111">
      <c r="A1111" s="74"/>
      <c r="B1111" s="31"/>
      <c r="C1111" s="31"/>
      <c r="D1111" s="31"/>
      <c r="E1111" s="31"/>
      <c r="F1111" s="31"/>
      <c r="G1111" s="31"/>
      <c r="H1111" s="31"/>
      <c r="I1111" s="75"/>
      <c r="J1111" s="31"/>
      <c r="K1111" s="31"/>
      <c r="L1111" s="31"/>
      <c r="M1111" s="31"/>
      <c r="N1111" s="31"/>
    </row>
    <row r="1112">
      <c r="A1112" s="74"/>
      <c r="B1112" s="31"/>
      <c r="C1112" s="31"/>
      <c r="D1112" s="31"/>
      <c r="E1112" s="31"/>
      <c r="F1112" s="31"/>
      <c r="G1112" s="31"/>
      <c r="H1112" s="31"/>
      <c r="I1112" s="75"/>
      <c r="J1112" s="31"/>
      <c r="K1112" s="31"/>
      <c r="L1112" s="31"/>
      <c r="M1112" s="31"/>
      <c r="N1112" s="31"/>
    </row>
    <row r="1113">
      <c r="A1113" s="74"/>
      <c r="B1113" s="31"/>
      <c r="C1113" s="31"/>
      <c r="D1113" s="31"/>
      <c r="E1113" s="31"/>
      <c r="F1113" s="31"/>
      <c r="G1113" s="31"/>
      <c r="H1113" s="31"/>
      <c r="I1113" s="75"/>
      <c r="J1113" s="31"/>
      <c r="K1113" s="31"/>
      <c r="L1113" s="31"/>
      <c r="M1113" s="31"/>
      <c r="N1113" s="31"/>
    </row>
    <row r="1114">
      <c r="A1114" s="74"/>
      <c r="B1114" s="31"/>
      <c r="C1114" s="31"/>
      <c r="D1114" s="31"/>
      <c r="E1114" s="31"/>
      <c r="F1114" s="31"/>
      <c r="G1114" s="31"/>
      <c r="H1114" s="31"/>
      <c r="I1114" s="75"/>
      <c r="J1114" s="31"/>
      <c r="K1114" s="31"/>
      <c r="L1114" s="31"/>
      <c r="M1114" s="31"/>
      <c r="N1114" s="31"/>
    </row>
    <row r="1115">
      <c r="A1115" s="74"/>
      <c r="B1115" s="31"/>
      <c r="C1115" s="31"/>
      <c r="D1115" s="31"/>
      <c r="E1115" s="31"/>
      <c r="F1115" s="31"/>
      <c r="G1115" s="31"/>
      <c r="H1115" s="31"/>
      <c r="I1115" s="75"/>
      <c r="J1115" s="31"/>
      <c r="K1115" s="31"/>
      <c r="L1115" s="31"/>
      <c r="M1115" s="31"/>
      <c r="N1115" s="31"/>
    </row>
    <row r="1116">
      <c r="A1116" s="74"/>
      <c r="B1116" s="31"/>
      <c r="C1116" s="31"/>
      <c r="D1116" s="31"/>
      <c r="E1116" s="31"/>
      <c r="F1116" s="31"/>
      <c r="G1116" s="31"/>
      <c r="H1116" s="31"/>
      <c r="I1116" s="75"/>
      <c r="J1116" s="31"/>
      <c r="K1116" s="31"/>
      <c r="L1116" s="31"/>
      <c r="M1116" s="31"/>
      <c r="N1116" s="31"/>
    </row>
    <row r="1117">
      <c r="A1117" s="74"/>
      <c r="B1117" s="31"/>
      <c r="C1117" s="31"/>
      <c r="D1117" s="31"/>
      <c r="E1117" s="31"/>
      <c r="F1117" s="31"/>
      <c r="G1117" s="31"/>
      <c r="H1117" s="31"/>
      <c r="I1117" s="75"/>
      <c r="J1117" s="31"/>
      <c r="K1117" s="31"/>
      <c r="L1117" s="31"/>
      <c r="M1117" s="31"/>
      <c r="N1117" s="31"/>
    </row>
    <row r="1118">
      <c r="A1118" s="74"/>
      <c r="B1118" s="31"/>
      <c r="C1118" s="31"/>
      <c r="D1118" s="31"/>
      <c r="E1118" s="31"/>
      <c r="F1118" s="31"/>
      <c r="G1118" s="31"/>
      <c r="H1118" s="31"/>
      <c r="I1118" s="75"/>
      <c r="J1118" s="31"/>
      <c r="K1118" s="31"/>
      <c r="L1118" s="31"/>
      <c r="M1118" s="31"/>
      <c r="N1118" s="31"/>
    </row>
    <row r="1119">
      <c r="A1119" s="74"/>
      <c r="B1119" s="31"/>
      <c r="C1119" s="31"/>
      <c r="D1119" s="31"/>
      <c r="E1119" s="31"/>
      <c r="F1119" s="31"/>
      <c r="G1119" s="31"/>
      <c r="H1119" s="31"/>
      <c r="I1119" s="75"/>
      <c r="J1119" s="31"/>
      <c r="K1119" s="31"/>
      <c r="L1119" s="31"/>
      <c r="M1119" s="31"/>
      <c r="N1119" s="31"/>
    </row>
    <row r="1120">
      <c r="A1120" s="74"/>
      <c r="B1120" s="31"/>
      <c r="C1120" s="31"/>
      <c r="D1120" s="31"/>
      <c r="E1120" s="31"/>
      <c r="F1120" s="31"/>
      <c r="G1120" s="31"/>
      <c r="H1120" s="31"/>
      <c r="I1120" s="75"/>
      <c r="J1120" s="31"/>
      <c r="K1120" s="31"/>
      <c r="L1120" s="31"/>
      <c r="M1120" s="31"/>
      <c r="N1120" s="31"/>
    </row>
    <row r="1121">
      <c r="A1121" s="74"/>
      <c r="B1121" s="31"/>
      <c r="C1121" s="31"/>
      <c r="D1121" s="31"/>
      <c r="E1121" s="31"/>
      <c r="F1121" s="31"/>
      <c r="G1121" s="31"/>
      <c r="H1121" s="31"/>
      <c r="I1121" s="75"/>
      <c r="J1121" s="31"/>
      <c r="K1121" s="31"/>
      <c r="L1121" s="31"/>
      <c r="M1121" s="31"/>
      <c r="N1121" s="31"/>
    </row>
    <row r="1122">
      <c r="A1122" s="74"/>
      <c r="B1122" s="31"/>
      <c r="C1122" s="31"/>
      <c r="D1122" s="31"/>
      <c r="E1122" s="31"/>
      <c r="F1122" s="31"/>
      <c r="G1122" s="31"/>
      <c r="H1122" s="31"/>
      <c r="I1122" s="75"/>
      <c r="J1122" s="31"/>
      <c r="K1122" s="31"/>
      <c r="L1122" s="31"/>
      <c r="M1122" s="31"/>
      <c r="N1122" s="31"/>
    </row>
    <row r="1123">
      <c r="A1123" s="74"/>
      <c r="B1123" s="31"/>
      <c r="C1123" s="31"/>
      <c r="D1123" s="31"/>
      <c r="E1123" s="31"/>
      <c r="F1123" s="31"/>
      <c r="G1123" s="31"/>
      <c r="H1123" s="31"/>
      <c r="I1123" s="75"/>
      <c r="J1123" s="31"/>
      <c r="K1123" s="31"/>
      <c r="L1123" s="31"/>
      <c r="M1123" s="31"/>
      <c r="N1123" s="31"/>
    </row>
    <row r="1124">
      <c r="A1124" s="74"/>
      <c r="B1124" s="31"/>
      <c r="C1124" s="31"/>
      <c r="D1124" s="31"/>
      <c r="E1124" s="31"/>
      <c r="F1124" s="31"/>
      <c r="G1124" s="31"/>
      <c r="H1124" s="31"/>
      <c r="I1124" s="75"/>
      <c r="J1124" s="31"/>
      <c r="K1124" s="31"/>
      <c r="L1124" s="31"/>
      <c r="M1124" s="31"/>
      <c r="N1124" s="31"/>
    </row>
    <row r="1125">
      <c r="A1125" s="74"/>
      <c r="B1125" s="31"/>
      <c r="C1125" s="31"/>
      <c r="D1125" s="31"/>
      <c r="E1125" s="31"/>
      <c r="F1125" s="31"/>
      <c r="G1125" s="31"/>
      <c r="H1125" s="31"/>
      <c r="I1125" s="75"/>
      <c r="J1125" s="31"/>
      <c r="K1125" s="31"/>
      <c r="L1125" s="31"/>
      <c r="M1125" s="31"/>
      <c r="N1125" s="31"/>
    </row>
    <row r="1126">
      <c r="A1126" s="74"/>
      <c r="B1126" s="31"/>
      <c r="C1126" s="31"/>
      <c r="D1126" s="31"/>
      <c r="E1126" s="31"/>
      <c r="F1126" s="31"/>
      <c r="G1126" s="31"/>
      <c r="H1126" s="31"/>
      <c r="I1126" s="75"/>
      <c r="J1126" s="31"/>
      <c r="K1126" s="31"/>
      <c r="L1126" s="31"/>
      <c r="M1126" s="31"/>
      <c r="N1126" s="31"/>
    </row>
    <row r="1127">
      <c r="A1127" s="74"/>
      <c r="B1127" s="31"/>
      <c r="C1127" s="31"/>
      <c r="D1127" s="31"/>
      <c r="E1127" s="31"/>
      <c r="F1127" s="31"/>
      <c r="G1127" s="31"/>
      <c r="H1127" s="31"/>
      <c r="I1127" s="75"/>
      <c r="J1127" s="31"/>
      <c r="K1127" s="31"/>
      <c r="L1127" s="31"/>
      <c r="M1127" s="31"/>
      <c r="N1127" s="31"/>
    </row>
    <row r="1128">
      <c r="A1128" s="74"/>
      <c r="B1128" s="31"/>
      <c r="C1128" s="31"/>
      <c r="D1128" s="31"/>
      <c r="E1128" s="31"/>
      <c r="F1128" s="31"/>
      <c r="G1128" s="31"/>
      <c r="H1128" s="31"/>
      <c r="I1128" s="75"/>
      <c r="J1128" s="31"/>
      <c r="K1128" s="31"/>
      <c r="L1128" s="31"/>
      <c r="M1128" s="31"/>
      <c r="N1128" s="31"/>
    </row>
    <row r="1129">
      <c r="A1129" s="74"/>
      <c r="B1129" s="31"/>
      <c r="C1129" s="31"/>
      <c r="D1129" s="31"/>
      <c r="E1129" s="31"/>
      <c r="F1129" s="31"/>
      <c r="G1129" s="31"/>
      <c r="H1129" s="31"/>
      <c r="I1129" s="75"/>
      <c r="J1129" s="31"/>
      <c r="K1129" s="31"/>
      <c r="L1129" s="31"/>
      <c r="M1129" s="31"/>
      <c r="N1129" s="31"/>
    </row>
    <row r="1130">
      <c r="A1130" s="74"/>
      <c r="B1130" s="31"/>
      <c r="C1130" s="31"/>
      <c r="D1130" s="31"/>
      <c r="E1130" s="31"/>
      <c r="F1130" s="31"/>
      <c r="G1130" s="31"/>
      <c r="H1130" s="31"/>
      <c r="I1130" s="75"/>
      <c r="J1130" s="31"/>
      <c r="K1130" s="31"/>
      <c r="L1130" s="31"/>
      <c r="M1130" s="31"/>
      <c r="N1130" s="31"/>
    </row>
    <row r="1131">
      <c r="A1131" s="74"/>
      <c r="B1131" s="31"/>
      <c r="C1131" s="31"/>
      <c r="D1131" s="31"/>
      <c r="E1131" s="31"/>
      <c r="F1131" s="31"/>
      <c r="G1131" s="31"/>
      <c r="H1131" s="31"/>
      <c r="I1131" s="75"/>
      <c r="J1131" s="31"/>
      <c r="K1131" s="31"/>
      <c r="L1131" s="31"/>
      <c r="M1131" s="31"/>
      <c r="N1131" s="31"/>
    </row>
    <row r="1132">
      <c r="A1132" s="74"/>
      <c r="B1132" s="31"/>
      <c r="C1132" s="31"/>
      <c r="D1132" s="31"/>
      <c r="E1132" s="31"/>
      <c r="F1132" s="31"/>
      <c r="G1132" s="31"/>
      <c r="H1132" s="31"/>
      <c r="I1132" s="75"/>
      <c r="J1132" s="31"/>
      <c r="K1132" s="31"/>
      <c r="L1132" s="31"/>
      <c r="M1132" s="31"/>
      <c r="N1132" s="31"/>
    </row>
    <row r="1133">
      <c r="A1133" s="74"/>
      <c r="B1133" s="31"/>
      <c r="C1133" s="31"/>
      <c r="D1133" s="31"/>
      <c r="E1133" s="31"/>
      <c r="F1133" s="31"/>
      <c r="G1133" s="31"/>
      <c r="H1133" s="31"/>
      <c r="I1133" s="75"/>
      <c r="J1133" s="31"/>
      <c r="K1133" s="31"/>
      <c r="L1133" s="31"/>
      <c r="M1133" s="31"/>
      <c r="N1133" s="31"/>
    </row>
    <row r="1134">
      <c r="A1134" s="74"/>
      <c r="B1134" s="31"/>
      <c r="C1134" s="31"/>
      <c r="D1134" s="31"/>
      <c r="E1134" s="31"/>
      <c r="F1134" s="31"/>
      <c r="G1134" s="31"/>
      <c r="H1134" s="31"/>
      <c r="I1134" s="75"/>
      <c r="J1134" s="31"/>
      <c r="K1134" s="31"/>
      <c r="L1134" s="31"/>
      <c r="M1134" s="31"/>
      <c r="N1134" s="31"/>
    </row>
    <row r="1135">
      <c r="A1135" s="74"/>
      <c r="B1135" s="31"/>
      <c r="C1135" s="31"/>
      <c r="D1135" s="31"/>
      <c r="E1135" s="31"/>
      <c r="F1135" s="31"/>
      <c r="G1135" s="31"/>
      <c r="H1135" s="31"/>
      <c r="I1135" s="75"/>
      <c r="J1135" s="31"/>
      <c r="K1135" s="31"/>
      <c r="L1135" s="31"/>
      <c r="M1135" s="31"/>
      <c r="N1135" s="31"/>
    </row>
    <row r="1136">
      <c r="A1136" s="74"/>
      <c r="B1136" s="31"/>
      <c r="C1136" s="31"/>
      <c r="D1136" s="31"/>
      <c r="E1136" s="31"/>
      <c r="F1136" s="31"/>
      <c r="G1136" s="31"/>
      <c r="H1136" s="31"/>
      <c r="I1136" s="75"/>
      <c r="J1136" s="31"/>
      <c r="K1136" s="31"/>
      <c r="L1136" s="31"/>
      <c r="M1136" s="31"/>
      <c r="N1136" s="31"/>
    </row>
    <row r="1137">
      <c r="A1137" s="74"/>
      <c r="B1137" s="31"/>
      <c r="C1137" s="31"/>
      <c r="D1137" s="31"/>
      <c r="E1137" s="31"/>
      <c r="F1137" s="31"/>
      <c r="G1137" s="31"/>
      <c r="H1137" s="31"/>
      <c r="I1137" s="75"/>
      <c r="J1137" s="31"/>
      <c r="K1137" s="31"/>
      <c r="L1137" s="31"/>
      <c r="M1137" s="31"/>
      <c r="N1137" s="31"/>
    </row>
    <row r="1138">
      <c r="A1138" s="74"/>
      <c r="B1138" s="31"/>
      <c r="C1138" s="31"/>
      <c r="D1138" s="31"/>
      <c r="E1138" s="31"/>
      <c r="F1138" s="31"/>
      <c r="G1138" s="31"/>
      <c r="H1138" s="31"/>
      <c r="I1138" s="75"/>
      <c r="J1138" s="31"/>
      <c r="K1138" s="31"/>
      <c r="L1138" s="31"/>
      <c r="M1138" s="31"/>
      <c r="N1138" s="31"/>
    </row>
    <row r="1139">
      <c r="A1139" s="74"/>
      <c r="B1139" s="31"/>
      <c r="C1139" s="31"/>
      <c r="D1139" s="31"/>
      <c r="E1139" s="31"/>
      <c r="F1139" s="31"/>
      <c r="G1139" s="31"/>
      <c r="H1139" s="31"/>
      <c r="I1139" s="75"/>
      <c r="J1139" s="31"/>
      <c r="K1139" s="31"/>
      <c r="L1139" s="31"/>
      <c r="M1139" s="31"/>
      <c r="N1139" s="31"/>
    </row>
    <row r="1140">
      <c r="A1140" s="74"/>
      <c r="B1140" s="31"/>
      <c r="C1140" s="31"/>
      <c r="D1140" s="31"/>
      <c r="E1140" s="31"/>
      <c r="F1140" s="31"/>
      <c r="G1140" s="31"/>
      <c r="H1140" s="31"/>
      <c r="I1140" s="75"/>
      <c r="J1140" s="31"/>
      <c r="K1140" s="31"/>
      <c r="L1140" s="31"/>
      <c r="M1140" s="31"/>
      <c r="N1140" s="31"/>
    </row>
    <row r="1141">
      <c r="A1141" s="74"/>
      <c r="B1141" s="31"/>
      <c r="C1141" s="31"/>
      <c r="D1141" s="31"/>
      <c r="E1141" s="31"/>
      <c r="F1141" s="31"/>
      <c r="G1141" s="31"/>
      <c r="H1141" s="31"/>
      <c r="I1141" s="75"/>
      <c r="J1141" s="31"/>
      <c r="K1141" s="31"/>
      <c r="L1141" s="31"/>
      <c r="M1141" s="31"/>
      <c r="N1141" s="31"/>
    </row>
    <row r="1142">
      <c r="A1142" s="74"/>
      <c r="B1142" s="31"/>
      <c r="C1142" s="31"/>
      <c r="D1142" s="31"/>
      <c r="E1142" s="31"/>
      <c r="F1142" s="31"/>
      <c r="G1142" s="31"/>
      <c r="H1142" s="31"/>
      <c r="I1142" s="75"/>
      <c r="J1142" s="31"/>
      <c r="K1142" s="31"/>
      <c r="L1142" s="31"/>
      <c r="M1142" s="31"/>
      <c r="N1142" s="31"/>
    </row>
    <row r="1143">
      <c r="A1143" s="74"/>
      <c r="B1143" s="31"/>
      <c r="C1143" s="31"/>
      <c r="D1143" s="31"/>
      <c r="E1143" s="31"/>
      <c r="F1143" s="31"/>
      <c r="G1143" s="31"/>
      <c r="H1143" s="31"/>
      <c r="I1143" s="75"/>
      <c r="J1143" s="31"/>
      <c r="K1143" s="31"/>
      <c r="L1143" s="31"/>
      <c r="M1143" s="31"/>
      <c r="N1143" s="31"/>
    </row>
    <row r="1144">
      <c r="A1144" s="74"/>
      <c r="B1144" s="31"/>
      <c r="C1144" s="31"/>
      <c r="D1144" s="31"/>
      <c r="E1144" s="31"/>
      <c r="F1144" s="31"/>
      <c r="G1144" s="31"/>
      <c r="H1144" s="31"/>
      <c r="I1144" s="75"/>
      <c r="J1144" s="31"/>
      <c r="K1144" s="31"/>
      <c r="L1144" s="31"/>
      <c r="M1144" s="31"/>
      <c r="N1144" s="31"/>
    </row>
    <row r="1145">
      <c r="A1145" s="74"/>
      <c r="B1145" s="31"/>
      <c r="C1145" s="31"/>
      <c r="D1145" s="31"/>
      <c r="E1145" s="31"/>
      <c r="F1145" s="31"/>
      <c r="G1145" s="31"/>
      <c r="H1145" s="31"/>
      <c r="I1145" s="75"/>
      <c r="J1145" s="31"/>
      <c r="K1145" s="31"/>
      <c r="L1145" s="31"/>
      <c r="M1145" s="31"/>
      <c r="N1145" s="31"/>
    </row>
    <row r="1146">
      <c r="A1146" s="74"/>
      <c r="B1146" s="31"/>
      <c r="C1146" s="31"/>
      <c r="D1146" s="31"/>
      <c r="E1146" s="31"/>
      <c r="F1146" s="31"/>
      <c r="G1146" s="31"/>
      <c r="H1146" s="31"/>
      <c r="I1146" s="75"/>
      <c r="J1146" s="31"/>
      <c r="K1146" s="31"/>
      <c r="L1146" s="31"/>
      <c r="M1146" s="31"/>
      <c r="N1146" s="31"/>
    </row>
    <row r="1147">
      <c r="A1147" s="74"/>
      <c r="B1147" s="31"/>
      <c r="C1147" s="31"/>
      <c r="D1147" s="31"/>
      <c r="E1147" s="31"/>
      <c r="F1147" s="31"/>
      <c r="G1147" s="31"/>
      <c r="H1147" s="31"/>
      <c r="I1147" s="75"/>
      <c r="J1147" s="31"/>
      <c r="K1147" s="31"/>
      <c r="L1147" s="31"/>
      <c r="M1147" s="31"/>
      <c r="N1147" s="31"/>
    </row>
    <row r="1148">
      <c r="A1148" s="74"/>
      <c r="B1148" s="31"/>
      <c r="C1148" s="31"/>
      <c r="D1148" s="31"/>
      <c r="E1148" s="31"/>
      <c r="F1148" s="31"/>
      <c r="G1148" s="31"/>
      <c r="H1148" s="31"/>
      <c r="I1148" s="75"/>
      <c r="J1148" s="31"/>
      <c r="K1148" s="31"/>
      <c r="L1148" s="31"/>
      <c r="M1148" s="31"/>
      <c r="N1148" s="31"/>
    </row>
    <row r="1149">
      <c r="A1149" s="74"/>
      <c r="B1149" s="31"/>
      <c r="C1149" s="31"/>
      <c r="D1149" s="31"/>
      <c r="E1149" s="31"/>
      <c r="F1149" s="31"/>
      <c r="G1149" s="31"/>
      <c r="H1149" s="31"/>
      <c r="I1149" s="75"/>
      <c r="J1149" s="31"/>
      <c r="K1149" s="31"/>
      <c r="L1149" s="31"/>
      <c r="M1149" s="31"/>
      <c r="N1149" s="31"/>
    </row>
    <row r="1150">
      <c r="A1150" s="74"/>
      <c r="B1150" s="31"/>
      <c r="C1150" s="31"/>
      <c r="D1150" s="31"/>
      <c r="E1150" s="31"/>
      <c r="F1150" s="31"/>
      <c r="G1150" s="31"/>
      <c r="H1150" s="31"/>
      <c r="I1150" s="75"/>
      <c r="J1150" s="31"/>
      <c r="K1150" s="31"/>
      <c r="L1150" s="31"/>
      <c r="M1150" s="31"/>
      <c r="N1150" s="31"/>
    </row>
    <row r="1151">
      <c r="A1151" s="74"/>
      <c r="B1151" s="31"/>
      <c r="C1151" s="31"/>
      <c r="D1151" s="31"/>
      <c r="E1151" s="31"/>
      <c r="F1151" s="31"/>
      <c r="G1151" s="31"/>
      <c r="H1151" s="31"/>
      <c r="I1151" s="75"/>
      <c r="J1151" s="31"/>
      <c r="K1151" s="31"/>
      <c r="L1151" s="31"/>
      <c r="M1151" s="31"/>
      <c r="N1151" s="31"/>
    </row>
    <row r="1152">
      <c r="A1152" s="74"/>
      <c r="B1152" s="31"/>
      <c r="C1152" s="31"/>
      <c r="D1152" s="31"/>
      <c r="E1152" s="31"/>
      <c r="F1152" s="31"/>
      <c r="G1152" s="31"/>
      <c r="H1152" s="31"/>
      <c r="I1152" s="75"/>
      <c r="J1152" s="31"/>
      <c r="K1152" s="31"/>
      <c r="L1152" s="31"/>
      <c r="M1152" s="31"/>
      <c r="N1152" s="31"/>
    </row>
    <row r="1153">
      <c r="A1153" s="74"/>
      <c r="B1153" s="31"/>
      <c r="C1153" s="31"/>
      <c r="D1153" s="31"/>
      <c r="E1153" s="31"/>
      <c r="F1153" s="31"/>
      <c r="G1153" s="31"/>
      <c r="H1153" s="31"/>
      <c r="I1153" s="75"/>
      <c r="J1153" s="31"/>
      <c r="K1153" s="31"/>
      <c r="L1153" s="31"/>
      <c r="M1153" s="31"/>
      <c r="N1153" s="31"/>
    </row>
    <row r="1154">
      <c r="A1154" s="74"/>
      <c r="B1154" s="31"/>
      <c r="C1154" s="31"/>
      <c r="D1154" s="31"/>
      <c r="E1154" s="31"/>
      <c r="F1154" s="31"/>
      <c r="G1154" s="31"/>
      <c r="H1154" s="31"/>
      <c r="I1154" s="75"/>
      <c r="J1154" s="31"/>
      <c r="K1154" s="31"/>
      <c r="L1154" s="31"/>
      <c r="M1154" s="31"/>
      <c r="N1154" s="31"/>
    </row>
    <row r="1155">
      <c r="A1155" s="74"/>
      <c r="B1155" s="31"/>
      <c r="C1155" s="31"/>
      <c r="D1155" s="31"/>
      <c r="E1155" s="31"/>
      <c r="F1155" s="31"/>
      <c r="G1155" s="31"/>
      <c r="H1155" s="31"/>
      <c r="I1155" s="75"/>
      <c r="J1155" s="31"/>
      <c r="K1155" s="31"/>
      <c r="L1155" s="31"/>
      <c r="M1155" s="31"/>
      <c r="N1155" s="31"/>
    </row>
    <row r="1156">
      <c r="A1156" s="74"/>
      <c r="B1156" s="31"/>
      <c r="C1156" s="31"/>
      <c r="D1156" s="31"/>
      <c r="E1156" s="31"/>
      <c r="F1156" s="31"/>
      <c r="G1156" s="31"/>
      <c r="H1156" s="31"/>
      <c r="I1156" s="75"/>
      <c r="J1156" s="31"/>
      <c r="K1156" s="31"/>
      <c r="L1156" s="31"/>
      <c r="M1156" s="31"/>
      <c r="N1156" s="31"/>
    </row>
    <row r="1157">
      <c r="A1157" s="74"/>
      <c r="B1157" s="31"/>
      <c r="C1157" s="31"/>
      <c r="D1157" s="31"/>
      <c r="E1157" s="31"/>
      <c r="F1157" s="31"/>
      <c r="G1157" s="31"/>
      <c r="H1157" s="31"/>
      <c r="I1157" s="75"/>
      <c r="J1157" s="31"/>
      <c r="K1157" s="31"/>
      <c r="L1157" s="31"/>
      <c r="M1157" s="31"/>
      <c r="N1157" s="31"/>
    </row>
    <row r="1158">
      <c r="A1158" s="74"/>
      <c r="B1158" s="31"/>
      <c r="C1158" s="31"/>
      <c r="D1158" s="31"/>
      <c r="E1158" s="31"/>
      <c r="F1158" s="31"/>
      <c r="G1158" s="31"/>
      <c r="H1158" s="31"/>
      <c r="I1158" s="75"/>
      <c r="J1158" s="31"/>
      <c r="K1158" s="31"/>
      <c r="L1158" s="31"/>
      <c r="M1158" s="31"/>
      <c r="N1158" s="31"/>
    </row>
    <row r="1159">
      <c r="A1159" s="74"/>
      <c r="B1159" s="31"/>
      <c r="C1159" s="31"/>
      <c r="D1159" s="31"/>
      <c r="E1159" s="31"/>
      <c r="F1159" s="31"/>
      <c r="G1159" s="31"/>
      <c r="H1159" s="31"/>
      <c r="I1159" s="75"/>
      <c r="J1159" s="31"/>
      <c r="K1159" s="31"/>
      <c r="L1159" s="31"/>
      <c r="M1159" s="31"/>
      <c r="N1159" s="31"/>
    </row>
    <row r="1160">
      <c r="A1160" s="74"/>
      <c r="B1160" s="31"/>
      <c r="C1160" s="31"/>
      <c r="D1160" s="31"/>
      <c r="E1160" s="31"/>
      <c r="F1160" s="31"/>
      <c r="G1160" s="31"/>
      <c r="H1160" s="31"/>
      <c r="I1160" s="75"/>
      <c r="J1160" s="31"/>
      <c r="K1160" s="31"/>
      <c r="L1160" s="31"/>
      <c r="M1160" s="31"/>
      <c r="N1160" s="31"/>
    </row>
    <row r="1161">
      <c r="A1161" s="74"/>
      <c r="B1161" s="31"/>
      <c r="C1161" s="31"/>
      <c r="D1161" s="31"/>
      <c r="E1161" s="31"/>
      <c r="F1161" s="31"/>
      <c r="G1161" s="31"/>
      <c r="H1161" s="31"/>
      <c r="I1161" s="75"/>
      <c r="J1161" s="31"/>
      <c r="K1161" s="31"/>
      <c r="L1161" s="31"/>
      <c r="M1161" s="31"/>
      <c r="N1161" s="31"/>
    </row>
    <row r="1162">
      <c r="A1162" s="74"/>
      <c r="B1162" s="31"/>
      <c r="C1162" s="31"/>
      <c r="D1162" s="31"/>
      <c r="E1162" s="31"/>
      <c r="F1162" s="31"/>
      <c r="G1162" s="31"/>
      <c r="H1162" s="31"/>
      <c r="I1162" s="75"/>
      <c r="J1162" s="31"/>
      <c r="K1162" s="31"/>
      <c r="L1162" s="31"/>
      <c r="M1162" s="31"/>
      <c r="N1162" s="31"/>
    </row>
    <row r="1163">
      <c r="A1163" s="74"/>
      <c r="B1163" s="31"/>
      <c r="C1163" s="31"/>
      <c r="D1163" s="31"/>
      <c r="E1163" s="31"/>
      <c r="F1163" s="31"/>
      <c r="G1163" s="31"/>
      <c r="H1163" s="31"/>
      <c r="I1163" s="75"/>
      <c r="J1163" s="31"/>
      <c r="K1163" s="31"/>
      <c r="L1163" s="31"/>
      <c r="M1163" s="31"/>
      <c r="N1163" s="31"/>
    </row>
    <row r="1164">
      <c r="A1164" s="74"/>
      <c r="B1164" s="31"/>
      <c r="C1164" s="31"/>
      <c r="D1164" s="31"/>
      <c r="E1164" s="31"/>
      <c r="F1164" s="31"/>
      <c r="G1164" s="31"/>
      <c r="H1164" s="31"/>
      <c r="I1164" s="75"/>
      <c r="J1164" s="31"/>
      <c r="K1164" s="31"/>
      <c r="L1164" s="31"/>
      <c r="M1164" s="31"/>
      <c r="N1164" s="31"/>
    </row>
    <row r="1165">
      <c r="A1165" s="74"/>
      <c r="B1165" s="31"/>
      <c r="C1165" s="31"/>
      <c r="D1165" s="31"/>
      <c r="E1165" s="31"/>
      <c r="F1165" s="31"/>
      <c r="G1165" s="31"/>
      <c r="H1165" s="31"/>
      <c r="I1165" s="75"/>
      <c r="J1165" s="31"/>
      <c r="K1165" s="31"/>
      <c r="L1165" s="31"/>
      <c r="M1165" s="31"/>
      <c r="N1165" s="31"/>
    </row>
    <row r="1166">
      <c r="A1166" s="74"/>
      <c r="B1166" s="31"/>
      <c r="C1166" s="31"/>
      <c r="D1166" s="31"/>
      <c r="E1166" s="31"/>
      <c r="F1166" s="31"/>
      <c r="G1166" s="31"/>
      <c r="H1166" s="31"/>
      <c r="I1166" s="75"/>
      <c r="J1166" s="31"/>
      <c r="K1166" s="31"/>
      <c r="L1166" s="31"/>
      <c r="M1166" s="31"/>
      <c r="N1166" s="31"/>
    </row>
    <row r="1167">
      <c r="A1167" s="74"/>
      <c r="B1167" s="31"/>
      <c r="C1167" s="31"/>
      <c r="D1167" s="31"/>
      <c r="E1167" s="31"/>
      <c r="F1167" s="31"/>
      <c r="G1167" s="31"/>
      <c r="H1167" s="31"/>
      <c r="I1167" s="75"/>
      <c r="J1167" s="31"/>
      <c r="K1167" s="31"/>
      <c r="L1167" s="31"/>
      <c r="M1167" s="31"/>
      <c r="N1167" s="31"/>
    </row>
    <row r="1168">
      <c r="A1168" s="74"/>
      <c r="B1168" s="31"/>
      <c r="C1168" s="31"/>
      <c r="D1168" s="31"/>
      <c r="E1168" s="31"/>
      <c r="F1168" s="31"/>
      <c r="G1168" s="31"/>
      <c r="H1168" s="31"/>
      <c r="I1168" s="75"/>
      <c r="J1168" s="31"/>
      <c r="K1168" s="31"/>
      <c r="L1168" s="31"/>
      <c r="M1168" s="31"/>
      <c r="N1168" s="31"/>
    </row>
    <row r="1169">
      <c r="A1169" s="74"/>
      <c r="B1169" s="31"/>
      <c r="C1169" s="31"/>
      <c r="D1169" s="31"/>
      <c r="E1169" s="31"/>
      <c r="F1169" s="31"/>
      <c r="G1169" s="31"/>
      <c r="H1169" s="31"/>
      <c r="I1169" s="75"/>
      <c r="J1169" s="31"/>
      <c r="K1169" s="31"/>
      <c r="L1169" s="31"/>
      <c r="M1169" s="31"/>
      <c r="N1169" s="31"/>
    </row>
    <row r="1170">
      <c r="A1170" s="74"/>
      <c r="B1170" s="31"/>
      <c r="C1170" s="31"/>
      <c r="D1170" s="31"/>
      <c r="E1170" s="31"/>
      <c r="F1170" s="31"/>
      <c r="G1170" s="31"/>
      <c r="H1170" s="31"/>
      <c r="I1170" s="75"/>
      <c r="J1170" s="31"/>
      <c r="K1170" s="31"/>
      <c r="L1170" s="31"/>
      <c r="M1170" s="31"/>
      <c r="N1170" s="31"/>
    </row>
    <row r="1171">
      <c r="A1171" s="74"/>
      <c r="B1171" s="31"/>
      <c r="C1171" s="31"/>
      <c r="D1171" s="31"/>
      <c r="E1171" s="31"/>
      <c r="F1171" s="31"/>
      <c r="G1171" s="31"/>
      <c r="H1171" s="31"/>
      <c r="I1171" s="75"/>
      <c r="J1171" s="31"/>
      <c r="K1171" s="31"/>
      <c r="L1171" s="31"/>
      <c r="M1171" s="31"/>
      <c r="N1171" s="31"/>
    </row>
    <row r="1172">
      <c r="A1172" s="74"/>
      <c r="B1172" s="31"/>
      <c r="C1172" s="31"/>
      <c r="D1172" s="31"/>
      <c r="E1172" s="31"/>
      <c r="F1172" s="31"/>
      <c r="G1172" s="31"/>
      <c r="H1172" s="31"/>
      <c r="I1172" s="75"/>
      <c r="J1172" s="31"/>
      <c r="K1172" s="31"/>
      <c r="L1172" s="31"/>
      <c r="M1172" s="31"/>
      <c r="N1172" s="31"/>
    </row>
    <row r="1173">
      <c r="A1173" s="74"/>
      <c r="B1173" s="31"/>
      <c r="C1173" s="31"/>
      <c r="D1173" s="31"/>
      <c r="E1173" s="31"/>
      <c r="F1173" s="31"/>
      <c r="G1173" s="31"/>
      <c r="H1173" s="31"/>
      <c r="I1173" s="75"/>
      <c r="J1173" s="31"/>
      <c r="K1173" s="31"/>
      <c r="L1173" s="31"/>
      <c r="M1173" s="31"/>
      <c r="N1173" s="31"/>
    </row>
    <row r="1174">
      <c r="A1174" s="74"/>
      <c r="B1174" s="31"/>
      <c r="C1174" s="31"/>
      <c r="D1174" s="31"/>
      <c r="E1174" s="31"/>
      <c r="F1174" s="31"/>
      <c r="G1174" s="31"/>
      <c r="H1174" s="31"/>
      <c r="I1174" s="75"/>
      <c r="J1174" s="31"/>
      <c r="K1174" s="31"/>
      <c r="L1174" s="31"/>
      <c r="M1174" s="31"/>
      <c r="N1174" s="31"/>
    </row>
    <row r="1175">
      <c r="A1175" s="74"/>
      <c r="B1175" s="31"/>
      <c r="C1175" s="31"/>
      <c r="D1175" s="31"/>
      <c r="E1175" s="31"/>
      <c r="F1175" s="31"/>
      <c r="G1175" s="31"/>
      <c r="H1175" s="31"/>
      <c r="I1175" s="75"/>
      <c r="J1175" s="31"/>
      <c r="K1175" s="31"/>
      <c r="L1175" s="31"/>
      <c r="M1175" s="31"/>
      <c r="N1175" s="31"/>
    </row>
    <row r="1176">
      <c r="A1176" s="74"/>
      <c r="B1176" s="31"/>
      <c r="C1176" s="31"/>
      <c r="D1176" s="31"/>
      <c r="E1176" s="31"/>
      <c r="F1176" s="31"/>
      <c r="G1176" s="31"/>
      <c r="H1176" s="31"/>
      <c r="I1176" s="75"/>
      <c r="J1176" s="31"/>
      <c r="K1176" s="31"/>
      <c r="L1176" s="31"/>
      <c r="M1176" s="31"/>
      <c r="N1176" s="31"/>
    </row>
    <row r="1177">
      <c r="A1177" s="74"/>
      <c r="B1177" s="31"/>
      <c r="C1177" s="31"/>
      <c r="D1177" s="31"/>
      <c r="E1177" s="31"/>
      <c r="F1177" s="31"/>
      <c r="G1177" s="31"/>
      <c r="H1177" s="31"/>
      <c r="I1177" s="75"/>
      <c r="J1177" s="31"/>
      <c r="K1177" s="31"/>
      <c r="L1177" s="31"/>
      <c r="M1177" s="31"/>
      <c r="N1177" s="31"/>
    </row>
    <row r="1178">
      <c r="A1178" s="74"/>
      <c r="B1178" s="31"/>
      <c r="C1178" s="31"/>
      <c r="D1178" s="31"/>
      <c r="E1178" s="31"/>
      <c r="F1178" s="31"/>
      <c r="G1178" s="31"/>
      <c r="H1178" s="31"/>
      <c r="I1178" s="75"/>
      <c r="J1178" s="31"/>
      <c r="K1178" s="31"/>
      <c r="L1178" s="31"/>
      <c r="M1178" s="31"/>
      <c r="N1178" s="31"/>
    </row>
    <row r="1179">
      <c r="A1179" s="74"/>
      <c r="B1179" s="31"/>
      <c r="C1179" s="31"/>
      <c r="D1179" s="31"/>
      <c r="E1179" s="31"/>
      <c r="F1179" s="31"/>
      <c r="G1179" s="31"/>
      <c r="H1179" s="31"/>
      <c r="I1179" s="75"/>
      <c r="J1179" s="31"/>
      <c r="K1179" s="31"/>
      <c r="L1179" s="31"/>
      <c r="M1179" s="31"/>
      <c r="N1179" s="31"/>
    </row>
    <row r="1180">
      <c r="A1180" s="74"/>
      <c r="B1180" s="31"/>
      <c r="C1180" s="31"/>
      <c r="D1180" s="31"/>
      <c r="E1180" s="31"/>
      <c r="F1180" s="31"/>
      <c r="G1180" s="31"/>
      <c r="H1180" s="31"/>
      <c r="I1180" s="75"/>
      <c r="J1180" s="31"/>
      <c r="K1180" s="31"/>
      <c r="L1180" s="31"/>
      <c r="M1180" s="31"/>
      <c r="N1180" s="31"/>
    </row>
    <row r="1181">
      <c r="A1181" s="74"/>
      <c r="B1181" s="31"/>
      <c r="C1181" s="31"/>
      <c r="D1181" s="31"/>
      <c r="E1181" s="31"/>
      <c r="F1181" s="31"/>
      <c r="G1181" s="31"/>
      <c r="H1181" s="31"/>
      <c r="I1181" s="75"/>
      <c r="J1181" s="31"/>
      <c r="K1181" s="31"/>
      <c r="L1181" s="31"/>
      <c r="M1181" s="31"/>
      <c r="N1181" s="31"/>
    </row>
    <row r="1182">
      <c r="A1182" s="74"/>
      <c r="B1182" s="31"/>
      <c r="C1182" s="31"/>
      <c r="D1182" s="31"/>
      <c r="E1182" s="31"/>
      <c r="F1182" s="31"/>
      <c r="G1182" s="31"/>
      <c r="H1182" s="31"/>
      <c r="I1182" s="75"/>
      <c r="J1182" s="31"/>
      <c r="K1182" s="31"/>
      <c r="L1182" s="31"/>
      <c r="M1182" s="31"/>
      <c r="N1182" s="31"/>
    </row>
    <row r="1183">
      <c r="A1183" s="74"/>
      <c r="B1183" s="31"/>
      <c r="C1183" s="31"/>
      <c r="D1183" s="31"/>
      <c r="E1183" s="31"/>
      <c r="F1183" s="31"/>
      <c r="G1183" s="31"/>
      <c r="H1183" s="31"/>
      <c r="I1183" s="75"/>
      <c r="J1183" s="31"/>
      <c r="K1183" s="31"/>
      <c r="L1183" s="31"/>
      <c r="M1183" s="31"/>
      <c r="N1183" s="31"/>
    </row>
    <row r="1184">
      <c r="A1184" s="74"/>
      <c r="B1184" s="31"/>
      <c r="C1184" s="31"/>
      <c r="D1184" s="31"/>
      <c r="E1184" s="31"/>
      <c r="F1184" s="31"/>
      <c r="G1184" s="31"/>
      <c r="H1184" s="31"/>
      <c r="I1184" s="75"/>
      <c r="J1184" s="31"/>
      <c r="K1184" s="31"/>
      <c r="L1184" s="31"/>
      <c r="M1184" s="31"/>
      <c r="N1184" s="31"/>
    </row>
    <row r="1185">
      <c r="A1185" s="74"/>
      <c r="B1185" s="31"/>
      <c r="C1185" s="31"/>
      <c r="D1185" s="31"/>
      <c r="E1185" s="31"/>
      <c r="F1185" s="31"/>
      <c r="G1185" s="31"/>
      <c r="H1185" s="31"/>
      <c r="I1185" s="75"/>
      <c r="J1185" s="31"/>
      <c r="K1185" s="31"/>
      <c r="L1185" s="31"/>
      <c r="M1185" s="31"/>
      <c r="N1185" s="31"/>
    </row>
    <row r="1186">
      <c r="A1186" s="74"/>
      <c r="B1186" s="31"/>
      <c r="C1186" s="31"/>
      <c r="D1186" s="31"/>
      <c r="E1186" s="31"/>
      <c r="F1186" s="31"/>
      <c r="G1186" s="31"/>
      <c r="H1186" s="31"/>
      <c r="I1186" s="75"/>
      <c r="J1186" s="31"/>
      <c r="K1186" s="31"/>
      <c r="L1186" s="31"/>
      <c r="M1186" s="31"/>
      <c r="N1186" s="31"/>
    </row>
    <row r="1187">
      <c r="A1187" s="74"/>
      <c r="B1187" s="31"/>
      <c r="C1187" s="31"/>
      <c r="D1187" s="31"/>
      <c r="E1187" s="31"/>
      <c r="F1187" s="31"/>
      <c r="G1187" s="31"/>
      <c r="H1187" s="31"/>
      <c r="I1187" s="75"/>
      <c r="J1187" s="31"/>
      <c r="K1187" s="31"/>
      <c r="L1187" s="31"/>
      <c r="M1187" s="31"/>
      <c r="N1187" s="31"/>
    </row>
    <row r="1188">
      <c r="A1188" s="74"/>
      <c r="B1188" s="31"/>
      <c r="C1188" s="31"/>
      <c r="D1188" s="31"/>
      <c r="E1188" s="31"/>
      <c r="F1188" s="31"/>
      <c r="G1188" s="31"/>
      <c r="H1188" s="31"/>
      <c r="I1188" s="75"/>
      <c r="J1188" s="31"/>
      <c r="K1188" s="31"/>
      <c r="L1188" s="31"/>
      <c r="M1188" s="31"/>
      <c r="N1188" s="31"/>
    </row>
    <row r="1189">
      <c r="A1189" s="74"/>
      <c r="B1189" s="31"/>
      <c r="C1189" s="31"/>
      <c r="D1189" s="31"/>
      <c r="E1189" s="31"/>
      <c r="F1189" s="31"/>
      <c r="G1189" s="31"/>
      <c r="H1189" s="31"/>
      <c r="I1189" s="75"/>
      <c r="J1189" s="31"/>
      <c r="K1189" s="31"/>
      <c r="L1189" s="31"/>
      <c r="M1189" s="31"/>
      <c r="N1189" s="31"/>
    </row>
    <row r="1190">
      <c r="A1190" s="74"/>
      <c r="B1190" s="31"/>
      <c r="C1190" s="31"/>
      <c r="D1190" s="31"/>
      <c r="E1190" s="31"/>
      <c r="F1190" s="31"/>
      <c r="G1190" s="31"/>
      <c r="H1190" s="31"/>
      <c r="I1190" s="75"/>
      <c r="J1190" s="31"/>
      <c r="K1190" s="31"/>
      <c r="L1190" s="31"/>
      <c r="M1190" s="31"/>
      <c r="N1190" s="31"/>
    </row>
    <row r="1191">
      <c r="A1191" s="74"/>
      <c r="B1191" s="31"/>
      <c r="C1191" s="31"/>
      <c r="D1191" s="31"/>
      <c r="E1191" s="31"/>
      <c r="F1191" s="31"/>
      <c r="G1191" s="31"/>
      <c r="H1191" s="31"/>
      <c r="I1191" s="75"/>
      <c r="J1191" s="31"/>
      <c r="K1191" s="31"/>
      <c r="L1191" s="31"/>
      <c r="M1191" s="31"/>
      <c r="N1191" s="31"/>
    </row>
    <row r="1192">
      <c r="A1192" s="74"/>
      <c r="B1192" s="31"/>
      <c r="C1192" s="31"/>
      <c r="D1192" s="31"/>
      <c r="E1192" s="31"/>
      <c r="F1192" s="31"/>
      <c r="G1192" s="31"/>
      <c r="H1192" s="31"/>
      <c r="I1192" s="75"/>
      <c r="J1192" s="31"/>
      <c r="K1192" s="31"/>
      <c r="L1192" s="31"/>
      <c r="M1192" s="31"/>
      <c r="N1192" s="31"/>
    </row>
    <row r="1193">
      <c r="A1193" s="74"/>
      <c r="B1193" s="31"/>
      <c r="C1193" s="31"/>
      <c r="D1193" s="31"/>
      <c r="E1193" s="31"/>
      <c r="F1193" s="31"/>
      <c r="G1193" s="31"/>
      <c r="H1193" s="31"/>
      <c r="I1193" s="75"/>
      <c r="J1193" s="31"/>
      <c r="K1193" s="31"/>
      <c r="L1193" s="31"/>
      <c r="M1193" s="31"/>
      <c r="N1193" s="31"/>
    </row>
    <row r="1194">
      <c r="A1194" s="74"/>
      <c r="B1194" s="31"/>
      <c r="C1194" s="31"/>
      <c r="D1194" s="31"/>
      <c r="E1194" s="31"/>
      <c r="F1194" s="31"/>
      <c r="G1194" s="31"/>
      <c r="H1194" s="31"/>
      <c r="I1194" s="75"/>
      <c r="J1194" s="31"/>
      <c r="K1194" s="31"/>
      <c r="L1194" s="31"/>
      <c r="M1194" s="31"/>
      <c r="N1194" s="31"/>
    </row>
    <row r="1195">
      <c r="A1195" s="74"/>
      <c r="B1195" s="31"/>
      <c r="C1195" s="31"/>
      <c r="D1195" s="31"/>
      <c r="E1195" s="31"/>
      <c r="F1195" s="31"/>
      <c r="G1195" s="31"/>
      <c r="H1195" s="31"/>
      <c r="I1195" s="75"/>
      <c r="J1195" s="31"/>
      <c r="K1195" s="31"/>
      <c r="L1195" s="31"/>
      <c r="M1195" s="31"/>
      <c r="N1195" s="31"/>
    </row>
    <row r="1196">
      <c r="A1196" s="74"/>
      <c r="B1196" s="31"/>
      <c r="C1196" s="31"/>
      <c r="D1196" s="31"/>
      <c r="E1196" s="31"/>
      <c r="F1196" s="31"/>
      <c r="G1196" s="31"/>
      <c r="H1196" s="31"/>
      <c r="I1196" s="75"/>
      <c r="J1196" s="31"/>
      <c r="K1196" s="31"/>
      <c r="L1196" s="31"/>
      <c r="M1196" s="31"/>
      <c r="N1196" s="31"/>
    </row>
    <row r="1197">
      <c r="A1197" s="74"/>
      <c r="B1197" s="31"/>
      <c r="C1197" s="31"/>
      <c r="D1197" s="31"/>
      <c r="E1197" s="31"/>
      <c r="F1197" s="31"/>
      <c r="G1197" s="31"/>
      <c r="H1197" s="31"/>
      <c r="I1197" s="75"/>
      <c r="J1197" s="31"/>
      <c r="K1197" s="31"/>
      <c r="L1197" s="31"/>
      <c r="M1197" s="31"/>
      <c r="N1197" s="31"/>
    </row>
    <row r="1198">
      <c r="A1198" s="74"/>
      <c r="B1198" s="31"/>
      <c r="C1198" s="31"/>
      <c r="D1198" s="31"/>
      <c r="E1198" s="31"/>
      <c r="F1198" s="31"/>
      <c r="G1198" s="31"/>
      <c r="H1198" s="31"/>
      <c r="I1198" s="75"/>
      <c r="J1198" s="31"/>
      <c r="K1198" s="31"/>
      <c r="L1198" s="31"/>
      <c r="M1198" s="31"/>
      <c r="N1198" s="31"/>
    </row>
    <row r="1199">
      <c r="A1199" s="74"/>
      <c r="B1199" s="31"/>
      <c r="C1199" s="31"/>
      <c r="D1199" s="31"/>
      <c r="E1199" s="31"/>
      <c r="F1199" s="31"/>
      <c r="G1199" s="31"/>
      <c r="H1199" s="31"/>
      <c r="I1199" s="75"/>
      <c r="J1199" s="31"/>
      <c r="K1199" s="31"/>
      <c r="L1199" s="31"/>
      <c r="M1199" s="31"/>
      <c r="N1199" s="31"/>
    </row>
    <row r="1200">
      <c r="A1200" s="74"/>
      <c r="B1200" s="31"/>
      <c r="C1200" s="31"/>
      <c r="D1200" s="31"/>
      <c r="E1200" s="31"/>
      <c r="F1200" s="31"/>
      <c r="G1200" s="31"/>
      <c r="H1200" s="31"/>
      <c r="I1200" s="75"/>
      <c r="J1200" s="31"/>
      <c r="K1200" s="31"/>
      <c r="L1200" s="31"/>
      <c r="M1200" s="31"/>
      <c r="N1200" s="31"/>
    </row>
    <row r="1201">
      <c r="A1201" s="74"/>
      <c r="B1201" s="31"/>
      <c r="C1201" s="31"/>
      <c r="D1201" s="31"/>
      <c r="E1201" s="31"/>
      <c r="F1201" s="31"/>
      <c r="G1201" s="31"/>
      <c r="H1201" s="31"/>
      <c r="I1201" s="75"/>
      <c r="J1201" s="31"/>
      <c r="K1201" s="31"/>
      <c r="L1201" s="31"/>
      <c r="M1201" s="31"/>
      <c r="N1201" s="31"/>
    </row>
    <row r="1202">
      <c r="A1202" s="74"/>
      <c r="B1202" s="31"/>
      <c r="C1202" s="31"/>
      <c r="D1202" s="31"/>
      <c r="E1202" s="31"/>
      <c r="F1202" s="31"/>
      <c r="G1202" s="31"/>
      <c r="H1202" s="31"/>
      <c r="I1202" s="75"/>
      <c r="J1202" s="31"/>
      <c r="K1202" s="31"/>
      <c r="L1202" s="31"/>
      <c r="M1202" s="31"/>
      <c r="N1202" s="31"/>
    </row>
    <row r="1203">
      <c r="A1203" s="74"/>
      <c r="B1203" s="31"/>
      <c r="C1203" s="31"/>
      <c r="D1203" s="31"/>
      <c r="E1203" s="31"/>
      <c r="F1203" s="31"/>
      <c r="G1203" s="31"/>
      <c r="H1203" s="31"/>
      <c r="I1203" s="75"/>
      <c r="J1203" s="31"/>
      <c r="K1203" s="31"/>
      <c r="L1203" s="31"/>
      <c r="M1203" s="31"/>
      <c r="N1203" s="31"/>
    </row>
    <row r="1204">
      <c r="A1204" s="74"/>
      <c r="B1204" s="31"/>
      <c r="C1204" s="31"/>
      <c r="D1204" s="31"/>
      <c r="E1204" s="31"/>
      <c r="F1204" s="31"/>
      <c r="G1204" s="31"/>
      <c r="H1204" s="31"/>
      <c r="I1204" s="75"/>
      <c r="J1204" s="31"/>
      <c r="K1204" s="31"/>
      <c r="L1204" s="31"/>
      <c r="M1204" s="31"/>
      <c r="N1204" s="31"/>
    </row>
    <row r="1205">
      <c r="A1205" s="74"/>
      <c r="B1205" s="31"/>
      <c r="C1205" s="31"/>
      <c r="D1205" s="31"/>
      <c r="E1205" s="31"/>
      <c r="F1205" s="31"/>
      <c r="G1205" s="31"/>
      <c r="H1205" s="31"/>
      <c r="I1205" s="75"/>
      <c r="J1205" s="31"/>
      <c r="K1205" s="31"/>
      <c r="L1205" s="31"/>
      <c r="M1205" s="31"/>
      <c r="N1205" s="31"/>
    </row>
    <row r="1206">
      <c r="A1206" s="74"/>
      <c r="B1206" s="31"/>
      <c r="C1206" s="31"/>
      <c r="D1206" s="31"/>
      <c r="E1206" s="31"/>
      <c r="F1206" s="31"/>
      <c r="G1206" s="31"/>
      <c r="H1206" s="31"/>
      <c r="I1206" s="75"/>
      <c r="J1206" s="31"/>
      <c r="K1206" s="31"/>
      <c r="L1206" s="31"/>
      <c r="M1206" s="31"/>
      <c r="N1206" s="31"/>
    </row>
    <row r="1207">
      <c r="A1207" s="74"/>
      <c r="B1207" s="31"/>
      <c r="C1207" s="31"/>
      <c r="D1207" s="31"/>
      <c r="E1207" s="31"/>
      <c r="F1207" s="31"/>
      <c r="G1207" s="31"/>
      <c r="H1207" s="31"/>
      <c r="I1207" s="75"/>
      <c r="J1207" s="31"/>
      <c r="K1207" s="31"/>
      <c r="L1207" s="31"/>
      <c r="M1207" s="31"/>
      <c r="N1207" s="31"/>
    </row>
    <row r="1208">
      <c r="A1208" s="74"/>
      <c r="B1208" s="31"/>
      <c r="C1208" s="31"/>
      <c r="D1208" s="31"/>
      <c r="E1208" s="31"/>
      <c r="F1208" s="31"/>
      <c r="G1208" s="31"/>
      <c r="H1208" s="31"/>
      <c r="I1208" s="75"/>
      <c r="J1208" s="31"/>
      <c r="K1208" s="31"/>
      <c r="L1208" s="31"/>
      <c r="M1208" s="31"/>
      <c r="N1208" s="31"/>
    </row>
    <row r="1209">
      <c r="A1209" s="74"/>
      <c r="B1209" s="31"/>
      <c r="C1209" s="31"/>
      <c r="D1209" s="31"/>
      <c r="E1209" s="31"/>
      <c r="F1209" s="31"/>
      <c r="G1209" s="31"/>
      <c r="H1209" s="31"/>
      <c r="I1209" s="75"/>
      <c r="J1209" s="31"/>
      <c r="K1209" s="31"/>
      <c r="L1209" s="31"/>
      <c r="M1209" s="31"/>
      <c r="N1209" s="31"/>
    </row>
    <row r="1210">
      <c r="A1210" s="74"/>
      <c r="B1210" s="31"/>
      <c r="C1210" s="31"/>
      <c r="D1210" s="31"/>
      <c r="E1210" s="31"/>
      <c r="F1210" s="31"/>
      <c r="G1210" s="31"/>
      <c r="H1210" s="31"/>
      <c r="I1210" s="75"/>
      <c r="J1210" s="31"/>
      <c r="K1210" s="31"/>
      <c r="L1210" s="31"/>
      <c r="M1210" s="31"/>
      <c r="N1210" s="31"/>
    </row>
    <row r="1211">
      <c r="A1211" s="74"/>
      <c r="B1211" s="31"/>
      <c r="C1211" s="31"/>
      <c r="D1211" s="31"/>
      <c r="E1211" s="31"/>
      <c r="F1211" s="31"/>
      <c r="G1211" s="31"/>
      <c r="H1211" s="31"/>
      <c r="I1211" s="75"/>
      <c r="J1211" s="31"/>
      <c r="K1211" s="31"/>
      <c r="L1211" s="31"/>
      <c r="M1211" s="31"/>
      <c r="N1211" s="31"/>
    </row>
    <row r="1212">
      <c r="A1212" s="74"/>
      <c r="B1212" s="31"/>
      <c r="C1212" s="31"/>
      <c r="D1212" s="31"/>
      <c r="E1212" s="31"/>
      <c r="F1212" s="31"/>
      <c r="G1212" s="31"/>
      <c r="H1212" s="31"/>
      <c r="I1212" s="75"/>
      <c r="J1212" s="31"/>
      <c r="K1212" s="31"/>
      <c r="L1212" s="31"/>
      <c r="M1212" s="31"/>
      <c r="N1212" s="31"/>
    </row>
    <row r="1213">
      <c r="A1213" s="74"/>
      <c r="B1213" s="31"/>
      <c r="C1213" s="31"/>
      <c r="D1213" s="31"/>
      <c r="E1213" s="31"/>
      <c r="F1213" s="31"/>
      <c r="G1213" s="31"/>
      <c r="H1213" s="31"/>
      <c r="I1213" s="75"/>
      <c r="J1213" s="31"/>
      <c r="K1213" s="31"/>
      <c r="L1213" s="31"/>
      <c r="M1213" s="31"/>
      <c r="N1213" s="31"/>
    </row>
    <row r="1214">
      <c r="A1214" s="74"/>
      <c r="B1214" s="31"/>
      <c r="C1214" s="31"/>
      <c r="D1214" s="31"/>
      <c r="E1214" s="31"/>
      <c r="F1214" s="31"/>
      <c r="G1214" s="31"/>
      <c r="H1214" s="31"/>
      <c r="I1214" s="75"/>
      <c r="J1214" s="31"/>
      <c r="K1214" s="31"/>
      <c r="L1214" s="31"/>
      <c r="M1214" s="31"/>
      <c r="N1214" s="31"/>
    </row>
    <row r="1215">
      <c r="A1215" s="74"/>
      <c r="B1215" s="31"/>
      <c r="C1215" s="31"/>
      <c r="D1215" s="31"/>
      <c r="E1215" s="31"/>
      <c r="F1215" s="31"/>
      <c r="G1215" s="31"/>
      <c r="H1215" s="31"/>
      <c r="I1215" s="75"/>
      <c r="J1215" s="31"/>
      <c r="K1215" s="31"/>
      <c r="L1215" s="31"/>
      <c r="M1215" s="31"/>
      <c r="N1215" s="31"/>
    </row>
    <row r="1216">
      <c r="A1216" s="74"/>
      <c r="B1216" s="31"/>
      <c r="C1216" s="31"/>
      <c r="D1216" s="31"/>
      <c r="E1216" s="31"/>
      <c r="F1216" s="31"/>
      <c r="G1216" s="31"/>
      <c r="H1216" s="31"/>
      <c r="I1216" s="75"/>
      <c r="J1216" s="31"/>
      <c r="K1216" s="31"/>
      <c r="L1216" s="31"/>
      <c r="M1216" s="31"/>
      <c r="N1216" s="31"/>
    </row>
    <row r="1217">
      <c r="A1217" s="74"/>
      <c r="B1217" s="31"/>
      <c r="C1217" s="31"/>
      <c r="D1217" s="31"/>
      <c r="E1217" s="31"/>
      <c r="F1217" s="31"/>
      <c r="G1217" s="31"/>
      <c r="H1217" s="31"/>
      <c r="I1217" s="75"/>
      <c r="J1217" s="31"/>
      <c r="K1217" s="31"/>
      <c r="L1217" s="31"/>
      <c r="M1217" s="31"/>
      <c r="N1217" s="31"/>
    </row>
    <row r="1218">
      <c r="A1218" s="74"/>
      <c r="B1218" s="31"/>
      <c r="C1218" s="31"/>
      <c r="D1218" s="31"/>
      <c r="E1218" s="31"/>
      <c r="F1218" s="31"/>
      <c r="G1218" s="31"/>
      <c r="H1218" s="31"/>
      <c r="I1218" s="75"/>
      <c r="J1218" s="31"/>
      <c r="K1218" s="31"/>
      <c r="L1218" s="31"/>
      <c r="M1218" s="31"/>
      <c r="N1218" s="31"/>
    </row>
    <row r="1219">
      <c r="A1219" s="74"/>
      <c r="B1219" s="31"/>
      <c r="C1219" s="31"/>
      <c r="D1219" s="31"/>
      <c r="E1219" s="31"/>
      <c r="F1219" s="31"/>
      <c r="G1219" s="31"/>
      <c r="H1219" s="31"/>
      <c r="I1219" s="75"/>
      <c r="J1219" s="31"/>
      <c r="K1219" s="31"/>
      <c r="L1219" s="31"/>
      <c r="M1219" s="31"/>
      <c r="N1219" s="31"/>
    </row>
    <row r="1220">
      <c r="A1220" s="74"/>
      <c r="B1220" s="31"/>
      <c r="C1220" s="31"/>
      <c r="D1220" s="31"/>
      <c r="E1220" s="31"/>
      <c r="F1220" s="31"/>
      <c r="G1220" s="31"/>
      <c r="H1220" s="31"/>
      <c r="I1220" s="75"/>
      <c r="J1220" s="31"/>
      <c r="K1220" s="31"/>
      <c r="L1220" s="31"/>
      <c r="M1220" s="31"/>
      <c r="N1220" s="31"/>
    </row>
    <row r="1221">
      <c r="A1221" s="74"/>
      <c r="B1221" s="31"/>
      <c r="C1221" s="31"/>
      <c r="D1221" s="31"/>
      <c r="E1221" s="31"/>
      <c r="F1221" s="31"/>
      <c r="G1221" s="31"/>
      <c r="H1221" s="31"/>
      <c r="I1221" s="75"/>
      <c r="J1221" s="31"/>
      <c r="K1221" s="31"/>
      <c r="L1221" s="31"/>
      <c r="M1221" s="31"/>
      <c r="N1221" s="31"/>
    </row>
    <row r="1222">
      <c r="A1222" s="74"/>
      <c r="B1222" s="31"/>
      <c r="C1222" s="31"/>
      <c r="D1222" s="31"/>
      <c r="E1222" s="31"/>
      <c r="F1222" s="31"/>
      <c r="G1222" s="31"/>
      <c r="H1222" s="31"/>
      <c r="I1222" s="75"/>
      <c r="J1222" s="31"/>
      <c r="K1222" s="31"/>
      <c r="L1222" s="31"/>
      <c r="M1222" s="31"/>
      <c r="N1222" s="31"/>
    </row>
    <row r="1223">
      <c r="A1223" s="74"/>
      <c r="B1223" s="31"/>
      <c r="C1223" s="31"/>
      <c r="D1223" s="31"/>
      <c r="E1223" s="31"/>
      <c r="F1223" s="31"/>
      <c r="G1223" s="31"/>
      <c r="H1223" s="31"/>
      <c r="I1223" s="75"/>
      <c r="J1223" s="31"/>
      <c r="K1223" s="31"/>
      <c r="L1223" s="31"/>
      <c r="M1223" s="31"/>
      <c r="N1223" s="31"/>
    </row>
    <row r="1224">
      <c r="A1224" s="74"/>
      <c r="B1224" s="31"/>
      <c r="C1224" s="31"/>
      <c r="D1224" s="31"/>
      <c r="E1224" s="31"/>
      <c r="F1224" s="31"/>
      <c r="G1224" s="31"/>
      <c r="H1224" s="31"/>
      <c r="I1224" s="75"/>
      <c r="J1224" s="31"/>
      <c r="K1224" s="31"/>
      <c r="L1224" s="31"/>
      <c r="M1224" s="31"/>
      <c r="N1224" s="31"/>
    </row>
    <row r="1225">
      <c r="A1225" s="74"/>
      <c r="B1225" s="31"/>
      <c r="C1225" s="31"/>
      <c r="D1225" s="31"/>
      <c r="E1225" s="31"/>
      <c r="F1225" s="31"/>
      <c r="G1225" s="31"/>
      <c r="H1225" s="31"/>
      <c r="I1225" s="75"/>
      <c r="J1225" s="31"/>
      <c r="K1225" s="31"/>
      <c r="L1225" s="31"/>
      <c r="M1225" s="31"/>
      <c r="N1225" s="31"/>
    </row>
    <row r="1226">
      <c r="A1226" s="74"/>
      <c r="B1226" s="31"/>
      <c r="C1226" s="31"/>
      <c r="D1226" s="31"/>
      <c r="E1226" s="31"/>
      <c r="F1226" s="31"/>
      <c r="G1226" s="31"/>
      <c r="H1226" s="31"/>
      <c r="I1226" s="75"/>
      <c r="J1226" s="31"/>
      <c r="K1226" s="31"/>
      <c r="L1226" s="31"/>
      <c r="M1226" s="31"/>
      <c r="N1226" s="31"/>
    </row>
    <row r="1227">
      <c r="A1227" s="74"/>
      <c r="B1227" s="31"/>
      <c r="C1227" s="31"/>
      <c r="D1227" s="31"/>
      <c r="E1227" s="31"/>
      <c r="F1227" s="31"/>
      <c r="G1227" s="31"/>
      <c r="H1227" s="31"/>
      <c r="I1227" s="75"/>
      <c r="J1227" s="31"/>
      <c r="K1227" s="31"/>
      <c r="L1227" s="31"/>
      <c r="M1227" s="31"/>
      <c r="N1227" s="31"/>
    </row>
    <row r="1228">
      <c r="A1228" s="74"/>
      <c r="B1228" s="31"/>
      <c r="C1228" s="31"/>
      <c r="D1228" s="31"/>
      <c r="E1228" s="31"/>
      <c r="F1228" s="31"/>
      <c r="G1228" s="31"/>
      <c r="H1228" s="31"/>
      <c r="I1228" s="75"/>
      <c r="J1228" s="31"/>
      <c r="K1228" s="31"/>
      <c r="L1228" s="31"/>
      <c r="M1228" s="31"/>
      <c r="N1228" s="31"/>
    </row>
    <row r="1229">
      <c r="A1229" s="74"/>
      <c r="B1229" s="31"/>
      <c r="C1229" s="31"/>
      <c r="D1229" s="31"/>
      <c r="E1229" s="31"/>
      <c r="F1229" s="31"/>
      <c r="G1229" s="31"/>
      <c r="H1229" s="31"/>
      <c r="I1229" s="75"/>
      <c r="J1229" s="31"/>
      <c r="K1229" s="31"/>
      <c r="L1229" s="31"/>
      <c r="M1229" s="31"/>
      <c r="N1229" s="31"/>
    </row>
    <row r="1230">
      <c r="A1230" s="74"/>
      <c r="B1230" s="31"/>
      <c r="C1230" s="31"/>
      <c r="D1230" s="31"/>
      <c r="E1230" s="31"/>
      <c r="F1230" s="31"/>
      <c r="G1230" s="31"/>
      <c r="H1230" s="31"/>
      <c r="I1230" s="75"/>
      <c r="J1230" s="31"/>
      <c r="K1230" s="31"/>
      <c r="L1230" s="31"/>
      <c r="M1230" s="31"/>
      <c r="N1230" s="31"/>
    </row>
    <row r="1231">
      <c r="A1231" s="74"/>
      <c r="B1231" s="31"/>
      <c r="C1231" s="31"/>
      <c r="D1231" s="31"/>
      <c r="E1231" s="31"/>
      <c r="F1231" s="31"/>
      <c r="G1231" s="31"/>
      <c r="H1231" s="31"/>
      <c r="I1231" s="75"/>
      <c r="J1231" s="31"/>
      <c r="K1231" s="31"/>
      <c r="L1231" s="31"/>
      <c r="M1231" s="31"/>
      <c r="N1231" s="31"/>
    </row>
    <row r="1232">
      <c r="A1232" s="74"/>
      <c r="B1232" s="31"/>
      <c r="C1232" s="31"/>
      <c r="D1232" s="31"/>
      <c r="E1232" s="31"/>
      <c r="F1232" s="31"/>
      <c r="G1232" s="31"/>
      <c r="H1232" s="31"/>
      <c r="I1232" s="75"/>
      <c r="J1232" s="31"/>
      <c r="K1232" s="31"/>
      <c r="L1232" s="31"/>
      <c r="M1232" s="31"/>
      <c r="N1232" s="31"/>
    </row>
    <row r="1233">
      <c r="A1233" s="74"/>
      <c r="B1233" s="31"/>
      <c r="C1233" s="31"/>
      <c r="D1233" s="31"/>
      <c r="E1233" s="31"/>
      <c r="F1233" s="31"/>
      <c r="G1233" s="31"/>
      <c r="H1233" s="31"/>
      <c r="I1233" s="75"/>
      <c r="J1233" s="31"/>
      <c r="K1233" s="31"/>
      <c r="L1233" s="31"/>
      <c r="M1233" s="31"/>
      <c r="N1233" s="31"/>
    </row>
    <row r="1234">
      <c r="A1234" s="74"/>
      <c r="B1234" s="31"/>
      <c r="C1234" s="31"/>
      <c r="D1234" s="31"/>
      <c r="E1234" s="31"/>
      <c r="F1234" s="31"/>
      <c r="G1234" s="31"/>
      <c r="H1234" s="31"/>
      <c r="I1234" s="75"/>
      <c r="J1234" s="31"/>
      <c r="K1234" s="31"/>
      <c r="L1234" s="31"/>
      <c r="M1234" s="31"/>
      <c r="N1234" s="31"/>
    </row>
    <row r="1235">
      <c r="A1235" s="74"/>
      <c r="B1235" s="31"/>
      <c r="C1235" s="31"/>
      <c r="D1235" s="31"/>
      <c r="E1235" s="31"/>
      <c r="F1235" s="31"/>
      <c r="G1235" s="31"/>
      <c r="H1235" s="31"/>
      <c r="I1235" s="75"/>
      <c r="J1235" s="31"/>
      <c r="K1235" s="31"/>
      <c r="L1235" s="31"/>
      <c r="M1235" s="31"/>
      <c r="N1235" s="31"/>
    </row>
    <row r="1236">
      <c r="A1236" s="74"/>
      <c r="B1236" s="31"/>
      <c r="C1236" s="31"/>
      <c r="D1236" s="31"/>
      <c r="E1236" s="31"/>
      <c r="F1236" s="31"/>
      <c r="G1236" s="31"/>
      <c r="H1236" s="31"/>
      <c r="I1236" s="75"/>
      <c r="J1236" s="31"/>
      <c r="K1236" s="31"/>
      <c r="L1236" s="31"/>
      <c r="M1236" s="31"/>
      <c r="N1236" s="31"/>
    </row>
    <row r="1237">
      <c r="A1237" s="74"/>
      <c r="B1237" s="31"/>
      <c r="C1237" s="31"/>
      <c r="D1237" s="31"/>
      <c r="E1237" s="31"/>
      <c r="F1237" s="31"/>
      <c r="G1237" s="31"/>
      <c r="H1237" s="31"/>
      <c r="I1237" s="75"/>
      <c r="J1237" s="31"/>
      <c r="K1237" s="31"/>
      <c r="L1237" s="31"/>
      <c r="M1237" s="31"/>
      <c r="N1237" s="31"/>
    </row>
    <row r="1238">
      <c r="A1238" s="74"/>
      <c r="B1238" s="31"/>
      <c r="C1238" s="31"/>
      <c r="D1238" s="31"/>
      <c r="E1238" s="31"/>
      <c r="F1238" s="31"/>
      <c r="G1238" s="31"/>
      <c r="H1238" s="31"/>
      <c r="I1238" s="75"/>
      <c r="J1238" s="31"/>
      <c r="K1238" s="31"/>
      <c r="L1238" s="31"/>
      <c r="M1238" s="31"/>
      <c r="N1238" s="31"/>
    </row>
    <row r="1239">
      <c r="A1239" s="74"/>
      <c r="B1239" s="31"/>
      <c r="C1239" s="31"/>
      <c r="D1239" s="31"/>
      <c r="E1239" s="31"/>
      <c r="F1239" s="31"/>
      <c r="G1239" s="31"/>
      <c r="H1239" s="31"/>
      <c r="I1239" s="75"/>
      <c r="J1239" s="31"/>
      <c r="K1239" s="31"/>
      <c r="L1239" s="31"/>
      <c r="M1239" s="31"/>
      <c r="N1239" s="31"/>
    </row>
    <row r="1240">
      <c r="A1240" s="74"/>
      <c r="B1240" s="31"/>
      <c r="C1240" s="31"/>
      <c r="D1240" s="31"/>
      <c r="E1240" s="31"/>
      <c r="F1240" s="31"/>
      <c r="G1240" s="31"/>
      <c r="H1240" s="31"/>
      <c r="I1240" s="75"/>
      <c r="J1240" s="31"/>
      <c r="K1240" s="31"/>
      <c r="L1240" s="31"/>
      <c r="M1240" s="31"/>
      <c r="N1240" s="31"/>
    </row>
    <row r="1241">
      <c r="A1241" s="74"/>
      <c r="B1241" s="31"/>
      <c r="C1241" s="31"/>
      <c r="D1241" s="31"/>
      <c r="E1241" s="31"/>
      <c r="F1241" s="31"/>
      <c r="G1241" s="31"/>
      <c r="H1241" s="31"/>
      <c r="I1241" s="75"/>
      <c r="J1241" s="31"/>
      <c r="K1241" s="31"/>
      <c r="L1241" s="31"/>
      <c r="M1241" s="31"/>
      <c r="N1241" s="31"/>
    </row>
    <row r="1242">
      <c r="A1242" s="74"/>
      <c r="B1242" s="31"/>
      <c r="C1242" s="31"/>
      <c r="D1242" s="31"/>
      <c r="E1242" s="31"/>
      <c r="F1242" s="31"/>
      <c r="G1242" s="31"/>
      <c r="H1242" s="31"/>
      <c r="I1242" s="75"/>
      <c r="J1242" s="31"/>
      <c r="K1242" s="31"/>
      <c r="L1242" s="31"/>
      <c r="M1242" s="31"/>
      <c r="N1242" s="31"/>
    </row>
    <row r="1243">
      <c r="A1243" s="74"/>
      <c r="B1243" s="31"/>
      <c r="C1243" s="31"/>
      <c r="D1243" s="31"/>
      <c r="E1243" s="31"/>
      <c r="F1243" s="31"/>
      <c r="G1243" s="31"/>
      <c r="H1243" s="31"/>
      <c r="I1243" s="75"/>
      <c r="J1243" s="31"/>
      <c r="K1243" s="31"/>
      <c r="L1243" s="31"/>
      <c r="M1243" s="31"/>
      <c r="N1243" s="31"/>
    </row>
    <row r="1244">
      <c r="A1244" s="74"/>
      <c r="B1244" s="31"/>
      <c r="C1244" s="31"/>
      <c r="D1244" s="31"/>
      <c r="E1244" s="31"/>
      <c r="F1244" s="31"/>
      <c r="G1244" s="31"/>
      <c r="H1244" s="31"/>
      <c r="I1244" s="75"/>
      <c r="J1244" s="31"/>
      <c r="K1244" s="31"/>
      <c r="L1244" s="31"/>
      <c r="M1244" s="31"/>
      <c r="N1244" s="31"/>
    </row>
    <row r="1245">
      <c r="A1245" s="74"/>
      <c r="B1245" s="31"/>
      <c r="C1245" s="31"/>
      <c r="D1245" s="31"/>
      <c r="E1245" s="31"/>
      <c r="F1245" s="31"/>
      <c r="G1245" s="31"/>
      <c r="H1245" s="31"/>
      <c r="I1245" s="75"/>
      <c r="J1245" s="31"/>
      <c r="K1245" s="31"/>
      <c r="L1245" s="31"/>
      <c r="M1245" s="31"/>
      <c r="N1245" s="31"/>
    </row>
    <row r="1246">
      <c r="A1246" s="74"/>
      <c r="B1246" s="31"/>
      <c r="C1246" s="31"/>
      <c r="D1246" s="31"/>
      <c r="E1246" s="31"/>
      <c r="F1246" s="31"/>
      <c r="G1246" s="31"/>
      <c r="H1246" s="31"/>
      <c r="I1246" s="75"/>
      <c r="J1246" s="31"/>
      <c r="K1246" s="31"/>
      <c r="L1246" s="31"/>
      <c r="M1246" s="31"/>
      <c r="N1246" s="31"/>
    </row>
    <row r="1247">
      <c r="A1247" s="74"/>
      <c r="B1247" s="31"/>
      <c r="C1247" s="31"/>
      <c r="D1247" s="31"/>
      <c r="E1247" s="31"/>
      <c r="F1247" s="31"/>
      <c r="G1247" s="31"/>
      <c r="H1247" s="31"/>
      <c r="I1247" s="75"/>
      <c r="J1247" s="31"/>
      <c r="K1247" s="31"/>
      <c r="L1247" s="31"/>
      <c r="M1247" s="31"/>
      <c r="N1247" s="31"/>
    </row>
    <row r="1248">
      <c r="A1248" s="74"/>
      <c r="B1248" s="31"/>
      <c r="C1248" s="31"/>
      <c r="D1248" s="31"/>
      <c r="E1248" s="31"/>
      <c r="F1248" s="31"/>
      <c r="G1248" s="31"/>
      <c r="H1248" s="31"/>
      <c r="I1248" s="75"/>
      <c r="J1248" s="31"/>
      <c r="K1248" s="31"/>
      <c r="L1248" s="31"/>
      <c r="M1248" s="31"/>
      <c r="N1248" s="31"/>
    </row>
    <row r="1249">
      <c r="A1249" s="74"/>
      <c r="B1249" s="31"/>
      <c r="C1249" s="31"/>
      <c r="D1249" s="31"/>
      <c r="E1249" s="31"/>
      <c r="F1249" s="31"/>
      <c r="G1249" s="31"/>
      <c r="H1249" s="31"/>
      <c r="I1249" s="75"/>
      <c r="J1249" s="31"/>
      <c r="K1249" s="31"/>
      <c r="L1249" s="31"/>
      <c r="M1249" s="31"/>
      <c r="N1249" s="31"/>
    </row>
    <row r="1250">
      <c r="A1250" s="74"/>
      <c r="B1250" s="31"/>
      <c r="C1250" s="31"/>
      <c r="D1250" s="31"/>
      <c r="E1250" s="31"/>
      <c r="F1250" s="31"/>
      <c r="G1250" s="31"/>
      <c r="H1250" s="31"/>
      <c r="I1250" s="75"/>
      <c r="J1250" s="31"/>
      <c r="K1250" s="31"/>
      <c r="L1250" s="31"/>
      <c r="M1250" s="31"/>
      <c r="N1250" s="31"/>
    </row>
    <row r="1251">
      <c r="A1251" s="74"/>
      <c r="B1251" s="31"/>
      <c r="C1251" s="31"/>
      <c r="D1251" s="31"/>
      <c r="E1251" s="31"/>
      <c r="F1251" s="31"/>
      <c r="G1251" s="31"/>
      <c r="H1251" s="31"/>
      <c r="I1251" s="75"/>
      <c r="J1251" s="31"/>
      <c r="K1251" s="31"/>
      <c r="L1251" s="31"/>
      <c r="M1251" s="31"/>
      <c r="N1251" s="31"/>
    </row>
    <row r="1252">
      <c r="A1252" s="74"/>
      <c r="B1252" s="31"/>
      <c r="C1252" s="31"/>
      <c r="D1252" s="31"/>
      <c r="E1252" s="31"/>
      <c r="F1252" s="31"/>
      <c r="G1252" s="31"/>
      <c r="H1252" s="31"/>
      <c r="I1252" s="75"/>
      <c r="J1252" s="31"/>
      <c r="K1252" s="31"/>
      <c r="L1252" s="31"/>
      <c r="M1252" s="31"/>
      <c r="N1252" s="31"/>
    </row>
    <row r="1253">
      <c r="A1253" s="74"/>
      <c r="B1253" s="31"/>
      <c r="C1253" s="31"/>
      <c r="D1253" s="31"/>
      <c r="E1253" s="31"/>
      <c r="F1253" s="31"/>
      <c r="G1253" s="31"/>
      <c r="H1253" s="31"/>
      <c r="I1253" s="75"/>
      <c r="J1253" s="31"/>
      <c r="K1253" s="31"/>
      <c r="L1253" s="31"/>
      <c r="M1253" s="31"/>
      <c r="N1253" s="31"/>
    </row>
    <row r="1254">
      <c r="A1254" s="74"/>
      <c r="B1254" s="31"/>
      <c r="C1254" s="31"/>
      <c r="D1254" s="31"/>
      <c r="E1254" s="31"/>
      <c r="F1254" s="31"/>
      <c r="G1254" s="31"/>
      <c r="H1254" s="31"/>
      <c r="I1254" s="75"/>
      <c r="J1254" s="31"/>
      <c r="K1254" s="31"/>
      <c r="L1254" s="31"/>
      <c r="M1254" s="31"/>
      <c r="N1254" s="31"/>
    </row>
    <row r="1255">
      <c r="A1255" s="74"/>
      <c r="B1255" s="31"/>
      <c r="C1255" s="31"/>
      <c r="D1255" s="31"/>
      <c r="E1255" s="31"/>
      <c r="F1255" s="31"/>
      <c r="G1255" s="31"/>
      <c r="H1255" s="31"/>
      <c r="I1255" s="75"/>
      <c r="J1255" s="31"/>
      <c r="K1255" s="31"/>
      <c r="L1255" s="31"/>
      <c r="M1255" s="31"/>
      <c r="N1255" s="31"/>
    </row>
    <row r="1256">
      <c r="A1256" s="74"/>
      <c r="B1256" s="31"/>
      <c r="C1256" s="31"/>
      <c r="D1256" s="31"/>
      <c r="E1256" s="31"/>
      <c r="F1256" s="31"/>
      <c r="G1256" s="31"/>
      <c r="H1256" s="31"/>
      <c r="I1256" s="75"/>
      <c r="J1256" s="31"/>
      <c r="K1256" s="31"/>
      <c r="L1256" s="31"/>
      <c r="M1256" s="31"/>
      <c r="N1256" s="31"/>
    </row>
    <row r="1257">
      <c r="A1257" s="74"/>
      <c r="B1257" s="31"/>
      <c r="C1257" s="31"/>
      <c r="D1257" s="31"/>
      <c r="E1257" s="31"/>
      <c r="F1257" s="31"/>
      <c r="G1257" s="31"/>
      <c r="H1257" s="31"/>
      <c r="I1257" s="75"/>
      <c r="J1257" s="31"/>
      <c r="K1257" s="31"/>
      <c r="L1257" s="31"/>
      <c r="M1257" s="31"/>
      <c r="N1257" s="31"/>
    </row>
    <row r="1258">
      <c r="A1258" s="74"/>
      <c r="B1258" s="31"/>
      <c r="C1258" s="31"/>
      <c r="D1258" s="31"/>
      <c r="E1258" s="31"/>
      <c r="F1258" s="31"/>
      <c r="G1258" s="31"/>
      <c r="H1258" s="31"/>
      <c r="I1258" s="75"/>
      <c r="J1258" s="31"/>
      <c r="K1258" s="31"/>
      <c r="L1258" s="31"/>
      <c r="M1258" s="31"/>
      <c r="N1258" s="31"/>
    </row>
    <row r="1259">
      <c r="A1259" s="74"/>
      <c r="B1259" s="31"/>
      <c r="C1259" s="31"/>
      <c r="D1259" s="31"/>
      <c r="E1259" s="31"/>
      <c r="F1259" s="31"/>
      <c r="G1259" s="31"/>
      <c r="H1259" s="31"/>
      <c r="I1259" s="75"/>
      <c r="J1259" s="31"/>
      <c r="K1259" s="31"/>
      <c r="L1259" s="31"/>
      <c r="M1259" s="31"/>
      <c r="N1259" s="31"/>
    </row>
    <row r="1260">
      <c r="A1260" s="74"/>
      <c r="B1260" s="31"/>
      <c r="C1260" s="31"/>
      <c r="D1260" s="31"/>
      <c r="E1260" s="31"/>
      <c r="F1260" s="31"/>
      <c r="G1260" s="31"/>
      <c r="H1260" s="31"/>
      <c r="I1260" s="75"/>
      <c r="J1260" s="31"/>
      <c r="K1260" s="31"/>
      <c r="L1260" s="31"/>
      <c r="M1260" s="31"/>
      <c r="N1260" s="31"/>
    </row>
    <row r="1261">
      <c r="A1261" s="74"/>
      <c r="B1261" s="31"/>
      <c r="C1261" s="31"/>
      <c r="D1261" s="31"/>
      <c r="E1261" s="31"/>
      <c r="F1261" s="31"/>
      <c r="G1261" s="31"/>
      <c r="H1261" s="31"/>
      <c r="I1261" s="75"/>
      <c r="J1261" s="31"/>
      <c r="K1261" s="31"/>
      <c r="L1261" s="31"/>
      <c r="M1261" s="31"/>
      <c r="N1261" s="31"/>
    </row>
    <row r="1262">
      <c r="A1262" s="74"/>
      <c r="B1262" s="31"/>
      <c r="C1262" s="31"/>
      <c r="D1262" s="31"/>
      <c r="E1262" s="31"/>
      <c r="F1262" s="31"/>
      <c r="G1262" s="31"/>
      <c r="H1262" s="31"/>
      <c r="I1262" s="75"/>
      <c r="J1262" s="31"/>
      <c r="K1262" s="31"/>
      <c r="L1262" s="31"/>
      <c r="M1262" s="31"/>
      <c r="N1262" s="31"/>
    </row>
    <row r="1263">
      <c r="A1263" s="74"/>
      <c r="B1263" s="31"/>
      <c r="C1263" s="31"/>
      <c r="D1263" s="31"/>
      <c r="E1263" s="31"/>
      <c r="F1263" s="31"/>
      <c r="G1263" s="31"/>
      <c r="H1263" s="31"/>
      <c r="I1263" s="75"/>
      <c r="J1263" s="31"/>
      <c r="K1263" s="31"/>
      <c r="L1263" s="31"/>
      <c r="M1263" s="31"/>
      <c r="N1263" s="31"/>
    </row>
    <row r="1264">
      <c r="A1264" s="74"/>
      <c r="B1264" s="31"/>
      <c r="C1264" s="31"/>
      <c r="D1264" s="31"/>
      <c r="E1264" s="31"/>
      <c r="F1264" s="31"/>
      <c r="G1264" s="31"/>
      <c r="H1264" s="31"/>
      <c r="I1264" s="75"/>
      <c r="J1264" s="31"/>
      <c r="K1264" s="31"/>
      <c r="L1264" s="31"/>
      <c r="M1264" s="31"/>
      <c r="N1264" s="31"/>
    </row>
    <row r="1265">
      <c r="A1265" s="74"/>
      <c r="B1265" s="31"/>
      <c r="C1265" s="31"/>
      <c r="D1265" s="31"/>
      <c r="E1265" s="31"/>
      <c r="F1265" s="31"/>
      <c r="G1265" s="31"/>
      <c r="H1265" s="31"/>
      <c r="I1265" s="75"/>
      <c r="J1265" s="31"/>
      <c r="K1265" s="31"/>
      <c r="L1265" s="31"/>
      <c r="M1265" s="31"/>
      <c r="N1265" s="31"/>
    </row>
    <row r="1266">
      <c r="A1266" s="74"/>
      <c r="B1266" s="31"/>
      <c r="C1266" s="31"/>
      <c r="D1266" s="31"/>
      <c r="E1266" s="31"/>
      <c r="F1266" s="31"/>
      <c r="G1266" s="31"/>
      <c r="H1266" s="31"/>
      <c r="I1266" s="75"/>
      <c r="J1266" s="31"/>
      <c r="K1266" s="31"/>
      <c r="L1266" s="31"/>
      <c r="M1266" s="31"/>
      <c r="N1266" s="31"/>
    </row>
    <row r="1267">
      <c r="A1267" s="74"/>
      <c r="B1267" s="31"/>
      <c r="C1267" s="31"/>
      <c r="D1267" s="31"/>
      <c r="E1267" s="31"/>
      <c r="F1267" s="31"/>
      <c r="G1267" s="31"/>
      <c r="H1267" s="31"/>
      <c r="I1267" s="75"/>
      <c r="J1267" s="31"/>
      <c r="K1267" s="31"/>
      <c r="L1267" s="31"/>
      <c r="M1267" s="31"/>
      <c r="N1267" s="31"/>
    </row>
    <row r="1268">
      <c r="A1268" s="74"/>
      <c r="B1268" s="31"/>
      <c r="C1268" s="31"/>
      <c r="D1268" s="31"/>
      <c r="E1268" s="31"/>
      <c r="F1268" s="31"/>
      <c r="G1268" s="31"/>
      <c r="H1268" s="31"/>
      <c r="I1268" s="75"/>
      <c r="J1268" s="31"/>
      <c r="K1268" s="31"/>
      <c r="L1268" s="31"/>
      <c r="M1268" s="31"/>
      <c r="N1268" s="31"/>
    </row>
    <row r="1269">
      <c r="A1269" s="74"/>
      <c r="B1269" s="31"/>
      <c r="C1269" s="31"/>
      <c r="D1269" s="31"/>
      <c r="E1269" s="31"/>
      <c r="F1269" s="31"/>
      <c r="G1269" s="31"/>
      <c r="H1269" s="31"/>
      <c r="I1269" s="75"/>
      <c r="J1269" s="31"/>
      <c r="K1269" s="31"/>
      <c r="L1269" s="31"/>
      <c r="M1269" s="31"/>
      <c r="N1269" s="31"/>
    </row>
    <row r="1270">
      <c r="A1270" s="74"/>
      <c r="B1270" s="31"/>
      <c r="C1270" s="31"/>
      <c r="D1270" s="31"/>
      <c r="E1270" s="31"/>
      <c r="F1270" s="31"/>
      <c r="G1270" s="31"/>
      <c r="H1270" s="31"/>
      <c r="I1270" s="75"/>
      <c r="J1270" s="31"/>
      <c r="K1270" s="31"/>
      <c r="L1270" s="31"/>
      <c r="M1270" s="31"/>
      <c r="N1270" s="31"/>
    </row>
    <row r="1271">
      <c r="A1271" s="74"/>
      <c r="B1271" s="31"/>
      <c r="C1271" s="31"/>
      <c r="D1271" s="31"/>
      <c r="E1271" s="31"/>
      <c r="F1271" s="31"/>
      <c r="G1271" s="31"/>
      <c r="H1271" s="31"/>
      <c r="I1271" s="75"/>
      <c r="J1271" s="31"/>
      <c r="K1271" s="31"/>
      <c r="L1271" s="31"/>
      <c r="M1271" s="31"/>
      <c r="N1271" s="31"/>
    </row>
    <row r="1272">
      <c r="A1272" s="74"/>
      <c r="B1272" s="31"/>
      <c r="C1272" s="31"/>
      <c r="D1272" s="31"/>
      <c r="E1272" s="31"/>
      <c r="F1272" s="31"/>
      <c r="G1272" s="31"/>
      <c r="H1272" s="31"/>
      <c r="I1272" s="75"/>
      <c r="J1272" s="31"/>
      <c r="K1272" s="31"/>
      <c r="L1272" s="31"/>
      <c r="M1272" s="31"/>
      <c r="N1272" s="31"/>
    </row>
    <row r="1273">
      <c r="A1273" s="74"/>
      <c r="B1273" s="31"/>
      <c r="C1273" s="31"/>
      <c r="D1273" s="31"/>
      <c r="E1273" s="31"/>
      <c r="F1273" s="31"/>
      <c r="G1273" s="31"/>
      <c r="H1273" s="31"/>
      <c r="I1273" s="75"/>
      <c r="J1273" s="31"/>
      <c r="K1273" s="31"/>
      <c r="L1273" s="31"/>
      <c r="M1273" s="31"/>
      <c r="N1273" s="31"/>
    </row>
    <row r="1274">
      <c r="A1274" s="74"/>
      <c r="B1274" s="31"/>
      <c r="C1274" s="31"/>
      <c r="D1274" s="31"/>
      <c r="E1274" s="31"/>
      <c r="F1274" s="31"/>
      <c r="G1274" s="31"/>
      <c r="H1274" s="31"/>
      <c r="I1274" s="75"/>
      <c r="J1274" s="31"/>
      <c r="K1274" s="31"/>
      <c r="L1274" s="31"/>
      <c r="M1274" s="31"/>
      <c r="N1274" s="31"/>
    </row>
    <row r="1275">
      <c r="A1275" s="74"/>
      <c r="B1275" s="31"/>
      <c r="C1275" s="31"/>
      <c r="D1275" s="31"/>
      <c r="E1275" s="31"/>
      <c r="F1275" s="31"/>
      <c r="G1275" s="31"/>
      <c r="H1275" s="31"/>
      <c r="I1275" s="75"/>
      <c r="J1275" s="31"/>
      <c r="K1275" s="31"/>
      <c r="L1275" s="31"/>
      <c r="M1275" s="31"/>
      <c r="N1275" s="31"/>
    </row>
    <row r="1276">
      <c r="A1276" s="74"/>
      <c r="B1276" s="31"/>
      <c r="C1276" s="31"/>
      <c r="D1276" s="31"/>
      <c r="E1276" s="31"/>
      <c r="F1276" s="31"/>
      <c r="G1276" s="31"/>
      <c r="H1276" s="31"/>
      <c r="I1276" s="75"/>
      <c r="J1276" s="31"/>
      <c r="K1276" s="31"/>
      <c r="L1276" s="31"/>
      <c r="M1276" s="31"/>
      <c r="N1276" s="31"/>
    </row>
    <row r="1277">
      <c r="A1277" s="74"/>
      <c r="B1277" s="31"/>
      <c r="C1277" s="31"/>
      <c r="D1277" s="31"/>
      <c r="E1277" s="31"/>
      <c r="F1277" s="31"/>
      <c r="G1277" s="31"/>
      <c r="H1277" s="31"/>
      <c r="I1277" s="75"/>
      <c r="J1277" s="31"/>
      <c r="K1277" s="31"/>
      <c r="L1277" s="31"/>
      <c r="M1277" s="31"/>
      <c r="N1277" s="31"/>
    </row>
    <row r="1278">
      <c r="A1278" s="74"/>
      <c r="B1278" s="31"/>
      <c r="C1278" s="31"/>
      <c r="D1278" s="31"/>
      <c r="E1278" s="31"/>
      <c r="F1278" s="31"/>
      <c r="G1278" s="31"/>
      <c r="H1278" s="31"/>
      <c r="I1278" s="75"/>
      <c r="J1278" s="31"/>
      <c r="K1278" s="31"/>
      <c r="L1278" s="31"/>
      <c r="M1278" s="31"/>
      <c r="N1278" s="31"/>
    </row>
    <row r="1279">
      <c r="A1279" s="74"/>
      <c r="B1279" s="31"/>
      <c r="C1279" s="31"/>
      <c r="D1279" s="31"/>
      <c r="E1279" s="31"/>
      <c r="F1279" s="31"/>
      <c r="G1279" s="31"/>
      <c r="H1279" s="31"/>
      <c r="I1279" s="75"/>
      <c r="J1279" s="31"/>
      <c r="K1279" s="31"/>
      <c r="L1279" s="31"/>
      <c r="M1279" s="31"/>
      <c r="N1279" s="31"/>
    </row>
    <row r="1280">
      <c r="A1280" s="74"/>
      <c r="B1280" s="31"/>
      <c r="C1280" s="31"/>
      <c r="D1280" s="31"/>
      <c r="E1280" s="31"/>
      <c r="F1280" s="31"/>
      <c r="G1280" s="31"/>
      <c r="H1280" s="31"/>
      <c r="I1280" s="75"/>
      <c r="J1280" s="31"/>
      <c r="K1280" s="31"/>
      <c r="L1280" s="31"/>
      <c r="M1280" s="31"/>
      <c r="N1280" s="31"/>
    </row>
    <row r="1281">
      <c r="A1281" s="74"/>
      <c r="B1281" s="31"/>
      <c r="C1281" s="31"/>
      <c r="D1281" s="31"/>
      <c r="E1281" s="31"/>
      <c r="F1281" s="31"/>
      <c r="G1281" s="31"/>
      <c r="H1281" s="31"/>
      <c r="I1281" s="75"/>
      <c r="J1281" s="31"/>
      <c r="K1281" s="31"/>
      <c r="L1281" s="31"/>
      <c r="M1281" s="31"/>
      <c r="N1281" s="31"/>
    </row>
    <row r="1282">
      <c r="A1282" s="74"/>
      <c r="B1282" s="31"/>
      <c r="C1282" s="31"/>
      <c r="D1282" s="31"/>
      <c r="E1282" s="31"/>
      <c r="F1282" s="31"/>
      <c r="G1282" s="31"/>
      <c r="H1282" s="31"/>
      <c r="I1282" s="75"/>
      <c r="J1282" s="31"/>
      <c r="K1282" s="31"/>
      <c r="L1282" s="31"/>
      <c r="M1282" s="31"/>
      <c r="N1282" s="31"/>
    </row>
    <row r="1283">
      <c r="A1283" s="74"/>
      <c r="B1283" s="31"/>
      <c r="C1283" s="31"/>
      <c r="D1283" s="31"/>
      <c r="E1283" s="31"/>
      <c r="F1283" s="31"/>
      <c r="G1283" s="31"/>
      <c r="H1283" s="31"/>
      <c r="I1283" s="75"/>
      <c r="J1283" s="31"/>
      <c r="K1283" s="31"/>
      <c r="L1283" s="31"/>
      <c r="M1283" s="31"/>
      <c r="N1283" s="31"/>
    </row>
    <row r="1284">
      <c r="A1284" s="74"/>
      <c r="B1284" s="31"/>
      <c r="C1284" s="31"/>
      <c r="D1284" s="31"/>
      <c r="E1284" s="31"/>
      <c r="F1284" s="31"/>
      <c r="G1284" s="31"/>
      <c r="H1284" s="31"/>
      <c r="I1284" s="75"/>
      <c r="J1284" s="31"/>
      <c r="K1284" s="31"/>
      <c r="L1284" s="31"/>
      <c r="M1284" s="31"/>
      <c r="N1284" s="31"/>
    </row>
    <row r="1285">
      <c r="A1285" s="74"/>
      <c r="B1285" s="31"/>
      <c r="C1285" s="31"/>
      <c r="D1285" s="31"/>
      <c r="E1285" s="31"/>
      <c r="F1285" s="31"/>
      <c r="G1285" s="31"/>
      <c r="H1285" s="31"/>
      <c r="I1285" s="75"/>
      <c r="J1285" s="31"/>
      <c r="K1285" s="31"/>
      <c r="L1285" s="31"/>
      <c r="M1285" s="31"/>
      <c r="N1285" s="31"/>
    </row>
    <row r="1286">
      <c r="A1286" s="74"/>
      <c r="B1286" s="31"/>
      <c r="C1286" s="31"/>
      <c r="D1286" s="31"/>
      <c r="E1286" s="31"/>
      <c r="F1286" s="31"/>
      <c r="G1286" s="31"/>
      <c r="H1286" s="31"/>
      <c r="I1286" s="75"/>
      <c r="J1286" s="31"/>
      <c r="K1286" s="31"/>
      <c r="L1286" s="31"/>
      <c r="M1286" s="31"/>
      <c r="N1286" s="31"/>
    </row>
    <row r="1287">
      <c r="A1287" s="74"/>
      <c r="B1287" s="31"/>
      <c r="C1287" s="31"/>
      <c r="D1287" s="31"/>
      <c r="E1287" s="31"/>
      <c r="F1287" s="31"/>
      <c r="G1287" s="31"/>
      <c r="H1287" s="31"/>
      <c r="I1287" s="75"/>
      <c r="J1287" s="31"/>
      <c r="K1287" s="31"/>
      <c r="L1287" s="31"/>
      <c r="M1287" s="31"/>
      <c r="N1287" s="31"/>
    </row>
    <row r="1288">
      <c r="A1288" s="74"/>
      <c r="B1288" s="31"/>
      <c r="C1288" s="31"/>
      <c r="D1288" s="31"/>
      <c r="E1288" s="31"/>
      <c r="F1288" s="31"/>
      <c r="G1288" s="31"/>
      <c r="H1288" s="31"/>
      <c r="I1288" s="75"/>
      <c r="J1288" s="31"/>
      <c r="K1288" s="31"/>
      <c r="L1288" s="31"/>
      <c r="M1288" s="31"/>
      <c r="N1288" s="31"/>
    </row>
    <row r="1289">
      <c r="A1289" s="74"/>
      <c r="B1289" s="31"/>
      <c r="C1289" s="31"/>
      <c r="D1289" s="31"/>
      <c r="E1289" s="31"/>
      <c r="F1289" s="31"/>
      <c r="G1289" s="31"/>
      <c r="H1289" s="31"/>
      <c r="I1289" s="75"/>
      <c r="J1289" s="31"/>
      <c r="K1289" s="31"/>
      <c r="L1289" s="31"/>
      <c r="M1289" s="31"/>
      <c r="N1289" s="31"/>
    </row>
    <row r="1290">
      <c r="A1290" s="74"/>
      <c r="B1290" s="31"/>
      <c r="C1290" s="31"/>
      <c r="D1290" s="31"/>
      <c r="E1290" s="31"/>
      <c r="F1290" s="31"/>
      <c r="G1290" s="31"/>
      <c r="H1290" s="31"/>
      <c r="I1290" s="75"/>
      <c r="J1290" s="31"/>
      <c r="K1290" s="31"/>
      <c r="L1290" s="31"/>
      <c r="M1290" s="31"/>
      <c r="N1290" s="31"/>
    </row>
    <row r="1291">
      <c r="A1291" s="74"/>
      <c r="B1291" s="31"/>
      <c r="C1291" s="31"/>
      <c r="D1291" s="31"/>
      <c r="E1291" s="31"/>
      <c r="F1291" s="31"/>
      <c r="G1291" s="31"/>
      <c r="H1291" s="31"/>
      <c r="I1291" s="75"/>
      <c r="J1291" s="31"/>
      <c r="K1291" s="31"/>
      <c r="L1291" s="31"/>
      <c r="M1291" s="31"/>
      <c r="N1291" s="31"/>
    </row>
    <row r="1292">
      <c r="A1292" s="74"/>
      <c r="B1292" s="31"/>
      <c r="C1292" s="31"/>
      <c r="D1292" s="31"/>
      <c r="E1292" s="31"/>
      <c r="F1292" s="31"/>
      <c r="G1292" s="31"/>
      <c r="H1292" s="31"/>
      <c r="I1292" s="75"/>
      <c r="J1292" s="31"/>
      <c r="K1292" s="31"/>
      <c r="L1292" s="31"/>
      <c r="M1292" s="31"/>
      <c r="N1292" s="31"/>
    </row>
    <row r="1293">
      <c r="A1293" s="74"/>
      <c r="B1293" s="31"/>
      <c r="C1293" s="31"/>
      <c r="D1293" s="31"/>
      <c r="E1293" s="31"/>
      <c r="F1293" s="31"/>
      <c r="G1293" s="31"/>
      <c r="H1293" s="31"/>
      <c r="I1293" s="75"/>
      <c r="J1293" s="31"/>
      <c r="K1293" s="31"/>
      <c r="L1293" s="31"/>
      <c r="M1293" s="31"/>
      <c r="N1293" s="31"/>
    </row>
    <row r="1294">
      <c r="A1294" s="74"/>
      <c r="B1294" s="31"/>
      <c r="C1294" s="31"/>
      <c r="D1294" s="31"/>
      <c r="E1294" s="31"/>
      <c r="F1294" s="31"/>
      <c r="G1294" s="31"/>
      <c r="H1294" s="31"/>
      <c r="I1294" s="75"/>
      <c r="J1294" s="31"/>
      <c r="K1294" s="31"/>
      <c r="L1294" s="31"/>
      <c r="M1294" s="31"/>
      <c r="N1294" s="31"/>
    </row>
    <row r="1295">
      <c r="A1295" s="74"/>
      <c r="B1295" s="31"/>
      <c r="C1295" s="31"/>
      <c r="D1295" s="31"/>
      <c r="E1295" s="31"/>
      <c r="F1295" s="31"/>
      <c r="G1295" s="31"/>
      <c r="H1295" s="31"/>
      <c r="I1295" s="75"/>
      <c r="J1295" s="31"/>
      <c r="K1295" s="31"/>
      <c r="L1295" s="31"/>
      <c r="M1295" s="31"/>
      <c r="N1295" s="31"/>
    </row>
    <row r="1296">
      <c r="A1296" s="74"/>
      <c r="B1296" s="31"/>
      <c r="C1296" s="31"/>
      <c r="D1296" s="31"/>
      <c r="E1296" s="31"/>
      <c r="F1296" s="31"/>
      <c r="G1296" s="31"/>
      <c r="H1296" s="31"/>
      <c r="I1296" s="75"/>
      <c r="J1296" s="31"/>
      <c r="K1296" s="31"/>
      <c r="L1296" s="31"/>
      <c r="M1296" s="31"/>
      <c r="N1296" s="31"/>
    </row>
    <row r="1297">
      <c r="A1297" s="74"/>
      <c r="B1297" s="31"/>
      <c r="C1297" s="31"/>
      <c r="D1297" s="31"/>
      <c r="E1297" s="31"/>
      <c r="F1297" s="31"/>
      <c r="G1297" s="31"/>
      <c r="H1297" s="31"/>
      <c r="I1297" s="75"/>
      <c r="J1297" s="31"/>
      <c r="K1297" s="31"/>
      <c r="L1297" s="31"/>
      <c r="M1297" s="31"/>
      <c r="N1297" s="31"/>
    </row>
    <row r="1298">
      <c r="A1298" s="74"/>
      <c r="B1298" s="31"/>
      <c r="C1298" s="31"/>
      <c r="D1298" s="31"/>
      <c r="E1298" s="31"/>
      <c r="F1298" s="31"/>
      <c r="G1298" s="31"/>
      <c r="H1298" s="31"/>
      <c r="I1298" s="75"/>
      <c r="J1298" s="31"/>
      <c r="K1298" s="31"/>
      <c r="L1298" s="31"/>
      <c r="M1298" s="31"/>
      <c r="N1298" s="31"/>
    </row>
    <row r="1299">
      <c r="A1299" s="74"/>
      <c r="B1299" s="31"/>
      <c r="C1299" s="31"/>
      <c r="D1299" s="31"/>
      <c r="E1299" s="31"/>
      <c r="F1299" s="31"/>
      <c r="G1299" s="31"/>
      <c r="H1299" s="31"/>
      <c r="I1299" s="75"/>
      <c r="J1299" s="31"/>
      <c r="K1299" s="31"/>
      <c r="L1299" s="31"/>
      <c r="M1299" s="31"/>
      <c r="N1299" s="31"/>
    </row>
    <row r="1300">
      <c r="A1300" s="74"/>
      <c r="B1300" s="31"/>
      <c r="C1300" s="31"/>
      <c r="D1300" s="31"/>
      <c r="E1300" s="31"/>
      <c r="F1300" s="31"/>
      <c r="G1300" s="31"/>
      <c r="H1300" s="31"/>
      <c r="I1300" s="75"/>
      <c r="J1300" s="31"/>
      <c r="K1300" s="31"/>
      <c r="L1300" s="31"/>
      <c r="M1300" s="31"/>
      <c r="N1300" s="31"/>
    </row>
    <row r="1301">
      <c r="A1301" s="74"/>
      <c r="B1301" s="31"/>
      <c r="C1301" s="31"/>
      <c r="D1301" s="31"/>
      <c r="E1301" s="31"/>
      <c r="F1301" s="31"/>
      <c r="G1301" s="31"/>
      <c r="H1301" s="31"/>
      <c r="I1301" s="75"/>
      <c r="J1301" s="31"/>
      <c r="K1301" s="31"/>
      <c r="L1301" s="31"/>
      <c r="M1301" s="31"/>
      <c r="N1301" s="31"/>
    </row>
    <row r="1302">
      <c r="A1302" s="74"/>
      <c r="B1302" s="31"/>
      <c r="C1302" s="31"/>
      <c r="D1302" s="31"/>
      <c r="E1302" s="31"/>
      <c r="F1302" s="31"/>
      <c r="G1302" s="31"/>
      <c r="H1302" s="31"/>
      <c r="I1302" s="75"/>
      <c r="J1302" s="31"/>
      <c r="K1302" s="31"/>
      <c r="L1302" s="31"/>
      <c r="M1302" s="31"/>
      <c r="N1302" s="31"/>
    </row>
    <row r="1303">
      <c r="A1303" s="74"/>
      <c r="B1303" s="31"/>
      <c r="C1303" s="31"/>
      <c r="D1303" s="31"/>
      <c r="E1303" s="31"/>
      <c r="F1303" s="31"/>
      <c r="G1303" s="31"/>
      <c r="H1303" s="31"/>
      <c r="I1303" s="75"/>
      <c r="J1303" s="31"/>
      <c r="K1303" s="31"/>
      <c r="L1303" s="31"/>
      <c r="M1303" s="31"/>
      <c r="N1303" s="31"/>
    </row>
    <row r="1304">
      <c r="A1304" s="74"/>
      <c r="B1304" s="31"/>
      <c r="C1304" s="31"/>
      <c r="D1304" s="31"/>
      <c r="E1304" s="31"/>
      <c r="F1304" s="31"/>
      <c r="G1304" s="31"/>
      <c r="H1304" s="31"/>
      <c r="I1304" s="75"/>
      <c r="J1304" s="31"/>
      <c r="K1304" s="31"/>
      <c r="L1304" s="31"/>
      <c r="M1304" s="31"/>
      <c r="N1304" s="31"/>
    </row>
    <row r="1305">
      <c r="A1305" s="74"/>
      <c r="B1305" s="31"/>
      <c r="C1305" s="31"/>
      <c r="D1305" s="31"/>
      <c r="E1305" s="31"/>
      <c r="F1305" s="31"/>
      <c r="G1305" s="31"/>
      <c r="H1305" s="31"/>
      <c r="I1305" s="75"/>
      <c r="J1305" s="31"/>
      <c r="K1305" s="31"/>
      <c r="L1305" s="31"/>
      <c r="M1305" s="31"/>
      <c r="N1305" s="31"/>
    </row>
    <row r="1306">
      <c r="A1306" s="74"/>
      <c r="B1306" s="31"/>
      <c r="C1306" s="31"/>
      <c r="D1306" s="31"/>
      <c r="E1306" s="31"/>
      <c r="F1306" s="31"/>
      <c r="G1306" s="31"/>
      <c r="H1306" s="31"/>
      <c r="I1306" s="75"/>
      <c r="J1306" s="31"/>
      <c r="K1306" s="31"/>
      <c r="L1306" s="31"/>
      <c r="M1306" s="31"/>
      <c r="N1306" s="31"/>
    </row>
    <row r="1307">
      <c r="A1307" s="74"/>
      <c r="B1307" s="31"/>
      <c r="C1307" s="31"/>
      <c r="D1307" s="31"/>
      <c r="E1307" s="31"/>
      <c r="F1307" s="31"/>
      <c r="G1307" s="31"/>
      <c r="H1307" s="31"/>
      <c r="I1307" s="75"/>
      <c r="J1307" s="31"/>
      <c r="K1307" s="31"/>
      <c r="L1307" s="31"/>
      <c r="M1307" s="31"/>
      <c r="N1307" s="31"/>
    </row>
    <row r="1308">
      <c r="A1308" s="74"/>
      <c r="B1308" s="31"/>
      <c r="C1308" s="31"/>
      <c r="D1308" s="31"/>
      <c r="E1308" s="31"/>
      <c r="F1308" s="31"/>
      <c r="G1308" s="31"/>
      <c r="H1308" s="31"/>
      <c r="I1308" s="75"/>
      <c r="J1308" s="31"/>
      <c r="K1308" s="31"/>
      <c r="L1308" s="31"/>
      <c r="M1308" s="31"/>
      <c r="N1308" s="31"/>
    </row>
    <row r="1309">
      <c r="A1309" s="74"/>
      <c r="B1309" s="31"/>
      <c r="C1309" s="31"/>
      <c r="D1309" s="31"/>
      <c r="E1309" s="31"/>
      <c r="F1309" s="31"/>
      <c r="G1309" s="31"/>
      <c r="H1309" s="31"/>
      <c r="I1309" s="75"/>
      <c r="J1309" s="31"/>
      <c r="K1309" s="31"/>
      <c r="L1309" s="31"/>
      <c r="M1309" s="31"/>
      <c r="N1309" s="31"/>
    </row>
    <row r="1310">
      <c r="A1310" s="74"/>
      <c r="B1310" s="31"/>
      <c r="C1310" s="31"/>
      <c r="D1310" s="31"/>
      <c r="E1310" s="31"/>
      <c r="F1310" s="31"/>
      <c r="G1310" s="31"/>
      <c r="H1310" s="31"/>
      <c r="I1310" s="75"/>
      <c r="J1310" s="31"/>
      <c r="K1310" s="31"/>
      <c r="L1310" s="31"/>
      <c r="M1310" s="31"/>
      <c r="N1310" s="31"/>
    </row>
    <row r="1311">
      <c r="A1311" s="74"/>
      <c r="B1311" s="31"/>
      <c r="C1311" s="31"/>
      <c r="D1311" s="31"/>
      <c r="E1311" s="31"/>
      <c r="F1311" s="31"/>
      <c r="G1311" s="31"/>
      <c r="H1311" s="31"/>
      <c r="I1311" s="75"/>
      <c r="J1311" s="31"/>
      <c r="K1311" s="31"/>
      <c r="L1311" s="31"/>
      <c r="M1311" s="31"/>
      <c r="N1311" s="31"/>
    </row>
    <row r="1312">
      <c r="A1312" s="74"/>
      <c r="B1312" s="31"/>
      <c r="C1312" s="31"/>
      <c r="D1312" s="31"/>
      <c r="E1312" s="31"/>
      <c r="F1312" s="31"/>
      <c r="G1312" s="31"/>
      <c r="H1312" s="31"/>
      <c r="I1312" s="75"/>
      <c r="J1312" s="31"/>
      <c r="K1312" s="31"/>
      <c r="L1312" s="31"/>
      <c r="M1312" s="31"/>
      <c r="N1312" s="31"/>
    </row>
    <row r="1313">
      <c r="A1313" s="74"/>
      <c r="B1313" s="31"/>
      <c r="C1313" s="31"/>
      <c r="D1313" s="31"/>
      <c r="E1313" s="31"/>
      <c r="F1313" s="31"/>
      <c r="G1313" s="31"/>
      <c r="H1313" s="31"/>
      <c r="I1313" s="75"/>
      <c r="J1313" s="31"/>
      <c r="K1313" s="31"/>
      <c r="L1313" s="31"/>
      <c r="M1313" s="31"/>
      <c r="N1313" s="31"/>
    </row>
    <row r="1314">
      <c r="A1314" s="74"/>
      <c r="B1314" s="31"/>
      <c r="C1314" s="31"/>
      <c r="D1314" s="31"/>
      <c r="E1314" s="31"/>
      <c r="F1314" s="31"/>
      <c r="G1314" s="31"/>
      <c r="H1314" s="31"/>
      <c r="I1314" s="75"/>
      <c r="J1314" s="31"/>
      <c r="K1314" s="31"/>
      <c r="L1314" s="31"/>
      <c r="M1314" s="31"/>
      <c r="N1314" s="31"/>
    </row>
    <row r="1315">
      <c r="A1315" s="74"/>
      <c r="B1315" s="31"/>
      <c r="C1315" s="31"/>
      <c r="D1315" s="31"/>
      <c r="E1315" s="31"/>
      <c r="F1315" s="31"/>
      <c r="G1315" s="31"/>
      <c r="H1315" s="31"/>
      <c r="I1315" s="75"/>
      <c r="J1315" s="31"/>
      <c r="K1315" s="31"/>
      <c r="L1315" s="31"/>
      <c r="M1315" s="31"/>
      <c r="N1315" s="31"/>
    </row>
    <row r="1316">
      <c r="A1316" s="74"/>
      <c r="B1316" s="31"/>
      <c r="C1316" s="31"/>
      <c r="D1316" s="31"/>
      <c r="E1316" s="31"/>
      <c r="F1316" s="31"/>
      <c r="G1316" s="31"/>
      <c r="H1316" s="31"/>
      <c r="I1316" s="75"/>
      <c r="J1316" s="31"/>
      <c r="K1316" s="31"/>
      <c r="L1316" s="31"/>
      <c r="M1316" s="31"/>
      <c r="N1316" s="31"/>
    </row>
    <row r="1317">
      <c r="A1317" s="74"/>
      <c r="B1317" s="31"/>
      <c r="C1317" s="31"/>
      <c r="D1317" s="31"/>
      <c r="E1317" s="31"/>
      <c r="F1317" s="31"/>
      <c r="G1317" s="31"/>
      <c r="H1317" s="31"/>
      <c r="I1317" s="75"/>
      <c r="J1317" s="31"/>
      <c r="K1317" s="31"/>
      <c r="L1317" s="31"/>
      <c r="M1317" s="31"/>
      <c r="N1317" s="31"/>
    </row>
    <row r="1318">
      <c r="A1318" s="74"/>
      <c r="B1318" s="31"/>
      <c r="C1318" s="31"/>
      <c r="D1318" s="31"/>
      <c r="E1318" s="31"/>
      <c r="F1318" s="31"/>
      <c r="G1318" s="31"/>
      <c r="H1318" s="31"/>
      <c r="I1318" s="75"/>
      <c r="J1318" s="31"/>
      <c r="K1318" s="31"/>
      <c r="L1318" s="31"/>
      <c r="M1318" s="31"/>
      <c r="N1318" s="31"/>
    </row>
  </sheetData>
  <mergeCells count="1">
    <mergeCell ref="B1:I1"/>
  </mergeCells>
  <conditionalFormatting sqref="A2:A1318">
    <cfRule type="expression" dxfId="6" priority="1">
      <formula>AND(A2&gt;=TODAY(), A2&lt;=TODAY()+30)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1.38"/>
    <col customWidth="1" min="3" max="3" width="30.38"/>
    <col customWidth="1" min="4" max="4" width="13.25"/>
    <col customWidth="1" min="5" max="5" width="22.38"/>
    <col customWidth="1" min="6" max="6" width="6.13"/>
  </cols>
  <sheetData>
    <row r="1">
      <c r="A1" s="76" t="s">
        <v>58</v>
      </c>
      <c r="B1" s="76" t="s">
        <v>3833</v>
      </c>
      <c r="C1" s="76" t="s">
        <v>4032</v>
      </c>
      <c r="D1" s="76" t="s">
        <v>60</v>
      </c>
      <c r="E1" s="76" t="s">
        <v>4033</v>
      </c>
      <c r="F1" s="76" t="s">
        <v>2</v>
      </c>
    </row>
    <row r="2">
      <c r="A2" s="77" t="s">
        <v>1955</v>
      </c>
      <c r="B2" s="78" t="s">
        <v>1956</v>
      </c>
      <c r="C2" s="77" t="s">
        <v>1957</v>
      </c>
      <c r="D2" s="77" t="s">
        <v>16</v>
      </c>
      <c r="E2" s="77" t="s">
        <v>1015</v>
      </c>
      <c r="F2" s="77" t="str">
        <f>VLOOKUP(B2,'Off-Boarding'!B:B,1,0)</f>
        <v>babita.sharma@zupee.in</v>
      </c>
    </row>
    <row r="3">
      <c r="A3" s="77" t="s">
        <v>1972</v>
      </c>
      <c r="B3" s="77" t="s">
        <v>1973</v>
      </c>
      <c r="C3" s="77" t="s">
        <v>1957</v>
      </c>
      <c r="D3" s="77" t="s">
        <v>16</v>
      </c>
      <c r="E3" s="77" t="s">
        <v>1015</v>
      </c>
      <c r="F3" s="77" t="str">
        <f>VLOOKUP(B3,'Off-Boarding'!B:B,1,0)</f>
        <v>arif.jamal@zupee.in</v>
      </c>
    </row>
    <row r="4">
      <c r="A4" s="77" t="s">
        <v>4034</v>
      </c>
      <c r="B4" s="77" t="s">
        <v>1015</v>
      </c>
      <c r="C4" s="77" t="s">
        <v>4035</v>
      </c>
      <c r="D4" s="77" t="s">
        <v>16</v>
      </c>
      <c r="E4" s="77" t="s">
        <v>2880</v>
      </c>
      <c r="F4" s="77" t="str">
        <f>VLOOKUP(B4,'Off-Boarding'!B:B,1,0)</f>
        <v>aaditya.singh@zupee.in</v>
      </c>
    </row>
    <row r="5">
      <c r="A5" s="77" t="s">
        <v>2040</v>
      </c>
      <c r="B5" s="78" t="s">
        <v>2041</v>
      </c>
      <c r="C5" s="77" t="s">
        <v>1957</v>
      </c>
      <c r="D5" s="77" t="s">
        <v>16</v>
      </c>
      <c r="E5" s="77" t="s">
        <v>1015</v>
      </c>
      <c r="F5" s="77" t="str">
        <f>VLOOKUP(B5,'Off-Boarding'!B:B,1,0)</f>
        <v>#N/A</v>
      </c>
    </row>
    <row r="6">
      <c r="A6" s="77" t="s">
        <v>2052</v>
      </c>
      <c r="B6" s="77" t="s">
        <v>1017</v>
      </c>
      <c r="C6" s="77" t="s">
        <v>2054</v>
      </c>
      <c r="D6" s="77" t="s">
        <v>16</v>
      </c>
      <c r="E6" s="77" t="s">
        <v>1905</v>
      </c>
      <c r="F6" s="77" t="str">
        <f>VLOOKUP(B6,'Off-Boarding'!B:B,1,0)</f>
        <v>#N/A</v>
      </c>
    </row>
    <row r="7">
      <c r="A7" s="77" t="s">
        <v>2110</v>
      </c>
      <c r="B7" s="77" t="s">
        <v>2111</v>
      </c>
      <c r="C7" s="77" t="s">
        <v>4036</v>
      </c>
      <c r="D7" s="77" t="s">
        <v>16</v>
      </c>
      <c r="E7" s="77" t="s">
        <v>2880</v>
      </c>
      <c r="F7" s="77" t="str">
        <f>VLOOKUP(B7,'Off-Boarding'!B:B,1,0)</f>
        <v>harsha.ratnam@zupee.in</v>
      </c>
    </row>
    <row r="8">
      <c r="A8" s="77" t="s">
        <v>2161</v>
      </c>
      <c r="B8" s="77" t="s">
        <v>2162</v>
      </c>
      <c r="C8" s="77" t="s">
        <v>4037</v>
      </c>
      <c r="D8" s="77" t="s">
        <v>16</v>
      </c>
      <c r="E8" s="77" t="s">
        <v>1622</v>
      </c>
      <c r="F8" s="77" t="str">
        <f>VLOOKUP(B8,'Off-Boarding'!B:B,1,0)</f>
        <v>manoj.rane@zupee.in</v>
      </c>
    </row>
    <row r="9">
      <c r="A9" s="77" t="s">
        <v>2179</v>
      </c>
      <c r="B9" s="77" t="s">
        <v>1231</v>
      </c>
      <c r="C9" s="77" t="s">
        <v>4038</v>
      </c>
      <c r="D9" s="77" t="s">
        <v>16</v>
      </c>
      <c r="E9" s="77" t="s">
        <v>1017</v>
      </c>
      <c r="F9" s="77" t="str">
        <f>VLOOKUP(B9,'Off-Boarding'!B:B,1,0)</f>
        <v>khushali.bagga@zupee.in</v>
      </c>
    </row>
    <row r="10">
      <c r="A10" s="77" t="s">
        <v>2185</v>
      </c>
      <c r="B10" s="78" t="s">
        <v>2186</v>
      </c>
      <c r="C10" s="77" t="s">
        <v>4039</v>
      </c>
      <c r="D10" s="77" t="s">
        <v>16</v>
      </c>
      <c r="E10" s="77" t="s">
        <v>1231</v>
      </c>
      <c r="F10" s="77" t="str">
        <f>VLOOKUP(B10,'Off-Boarding'!B:B,1,0)</f>
        <v>#N/A</v>
      </c>
    </row>
    <row r="11">
      <c r="A11" s="77" t="s">
        <v>2296</v>
      </c>
      <c r="B11" s="77" t="s">
        <v>2297</v>
      </c>
      <c r="C11" s="77" t="s">
        <v>2298</v>
      </c>
      <c r="D11" s="77" t="s">
        <v>16</v>
      </c>
      <c r="E11" s="77" t="s">
        <v>1622</v>
      </c>
      <c r="F11" s="77" t="str">
        <f>VLOOKUP(B11,'Off-Boarding'!B:B,1,0)</f>
        <v>#N/A</v>
      </c>
    </row>
    <row r="12">
      <c r="A12" s="77" t="s">
        <v>2533</v>
      </c>
      <c r="B12" s="77" t="s">
        <v>2534</v>
      </c>
      <c r="C12" s="77" t="s">
        <v>2298</v>
      </c>
      <c r="D12" s="77" t="s">
        <v>16</v>
      </c>
      <c r="E12" s="77" t="s">
        <v>1622</v>
      </c>
      <c r="F12" s="77" t="str">
        <f>VLOOKUP(B12,'Off-Boarding'!B:B,1,0)</f>
        <v>#N/A</v>
      </c>
    </row>
    <row r="13">
      <c r="A13" s="77" t="s">
        <v>2679</v>
      </c>
      <c r="B13" s="77" t="s">
        <v>2680</v>
      </c>
      <c r="C13" s="77" t="s">
        <v>2681</v>
      </c>
      <c r="D13" s="77" t="s">
        <v>16</v>
      </c>
      <c r="E13" s="77" t="s">
        <v>1231</v>
      </c>
      <c r="F13" s="77" t="str">
        <f>VLOOKUP(B13,'Off-Boarding'!B:B,1,0)</f>
        <v>#N/A</v>
      </c>
    </row>
    <row r="14">
      <c r="A14" s="77" t="s">
        <v>2870</v>
      </c>
      <c r="B14" s="78" t="s">
        <v>2871</v>
      </c>
      <c r="C14" s="77" t="s">
        <v>2872</v>
      </c>
      <c r="D14" s="77" t="s">
        <v>16</v>
      </c>
      <c r="E14" s="77" t="s">
        <v>1017</v>
      </c>
      <c r="F14" s="77" t="str">
        <f>VLOOKUP(B14,'Off-Boarding'!B:B,1,0)</f>
        <v>srishti.seth@zupee.in</v>
      </c>
    </row>
    <row r="15">
      <c r="A15" s="77" t="s">
        <v>2879</v>
      </c>
      <c r="B15" s="78" t="s">
        <v>2880</v>
      </c>
      <c r="C15" s="77" t="s">
        <v>2881</v>
      </c>
      <c r="D15" s="77" t="s">
        <v>16</v>
      </c>
      <c r="E15" s="77" t="s">
        <v>1017</v>
      </c>
      <c r="F15" s="77" t="str">
        <f>VLOOKUP(B15,'Off-Boarding'!B:B,1,0)</f>
        <v>harshil.dhawan@zupee.in</v>
      </c>
    </row>
    <row r="16">
      <c r="A16" s="77" t="s">
        <v>2899</v>
      </c>
      <c r="B16" s="78" t="s">
        <v>3813</v>
      </c>
      <c r="C16" s="77" t="s">
        <v>2901</v>
      </c>
      <c r="D16" s="77" t="s">
        <v>16</v>
      </c>
      <c r="E16" s="77" t="s">
        <v>1622</v>
      </c>
      <c r="F16" s="77" t="str">
        <f>VLOOKUP(B16,'Off-Boarding'!B:B,1,0)</f>
        <v>#N/A</v>
      </c>
    </row>
    <row r="17">
      <c r="A17" s="77" t="s">
        <v>3131</v>
      </c>
      <c r="B17" s="79" t="s">
        <v>3132</v>
      </c>
      <c r="C17" s="77" t="s">
        <v>3133</v>
      </c>
      <c r="D17" s="77" t="s">
        <v>16</v>
      </c>
      <c r="E17" s="77" t="s">
        <v>1017</v>
      </c>
      <c r="F17" s="77" t="str">
        <f>VLOOKUP(B17,'Off-Boarding'!B:B,1,0)</f>
        <v>gauravjit.singh@zupee.in</v>
      </c>
    </row>
    <row r="18">
      <c r="A18" s="80" t="s">
        <v>3197</v>
      </c>
      <c r="B18" s="80" t="s">
        <v>3198</v>
      </c>
      <c r="C18" s="80" t="s">
        <v>3199</v>
      </c>
      <c r="D18" s="80" t="s">
        <v>16</v>
      </c>
      <c r="E18" s="80" t="s">
        <v>1017</v>
      </c>
      <c r="F18" s="77" t="str">
        <f>VLOOKUP(B18,'Off-Boarding'!B:B,1,0)</f>
        <v>#N/A</v>
      </c>
    </row>
    <row r="19">
      <c r="A19" s="80" t="s">
        <v>3234</v>
      </c>
      <c r="B19" s="80" t="s">
        <v>3235</v>
      </c>
      <c r="C19" s="80" t="s">
        <v>3236</v>
      </c>
      <c r="D19" s="80" t="s">
        <v>16</v>
      </c>
      <c r="E19" s="80" t="s">
        <v>1017</v>
      </c>
      <c r="F19" s="77" t="str">
        <f>VLOOKUP(B19,'Off-Boarding'!B:B,1,0)</f>
        <v>amritraj.jha@zupee.in</v>
      </c>
    </row>
    <row r="20">
      <c r="A20" s="80" t="s">
        <v>3231</v>
      </c>
      <c r="B20" s="80" t="s">
        <v>3232</v>
      </c>
      <c r="C20" s="80" t="s">
        <v>3233</v>
      </c>
      <c r="D20" s="80" t="s">
        <v>16</v>
      </c>
      <c r="E20" s="80" t="s">
        <v>1017</v>
      </c>
      <c r="F20" s="77" t="str">
        <f>VLOOKUP(B20,'Off-Boarding'!B:B,1,0)</f>
        <v>avinash.kumar@zupee.in</v>
      </c>
    </row>
    <row r="21">
      <c r="A21" s="80" t="s">
        <v>3249</v>
      </c>
      <c r="B21" s="80" t="s">
        <v>3250</v>
      </c>
      <c r="C21" s="80" t="s">
        <v>3252</v>
      </c>
      <c r="D21" s="80" t="s">
        <v>16</v>
      </c>
      <c r="E21" s="80" t="s">
        <v>1017</v>
      </c>
      <c r="F21" s="77" t="str">
        <f>VLOOKUP(B21,'Off-Boarding'!B:B,1,0)</f>
        <v>gaurav.mishra@zupee.in</v>
      </c>
    </row>
    <row r="22">
      <c r="A22" s="80" t="s">
        <v>3253</v>
      </c>
      <c r="B22" s="80" t="s">
        <v>3254</v>
      </c>
      <c r="C22" s="80" t="s">
        <v>3256</v>
      </c>
      <c r="D22" s="80" t="s">
        <v>16</v>
      </c>
      <c r="E22" s="80" t="s">
        <v>1017</v>
      </c>
      <c r="F22" s="77" t="str">
        <f>VLOOKUP(B22,'Off-Boarding'!B:B,1,0)</f>
        <v>#N/A</v>
      </c>
    </row>
    <row r="23">
      <c r="A23" s="80" t="s">
        <v>4040</v>
      </c>
      <c r="B23" s="80" t="s">
        <v>3272</v>
      </c>
      <c r="C23" s="80" t="s">
        <v>3233</v>
      </c>
      <c r="D23" s="80" t="s">
        <v>16</v>
      </c>
      <c r="E23" s="80" t="s">
        <v>1017</v>
      </c>
      <c r="F23" s="77" t="str">
        <f>VLOOKUP(B23,'Off-Boarding'!B:B,1,0)</f>
        <v>#N/A</v>
      </c>
    </row>
    <row r="24">
      <c r="A24" s="80" t="s">
        <v>3286</v>
      </c>
      <c r="B24" s="80" t="s">
        <v>3287</v>
      </c>
      <c r="C24" s="80" t="s">
        <v>1506</v>
      </c>
      <c r="D24" s="80" t="s">
        <v>16</v>
      </c>
      <c r="E24" s="80" t="s">
        <v>1017</v>
      </c>
      <c r="F24" s="77" t="str">
        <f>VLOOKUP(B24,'Off-Boarding'!B:B,1,0)</f>
        <v>tina.khurana@zupee.in</v>
      </c>
    </row>
    <row r="25">
      <c r="A25" s="80" t="s">
        <v>3290</v>
      </c>
      <c r="B25" s="80" t="s">
        <v>3291</v>
      </c>
      <c r="C25" s="80" t="s">
        <v>3233</v>
      </c>
      <c r="D25" s="80" t="s">
        <v>16</v>
      </c>
      <c r="E25" s="80" t="s">
        <v>1017</v>
      </c>
      <c r="F25" s="77" t="str">
        <f>VLOOKUP(B25,'Off-Boarding'!B:B,1,0)</f>
        <v>lovenith.rampure@zupee.in</v>
      </c>
    </row>
    <row r="26">
      <c r="A26" s="80" t="s">
        <v>4041</v>
      </c>
      <c r="B26" s="80" t="s">
        <v>3304</v>
      </c>
      <c r="C26" s="80" t="s">
        <v>3306</v>
      </c>
      <c r="D26" s="80" t="s">
        <v>16</v>
      </c>
      <c r="E26" s="80" t="s">
        <v>1017</v>
      </c>
      <c r="F26" s="77" t="str">
        <f>VLOOKUP(B26,'Off-Boarding'!B:B,1,0)</f>
        <v>#N/A</v>
      </c>
    </row>
    <row r="27">
      <c r="A27" s="80" t="s">
        <v>3506</v>
      </c>
      <c r="B27" s="80" t="s">
        <v>3507</v>
      </c>
      <c r="C27" s="80" t="s">
        <v>2901</v>
      </c>
      <c r="D27" s="80" t="s">
        <v>16</v>
      </c>
      <c r="E27" s="80" t="s">
        <v>1017</v>
      </c>
      <c r="F27" s="77" t="str">
        <f>VLOOKUP(B27,'Off-Boarding'!B:B,1,0)</f>
        <v>rahul.emmanuel@zupee.in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24.75"/>
    <col customWidth="1" min="3" max="3" width="32.13"/>
    <col customWidth="1" min="4" max="4" width="13.75"/>
    <col customWidth="1" min="5" max="5" width="11.63"/>
    <col customWidth="1" min="6" max="6" width="9.0"/>
    <col customWidth="1" hidden="1" min="7" max="7" width="55.25"/>
    <col customWidth="1" min="8" max="8" width="24.0"/>
    <col customWidth="1" min="9" max="9" width="28.75"/>
    <col customWidth="1" min="10" max="10" width="16.13"/>
    <col customWidth="1" min="11" max="11" width="18.88"/>
    <col customWidth="1" min="12" max="12" width="28.0"/>
    <col customWidth="1" min="13" max="13" width="14.25"/>
    <col customWidth="1" min="14" max="14" width="38.75"/>
  </cols>
  <sheetData>
    <row r="1">
      <c r="A1" s="81" t="str">
        <f>IFERROR(__xludf.DUMMYFUNCTION("IMPORTRANGE(""1KkHmVdwdsro943TMhaCM6k6czUkQym_XXJCAzLQO7Po"",""Sheet1!A:N"")"),"")</f>
        <v/>
      </c>
      <c r="B1" s="81" t="str">
        <f>IFERROR(__xludf.DUMMYFUNCTION("""COMPUTED_VALUE"""),"Name")</f>
        <v>Name</v>
      </c>
      <c r="C1" s="81" t="str">
        <f>IFERROR(__xludf.DUMMYFUNCTION("""COMPUTED_VALUE"""),"Email-Id")</f>
        <v>Email-Id</v>
      </c>
      <c r="D1" s="82" t="str">
        <f>IFERROR(__xludf.DUMMYFUNCTION("""COMPUTED_VALUE"""),"Phone Number")</f>
        <v>Phone Number</v>
      </c>
      <c r="E1" s="83" t="str">
        <f>IFERROR(__xludf.DUMMYFUNCTION("""COMPUTED_VALUE"""),"DOJ")</f>
        <v>DOJ</v>
      </c>
      <c r="F1" s="81" t="str">
        <f>IFERROR(__xludf.DUMMYFUNCTION("""COMPUTED_VALUE"""),"Business")</f>
        <v>Business</v>
      </c>
      <c r="G1" s="83" t="str">
        <f>IFERROR(__xludf.DUMMYFUNCTION("""COMPUTED_VALUE"""),"Address")</f>
        <v>Address</v>
      </c>
      <c r="H1" s="81" t="str">
        <f>IFERROR(__xludf.DUMMYFUNCTION("""COMPUTED_VALUE"""),"IT Assets")</f>
        <v>IT Assets</v>
      </c>
      <c r="I1" s="81" t="str">
        <f>IFERROR(__xludf.DUMMYFUNCTION("""COMPUTED_VALUE"""),"Role")</f>
        <v>Role</v>
      </c>
      <c r="J1" s="81" t="str">
        <f>IFERROR(__xludf.DUMMYFUNCTION("""COMPUTED_VALUE"""),"Department")</f>
        <v>Department</v>
      </c>
      <c r="K1" s="81" t="str">
        <f>IFERROR(__xludf.DUMMYFUNCTION("""COMPUTED_VALUE"""),"Reporting Manager")</f>
        <v>Reporting Manager</v>
      </c>
      <c r="L1" s="81" t="str">
        <f>IFERROR(__xludf.DUMMYFUNCTION("""COMPUTED_VALUE"""),"Laptop Dispatched")</f>
        <v>Laptop Dispatched</v>
      </c>
      <c r="M1" s="81" t="str">
        <f>IFERROR(__xludf.DUMMYFUNCTION("""COMPUTED_VALUE"""),"Laptop Received")</f>
        <v>Laptop Received</v>
      </c>
      <c r="N1" s="81" t="str">
        <f>IFERROR(__xludf.DUMMYFUNCTION("""COMPUTED_VALUE"""),"Consignment Number")</f>
        <v>Consignment Number</v>
      </c>
    </row>
    <row r="2">
      <c r="A2" s="31">
        <f>IFERROR(__xludf.DUMMYFUNCTION("""COMPUTED_VALUE"""),1.0)</f>
        <v>1</v>
      </c>
      <c r="B2" s="31" t="str">
        <f>IFERROR(__xludf.DUMMYFUNCTION("""COMPUTED_VALUE"""),"Deepak Rawat")</f>
        <v>Deepak Rawat</v>
      </c>
      <c r="C2" s="31" t="str">
        <f>IFERROR(__xludf.DUMMYFUNCTION("""COMPUTED_VALUE"""),"deepak.archana21@gmail.com")</f>
        <v>deepak.archana21@gmail.com</v>
      </c>
      <c r="D2" s="84">
        <f>IFERROR(__xludf.DUMMYFUNCTION("""COMPUTED_VALUE"""),9.811007016E9)</f>
        <v>9811007016</v>
      </c>
      <c r="E2" s="85" t="str">
        <f>IFERROR(__xludf.DUMMYFUNCTION("""COMPUTED_VALUE"""),"5th Jan'22")</f>
        <v>5th Jan'22</v>
      </c>
      <c r="F2" s="31"/>
      <c r="G2" s="85" t="str">
        <f>IFERROR(__xludf.DUMMYFUNCTION("""COMPUTED_VALUE"""),"Flat no 202, Krishna nagar, Bagu, Vijay nagar by pass, behind HP petrol pump, Ghaziabad. Pincode 201009.")</f>
        <v>Flat no 202, Krishna nagar, Bagu, Vijay nagar by pass, behind HP petrol pump, Ghaziabad. Pincode 201009.</v>
      </c>
      <c r="H2" s="31" t="str">
        <f>IFERROR(__xludf.DUMMYFUNCTION("""COMPUTED_VALUE"""),"Windows Laptop")</f>
        <v>Windows Laptop</v>
      </c>
      <c r="I2" s="31" t="str">
        <f>IFERROR(__xludf.DUMMYFUNCTION("""COMPUTED_VALUE"""),"Customer Care Executive")</f>
        <v>Customer Care Executive</v>
      </c>
      <c r="J2" s="31"/>
      <c r="K2" s="31"/>
      <c r="L2" s="31" t="str">
        <f>IFERROR(__xludf.DUMMYFUNCTION("""COMPUTED_VALUE"""),"Delivered")</f>
        <v>Delivered</v>
      </c>
      <c r="M2" s="31" t="str">
        <f>IFERROR(__xludf.DUMMYFUNCTION("""COMPUTED_VALUE"""),"Delivered")</f>
        <v>Delivered</v>
      </c>
      <c r="N2" s="31"/>
    </row>
    <row r="3">
      <c r="A3" s="31">
        <f>IFERROR(__xludf.DUMMYFUNCTION("""COMPUTED_VALUE"""),2.0)</f>
        <v>2</v>
      </c>
      <c r="B3" s="31" t="str">
        <f>IFERROR(__xludf.DUMMYFUNCTION("""COMPUTED_VALUE"""),"Umair Illiyas")</f>
        <v>Umair Illiyas</v>
      </c>
      <c r="C3" s="31" t="str">
        <f>IFERROR(__xludf.DUMMYFUNCTION("""COMPUTED_VALUE"""),"umairiliyaskhan@gmail.com")</f>
        <v>umairiliyaskhan@gmail.com</v>
      </c>
      <c r="D3" s="84">
        <f>IFERROR(__xludf.DUMMYFUNCTION("""COMPUTED_VALUE"""),7.417728435E9)</f>
        <v>7417728435</v>
      </c>
      <c r="E3" s="85" t="str">
        <f>IFERROR(__xludf.DUMMYFUNCTION("""COMPUTED_VALUE"""),"5th Jan'22")</f>
        <v>5th Jan'22</v>
      </c>
      <c r="F3" s="31"/>
      <c r="G3" s="85" t="str">
        <f>IFERROR(__xludf.DUMMYFUNCTION("""COMPUTED_VALUE"""),"Mohalla Mohan, Nadrai Gate, Kasganj 
Pin code: 207123""")</f>
        <v>Mohalla Mohan, Nadrai Gate, Kasganj 
Pin code: 207123"</v>
      </c>
      <c r="H3" s="31" t="str">
        <f>IFERROR(__xludf.DUMMYFUNCTION("""COMPUTED_VALUE"""),"Windows Laptop")</f>
        <v>Windows Laptop</v>
      </c>
      <c r="I3" s="31" t="str">
        <f>IFERROR(__xludf.DUMMYFUNCTION("""COMPUTED_VALUE"""),"Customer Care Executive")</f>
        <v>Customer Care Executive</v>
      </c>
      <c r="J3" s="31"/>
      <c r="K3" s="31"/>
      <c r="L3" s="31" t="str">
        <f>IFERROR(__xludf.DUMMYFUNCTION("""COMPUTED_VALUE"""),"Delivered")</f>
        <v>Delivered</v>
      </c>
      <c r="M3" s="31" t="str">
        <f>IFERROR(__xludf.DUMMYFUNCTION("""COMPUTED_VALUE"""),"Delivered")</f>
        <v>Delivered</v>
      </c>
      <c r="N3" s="31"/>
    </row>
    <row r="4">
      <c r="A4" s="31">
        <f>IFERROR(__xludf.DUMMYFUNCTION("""COMPUTED_VALUE"""),3.0)</f>
        <v>3</v>
      </c>
      <c r="B4" s="31" t="str">
        <f>IFERROR(__xludf.DUMMYFUNCTION("""COMPUTED_VALUE"""),"Shankhaneel Saikia")</f>
        <v>Shankhaneel Saikia</v>
      </c>
      <c r="C4" s="31" t="str">
        <f>IFERROR(__xludf.DUMMYFUNCTION("""COMPUTED_VALUE"""),"saikiashankhaneel@gmail.com
")</f>
        <v>saikiashankhaneel@gmail.com
</v>
      </c>
      <c r="D4" s="84">
        <f>IFERROR(__xludf.DUMMYFUNCTION("""COMPUTED_VALUE"""),8.447895709E9)</f>
        <v>8447895709</v>
      </c>
      <c r="E4" s="85" t="str">
        <f>IFERROR(__xludf.DUMMYFUNCTION("""COMPUTED_VALUE"""),"5th Jan'22")</f>
        <v>5th Jan'22</v>
      </c>
      <c r="F4" s="31"/>
      <c r="G4" s="85" t="str">
        <f>IFERROR(__xludf.DUMMYFUNCTION("""COMPUTED_VALUE"""),"A-1/1,Hahnemann Enclave , Plot-40,Sector-6,Dwarka,New Delhi-110075")</f>
        <v>A-1/1,Hahnemann Enclave , Plot-40,Sector-6,Dwarka,New Delhi-110075</v>
      </c>
      <c r="H4" s="31" t="str">
        <f>IFERROR(__xludf.DUMMYFUNCTION("""COMPUTED_VALUE"""),"Windows Laptop")</f>
        <v>Windows Laptop</v>
      </c>
      <c r="I4" s="31" t="str">
        <f>IFERROR(__xludf.DUMMYFUNCTION("""COMPUTED_VALUE"""),"Customer Care Executive")</f>
        <v>Customer Care Executive</v>
      </c>
      <c r="J4" s="31"/>
      <c r="K4" s="31"/>
      <c r="L4" s="31" t="str">
        <f>IFERROR(__xludf.DUMMYFUNCTION("""COMPUTED_VALUE"""),"Delivered")</f>
        <v>Delivered</v>
      </c>
      <c r="M4" s="31" t="str">
        <f>IFERROR(__xludf.DUMMYFUNCTION("""COMPUTED_VALUE"""),"Delivered")</f>
        <v>Delivered</v>
      </c>
      <c r="N4" s="31"/>
    </row>
    <row r="5">
      <c r="A5" s="31">
        <f>IFERROR(__xludf.DUMMYFUNCTION("""COMPUTED_VALUE"""),4.0)</f>
        <v>4</v>
      </c>
      <c r="B5" s="31" t="str">
        <f>IFERROR(__xludf.DUMMYFUNCTION("""COMPUTED_VALUE"""),"Sayantima Paul")</f>
        <v>Sayantima Paul</v>
      </c>
      <c r="C5" s="31" t="str">
        <f>IFERROR(__xludf.DUMMYFUNCTION("""COMPUTED_VALUE"""),"shreyapaul1282@gmail.com")</f>
        <v>shreyapaul1282@gmail.com</v>
      </c>
      <c r="D5" s="84">
        <f>IFERROR(__xludf.DUMMYFUNCTION("""COMPUTED_VALUE"""),9.354010122E9)</f>
        <v>9354010122</v>
      </c>
      <c r="E5" s="85" t="str">
        <f>IFERROR(__xludf.DUMMYFUNCTION("""COMPUTED_VALUE"""),"5th Jan'22")</f>
        <v>5th Jan'22</v>
      </c>
      <c r="F5" s="31"/>
      <c r="G5" s="85" t="str">
        <f>IFERROR(__xludf.DUMMYFUNCTION("""COMPUTED_VALUE"""),"Flat no 201 plot no 100 3rd floor Tushar apartment 16 Raj bagh sahibabad ghaziabad")</f>
        <v>Flat no 201 plot no 100 3rd floor Tushar apartment 16 Raj bagh sahibabad ghaziabad</v>
      </c>
      <c r="H5" s="31" t="str">
        <f>IFERROR(__xludf.DUMMYFUNCTION("""COMPUTED_VALUE"""),"Windows Laptop")</f>
        <v>Windows Laptop</v>
      </c>
      <c r="I5" s="31" t="str">
        <f>IFERROR(__xludf.DUMMYFUNCTION("""COMPUTED_VALUE"""),"Customer Care Executive")</f>
        <v>Customer Care Executive</v>
      </c>
      <c r="J5" s="31"/>
      <c r="K5" s="31"/>
      <c r="L5" s="31" t="str">
        <f>IFERROR(__xludf.DUMMYFUNCTION("""COMPUTED_VALUE"""),"Delivered")</f>
        <v>Delivered</v>
      </c>
      <c r="M5" s="31" t="str">
        <f>IFERROR(__xludf.DUMMYFUNCTION("""COMPUTED_VALUE"""),"Delivered")</f>
        <v>Delivered</v>
      </c>
      <c r="N5" s="31"/>
    </row>
    <row r="6">
      <c r="A6" s="31">
        <f>IFERROR(__xludf.DUMMYFUNCTION("""COMPUTED_VALUE"""),5.0)</f>
        <v>5</v>
      </c>
      <c r="B6" s="31" t="str">
        <f>IFERROR(__xludf.DUMMYFUNCTION("""COMPUTED_VALUE"""),"Amit Kumar Shukla")</f>
        <v>Amit Kumar Shukla</v>
      </c>
      <c r="C6" s="86" t="str">
        <f>IFERROR(__xludf.DUMMYFUNCTION("""COMPUTED_VALUE"""),"amit.shukla072000@gmail.com")</f>
        <v>amit.shukla072000@gmail.com</v>
      </c>
      <c r="D6" s="84">
        <f>IFERROR(__xludf.DUMMYFUNCTION("""COMPUTED_VALUE"""),9.630868006E9)</f>
        <v>9630868006</v>
      </c>
      <c r="E6" s="85" t="str">
        <f>IFERROR(__xludf.DUMMYFUNCTION("""COMPUTED_VALUE"""),"5th Jan'22")</f>
        <v>5th Jan'22</v>
      </c>
      <c r="F6" s="31"/>
      <c r="G6" s="85" t="str">
        <f>IFERROR(__xludf.DUMMYFUNCTION("""COMPUTED_VALUE"""),"50, Amaha Panditan, Ward no 2,  Hanumana , District :- Rewa, Madhya Pradesh
Pin code:- 486335")</f>
        <v>50, Amaha Panditan, Ward no 2,  Hanumana , District :- Rewa, Madhya Pradesh
Pin code:- 486335</v>
      </c>
      <c r="H6" s="31" t="str">
        <f>IFERROR(__xludf.DUMMYFUNCTION("""COMPUTED_VALUE"""),"Windows Laptop")</f>
        <v>Windows Laptop</v>
      </c>
      <c r="I6" s="31" t="str">
        <f>IFERROR(__xludf.DUMMYFUNCTION("""COMPUTED_VALUE"""),"Devops Intern")</f>
        <v>Devops Intern</v>
      </c>
      <c r="J6" s="31"/>
      <c r="K6" s="31"/>
      <c r="L6" s="31" t="str">
        <f>IFERROR(__xludf.DUMMYFUNCTION("""COMPUTED_VALUE"""),"Delivered")</f>
        <v>Delivered</v>
      </c>
      <c r="M6" s="31" t="str">
        <f>IFERROR(__xludf.DUMMYFUNCTION("""COMPUTED_VALUE"""),"Delivered")</f>
        <v>Delivered</v>
      </c>
      <c r="N6" s="31"/>
    </row>
    <row r="7">
      <c r="A7" s="31">
        <f>IFERROR(__xludf.DUMMYFUNCTION("""COMPUTED_VALUE"""),6.0)</f>
        <v>6</v>
      </c>
      <c r="B7" s="31" t="str">
        <f>IFERROR(__xludf.DUMMYFUNCTION("""COMPUTED_VALUE"""),"Rahul Kashyap
")</f>
        <v>Rahul Kashyap
</v>
      </c>
      <c r="C7" s="86" t="str">
        <f>IFERROR(__xludf.DUMMYFUNCTION("""COMPUTED_VALUE"""),"rahul181020@gmail.com")</f>
        <v>rahul181020@gmail.com</v>
      </c>
      <c r="D7" s="84">
        <f>IFERROR(__xludf.DUMMYFUNCTION("""COMPUTED_VALUE"""),6.353884503E9)</f>
        <v>6353884503</v>
      </c>
      <c r="E7" s="85" t="str">
        <f>IFERROR(__xludf.DUMMYFUNCTION("""COMPUTED_VALUE"""),"5th Jan'22")</f>
        <v>5th Jan'22</v>
      </c>
      <c r="F7" s="31"/>
      <c r="G7" s="85" t="str">
        <f>IFERROR(__xludf.DUMMYFUNCTION("""COMPUTED_VALUE"""),"Block No: 149/1773 Dhiraj Housing, Haripura, 
Near Seventh-Day School, Maninagar(East), Ahmedabad-380008")</f>
        <v>Block No: 149/1773 Dhiraj Housing, Haripura, 
Near Seventh-Day School, Maninagar(East), Ahmedabad-380008</v>
      </c>
      <c r="H7" s="31" t="str">
        <f>IFERROR(__xludf.DUMMYFUNCTION("""COMPUTED_VALUE"""),"Windows Laptop")</f>
        <v>Windows Laptop</v>
      </c>
      <c r="I7" s="31" t="str">
        <f>IFERROR(__xludf.DUMMYFUNCTION("""COMPUTED_VALUE"""),"Devops Intern")</f>
        <v>Devops Intern</v>
      </c>
      <c r="J7" s="31"/>
      <c r="K7" s="31"/>
      <c r="L7" s="31" t="str">
        <f>IFERROR(__xludf.DUMMYFUNCTION("""COMPUTED_VALUE"""),"Delivered")</f>
        <v>Delivered</v>
      </c>
      <c r="M7" s="31" t="str">
        <f>IFERROR(__xludf.DUMMYFUNCTION("""COMPUTED_VALUE"""),"Delivered")</f>
        <v>Delivered</v>
      </c>
      <c r="N7" s="31"/>
    </row>
    <row r="8">
      <c r="A8" s="31">
        <f>IFERROR(__xludf.DUMMYFUNCTION("""COMPUTED_VALUE"""),7.0)</f>
        <v>7</v>
      </c>
      <c r="B8" s="31" t="str">
        <f>IFERROR(__xludf.DUMMYFUNCTION("""COMPUTED_VALUE"""),"Ramkunwar Megwal
")</f>
        <v>Ramkunwar Megwal
</v>
      </c>
      <c r="C8" s="86" t="str">
        <f>IFERROR(__xludf.DUMMYFUNCTION("""COMPUTED_VALUE"""),"ramkunwarboo@gmail.com")</f>
        <v>ramkunwarboo@gmail.com</v>
      </c>
      <c r="D8" s="84">
        <f>IFERROR(__xludf.DUMMYFUNCTION("""COMPUTED_VALUE"""),7.357697983E9)</f>
        <v>7357697983</v>
      </c>
      <c r="E8" s="85" t="str">
        <f>IFERROR(__xludf.DUMMYFUNCTION("""COMPUTED_VALUE"""),"5th Jan'22")</f>
        <v>5th Jan'22</v>
      </c>
      <c r="F8" s="31"/>
      <c r="G8" s="85" t="str">
        <f>IFERROR(__xludf.DUMMYFUNCTION("""COMPUTED_VALUE"""),"Boonarvatan Nagaur Rajasthan
Pincode 341028")</f>
        <v>Boonarvatan Nagaur Rajasthan
Pincode 341028</v>
      </c>
      <c r="H8" s="31" t="str">
        <f>IFERROR(__xludf.DUMMYFUNCTION("""COMPUTED_VALUE"""),"Windows Laptop")</f>
        <v>Windows Laptop</v>
      </c>
      <c r="I8" s="31" t="str">
        <f>IFERROR(__xludf.DUMMYFUNCTION("""COMPUTED_VALUE"""),"Devops Intern")</f>
        <v>Devops Intern</v>
      </c>
      <c r="J8" s="31"/>
      <c r="K8" s="31"/>
      <c r="L8" s="31" t="str">
        <f>IFERROR(__xludf.DUMMYFUNCTION("""COMPUTED_VALUE"""),"delivered")</f>
        <v>delivered</v>
      </c>
      <c r="M8" s="31" t="str">
        <f>IFERROR(__xludf.DUMMYFUNCTION("""COMPUTED_VALUE"""),"Delivered")</f>
        <v>Delivered</v>
      </c>
      <c r="N8" s="31"/>
    </row>
    <row r="9">
      <c r="A9" s="31">
        <f>IFERROR(__xludf.DUMMYFUNCTION("""COMPUTED_VALUE"""),8.0)</f>
        <v>8</v>
      </c>
      <c r="B9" s="31" t="str">
        <f>IFERROR(__xludf.DUMMYFUNCTION("""COMPUTED_VALUE"""),"Karan Bhyana")</f>
        <v>Karan Bhyana</v>
      </c>
      <c r="C9" s="31" t="str">
        <f>IFERROR(__xludf.DUMMYFUNCTION("""COMPUTED_VALUE"""),"kbhyana@gmail.com")</f>
        <v>kbhyana@gmail.com</v>
      </c>
      <c r="D9" s="84">
        <f>IFERROR(__xludf.DUMMYFUNCTION("""COMPUTED_VALUE"""),9.560755018E9)</f>
        <v>9560755018</v>
      </c>
      <c r="E9" s="85" t="str">
        <f>IFERROR(__xludf.DUMMYFUNCTION("""COMPUTED_VALUE"""),"5th Jan'22")</f>
        <v>5th Jan'22</v>
      </c>
      <c r="F9" s="31"/>
      <c r="G9" s="85" t="str">
        <f>IFERROR(__xludf.DUMMYFUNCTION("""COMPUTED_VALUE"""),"B-205 Ground Floor Yojna Vihar Delhi-110092 Near Yamuna Sports complex Gate number 3")</f>
        <v>B-205 Ground Floor Yojna Vihar Delhi-110092 Near Yamuna Sports complex Gate number 3</v>
      </c>
      <c r="H9" s="31" t="str">
        <f>IFERROR(__xludf.DUMMYFUNCTION("""COMPUTED_VALUE"""),"MacBook ")</f>
        <v>MacBook </v>
      </c>
      <c r="I9" s="31" t="str">
        <f>IFERROR(__xludf.DUMMYFUNCTION("""COMPUTED_VALUE"""),"Data Analyst")</f>
        <v>Data Analyst</v>
      </c>
      <c r="J9" s="31"/>
      <c r="K9" s="31"/>
      <c r="L9" s="31" t="str">
        <f>IFERROR(__xludf.DUMMYFUNCTION("""COMPUTED_VALUE"""),"Delivered")</f>
        <v>Delivered</v>
      </c>
      <c r="M9" s="31" t="str">
        <f>IFERROR(__xludf.DUMMYFUNCTION("""COMPUTED_VALUE"""),"Delivered")</f>
        <v>Delivered</v>
      </c>
      <c r="N9" s="31"/>
    </row>
    <row r="10">
      <c r="A10" s="31">
        <f>IFERROR(__xludf.DUMMYFUNCTION("""COMPUTED_VALUE"""),9.0)</f>
        <v>9</v>
      </c>
      <c r="B10" s="31" t="str">
        <f>IFERROR(__xludf.DUMMYFUNCTION("""COMPUTED_VALUE"""),"Siddharth Jain")</f>
        <v>Siddharth Jain</v>
      </c>
      <c r="C10" s="31" t="str">
        <f>IFERROR(__xludf.DUMMYFUNCTION("""COMPUTED_VALUE"""),"jainsiddharth9396@gmail.com")</f>
        <v>jainsiddharth9396@gmail.com</v>
      </c>
      <c r="D10" s="84">
        <f>IFERROR(__xludf.DUMMYFUNCTION("""COMPUTED_VALUE"""),8.766210814E9)</f>
        <v>8766210814</v>
      </c>
      <c r="E10" s="85" t="str">
        <f>IFERROR(__xludf.DUMMYFUNCTION("""COMPUTED_VALUE"""),"6th Jan'22")</f>
        <v>6th Jan'22</v>
      </c>
      <c r="F10" s="31"/>
      <c r="G10" s="85" t="str">
        <f>IFERROR(__xludf.DUMMYFUNCTION("""COMPUTED_VALUE"""),"Address : Flat No. 34, Supreme Enclave Appartments, Mayur Vihar Phase 1, New Delhi 110091")</f>
        <v>Address : Flat No. 34, Supreme Enclave Appartments, Mayur Vihar Phase 1, New Delhi 110091</v>
      </c>
      <c r="H10" s="31" t="str">
        <f>IFERROR(__xludf.DUMMYFUNCTION("""COMPUTED_VALUE"""),"Windows Laptop")</f>
        <v>Windows Laptop</v>
      </c>
      <c r="I10" s="31" t="str">
        <f>IFERROR(__xludf.DUMMYFUNCTION("""COMPUTED_VALUE"""),"Customer Care Executive")</f>
        <v>Customer Care Executive</v>
      </c>
      <c r="J10" s="31"/>
      <c r="K10" s="31"/>
      <c r="L10" s="31" t="str">
        <f>IFERROR(__xludf.DUMMYFUNCTION("""COMPUTED_VALUE"""),"Delivered")</f>
        <v>Delivered</v>
      </c>
      <c r="M10" s="31" t="str">
        <f>IFERROR(__xludf.DUMMYFUNCTION("""COMPUTED_VALUE"""),"Delivered")</f>
        <v>Delivered</v>
      </c>
      <c r="N10" s="31"/>
    </row>
    <row r="11">
      <c r="A11" s="31">
        <f>IFERROR(__xludf.DUMMYFUNCTION("""COMPUTED_VALUE"""),10.0)</f>
        <v>10</v>
      </c>
      <c r="B11" s="31" t="str">
        <f>IFERROR(__xludf.DUMMYFUNCTION("""COMPUTED_VALUE"""),"Ayushi Sharma")</f>
        <v>Ayushi Sharma</v>
      </c>
      <c r="C11" s="31" t="str">
        <f>IFERROR(__xludf.DUMMYFUNCTION("""COMPUTED_VALUE"""),"ayuships33@gmail.com")</f>
        <v>ayuships33@gmail.com</v>
      </c>
      <c r="D11" s="84">
        <f>IFERROR(__xludf.DUMMYFUNCTION("""COMPUTED_VALUE"""),7.348803275E9)</f>
        <v>7348803275</v>
      </c>
      <c r="E11" s="85" t="str">
        <f>IFERROR(__xludf.DUMMYFUNCTION("""COMPUTED_VALUE"""),"6th Jan'22")</f>
        <v>6th Jan'22</v>
      </c>
      <c r="F11" s="31"/>
      <c r="G11" s="85" t="str">
        <f>IFERROR(__xludf.DUMMYFUNCTION("""COMPUTED_VALUE"""),"802, Block 2, Suncity Apartment, Near Sarjapura signal, Ibblur village, Bangalore, Karnataka 560103")</f>
        <v>802, Block 2, Suncity Apartment, Near Sarjapura signal, Ibblur village, Bangalore, Karnataka 560103</v>
      </c>
      <c r="H11" s="31" t="str">
        <f>IFERROR(__xludf.DUMMYFUNCTION("""COMPUTED_VALUE"""),"Mac Book ")</f>
        <v>Mac Book </v>
      </c>
      <c r="I11" s="31" t="str">
        <f>IFERROR(__xludf.DUMMYFUNCTION("""COMPUTED_VALUE"""),"SDE 1 (Backend)")</f>
        <v>SDE 1 (Backend)</v>
      </c>
      <c r="J11" s="31"/>
      <c r="K11" s="31"/>
      <c r="L11" s="31" t="str">
        <f>IFERROR(__xludf.DUMMYFUNCTION("""COMPUTED_VALUE"""),"Delivered")</f>
        <v>Delivered</v>
      </c>
      <c r="M11" s="31" t="str">
        <f>IFERROR(__xludf.DUMMYFUNCTION("""COMPUTED_VALUE"""),"Delivered")</f>
        <v>Delivered</v>
      </c>
      <c r="N11" s="31"/>
    </row>
    <row r="12">
      <c r="A12" s="31">
        <f>IFERROR(__xludf.DUMMYFUNCTION("""COMPUTED_VALUE"""),11.0)</f>
        <v>11</v>
      </c>
      <c r="B12" s="31" t="str">
        <f>IFERROR(__xludf.DUMMYFUNCTION("""COMPUTED_VALUE"""),"Ankita Pradhan")</f>
        <v>Ankita Pradhan</v>
      </c>
      <c r="C12" s="31" t="str">
        <f>IFERROR(__xludf.DUMMYFUNCTION("""COMPUTED_VALUE"""),"ankitapradhan77@gmail.com")</f>
        <v>ankitapradhan77@gmail.com</v>
      </c>
      <c r="D12" s="84">
        <f>IFERROR(__xludf.DUMMYFUNCTION("""COMPUTED_VALUE"""),9.981952881E9)</f>
        <v>9981952881</v>
      </c>
      <c r="E12" s="85" t="str">
        <f>IFERROR(__xludf.DUMMYFUNCTION("""COMPUTED_VALUE"""),"15th Jan'22")</f>
        <v>15th Jan'22</v>
      </c>
      <c r="F12" s="31"/>
      <c r="G12" s="85" t="str">
        <f>IFERROR(__xludf.DUMMYFUNCTION("""COMPUTED_VALUE"""),"B119, 3rd floor, south city 1. Near signature tower, Gurgaon 122001")</f>
        <v>B119, 3rd floor, south city 1. Near signature tower, Gurgaon 122001</v>
      </c>
      <c r="H12" s="31" t="str">
        <f>IFERROR(__xludf.DUMMYFUNCTION("""COMPUTED_VALUE"""),"Windows Laptop")</f>
        <v>Windows Laptop</v>
      </c>
      <c r="I12" s="31" t="str">
        <f>IFERROR(__xludf.DUMMYFUNCTION("""COMPUTED_VALUE"""),"Customer Care Executive")</f>
        <v>Customer Care Executive</v>
      </c>
      <c r="J12" s="31"/>
      <c r="K12" s="31"/>
      <c r="L12" s="31" t="str">
        <f>IFERROR(__xludf.DUMMYFUNCTION("""COMPUTED_VALUE"""),"Delivered")</f>
        <v>Delivered</v>
      </c>
      <c r="M12" s="31" t="str">
        <f>IFERROR(__xludf.DUMMYFUNCTION("""COMPUTED_VALUE"""),"Delivered")</f>
        <v>Delivered</v>
      </c>
      <c r="N12" s="31"/>
    </row>
    <row r="13">
      <c r="A13" s="31">
        <f>IFERROR(__xludf.DUMMYFUNCTION("""COMPUTED_VALUE"""),12.0)</f>
        <v>12</v>
      </c>
      <c r="B13" s="31" t="str">
        <f>IFERROR(__xludf.DUMMYFUNCTION("""COMPUTED_VALUE"""),"Priya Vadan")</f>
        <v>Priya Vadan</v>
      </c>
      <c r="C13" s="31" t="str">
        <f>IFERROR(__xludf.DUMMYFUNCTION("""COMPUTED_VALUE"""),"prvadan@gmail.com")</f>
        <v>prvadan@gmail.com</v>
      </c>
      <c r="D13" s="84">
        <f>IFERROR(__xludf.DUMMYFUNCTION("""COMPUTED_VALUE"""),9.873418906E9)</f>
        <v>9873418906</v>
      </c>
      <c r="E13" s="85" t="str">
        <f>IFERROR(__xludf.DUMMYFUNCTION("""COMPUTED_VALUE"""),"15th Jan'22")</f>
        <v>15th Jan'22</v>
      </c>
      <c r="F13" s="31"/>
      <c r="G13" s="85" t="str">
        <f>IFERROR(__xludf.DUMMYFUNCTION("""COMPUTED_VALUE"""),"House no 41 
Panchsheel park, near sahibabad fire station
Sahibabad Ghaziabad 201005")</f>
        <v>House no 41 
Panchsheel park, near sahibabad fire station
Sahibabad Ghaziabad 201005</v>
      </c>
      <c r="H13" s="31" t="str">
        <f>IFERROR(__xludf.DUMMYFUNCTION("""COMPUTED_VALUE"""),"Windows Laptop")</f>
        <v>Windows Laptop</v>
      </c>
      <c r="I13" s="31" t="str">
        <f>IFERROR(__xludf.DUMMYFUNCTION("""COMPUTED_VALUE"""),"Customer Care Executive")</f>
        <v>Customer Care Executive</v>
      </c>
      <c r="J13" s="31"/>
      <c r="K13" s="31"/>
      <c r="L13" s="31" t="str">
        <f>IFERROR(__xludf.DUMMYFUNCTION("""COMPUTED_VALUE"""),"delivered")</f>
        <v>delivered</v>
      </c>
      <c r="M13" s="31" t="str">
        <f>IFERROR(__xludf.DUMMYFUNCTION("""COMPUTED_VALUE"""),"delivered")</f>
        <v>delivered</v>
      </c>
      <c r="N13" s="31"/>
    </row>
    <row r="14">
      <c r="A14" s="31">
        <f>IFERROR(__xludf.DUMMYFUNCTION("""COMPUTED_VALUE"""),13.0)</f>
        <v>13</v>
      </c>
      <c r="B14" s="31" t="str">
        <f>IFERROR(__xludf.DUMMYFUNCTION("""COMPUTED_VALUE"""),"Pankhuri Mittal")</f>
        <v>Pankhuri Mittal</v>
      </c>
      <c r="C14" s="31" t="str">
        <f>IFERROR(__xludf.DUMMYFUNCTION("""COMPUTED_VALUE"""),"Pankhu.mittal@gmail.com ")</f>
        <v>Pankhu.mittal@gmail.com </v>
      </c>
      <c r="D14" s="84">
        <f>IFERROR(__xludf.DUMMYFUNCTION("""COMPUTED_VALUE"""),8.979164889E9)</f>
        <v>8979164889</v>
      </c>
      <c r="E14" s="85" t="str">
        <f>IFERROR(__xludf.DUMMYFUNCTION("""COMPUTED_VALUE"""),"15th Jan'22")</f>
        <v>15th Jan'22</v>
      </c>
      <c r="F14" s="31"/>
      <c r="G14" s="85" t="str">
        <f>IFERROR(__xludf.DUMMYFUNCTION("""COMPUTED_VALUE"""),"Ground Floor, D6/408, Chutrakoot scheme, Jaipur, 302021")</f>
        <v>Ground Floor, D6/408, Chutrakoot scheme, Jaipur, 302021</v>
      </c>
      <c r="H14" s="31" t="str">
        <f>IFERROR(__xludf.DUMMYFUNCTION("""COMPUTED_VALUE"""),"Windows Laptop")</f>
        <v>Windows Laptop</v>
      </c>
      <c r="I14" s="31" t="str">
        <f>IFERROR(__xludf.DUMMYFUNCTION("""COMPUTED_VALUE"""),"Customer Care Executive")</f>
        <v>Customer Care Executive</v>
      </c>
      <c r="J14" s="31"/>
      <c r="K14" s="31"/>
      <c r="L14" s="31" t="str">
        <f>IFERROR(__xludf.DUMMYFUNCTION("""COMPUTED_VALUE"""),"Delivered")</f>
        <v>Delivered</v>
      </c>
      <c r="M14" s="31" t="str">
        <f>IFERROR(__xludf.DUMMYFUNCTION("""COMPUTED_VALUE"""),"Delivered")</f>
        <v>Delivered</v>
      </c>
      <c r="N14" s="31"/>
    </row>
    <row r="15">
      <c r="A15" s="31">
        <f>IFERROR(__xludf.DUMMYFUNCTION("""COMPUTED_VALUE"""),14.0)</f>
        <v>14</v>
      </c>
      <c r="B15" s="31" t="str">
        <f>IFERROR(__xludf.DUMMYFUNCTION("""COMPUTED_VALUE"""),"Mohit Kaushik")</f>
        <v>Mohit Kaushik</v>
      </c>
      <c r="C15" s="31" t="str">
        <f>IFERROR(__xludf.DUMMYFUNCTION("""COMPUTED_VALUE""")," mohitkaushikj133@gmail.com")</f>
        <v> mohitkaushikj133@gmail.com</v>
      </c>
      <c r="D15" s="84">
        <f>IFERROR(__xludf.DUMMYFUNCTION("""COMPUTED_VALUE"""),9.068240907E9)</f>
        <v>9068240907</v>
      </c>
      <c r="E15" s="85" t="str">
        <f>IFERROR(__xludf.DUMMYFUNCTION("""COMPUTED_VALUE"""),"10th Jan'22")</f>
        <v>10th Jan'22</v>
      </c>
      <c r="F15" s="31"/>
      <c r="G15" s="85" t="str">
        <f>IFERROR(__xludf.DUMMYFUNCTION("""COMPUTED_VALUE"""),"78, kherli hafizpur, Gautam Buddha Nagar, Uttar Pradesh -203202
")</f>
        <v>78, kherli hafizpur, Gautam Buddha Nagar, Uttar Pradesh -203202
</v>
      </c>
      <c r="H15" s="31" t="str">
        <f>IFERROR(__xludf.DUMMYFUNCTION("""COMPUTED_VALUE"""),"Macbook + Mobile Phone")</f>
        <v>Macbook + Mobile Phone</v>
      </c>
      <c r="I15" s="31" t="str">
        <f>IFERROR(__xludf.DUMMYFUNCTION("""COMPUTED_VALUE"""),"SDE 1 (Backend)")</f>
        <v>SDE 1 (Backend)</v>
      </c>
      <c r="J15" s="31"/>
      <c r="K15" s="31"/>
      <c r="L15" s="31" t="str">
        <f>IFERROR(__xludf.DUMMYFUNCTION("""COMPUTED_VALUE"""),"Delivered")</f>
        <v>Delivered</v>
      </c>
      <c r="M15" s="31" t="str">
        <f>IFERROR(__xludf.DUMMYFUNCTION("""COMPUTED_VALUE"""),"Delivered")</f>
        <v>Delivered</v>
      </c>
      <c r="N15" s="31"/>
    </row>
    <row r="16">
      <c r="A16" s="31">
        <f>IFERROR(__xludf.DUMMYFUNCTION("""COMPUTED_VALUE"""),15.0)</f>
        <v>15</v>
      </c>
      <c r="B16" s="31" t="str">
        <f>IFERROR(__xludf.DUMMYFUNCTION("""COMPUTED_VALUE"""),"Priyanka")</f>
        <v>Priyanka</v>
      </c>
      <c r="C16" s="31" t="str">
        <f>IFERROR(__xludf.DUMMYFUNCTION("""COMPUTED_VALUE"""),"priyankagangwani97@gmail.com")</f>
        <v>priyankagangwani97@gmail.com</v>
      </c>
      <c r="D16" s="84">
        <f>IFERROR(__xludf.DUMMYFUNCTION("""COMPUTED_VALUE"""),8.604721007E9)</f>
        <v>8604721007</v>
      </c>
      <c r="E16" s="85" t="str">
        <f>IFERROR(__xludf.DUMMYFUNCTION("""COMPUTED_VALUE"""),"17th Jan'22")</f>
        <v>17th Jan'22</v>
      </c>
      <c r="F16" s="31"/>
      <c r="G16" s="85" t="str">
        <f>IFERROR(__xludf.DUMMYFUNCTION("""COMPUTED_VALUE"""),"126/94-A H block Govind Nagar, kanpur,UP")</f>
        <v>126/94-A H block Govind Nagar, kanpur,UP</v>
      </c>
      <c r="H16" s="31" t="str">
        <f>IFERROR(__xludf.DUMMYFUNCTION("""COMPUTED_VALUE"""),"Windows Laptop")</f>
        <v>Windows Laptop</v>
      </c>
      <c r="I16" s="31" t="str">
        <f>IFERROR(__xludf.DUMMYFUNCTION("""COMPUTED_VALUE"""),"Customer Care Executive")</f>
        <v>Customer Care Executive</v>
      </c>
      <c r="J16" s="31"/>
      <c r="K16" s="31"/>
      <c r="L16" s="31" t="str">
        <f>IFERROR(__xludf.DUMMYFUNCTION("""COMPUTED_VALUE"""),"delivered")</f>
        <v>delivered</v>
      </c>
      <c r="M16" s="31" t="str">
        <f>IFERROR(__xludf.DUMMYFUNCTION("""COMPUTED_VALUE"""),"delivered")</f>
        <v>delivered</v>
      </c>
      <c r="N16" s="31"/>
    </row>
    <row r="17">
      <c r="A17" s="31">
        <f>IFERROR(__xludf.DUMMYFUNCTION("""COMPUTED_VALUE"""),16.0)</f>
        <v>16</v>
      </c>
      <c r="B17" s="31" t="str">
        <f>IFERROR(__xludf.DUMMYFUNCTION("""COMPUTED_VALUE"""),"Simran Verma")</f>
        <v>Simran Verma</v>
      </c>
      <c r="C17" s="31" t="str">
        <f>IFERROR(__xludf.DUMMYFUNCTION("""COMPUTED_VALUE"""),"vermasimran2014@gmail.com")</f>
        <v>vermasimran2014@gmail.com</v>
      </c>
      <c r="D17" s="84">
        <f>IFERROR(__xludf.DUMMYFUNCTION("""COMPUTED_VALUE"""),9.589522192E9)</f>
        <v>9589522192</v>
      </c>
      <c r="E17" s="85" t="str">
        <f>IFERROR(__xludf.DUMMYFUNCTION("""COMPUTED_VALUE"""),"17th Jan'22")</f>
        <v>17th Jan'22</v>
      </c>
      <c r="F17" s="31"/>
      <c r="G17" s="85" t="str">
        <f>IFERROR(__xludf.DUMMYFUNCTION("""COMPUTED_VALUE"""),"H. No. 18, National Colony, Rampur, Jabalpur M.P - 482008")</f>
        <v>H. No. 18, National Colony, Rampur, Jabalpur M.P - 482008</v>
      </c>
      <c r="H17" s="31" t="str">
        <f>IFERROR(__xludf.DUMMYFUNCTION("""COMPUTED_VALUE"""),"Windows Laptop")</f>
        <v>Windows Laptop</v>
      </c>
      <c r="I17" s="31" t="str">
        <f>IFERROR(__xludf.DUMMYFUNCTION("""COMPUTED_VALUE"""),"Customer Care Executive")</f>
        <v>Customer Care Executive</v>
      </c>
      <c r="J17" s="31"/>
      <c r="K17" s="31"/>
      <c r="L17" s="31" t="str">
        <f>IFERROR(__xludf.DUMMYFUNCTION("""COMPUTED_VALUE"""),"delivered")</f>
        <v>delivered</v>
      </c>
      <c r="M17" s="31" t="str">
        <f>IFERROR(__xludf.DUMMYFUNCTION("""COMPUTED_VALUE"""),"delivered")</f>
        <v>delivered</v>
      </c>
      <c r="N17" s="31"/>
    </row>
    <row r="18">
      <c r="A18" s="31"/>
      <c r="B18" s="31"/>
      <c r="C18" s="31"/>
      <c r="D18" s="84"/>
      <c r="E18" s="85"/>
      <c r="F18" s="31"/>
      <c r="G18" s="85"/>
      <c r="H18" s="31"/>
      <c r="I18" s="31"/>
      <c r="J18" s="31"/>
      <c r="K18" s="31"/>
      <c r="L18" s="31"/>
      <c r="M18" s="31"/>
      <c r="N18" s="31"/>
    </row>
    <row r="19">
      <c r="A19" s="31"/>
      <c r="B19" s="31"/>
      <c r="C19" s="31"/>
      <c r="D19" s="84"/>
      <c r="E19" s="85"/>
      <c r="F19" s="31"/>
      <c r="G19" s="85"/>
      <c r="H19" s="31"/>
      <c r="I19" s="31"/>
      <c r="J19" s="31"/>
      <c r="K19" s="31"/>
      <c r="L19" s="31"/>
      <c r="M19" s="31"/>
      <c r="N19" s="31"/>
    </row>
    <row r="20">
      <c r="A20" s="31">
        <f>IFERROR(__xludf.DUMMYFUNCTION("""COMPUTED_VALUE"""),17.0)</f>
        <v>17</v>
      </c>
      <c r="B20" s="31" t="str">
        <f>IFERROR(__xludf.DUMMYFUNCTION("""COMPUTED_VALUE"""),"AAYUSHI SIDDHI BHATTA")</f>
        <v>AAYUSHI SIDDHI BHATTA</v>
      </c>
      <c r="C20" s="31" t="str">
        <f>IFERROR(__xludf.DUMMYFUNCTION("""COMPUTED_VALUE"""),"aayushi.work08@gmail.com")</f>
        <v>aayushi.work08@gmail.com</v>
      </c>
      <c r="D20" s="84">
        <f>IFERROR(__xludf.DUMMYFUNCTION("""COMPUTED_VALUE"""),8.696645915E9)</f>
        <v>8696645915</v>
      </c>
      <c r="E20" s="85" t="str">
        <f>IFERROR(__xludf.DUMMYFUNCTION("""COMPUTED_VALUE"""),"17th Jan'22")</f>
        <v>17th Jan'22</v>
      </c>
      <c r="F20" s="31"/>
      <c r="G20" s="85" t="str">
        <f>IFERROR(__xludf.DUMMYFUNCTION("""COMPUTED_VALUE"""),"4th floor,plot no. 188, Mahadev apartments, pocket -1 ,Dwarka Sector 23")</f>
        <v>4th floor,plot no. 188, Mahadev apartments, pocket -1 ,Dwarka Sector 23</v>
      </c>
      <c r="H20" s="31" t="str">
        <f>IFERROR(__xludf.DUMMYFUNCTION("""COMPUTED_VALUE"""),"Windows Laptop")</f>
        <v>Windows Laptop</v>
      </c>
      <c r="I20" s="31" t="str">
        <f>IFERROR(__xludf.DUMMYFUNCTION("""COMPUTED_VALUE"""),"Customer Care Executive")</f>
        <v>Customer Care Executive</v>
      </c>
      <c r="J20" s="31"/>
      <c r="K20" s="31"/>
      <c r="L20" s="31" t="str">
        <f>IFERROR(__xludf.DUMMYFUNCTION("""COMPUTED_VALUE"""),"Dispatched")</f>
        <v>Dispatched</v>
      </c>
      <c r="M20" s="31" t="str">
        <f>IFERROR(__xludf.DUMMYFUNCTION("""COMPUTED_VALUE"""),"Delivered")</f>
        <v>Delivered</v>
      </c>
      <c r="N20" s="31"/>
    </row>
    <row r="21">
      <c r="A21" s="31">
        <f>IFERROR(__xludf.DUMMYFUNCTION("""COMPUTED_VALUE"""),18.0)</f>
        <v>18</v>
      </c>
      <c r="B21" s="31" t="str">
        <f>IFERROR(__xludf.DUMMYFUNCTION("""COMPUTED_VALUE"""),"Kalpriksh Bist")</f>
        <v>Kalpriksh Bist</v>
      </c>
      <c r="C21" s="31" t="str">
        <f>IFERROR(__xludf.DUMMYFUNCTION("""COMPUTED_VALUE"""),"kalprikshbist@gmail.com")</f>
        <v>kalprikshbist@gmail.com</v>
      </c>
      <c r="D21" s="84">
        <f>IFERROR(__xludf.DUMMYFUNCTION("""COMPUTED_VALUE"""),8.448121484E9)</f>
        <v>8448121484</v>
      </c>
      <c r="E21" s="85" t="str">
        <f>IFERROR(__xludf.DUMMYFUNCTION("""COMPUTED_VALUE"""),"12th Jan'22")</f>
        <v>12th Jan'22</v>
      </c>
      <c r="F21" s="31"/>
      <c r="G21" s="85" t="str">
        <f>IFERROR(__xludf.DUMMYFUNCTION("""COMPUTED_VALUE"""),"J302, Amrapali Sapphire, Sec 45 Noida")</f>
        <v>J302, Amrapali Sapphire, Sec 45 Noida</v>
      </c>
      <c r="H21" s="31" t="str">
        <f>IFERROR(__xludf.DUMMYFUNCTION("""COMPUTED_VALUE"""),"Monitor + Mac Laptop")</f>
        <v>Monitor + Mac Laptop</v>
      </c>
      <c r="I21" s="31" t="str">
        <f>IFERROR(__xludf.DUMMYFUNCTION("""COMPUTED_VALUE"""),"Data Analyst")</f>
        <v>Data Analyst</v>
      </c>
      <c r="J21" s="31"/>
      <c r="K21" s="31"/>
      <c r="L21" s="31" t="str">
        <f>IFERROR(__xludf.DUMMYFUNCTION("""COMPUTED_VALUE"""),"Delivered")</f>
        <v>Delivered</v>
      </c>
      <c r="M21" s="31" t="str">
        <f>IFERROR(__xludf.DUMMYFUNCTION("""COMPUTED_VALUE"""),"Delivered")</f>
        <v>Delivered</v>
      </c>
      <c r="N21" s="31"/>
    </row>
    <row r="22">
      <c r="A22" s="31">
        <f>IFERROR(__xludf.DUMMYFUNCTION("""COMPUTED_VALUE"""),20.0)</f>
        <v>20</v>
      </c>
      <c r="B22" s="31" t="str">
        <f>IFERROR(__xludf.DUMMYFUNCTION("""COMPUTED_VALUE"""),"Prarabdh sharma")</f>
        <v>Prarabdh sharma</v>
      </c>
      <c r="C22" s="31" t="str">
        <f>IFERROR(__xludf.DUMMYFUNCTION("""COMPUTED_VALUE"""),"Prarabdhsr4@gmail.com")</f>
        <v>Prarabdhsr4@gmail.com</v>
      </c>
      <c r="D22" s="84">
        <f>IFERROR(__xludf.DUMMYFUNCTION("""COMPUTED_VALUE"""),8.572873505E9)</f>
        <v>8572873505</v>
      </c>
      <c r="E22" s="87">
        <f>IFERROR(__xludf.DUMMYFUNCTION("""COMPUTED_VALUE"""),44578.0)</f>
        <v>44578</v>
      </c>
      <c r="F22" s="31"/>
      <c r="G22" s="85" t="str">
        <f>IFERROR(__xludf.DUMMYFUNCTION("""COMPUTED_VALUE"""),"473-A, phase-1, jaggi garden, ambala city haryana, 134007")</f>
        <v>473-A, phase-1, jaggi garden, ambala city haryana, 134007</v>
      </c>
      <c r="H22" s="31" t="str">
        <f>IFERROR(__xludf.DUMMYFUNCTION("""COMPUTED_VALUE"""),"Windows Laptop")</f>
        <v>Windows Laptop</v>
      </c>
      <c r="I22" s="31" t="str">
        <f>IFERROR(__xludf.DUMMYFUNCTION("""COMPUTED_VALUE"""),"Customer Care Executive")</f>
        <v>Customer Care Executive</v>
      </c>
      <c r="J22" s="31"/>
      <c r="K22" s="31"/>
      <c r="L22" s="31" t="str">
        <f>IFERROR(__xludf.DUMMYFUNCTION("""COMPUTED_VALUE"""),"Dispatched")</f>
        <v>Dispatched</v>
      </c>
      <c r="M22" s="31" t="str">
        <f>IFERROR(__xludf.DUMMYFUNCTION("""COMPUTED_VALUE"""),"Delivered")</f>
        <v>Delivered</v>
      </c>
      <c r="N22" s="31"/>
    </row>
    <row r="23">
      <c r="A23" s="31">
        <f>IFERROR(__xludf.DUMMYFUNCTION("""COMPUTED_VALUE"""),21.0)</f>
        <v>21</v>
      </c>
      <c r="B23" s="31" t="str">
        <f>IFERROR(__xludf.DUMMYFUNCTION("""COMPUTED_VALUE"""),"DIVYA KHARE")</f>
        <v>DIVYA KHARE</v>
      </c>
      <c r="C23" s="31" t="str">
        <f>IFERROR(__xludf.DUMMYFUNCTION("""COMPUTED_VALUE"""),"divyakhare85@gmail.com")</f>
        <v>divyakhare85@gmail.com</v>
      </c>
      <c r="D23" s="84">
        <f>IFERROR(__xludf.DUMMYFUNCTION("""COMPUTED_VALUE"""),8.054867578E9)</f>
        <v>8054867578</v>
      </c>
      <c r="E23" s="87">
        <f>IFERROR(__xludf.DUMMYFUNCTION("""COMPUTED_VALUE"""),44578.0)</f>
        <v>44578</v>
      </c>
      <c r="F23" s="31"/>
      <c r="G23" s="85" t="str">
        <f>IFERROR(__xludf.DUMMYFUNCTION("""COMPUTED_VALUE"""),"128/222, K-BLOCK, KIDWAI NAGAR,KANPUR, UTTAR PRADESH, PIN CODE- 208011")</f>
        <v>128/222, K-BLOCK, KIDWAI NAGAR,KANPUR, UTTAR PRADESH, PIN CODE- 208011</v>
      </c>
      <c r="H23" s="31" t="str">
        <f>IFERROR(__xludf.DUMMYFUNCTION("""COMPUTED_VALUE"""),"Windows Laptop")</f>
        <v>Windows Laptop</v>
      </c>
      <c r="I23" s="31" t="str">
        <f>IFERROR(__xludf.DUMMYFUNCTION("""COMPUTED_VALUE"""),"Customer Care Executive")</f>
        <v>Customer Care Executive</v>
      </c>
      <c r="J23" s="31"/>
      <c r="K23" s="31"/>
      <c r="L23" s="31" t="str">
        <f>IFERROR(__xludf.DUMMYFUNCTION("""COMPUTED_VALUE"""),"Dispatched")</f>
        <v>Dispatched</v>
      </c>
      <c r="M23" s="31" t="str">
        <f>IFERROR(__xludf.DUMMYFUNCTION("""COMPUTED_VALUE"""),"Delivered")</f>
        <v>Delivered</v>
      </c>
      <c r="N23" s="31"/>
    </row>
    <row r="24">
      <c r="A24" s="31">
        <f>IFERROR(__xludf.DUMMYFUNCTION("""COMPUTED_VALUE"""),22.0)</f>
        <v>22</v>
      </c>
      <c r="B24" s="31" t="str">
        <f>IFERROR(__xludf.DUMMYFUNCTION("""COMPUTED_VALUE"""),"Annu Nirmal")</f>
        <v>Annu Nirmal</v>
      </c>
      <c r="C24" s="31" t="str">
        <f>IFERROR(__xludf.DUMMYFUNCTION("""COMPUTED_VALUE"""),"nirmalannu@gmail.com")</f>
        <v>nirmalannu@gmail.com</v>
      </c>
      <c r="D24" s="84" t="str">
        <f>IFERROR(__xludf.DUMMYFUNCTION("""COMPUTED_VALUE"""),"96545 82774")</f>
        <v>96545 82774</v>
      </c>
      <c r="E24" s="87">
        <f>IFERROR(__xludf.DUMMYFUNCTION("""COMPUTED_VALUE"""),44585.0)</f>
        <v>44585</v>
      </c>
      <c r="F24" s="31"/>
      <c r="G24" s="85" t="str">
        <f>IFERROR(__xludf.DUMMYFUNCTION("""COMPUTED_VALUE"""),"H. No. 1159, GF, Orchid Island, Sector - 51, Gurugram 122001")</f>
        <v>H. No. 1159, GF, Orchid Island, Sector - 51, Gurugram 122001</v>
      </c>
      <c r="H24" s="31" t="str">
        <f>IFERROR(__xludf.DUMMYFUNCTION("""COMPUTED_VALUE"""),"Macbook + Mobile Phone")</f>
        <v>Macbook + Mobile Phone</v>
      </c>
      <c r="I24" s="31" t="str">
        <f>IFERROR(__xludf.DUMMYFUNCTION("""COMPUTED_VALUE"""),"Senior Software Engineer")</f>
        <v>Senior Software Engineer</v>
      </c>
      <c r="J24" s="31"/>
      <c r="K24" s="31"/>
      <c r="L24" s="31" t="str">
        <f>IFERROR(__xludf.DUMMYFUNCTION("""COMPUTED_VALUE"""),"Dispatched")</f>
        <v>Dispatched</v>
      </c>
      <c r="M24" s="31" t="str">
        <f>IFERROR(__xludf.DUMMYFUNCTION("""COMPUTED_VALUE"""),"Delivered")</f>
        <v>Delivered</v>
      </c>
      <c r="N24" s="31"/>
    </row>
    <row r="25">
      <c r="A25" s="31">
        <f>IFERROR(__xludf.DUMMYFUNCTION("""COMPUTED_VALUE"""),23.0)</f>
        <v>23</v>
      </c>
      <c r="B25" s="31" t="str">
        <f>IFERROR(__xludf.DUMMYFUNCTION("""COMPUTED_VALUE"""),"Abhishek Garg")</f>
        <v>Abhishek Garg</v>
      </c>
      <c r="C25" s="31" t="str">
        <f>IFERROR(__xludf.DUMMYFUNCTION("""COMPUTED_VALUE"""),"gargiiabhishek823@gmail.com")</f>
        <v>gargiiabhishek823@gmail.com</v>
      </c>
      <c r="D25" s="84">
        <f>IFERROR(__xludf.DUMMYFUNCTION("""COMPUTED_VALUE"""),9.711603839E9)</f>
        <v>9711603839</v>
      </c>
      <c r="E25" s="87">
        <f>IFERROR(__xludf.DUMMYFUNCTION("""COMPUTED_VALUE"""),44585.0)</f>
        <v>44585</v>
      </c>
      <c r="F25" s="31"/>
      <c r="G25" s="85" t="str">
        <f>IFERROR(__xludf.DUMMYFUNCTION("""COMPUTED_VALUE"""),"C4H/ 165C, Janakpuri, New Delhi")</f>
        <v>C4H/ 165C, Janakpuri, New Delhi</v>
      </c>
      <c r="H25" s="31" t="str">
        <f>IFERROR(__xludf.DUMMYFUNCTION("""COMPUTED_VALUE"""),"Macbook + Mobile Phone")</f>
        <v>Macbook + Mobile Phone</v>
      </c>
      <c r="I25" s="31" t="str">
        <f>IFERROR(__xludf.DUMMYFUNCTION("""COMPUTED_VALUE"""),"SDET")</f>
        <v>SDET</v>
      </c>
      <c r="J25" s="31"/>
      <c r="K25" s="31"/>
      <c r="L25" s="31"/>
      <c r="M25" s="31"/>
      <c r="N25" s="31"/>
    </row>
    <row r="26">
      <c r="A26" s="31">
        <f>IFERROR(__xludf.DUMMYFUNCTION("""COMPUTED_VALUE"""),24.0)</f>
        <v>24</v>
      </c>
      <c r="B26" s="31" t="str">
        <f>IFERROR(__xludf.DUMMYFUNCTION("""COMPUTED_VALUE"""),"Hitesh Vats")</f>
        <v>Hitesh Vats</v>
      </c>
      <c r="C26" s="86" t="str">
        <f>IFERROR(__xludf.DUMMYFUNCTION("""COMPUTED_VALUE"""),"vatshitesh8@gmail.com")</f>
        <v>vatshitesh8@gmail.com</v>
      </c>
      <c r="D26" s="84">
        <f>IFERROR(__xludf.DUMMYFUNCTION("""COMPUTED_VALUE"""),8.800274005E9)</f>
        <v>8800274005</v>
      </c>
      <c r="E26" s="87">
        <f>IFERROR(__xludf.DUMMYFUNCTION("""COMPUTED_VALUE"""),44580.0)</f>
        <v>44580</v>
      </c>
      <c r="F26" s="31"/>
      <c r="G26" s="85" t="str">
        <f>IFERROR(__xludf.DUMMYFUNCTION("""COMPUTED_VALUE"""),"T4/104, Aagman Society, Sector 70 IMT, Faridabad - 121004")</f>
        <v>T4/104, Aagman Society, Sector 70 IMT, Faridabad - 121004</v>
      </c>
      <c r="H26" s="31" t="str">
        <f>IFERROR(__xludf.DUMMYFUNCTION("""COMPUTED_VALUE"""),"Windows Laptop")</f>
        <v>Windows Laptop</v>
      </c>
      <c r="I26" s="31" t="str">
        <f>IFERROR(__xludf.DUMMYFUNCTION("""COMPUTED_VALUE"""),"Manager - Finance")</f>
        <v>Manager - Finance</v>
      </c>
      <c r="J26" s="31"/>
      <c r="K26" s="31"/>
      <c r="L26" s="31" t="str">
        <f>IFERROR(__xludf.DUMMYFUNCTION("""COMPUTED_VALUE"""),"Dispatched")</f>
        <v>Dispatched</v>
      </c>
      <c r="M26" s="31" t="str">
        <f>IFERROR(__xludf.DUMMYFUNCTION("""COMPUTED_VALUE"""),"Delivered")</f>
        <v>Delivered</v>
      </c>
      <c r="N26" s="31"/>
    </row>
    <row r="27">
      <c r="A27" s="31">
        <f>IFERROR(__xludf.DUMMYFUNCTION("""COMPUTED_VALUE"""),25.0)</f>
        <v>25</v>
      </c>
      <c r="B27" s="31" t="str">
        <f>IFERROR(__xludf.DUMMYFUNCTION("""COMPUTED_VALUE"""),"Akash Kumar Chauhan")</f>
        <v>Akash Kumar Chauhan</v>
      </c>
      <c r="C27" s="31" t="str">
        <f>IFERROR(__xludf.DUMMYFUNCTION("""COMPUTED_VALUE"""),"akashchauhan5891@gmail.com")</f>
        <v>akashchauhan5891@gmail.com</v>
      </c>
      <c r="D27" s="84" t="str">
        <f>IFERROR(__xludf.DUMMYFUNCTION("""COMPUTED_VALUE"""),"7202077483 / 7202077483")</f>
        <v>7202077483 / 7202077483</v>
      </c>
      <c r="E27" s="87">
        <f>IFERROR(__xludf.DUMMYFUNCTION("""COMPUTED_VALUE"""),44580.0)</f>
        <v>44580</v>
      </c>
      <c r="F27" s="31"/>
      <c r="G27" s="85" t="str">
        <f>IFERROR(__xludf.DUMMYFUNCTION("""COMPUTED_VALUE"""),"Ecom Express Limited
Khasra 40/25/1,21/1/2, 22,23,23/1,49/1/1, 1/2,2,3,4/1, 50/4, Min 5/1, 5/2
Sidhrawali Village, Tahsil Manesar, District Gurgaon, Haryana- 122413, India")</f>
        <v>Ecom Express Limited
Khasra 40/25/1,21/1/2, 22,23,23/1,49/1/1, 1/2,2,3,4/1, 50/4, Min 5/1, 5/2
Sidhrawali Village, Tahsil Manesar, District Gurgaon, Haryana- 122413, India</v>
      </c>
      <c r="H27" s="31" t="str">
        <f>IFERROR(__xludf.DUMMYFUNCTION("""COMPUTED_VALUE"""),"Windows Laptop")</f>
        <v>Windows Laptop</v>
      </c>
      <c r="I27" s="31" t="str">
        <f>IFERROR(__xludf.DUMMYFUNCTION("""COMPUTED_VALUE"""),"Executive - Administration &amp; Procurement")</f>
        <v>Executive - Administration &amp; Procurement</v>
      </c>
      <c r="J27" s="31"/>
      <c r="K27" s="31"/>
      <c r="L27" s="31" t="str">
        <f>IFERROR(__xludf.DUMMYFUNCTION("""COMPUTED_VALUE"""),"Employee will be picking it up from office only on 19th Jan")</f>
        <v>Employee will be picking it up from office only on 19th Jan</v>
      </c>
      <c r="M27" s="31" t="str">
        <f>IFERROR(__xludf.DUMMYFUNCTION("""COMPUTED_VALUE"""),"NA")</f>
        <v>NA</v>
      </c>
      <c r="N27" s="31"/>
    </row>
    <row r="28">
      <c r="A28" s="31">
        <f>IFERROR(__xludf.DUMMYFUNCTION("""COMPUTED_VALUE"""),26.0)</f>
        <v>26</v>
      </c>
      <c r="B28" s="31" t="str">
        <f>IFERROR(__xludf.DUMMYFUNCTION("""COMPUTED_VALUE"""),"Abhinav Venkat")</f>
        <v>Abhinav Venkat</v>
      </c>
      <c r="C28" s="31" t="str">
        <f>IFERROR(__xludf.DUMMYFUNCTION("""COMPUTED_VALUE"""),"abhinav.venkat@icloud.com")</f>
        <v>abhinav.venkat@icloud.com</v>
      </c>
      <c r="D28" s="84" t="str">
        <f>IFERROR(__xludf.DUMMYFUNCTION("""COMPUTED_VALUE"""),"98848 36501")</f>
        <v>98848 36501</v>
      </c>
      <c r="E28" s="85" t="str">
        <f>IFERROR(__xludf.DUMMYFUNCTION("""COMPUTED_VALUE"""),"Already joined")</f>
        <v>Already joined</v>
      </c>
      <c r="F28" s="31"/>
      <c r="G28" s="85" t="str">
        <f>IFERROR(__xludf.DUMMYFUNCTION("""COMPUTED_VALUE"""),"Villa #5, Casa Grande Versailles Amar, Uthandi, Chennai, 600119, Tamil Nadu, India")</f>
        <v>Villa #5, Casa Grande Versailles Amar, Uthandi, Chennai, 600119, Tamil Nadu, India</v>
      </c>
      <c r="H28" s="31" t="str">
        <f>IFERROR(__xludf.DUMMYFUNCTION("""COMPUTED_VALUE"""),"Macbook 13"" Pro")</f>
        <v>Macbook 13" Pro</v>
      </c>
      <c r="I28" s="31" t="str">
        <f>IFERROR(__xludf.DUMMYFUNCTION("""COMPUTED_VALUE"""),"Consulting Partner")</f>
        <v>Consulting Partner</v>
      </c>
      <c r="J28" s="31"/>
      <c r="K28" s="31"/>
      <c r="L28" s="31" t="str">
        <f>IFERROR(__xludf.DUMMYFUNCTION("""COMPUTED_VALUE"""),"Dispatched")</f>
        <v>Dispatched</v>
      </c>
      <c r="M28" s="31" t="str">
        <f>IFERROR(__xludf.DUMMYFUNCTION("""COMPUTED_VALUE"""),"Delivered")</f>
        <v>Delivered</v>
      </c>
      <c r="N28" s="31"/>
    </row>
    <row r="29">
      <c r="A29" s="31">
        <f>IFERROR(__xludf.DUMMYFUNCTION("""COMPUTED_VALUE"""),27.0)</f>
        <v>27</v>
      </c>
      <c r="B29" s="31" t="str">
        <f>IFERROR(__xludf.DUMMYFUNCTION("""COMPUTED_VALUE"""),"Shubham Kumar")</f>
        <v>Shubham Kumar</v>
      </c>
      <c r="C29" s="31" t="str">
        <f>IFERROR(__xludf.DUMMYFUNCTION("""COMPUTED_VALUE"""),"shubhamkr75@gmail.com")</f>
        <v>shubhamkr75@gmail.com</v>
      </c>
      <c r="D29" s="84">
        <f>IFERROR(__xludf.DUMMYFUNCTION("""COMPUTED_VALUE"""),8.29277426E9)</f>
        <v>8292774260</v>
      </c>
      <c r="E29" s="87">
        <f>IFERROR(__xludf.DUMMYFUNCTION("""COMPUTED_VALUE"""),44585.0)</f>
        <v>44585</v>
      </c>
      <c r="F29" s="31"/>
      <c r="G29" s="85" t="str">
        <f>IFERROR(__xludf.DUMMYFUNCTION("""COMPUTED_VALUE"""),"Opp. Samay Hospital, saguna more, danapur cantt, Patna, 801503. Landmark - near Samay Hospital")</f>
        <v>Opp. Samay Hospital, saguna more, danapur cantt, Patna, 801503. Landmark - near Samay Hospital</v>
      </c>
      <c r="H29" s="31" t="str">
        <f>IFERROR(__xludf.DUMMYFUNCTION("""COMPUTED_VALUE"""),"Macbook + Mobile Phone")</f>
        <v>Macbook + Mobile Phone</v>
      </c>
      <c r="I29" s="31" t="str">
        <f>IFERROR(__xludf.DUMMYFUNCTION("""COMPUTED_VALUE"""),"Software Engineer")</f>
        <v>Software Engineer</v>
      </c>
      <c r="J29" s="31"/>
      <c r="K29" s="31"/>
      <c r="L29" s="31" t="str">
        <f>IFERROR(__xludf.DUMMYFUNCTION("""COMPUTED_VALUE"""),"Dispatched")</f>
        <v>Dispatched</v>
      </c>
      <c r="M29" s="31" t="str">
        <f>IFERROR(__xludf.DUMMYFUNCTION("""COMPUTED_VALUE"""),"Delivered")</f>
        <v>Delivered</v>
      </c>
      <c r="N29" s="31"/>
    </row>
    <row r="30">
      <c r="A30" s="31">
        <f>IFERROR(__xludf.DUMMYFUNCTION("""COMPUTED_VALUE"""),28.0)</f>
        <v>28</v>
      </c>
      <c r="B30" s="31" t="str">
        <f>IFERROR(__xludf.DUMMYFUNCTION("""COMPUTED_VALUE"""),"Santosh Arjun Auti")</f>
        <v>Santosh Arjun Auti</v>
      </c>
      <c r="C30" s="31" t="str">
        <f>IFERROR(__xludf.DUMMYFUNCTION("""COMPUTED_VALUE"""),"santoshauti1991@gmail.com")</f>
        <v>santoshauti1991@gmail.com</v>
      </c>
      <c r="D30" s="84">
        <f>IFERROR(__xludf.DUMMYFUNCTION("""COMPUTED_VALUE"""),9.96007134E9)</f>
        <v>9960071340</v>
      </c>
      <c r="E30" s="87">
        <f>IFERROR(__xludf.DUMMYFUNCTION("""COMPUTED_VALUE"""),44586.0)</f>
        <v>44586</v>
      </c>
      <c r="F30" s="31"/>
      <c r="G30" s="85" t="str">
        <f>IFERROR(__xludf.DUMMYFUNCTION("""COMPUTED_VALUE"""),"C/503, Phase 2, Dwarka suncrest society, Near Hyderabadi house, Kokane chowk, Rahatani, Pune- 411027")</f>
        <v>C/503, Phase 2, Dwarka suncrest society, Near Hyderabadi house, Kokane chowk, Rahatani, Pune- 411027</v>
      </c>
      <c r="H30" s="31" t="str">
        <f>IFERROR(__xludf.DUMMYFUNCTION("""COMPUTED_VALUE"""),"Macbook 13"" Pro")</f>
        <v>Macbook 13" Pro</v>
      </c>
      <c r="I30" s="31" t="str">
        <f>IFERROR(__xludf.DUMMYFUNCTION("""COMPUTED_VALUE"""),"Technical Product Manager")</f>
        <v>Technical Product Manager</v>
      </c>
      <c r="J30" s="31"/>
      <c r="K30" s="31"/>
      <c r="L30" s="31" t="str">
        <f>IFERROR(__xludf.DUMMYFUNCTION("""COMPUTED_VALUE"""),"Dispatched")</f>
        <v>Dispatched</v>
      </c>
      <c r="M30" s="31" t="str">
        <f>IFERROR(__xludf.DUMMYFUNCTION("""COMPUTED_VALUE"""),"Delivered")</f>
        <v>Delivered</v>
      </c>
      <c r="N30" s="31" t="str">
        <f>IFERROR(__xludf.DUMMYFUNCTION("""COMPUTED_VALUE"""),"Offer Drop - laptop to be picked up")</f>
        <v>Offer Drop - laptop to be picked up</v>
      </c>
    </row>
    <row r="31">
      <c r="A31" s="31">
        <f>IFERROR(__xludf.DUMMYFUNCTION("""COMPUTED_VALUE"""),29.0)</f>
        <v>29</v>
      </c>
      <c r="B31" s="31" t="str">
        <f>IFERROR(__xludf.DUMMYFUNCTION("""COMPUTED_VALUE"""),"Kritika Kapoor")</f>
        <v>Kritika Kapoor</v>
      </c>
      <c r="C31" s="31" t="str">
        <f>IFERROR(__xludf.DUMMYFUNCTION("""COMPUTED_VALUE"""),"kritikakapoor14@outlook.com")</f>
        <v>kritikakapoor14@outlook.com</v>
      </c>
      <c r="D31" s="84" t="str">
        <f>IFERROR(__xludf.DUMMYFUNCTION("""COMPUTED_VALUE"""),"9034575564 / 8810286386/ 9518444301")</f>
        <v>9034575564 / 8810286386/ 9518444301</v>
      </c>
      <c r="E31" s="87">
        <f>IFERROR(__xludf.DUMMYFUNCTION("""COMPUTED_VALUE"""),44588.0)</f>
        <v>44588</v>
      </c>
      <c r="F31" s="31"/>
      <c r="G31" s="85" t="str">
        <f>IFERROR(__xludf.DUMMYFUNCTION("""COMPUTED_VALUE"""),"C/0 Nakul Sharma, Crimpton Equipment Pvt Ltd, LGF-26, Panchsheel Square, Crossings Republik, Opposite IGL CNG Pump, Ghaziabad, Uttar Pradesh - 201009")</f>
        <v>C/0 Nakul Sharma, Crimpton Equipment Pvt Ltd, LGF-26, Panchsheel Square, Crossings Republik, Opposite IGL CNG Pump, Ghaziabad, Uttar Pradesh - 201009</v>
      </c>
      <c r="H31" s="31" t="str">
        <f>IFERROR(__xludf.DUMMYFUNCTION("""COMPUTED_VALUE"""),"Macbook + Mobile Phone + wireless Mouse")</f>
        <v>Macbook + Mobile Phone + wireless Mouse</v>
      </c>
      <c r="I31" s="31" t="str">
        <f>IFERROR(__xludf.DUMMYFUNCTION("""COMPUTED_VALUE"""),"Sr. SDET")</f>
        <v>Sr. SDET</v>
      </c>
      <c r="J31" s="31"/>
      <c r="K31" s="31"/>
      <c r="L31" s="31" t="str">
        <f>IFERROR(__xludf.DUMMYFUNCTION("""COMPUTED_VALUE"""),"Dispatched")</f>
        <v>Dispatched</v>
      </c>
      <c r="M31" s="31" t="str">
        <f>IFERROR(__xludf.DUMMYFUNCTION("""COMPUTED_VALUE"""),"Delivered")</f>
        <v>Delivered</v>
      </c>
      <c r="N31" s="31"/>
    </row>
    <row r="32">
      <c r="A32" s="31">
        <f>IFERROR(__xludf.DUMMYFUNCTION("""COMPUTED_VALUE"""),30.0)</f>
        <v>30</v>
      </c>
      <c r="B32" s="31" t="str">
        <f>IFERROR(__xludf.DUMMYFUNCTION("""COMPUTED_VALUE"""),"Vigneshwaran Baskaran")</f>
        <v>Vigneshwaran Baskaran</v>
      </c>
      <c r="C32" s="31" t="str">
        <f>IFERROR(__xludf.DUMMYFUNCTION("""COMPUTED_VALUE"""),"inboxmeatvigneshwaran.baskaran@gmail.com")</f>
        <v>inboxmeatvigneshwaran.baskaran@gmail.com</v>
      </c>
      <c r="D32" s="84">
        <f>IFERROR(__xludf.DUMMYFUNCTION("""COMPUTED_VALUE"""),9.176347427E9)</f>
        <v>9176347427</v>
      </c>
      <c r="E32" s="87">
        <f>IFERROR(__xludf.DUMMYFUNCTION("""COMPUTED_VALUE"""),44585.0)</f>
        <v>44585</v>
      </c>
      <c r="F32" s="31"/>
      <c r="G32" s="85" t="str">
        <f>IFERROR(__xludf.DUMMYFUNCTION("""COMPUTED_VALUE"""),"C-15, Abinayam phase-1, 2nd Avenue sakthi nagar, Nolambur, Chennai - 600095")</f>
        <v>C-15, Abinayam phase-1, 2nd Avenue sakthi nagar, Nolambur, Chennai - 600095</v>
      </c>
      <c r="H32" s="31" t="str">
        <f>IFERROR(__xludf.DUMMYFUNCTION("""COMPUTED_VALUE"""),"Macbook + Mobile Phone + wireless Mouse")</f>
        <v>Macbook + Mobile Phone + wireless Mouse</v>
      </c>
      <c r="I32" s="31" t="str">
        <f>IFERROR(__xludf.DUMMYFUNCTION("""COMPUTED_VALUE"""),"Sr. SDET")</f>
        <v>Sr. SDET</v>
      </c>
      <c r="J32" s="31"/>
      <c r="K32" s="31"/>
      <c r="L32" s="31" t="str">
        <f>IFERROR(__xludf.DUMMYFUNCTION("""COMPUTED_VALUE"""),"Dispatched")</f>
        <v>Dispatched</v>
      </c>
      <c r="M32" s="31" t="str">
        <f>IFERROR(__xludf.DUMMYFUNCTION("""COMPUTED_VALUE"""),"Delivered")</f>
        <v>Delivered</v>
      </c>
      <c r="N32" s="31" t="str">
        <f>IFERROR(__xludf.DUMMYFUNCTION("""COMPUTED_VALUE"""),"Offer Drop - laptop to be picked up")</f>
        <v>Offer Drop - laptop to be picked up</v>
      </c>
    </row>
    <row r="33">
      <c r="A33" s="31">
        <f>IFERROR(__xludf.DUMMYFUNCTION("""COMPUTED_VALUE"""),31.0)</f>
        <v>31</v>
      </c>
      <c r="B33" s="31" t="str">
        <f>IFERROR(__xludf.DUMMYFUNCTION("""COMPUTED_VALUE"""),"Abhinav Srivastava")</f>
        <v>Abhinav Srivastava</v>
      </c>
      <c r="C33" s="31" t="str">
        <f>IFERROR(__xludf.DUMMYFUNCTION("""COMPUTED_VALUE"""),"abhinavsrivastava170@gmail.com")</f>
        <v>abhinavsrivastava170@gmail.com</v>
      </c>
      <c r="D33" s="84">
        <f>IFERROR(__xludf.DUMMYFUNCTION("""COMPUTED_VALUE"""),9.58236164E9)</f>
        <v>9582361640</v>
      </c>
      <c r="E33" s="87">
        <f>IFERROR(__xludf.DUMMYFUNCTION("""COMPUTED_VALUE"""),44585.0)</f>
        <v>44585</v>
      </c>
      <c r="F33" s="31"/>
      <c r="G33" s="85" t="str">
        <f>IFERROR(__xludf.DUMMYFUNCTION("""COMPUTED_VALUE"""),"B-445 Raja Ji Puram, Lucknow, Uttar Pradesh. Pin Code-226017")</f>
        <v>B-445 Raja Ji Puram, Lucknow, Uttar Pradesh. Pin Code-226017</v>
      </c>
      <c r="H33" s="31" t="str">
        <f>IFERROR(__xludf.DUMMYFUNCTION("""COMPUTED_VALUE"""),"Windows Laptop + Headphone + Mouse")</f>
        <v>Windows Laptop + Headphone + Mouse</v>
      </c>
      <c r="I33" s="31" t="str">
        <f>IFERROR(__xludf.DUMMYFUNCTION("""COMPUTED_VALUE"""),"Data Engineer")</f>
        <v>Data Engineer</v>
      </c>
      <c r="J33" s="31"/>
      <c r="K33" s="31"/>
      <c r="L33" s="31" t="str">
        <f>IFERROR(__xludf.DUMMYFUNCTION("""COMPUTED_VALUE"""),"Dispatched")</f>
        <v>Dispatched</v>
      </c>
      <c r="M33" s="31" t="str">
        <f>IFERROR(__xludf.DUMMYFUNCTION("""COMPUTED_VALUE"""),"Delivered")</f>
        <v>Delivered</v>
      </c>
      <c r="N33" s="31"/>
    </row>
    <row r="34">
      <c r="A34" s="31">
        <f>IFERROR(__xludf.DUMMYFUNCTION("""COMPUTED_VALUE"""),32.0)</f>
        <v>32</v>
      </c>
      <c r="B34" s="31" t="str">
        <f>IFERROR(__xludf.DUMMYFUNCTION("""COMPUTED_VALUE"""),"Reyansh Mishra")</f>
        <v>Reyansh Mishra</v>
      </c>
      <c r="C34" s="31" t="str">
        <f>IFERROR(__xludf.DUMMYFUNCTION("""COMPUTED_VALUE"""),"reyanshmishra@outlook.com")</f>
        <v>reyanshmishra@outlook.com</v>
      </c>
      <c r="D34" s="84">
        <f>IFERROR(__xludf.DUMMYFUNCTION("""COMPUTED_VALUE"""),9.321910353E9)</f>
        <v>9321910353</v>
      </c>
      <c r="E34" s="87">
        <f>IFERROR(__xludf.DUMMYFUNCTION("""COMPUTED_VALUE"""),44599.0)</f>
        <v>44599</v>
      </c>
      <c r="F34" s="31"/>
      <c r="G34" s="85" t="str">
        <f>IFERROR(__xludf.DUMMYFUNCTION("""COMPUTED_VALUE"""),"703, A Wing, Paradigm Twinstar, near Ritu Glorius, near Orange Hospital, Ramdev Park, Mira Road East 401107")</f>
        <v>703, A Wing, Paradigm Twinstar, near Ritu Glorius, near Orange Hospital, Ramdev Park, Mira Road East 401107</v>
      </c>
      <c r="H34" s="31" t="str">
        <f>IFERROR(__xludf.DUMMYFUNCTION("""COMPUTED_VALUE"""),"Macbook + Mobile Phone")</f>
        <v>Macbook + Mobile Phone</v>
      </c>
      <c r="I34" s="31" t="str">
        <f>IFERROR(__xludf.DUMMYFUNCTION("""COMPUTED_VALUE"""),"Senior Software Engineer")</f>
        <v>Senior Software Engineer</v>
      </c>
      <c r="J34" s="31"/>
      <c r="K34" s="31"/>
      <c r="L34" s="31" t="str">
        <f>IFERROR(__xludf.DUMMYFUNCTION("""COMPUTED_VALUE"""),"Dispatched")</f>
        <v>Dispatched</v>
      </c>
      <c r="M34" s="31" t="str">
        <f>IFERROR(__xludf.DUMMYFUNCTION("""COMPUTED_VALUE"""),"Delivered")</f>
        <v>Delivered</v>
      </c>
      <c r="N34" s="31"/>
    </row>
    <row r="35">
      <c r="A35" s="31">
        <f>IFERROR(__xludf.DUMMYFUNCTION("""COMPUTED_VALUE"""),33.0)</f>
        <v>33</v>
      </c>
      <c r="B35" s="31" t="str">
        <f>IFERROR(__xludf.DUMMYFUNCTION("""COMPUTED_VALUE"""),"Ritika Gola")</f>
        <v>Ritika Gola</v>
      </c>
      <c r="C35" s="31" t="str">
        <f>IFERROR(__xludf.DUMMYFUNCTION("""COMPUTED_VALUE"""),"ritikagola08@gmail.com")</f>
        <v>ritikagola08@gmail.com</v>
      </c>
      <c r="D35" s="84" t="str">
        <f>IFERROR(__xludf.DUMMYFUNCTION("""COMPUTED_VALUE"""),"98993 27662")</f>
        <v>98993 27662</v>
      </c>
      <c r="E35" s="88">
        <f>IFERROR(__xludf.DUMMYFUNCTION("""COMPUTED_VALUE"""),44593.0)</f>
        <v>44593</v>
      </c>
      <c r="F35" s="31"/>
      <c r="G35" s="85" t="str">
        <f>IFERROR(__xludf.DUMMYFUNCTION("""COMPUTED_VALUE"""),"C-2/226 yamuna vihar delhi 53")</f>
        <v>C-2/226 yamuna vihar delhi 53</v>
      </c>
      <c r="H35" s="31" t="str">
        <f>IFERROR(__xludf.DUMMYFUNCTION("""COMPUTED_VALUE"""),"Windows laptop")</f>
        <v>Windows laptop</v>
      </c>
      <c r="I35" s="31" t="str">
        <f>IFERROR(__xludf.DUMMYFUNCTION("""COMPUTED_VALUE"""),"Executive - Customer Experience")</f>
        <v>Executive - Customer Experience</v>
      </c>
      <c r="J35" s="31"/>
      <c r="K35" s="31"/>
      <c r="L35" s="31" t="str">
        <f>IFERROR(__xludf.DUMMYFUNCTION("""COMPUTED_VALUE"""),"Dispatched")</f>
        <v>Dispatched</v>
      </c>
      <c r="M35" s="31" t="str">
        <f>IFERROR(__xludf.DUMMYFUNCTION("""COMPUTED_VALUE"""),"Delivered")</f>
        <v>Delivered</v>
      </c>
      <c r="N35" s="31"/>
    </row>
    <row r="36">
      <c r="A36" s="31">
        <f>IFERROR(__xludf.DUMMYFUNCTION("""COMPUTED_VALUE"""),34.0)</f>
        <v>34</v>
      </c>
      <c r="B36" s="31" t="str">
        <f>IFERROR(__xludf.DUMMYFUNCTION("""COMPUTED_VALUE"""),"Nikhil Kumar Gupta")</f>
        <v>Nikhil Kumar Gupta</v>
      </c>
      <c r="C36" s="31" t="str">
        <f>IFERROR(__xludf.DUMMYFUNCTION("""COMPUTED_VALUE"""),"guptanikhil1503@gmail.com")</f>
        <v>guptanikhil1503@gmail.com</v>
      </c>
      <c r="D36" s="84">
        <f>IFERROR(__xludf.DUMMYFUNCTION("""COMPUTED_VALUE"""),9.910930975E9)</f>
        <v>9910930975</v>
      </c>
      <c r="E36" s="88">
        <f>IFERROR(__xludf.DUMMYFUNCTION("""COMPUTED_VALUE"""),44593.0)</f>
        <v>44593</v>
      </c>
      <c r="F36" s="31"/>
      <c r="G36" s="85" t="str">
        <f>IFERROR(__xludf.DUMMYFUNCTION("""COMPUTED_VALUE"""),"201, A-Block 5th Avenue Alwanaka, Manjhalpur Vadodara Gujrat Pincode:- 390011")</f>
        <v>201, A-Block 5th Avenue Alwanaka, Manjhalpur Vadodara Gujrat Pincode:- 390011</v>
      </c>
      <c r="H36" s="31" t="str">
        <f>IFERROR(__xludf.DUMMYFUNCTION("""COMPUTED_VALUE"""),"Macbook + Mobile Phone")</f>
        <v>Macbook + Mobile Phone</v>
      </c>
      <c r="I36" s="31" t="str">
        <f>IFERROR(__xludf.DUMMYFUNCTION("""COMPUTED_VALUE"""),"DevOps Engineer")</f>
        <v>DevOps Engineer</v>
      </c>
      <c r="J36" s="31"/>
      <c r="K36" s="31"/>
      <c r="L36" s="31" t="str">
        <f>IFERROR(__xludf.DUMMYFUNCTION("""COMPUTED_VALUE"""),"Dispatched")</f>
        <v>Dispatched</v>
      </c>
      <c r="M36" s="31" t="str">
        <f>IFERROR(__xludf.DUMMYFUNCTION("""COMPUTED_VALUE"""),"Delivered")</f>
        <v>Delivered</v>
      </c>
      <c r="N36" s="31"/>
    </row>
    <row r="37">
      <c r="A37" s="31">
        <f>IFERROR(__xludf.DUMMYFUNCTION("""COMPUTED_VALUE"""),35.0)</f>
        <v>35</v>
      </c>
      <c r="B37" s="31" t="str">
        <f>IFERROR(__xludf.DUMMYFUNCTION("""COMPUTED_VALUE"""),"Vidhi Arora")</f>
        <v>Vidhi Arora</v>
      </c>
      <c r="C37" s="31" t="str">
        <f>IFERROR(__xludf.DUMMYFUNCTION("""COMPUTED_VALUE"""),"aroravidhi01@gmail.com")</f>
        <v>aroravidhi01@gmail.com</v>
      </c>
      <c r="D37" s="84">
        <f>IFERROR(__xludf.DUMMYFUNCTION("""COMPUTED_VALUE"""),7.00990541E9)</f>
        <v>7009905410</v>
      </c>
      <c r="E37" s="88">
        <f>IFERROR(__xludf.DUMMYFUNCTION("""COMPUTED_VALUE"""),44606.0)</f>
        <v>44606</v>
      </c>
      <c r="F37" s="31"/>
      <c r="G37" s="85" t="str">
        <f>IFERROR(__xludf.DUMMYFUNCTION("""COMPUTED_VALUE"""),"Second Floor, Street No.2 , Court Colony near Sanjivani Hospital, Sirsa, Haryana. Pincode - 125055")</f>
        <v>Second Floor, Street No.2 , Court Colony near Sanjivani Hospital, Sirsa, Haryana. Pincode - 125055</v>
      </c>
      <c r="H37" s="31" t="str">
        <f>IFERROR(__xludf.DUMMYFUNCTION("""COMPUTED_VALUE"""),"Macbook + Mobile Phone")</f>
        <v>Macbook + Mobile Phone</v>
      </c>
      <c r="I37" s="31" t="str">
        <f>IFERROR(__xludf.DUMMYFUNCTION("""COMPUTED_VALUE"""),"SDET")</f>
        <v>SDET</v>
      </c>
      <c r="J37" s="31"/>
      <c r="K37" s="31"/>
      <c r="L37" s="31" t="str">
        <f>IFERROR(__xludf.DUMMYFUNCTION("""COMPUTED_VALUE"""),"Dispatched")</f>
        <v>Dispatched</v>
      </c>
      <c r="M37" s="31" t="str">
        <f>IFERROR(__xludf.DUMMYFUNCTION("""COMPUTED_VALUE"""),"Delivered")</f>
        <v>Delivered</v>
      </c>
      <c r="N37" s="31"/>
    </row>
    <row r="38">
      <c r="A38" s="31">
        <f>IFERROR(__xludf.DUMMYFUNCTION("""COMPUTED_VALUE"""),36.0)</f>
        <v>36</v>
      </c>
      <c r="B38" s="31" t="str">
        <f>IFERROR(__xludf.DUMMYFUNCTION("""COMPUTED_VALUE"""),"Deeplata Singh")</f>
        <v>Deeplata Singh</v>
      </c>
      <c r="C38" s="31" t="str">
        <f>IFERROR(__xludf.DUMMYFUNCTION("""COMPUTED_VALUE"""),"deeptisingh151090@gmail.com")</f>
        <v>deeptisingh151090@gmail.com</v>
      </c>
      <c r="D38" s="84">
        <f>IFERROR(__xludf.DUMMYFUNCTION("""COMPUTED_VALUE"""),9.580846113E9)</f>
        <v>9580846113</v>
      </c>
      <c r="E38" s="88">
        <f>IFERROR(__xludf.DUMMYFUNCTION("""COMPUTED_VALUE"""),44593.0)</f>
        <v>44593</v>
      </c>
      <c r="F38" s="31"/>
      <c r="G38" s="85" t="str">
        <f>IFERROR(__xludf.DUMMYFUNCTION("""COMPUTED_VALUE"""),"555/J/317-10 RAM PRASAD KHERA ALAMBAGH BEHIND CENTRAL BANK OF INDIA LUCKNOW UP - 226005")</f>
        <v>555/J/317-10 RAM PRASAD KHERA ALAMBAGH BEHIND CENTRAL BANK OF INDIA LUCKNOW UP - 226005</v>
      </c>
      <c r="H38" s="31" t="str">
        <f>IFERROR(__xludf.DUMMYFUNCTION("""COMPUTED_VALUE"""),"Windows Laptop")</f>
        <v>Windows Laptop</v>
      </c>
      <c r="I38" s="31" t="str">
        <f>IFERROR(__xludf.DUMMYFUNCTION("""COMPUTED_VALUE"""),"Executive - Customer Experience")</f>
        <v>Executive - Customer Experience</v>
      </c>
      <c r="J38" s="31"/>
      <c r="K38" s="31"/>
      <c r="L38" s="31" t="str">
        <f>IFERROR(__xludf.DUMMYFUNCTION("""COMPUTED_VALUE"""),"Dispatched")</f>
        <v>Dispatched</v>
      </c>
      <c r="M38" s="31" t="str">
        <f>IFERROR(__xludf.DUMMYFUNCTION("""COMPUTED_VALUE"""),"Delivered")</f>
        <v>Delivered</v>
      </c>
      <c r="N38" s="31"/>
    </row>
    <row r="39">
      <c r="A39" s="31">
        <f>IFERROR(__xludf.DUMMYFUNCTION("""COMPUTED_VALUE"""),37.0)</f>
        <v>37</v>
      </c>
      <c r="B39" s="31" t="str">
        <f>IFERROR(__xludf.DUMMYFUNCTION("""COMPUTED_VALUE"""),"Prashant Kumar")</f>
        <v>Prashant Kumar</v>
      </c>
      <c r="C39" s="31" t="str">
        <f>IFERROR(__xludf.DUMMYFUNCTION("""COMPUTED_VALUE"""),"pk14697@gmail.com")</f>
        <v>pk14697@gmail.com</v>
      </c>
      <c r="D39" s="84">
        <f>IFERROR(__xludf.DUMMYFUNCTION("""COMPUTED_VALUE"""),7.042168083E9)</f>
        <v>7042168083</v>
      </c>
      <c r="E39" s="88">
        <f>IFERROR(__xludf.DUMMYFUNCTION("""COMPUTED_VALUE"""),44606.0)</f>
        <v>44606</v>
      </c>
      <c r="F39" s="31"/>
      <c r="G39" s="85" t="str">
        <f>IFERROR(__xludf.DUMMYFUNCTION("""COMPUTED_VALUE"""),"D-160, Mangolpuri, Delhi 110083")</f>
        <v>D-160, Mangolpuri, Delhi 110083</v>
      </c>
      <c r="H39" s="31" t="str">
        <f>IFERROR(__xludf.DUMMYFUNCTION("""COMPUTED_VALUE"""),"Windows Laptop")</f>
        <v>Windows Laptop</v>
      </c>
      <c r="I39" s="31" t="str">
        <f>IFERROR(__xludf.DUMMYFUNCTION("""COMPUTED_VALUE"""),"Analyst - Business Intelligence")</f>
        <v>Analyst - Business Intelligence</v>
      </c>
      <c r="J39" s="31"/>
      <c r="K39" s="31"/>
      <c r="L39" s="31" t="str">
        <f>IFERROR(__xludf.DUMMYFUNCTION("""COMPUTED_VALUE"""),"Dispatched")</f>
        <v>Dispatched</v>
      </c>
      <c r="M39" s="31" t="str">
        <f>IFERROR(__xludf.DUMMYFUNCTION("""COMPUTED_VALUE"""),"Delivered")</f>
        <v>Delivered</v>
      </c>
      <c r="N39" s="31" t="str">
        <f>IFERROR(__xludf.DUMMYFUNCTION("""COMPUTED_VALUE"""),"Please initiate Asset delivery")</f>
        <v>Please initiate Asset delivery</v>
      </c>
    </row>
    <row r="40">
      <c r="A40" s="31">
        <f>IFERROR(__xludf.DUMMYFUNCTION("""COMPUTED_VALUE"""),38.0)</f>
        <v>38</v>
      </c>
      <c r="B40" s="31" t="str">
        <f>IFERROR(__xludf.DUMMYFUNCTION("""COMPUTED_VALUE"""),"Divya")</f>
        <v>Divya</v>
      </c>
      <c r="C40" s="31" t="str">
        <f>IFERROR(__xludf.DUMMYFUNCTION("""COMPUTED_VALUE"""),"dd8628083429@gmail.com")</f>
        <v>dd8628083429@gmail.com</v>
      </c>
      <c r="D40" s="84">
        <f>IFERROR(__xludf.DUMMYFUNCTION("""COMPUTED_VALUE"""),7.018204874E9)</f>
        <v>7018204874</v>
      </c>
      <c r="E40" s="88">
        <f>IFERROR(__xludf.DUMMYFUNCTION("""COMPUTED_VALUE"""),44600.0)</f>
        <v>44600</v>
      </c>
      <c r="F40" s="31"/>
      <c r="G40" s="85" t="str">
        <f>IFERROR(__xludf.DUMMYFUNCTION("""COMPUTED_VALUE"""),"Komal apartments, near Sharnam hotel ekta colony, Punjab Mohali (Balongi) pin code 160055")</f>
        <v>Komal apartments, near Sharnam hotel ekta colony, Punjab Mohali (Balongi) pin code 160055</v>
      </c>
      <c r="H40" s="31" t="str">
        <f>IFERROR(__xludf.DUMMYFUNCTION("""COMPUTED_VALUE"""),"Windows Laptop")</f>
        <v>Windows Laptop</v>
      </c>
      <c r="I40" s="31" t="str">
        <f>IFERROR(__xludf.DUMMYFUNCTION("""COMPUTED_VALUE"""),"Executive - Customer Experience")</f>
        <v>Executive - Customer Experience</v>
      </c>
      <c r="J40" s="31"/>
      <c r="K40" s="31"/>
      <c r="L40" s="31" t="str">
        <f>IFERROR(__xludf.DUMMYFUNCTION("""COMPUTED_VALUE"""),"Dispatched")</f>
        <v>Dispatched</v>
      </c>
      <c r="M40" s="31" t="str">
        <f>IFERROR(__xludf.DUMMYFUNCTION("""COMPUTED_VALUE"""),"Delivered")</f>
        <v>Delivered</v>
      </c>
      <c r="N40" s="31"/>
    </row>
    <row r="41">
      <c r="A41" s="31">
        <f>IFERROR(__xludf.DUMMYFUNCTION("""COMPUTED_VALUE"""),39.0)</f>
        <v>39</v>
      </c>
      <c r="B41" s="31" t="str">
        <f>IFERROR(__xludf.DUMMYFUNCTION("""COMPUTED_VALUE"""),"Gaurav Malhotra")</f>
        <v>Gaurav Malhotra</v>
      </c>
      <c r="C41" s="31" t="str">
        <f>IFERROR(__xludf.DUMMYFUNCTION("""COMPUTED_VALUE"""),"Gaurav.Malhotra@live.in")</f>
        <v>Gaurav.Malhotra@live.in</v>
      </c>
      <c r="D41" s="84">
        <f>IFERROR(__xludf.DUMMYFUNCTION("""COMPUTED_VALUE"""),9.899428728E9)</f>
        <v>9899428728</v>
      </c>
      <c r="E41" s="88">
        <f>IFERROR(__xludf.DUMMYFUNCTION("""COMPUTED_VALUE"""),44593.0)</f>
        <v>44593</v>
      </c>
      <c r="F41" s="31"/>
      <c r="G41" s="85" t="str">
        <f>IFERROR(__xludf.DUMMYFUNCTION("""COMPUTED_VALUE"""),"Tower 32, Flat 101, Lotus Boulevard Espacia, Next to pathways school, sector - 100, Noida")</f>
        <v>Tower 32, Flat 101, Lotus Boulevard Espacia, Next to pathways school, sector - 100, Noida</v>
      </c>
      <c r="H41" s="31" t="str">
        <f>IFERROR(__xludf.DUMMYFUNCTION("""COMPUTED_VALUE"""),"Mac Pro (dark steel grey is preferred but any other color as standard would be okay) + bigger monitor screen + Printer")</f>
        <v>Mac Pro (dark steel grey is preferred but any other color as standard would be okay) + bigger monitor screen + Printer</v>
      </c>
      <c r="I41" s="31" t="str">
        <f>IFERROR(__xludf.DUMMYFUNCTION("""COMPUTED_VALUE"""),"General Counsel - Litigation")</f>
        <v>General Counsel - Litigation</v>
      </c>
      <c r="J41" s="31"/>
      <c r="K41" s="31"/>
      <c r="L41" s="31" t="str">
        <f>IFERROR(__xludf.DUMMYFUNCTION("""COMPUTED_VALUE"""),"Dispatched")</f>
        <v>Dispatched</v>
      </c>
      <c r="M41" s="31" t="str">
        <f>IFERROR(__xludf.DUMMYFUNCTION("""COMPUTED_VALUE"""),"Delivered")</f>
        <v>Delivered</v>
      </c>
      <c r="N41" s="31"/>
    </row>
    <row r="42">
      <c r="A42" s="31">
        <f>IFERROR(__xludf.DUMMYFUNCTION("""COMPUTED_VALUE"""),40.0)</f>
        <v>40</v>
      </c>
      <c r="B42" s="31" t="str">
        <f>IFERROR(__xludf.DUMMYFUNCTION("""COMPUTED_VALUE"""),"Mansi Varshney")</f>
        <v>Mansi Varshney</v>
      </c>
      <c r="C42" s="31" t="str">
        <f>IFERROR(__xludf.DUMMYFUNCTION("""COMPUTED_VALUE"""),"mansivar211@gmail.com")</f>
        <v>mansivar211@gmail.com</v>
      </c>
      <c r="D42" s="84">
        <f>IFERROR(__xludf.DUMMYFUNCTION("""COMPUTED_VALUE"""),7.017431209E9)</f>
        <v>7017431209</v>
      </c>
      <c r="E42" s="88">
        <f>IFERROR(__xludf.DUMMYFUNCTION("""COMPUTED_VALUE"""),44608.0)</f>
        <v>44608</v>
      </c>
      <c r="F42" s="31"/>
      <c r="G42" s="85" t="str">
        <f>IFERROR(__xludf.DUMMYFUNCTION("""COMPUTED_VALUE"""),"House no. - 1578 , Room no. - 106 , Commune - 4 , Sector - 57 , Gurugram 122011")</f>
        <v>House no. - 1578 , Room no. - 106 , Commune - 4 , Sector - 57 , Gurugram 122011</v>
      </c>
      <c r="H42" s="31" t="str">
        <f>IFERROR(__xludf.DUMMYFUNCTION("""COMPUTED_VALUE"""),"Macbook + Mobile Phone")</f>
        <v>Macbook + Mobile Phone</v>
      </c>
      <c r="I42" s="31" t="str">
        <f>IFERROR(__xludf.DUMMYFUNCTION("""COMPUTED_VALUE"""),"SDET")</f>
        <v>SDET</v>
      </c>
      <c r="J42" s="31"/>
      <c r="K42" s="31"/>
      <c r="L42" s="31" t="str">
        <f>IFERROR(__xludf.DUMMYFUNCTION("""COMPUTED_VALUE"""),"Dispatched")</f>
        <v>Dispatched</v>
      </c>
      <c r="M42" s="31" t="str">
        <f>IFERROR(__xludf.DUMMYFUNCTION("""COMPUTED_VALUE"""),"Delivered")</f>
        <v>Delivered</v>
      </c>
      <c r="N42" s="31" t="str">
        <f>IFERROR(__xludf.DUMMYFUNCTION("""COMPUTED_VALUE"""),"Offer Drop - Assets to be picked up")</f>
        <v>Offer Drop - Assets to be picked up</v>
      </c>
    </row>
    <row r="43">
      <c r="A43" s="31">
        <f>IFERROR(__xludf.DUMMYFUNCTION("""COMPUTED_VALUE"""),41.0)</f>
        <v>41</v>
      </c>
      <c r="B43" s="31" t="str">
        <f>IFERROR(__xludf.DUMMYFUNCTION("""COMPUTED_VALUE"""),"Vidushi Gupta")</f>
        <v>Vidushi Gupta</v>
      </c>
      <c r="C43" s="31" t="str">
        <f>IFERROR(__xludf.DUMMYFUNCTION("""COMPUTED_VALUE"""),"vidushigupta68@gmail.com")</f>
        <v>vidushigupta68@gmail.com</v>
      </c>
      <c r="D43" s="84">
        <f>IFERROR(__xludf.DUMMYFUNCTION("""COMPUTED_VALUE"""),7.973577414E9)</f>
        <v>7973577414</v>
      </c>
      <c r="E43" s="88">
        <f>IFERROR(__xludf.DUMMYFUNCTION("""COMPUTED_VALUE"""),44600.0)</f>
        <v>44600</v>
      </c>
      <c r="F43" s="31"/>
      <c r="G43" s="85" t="str">
        <f>IFERROR(__xludf.DUMMYFUNCTION("""COMPUTED_VALUE"""),"640-B, Aggar nagar, Ludhiana, Punjab - 141012")</f>
        <v>640-B, Aggar nagar, Ludhiana, Punjab - 141012</v>
      </c>
      <c r="H43" s="31" t="str">
        <f>IFERROR(__xludf.DUMMYFUNCTION("""COMPUTED_VALUE"""),"Windows laptop")</f>
        <v>Windows laptop</v>
      </c>
      <c r="I43" s="31" t="str">
        <f>IFERROR(__xludf.DUMMYFUNCTION("""COMPUTED_VALUE"""),"Executive - Customer Experience")</f>
        <v>Executive - Customer Experience</v>
      </c>
      <c r="J43" s="31"/>
      <c r="K43" s="31"/>
      <c r="L43" s="31" t="str">
        <f>IFERROR(__xludf.DUMMYFUNCTION("""COMPUTED_VALUE"""),"Dispatched")</f>
        <v>Dispatched</v>
      </c>
      <c r="M43" s="31" t="str">
        <f>IFERROR(__xludf.DUMMYFUNCTION("""COMPUTED_VALUE"""),"Delivered")</f>
        <v>Delivered</v>
      </c>
      <c r="N43" s="31"/>
    </row>
    <row r="44">
      <c r="A44" s="31">
        <f>IFERROR(__xludf.DUMMYFUNCTION("""COMPUTED_VALUE"""),42.0)</f>
        <v>42</v>
      </c>
      <c r="B44" s="31" t="str">
        <f>IFERROR(__xludf.DUMMYFUNCTION("""COMPUTED_VALUE"""),"Swati Bhardwaj")</f>
        <v>Swati Bhardwaj</v>
      </c>
      <c r="C44" s="31" t="str">
        <f>IFERROR(__xludf.DUMMYFUNCTION("""COMPUTED_VALUE"""),"swatib101@gmail.com")</f>
        <v>swatib101@gmail.com</v>
      </c>
      <c r="D44" s="84">
        <f>IFERROR(__xludf.DUMMYFUNCTION("""COMPUTED_VALUE"""),8.802723674E9)</f>
        <v>8802723674</v>
      </c>
      <c r="E44" s="88">
        <f>IFERROR(__xludf.DUMMYFUNCTION("""COMPUTED_VALUE"""),44614.0)</f>
        <v>44614</v>
      </c>
      <c r="F44" s="31"/>
      <c r="G44" s="85" t="str">
        <f>IFERROR(__xludf.DUMMYFUNCTION("""COMPUTED_VALUE"""),"Flat No- 310C, Third floor, Arihant Harmony, Ahinsa Khand - 2, Indirapuram, Ghaziabad- 201014")</f>
        <v>Flat No- 310C, Third floor, Arihant Harmony, Ahinsa Khand - 2, Indirapuram, Ghaziabad- 201014</v>
      </c>
      <c r="H44" s="31" t="str">
        <f>IFERROR(__xludf.DUMMYFUNCTION("""COMPUTED_VALUE"""),"Windows laptop + Mouse + Headphones with mic")</f>
        <v>Windows laptop + Mouse + Headphones with mic</v>
      </c>
      <c r="I44" s="31" t="str">
        <f>IFERROR(__xludf.DUMMYFUNCTION("""COMPUTED_VALUE"""),"Senior Game Artist")</f>
        <v>Senior Game Artist</v>
      </c>
      <c r="J44" s="31"/>
      <c r="K44" s="31"/>
      <c r="L44" s="31" t="str">
        <f>IFERROR(__xludf.DUMMYFUNCTION("""COMPUTED_VALUE"""),"Dispatched")</f>
        <v>Dispatched</v>
      </c>
      <c r="M44" s="31" t="str">
        <f>IFERROR(__xludf.DUMMYFUNCTION("""COMPUTED_VALUE"""),"Delivered")</f>
        <v>Delivered</v>
      </c>
      <c r="N44" s="31"/>
    </row>
    <row r="45">
      <c r="A45" s="31">
        <f>IFERROR(__xludf.DUMMYFUNCTION("""COMPUTED_VALUE"""),43.0)</f>
        <v>43</v>
      </c>
      <c r="B45" s="31" t="str">
        <f>IFERROR(__xludf.DUMMYFUNCTION("""COMPUTED_VALUE"""),"Jitendra Kaintura")</f>
        <v>Jitendra Kaintura</v>
      </c>
      <c r="C45" s="31" t="str">
        <f>IFERROR(__xludf.DUMMYFUNCTION("""COMPUTED_VALUE"""),"jitendrakaintura21@gmail.com")</f>
        <v>jitendrakaintura21@gmail.com</v>
      </c>
      <c r="D45" s="84">
        <f>IFERROR(__xludf.DUMMYFUNCTION("""COMPUTED_VALUE"""),8.077046289E9)</f>
        <v>8077046289</v>
      </c>
      <c r="E45" s="88">
        <f>IFERROR(__xludf.DUMMYFUNCTION("""COMPUTED_VALUE"""),44600.0)</f>
        <v>44600</v>
      </c>
      <c r="F45" s="31"/>
      <c r="G45" s="85" t="str">
        <f>IFERROR(__xludf.DUMMYFUNCTION("""COMPUTED_VALUE"""),"C/O Mamta Rawat Lane no 9. Pushp Vihar, Near sparkling stars school, Gujrowali Nathuwala, Dehradun (Uttarakhand) -248008")</f>
        <v>C/O Mamta Rawat Lane no 9. Pushp Vihar, Near sparkling stars school, Gujrowali Nathuwala, Dehradun (Uttarakhand) -248008</v>
      </c>
      <c r="H45" s="31" t="str">
        <f>IFERROR(__xludf.DUMMYFUNCTION("""COMPUTED_VALUE"""),"Windows Laptop")</f>
        <v>Windows Laptop</v>
      </c>
      <c r="I45" s="31" t="str">
        <f>IFERROR(__xludf.DUMMYFUNCTION("""COMPUTED_VALUE"""),"Executive - Customer Experience")</f>
        <v>Executive - Customer Experience</v>
      </c>
      <c r="J45" s="31"/>
      <c r="K45" s="31"/>
      <c r="L45" s="31" t="str">
        <f>IFERROR(__xludf.DUMMYFUNCTION("""COMPUTED_VALUE"""),"Dispatched")</f>
        <v>Dispatched</v>
      </c>
      <c r="M45" s="31" t="str">
        <f>IFERROR(__xludf.DUMMYFUNCTION("""COMPUTED_VALUE"""),"Delivered")</f>
        <v>Delivered</v>
      </c>
      <c r="N45" s="31"/>
    </row>
    <row r="46">
      <c r="A46" s="31">
        <f>IFERROR(__xludf.DUMMYFUNCTION("""COMPUTED_VALUE"""),44.0)</f>
        <v>44</v>
      </c>
      <c r="B46" s="31" t="str">
        <f>IFERROR(__xludf.DUMMYFUNCTION("""COMPUTED_VALUE"""),"Sakshi Gupta")</f>
        <v>Sakshi Gupta</v>
      </c>
      <c r="C46" s="31" t="str">
        <f>IFERROR(__xludf.DUMMYFUNCTION("""COMPUTED_VALUE"""),"guptasakshi.sg68@gmail.com")</f>
        <v>guptasakshi.sg68@gmail.com</v>
      </c>
      <c r="D46" s="84" t="str">
        <f>IFERROR(__xludf.DUMMYFUNCTION("""COMPUTED_VALUE"""),"8437469400/ 7888684151")</f>
        <v>8437469400/ 7888684151</v>
      </c>
      <c r="E46" s="88">
        <f>IFERROR(__xludf.DUMMYFUNCTION("""COMPUTED_VALUE"""),44606.0)</f>
        <v>44606</v>
      </c>
      <c r="F46" s="31"/>
      <c r="G46" s="85" t="str">
        <f>IFERROR(__xludf.DUMMYFUNCTION("""COMPUTED_VALUE"""),"12-F, Tej Bagh colony, Sanour Road, Patiala - 147001")</f>
        <v>12-F, Tej Bagh colony, Sanour Road, Patiala - 147001</v>
      </c>
      <c r="H46" s="31" t="str">
        <f>IFERROR(__xludf.DUMMYFUNCTION("""COMPUTED_VALUE"""),"Windows Laptop")</f>
        <v>Windows Laptop</v>
      </c>
      <c r="I46" s="31" t="str">
        <f>IFERROR(__xludf.DUMMYFUNCTION("""COMPUTED_VALUE"""),"Executive - Customer Experience")</f>
        <v>Executive - Customer Experience</v>
      </c>
      <c r="J46" s="31"/>
      <c r="K46" s="31"/>
      <c r="L46" s="31" t="str">
        <f>IFERROR(__xludf.DUMMYFUNCTION("""COMPUTED_VALUE"""),"Dispatched")</f>
        <v>Dispatched</v>
      </c>
      <c r="M46" s="31" t="str">
        <f>IFERROR(__xludf.DUMMYFUNCTION("""COMPUTED_VALUE"""),"Delivered")</f>
        <v>Delivered</v>
      </c>
      <c r="N46" s="31"/>
    </row>
    <row r="47">
      <c r="A47" s="31">
        <f>IFERROR(__xludf.DUMMYFUNCTION("""COMPUTED_VALUE"""),45.0)</f>
        <v>45</v>
      </c>
      <c r="B47" s="31" t="str">
        <f>IFERROR(__xludf.DUMMYFUNCTION("""COMPUTED_VALUE"""),"Aayushi Sharma")</f>
        <v>Aayushi Sharma</v>
      </c>
      <c r="C47" s="31" t="str">
        <f>IFERROR(__xludf.DUMMYFUNCTION("""COMPUTED_VALUE"""),"aashisharma1806@gmail.com")</f>
        <v>aashisharma1806@gmail.com</v>
      </c>
      <c r="D47" s="84">
        <f>IFERROR(__xludf.DUMMYFUNCTION("""COMPUTED_VALUE"""),7.290827256E9)</f>
        <v>7290827256</v>
      </c>
      <c r="E47" s="88">
        <f>IFERROR(__xludf.DUMMYFUNCTION("""COMPUTED_VALUE"""),44615.0)</f>
        <v>44615</v>
      </c>
      <c r="F47" s="31"/>
      <c r="G47" s="85" t="str">
        <f>IFERROR(__xludf.DUMMYFUNCTION("""COMPUTED_VALUE"""),"House No- 188, Street No- 4, New Colony Karehra, near Air Force Station, Mohan Nagar, Ghaziabad 201007")</f>
        <v>House No- 188, Street No- 4, New Colony Karehra, near Air Force Station, Mohan Nagar, Ghaziabad 201007</v>
      </c>
      <c r="H47" s="31" t="str">
        <f>IFERROR(__xludf.DUMMYFUNCTION("""COMPUTED_VALUE"""),"Macbook + Mobile Phone")</f>
        <v>Macbook + Mobile Phone</v>
      </c>
      <c r="I47" s="31" t="str">
        <f>IFERROR(__xludf.DUMMYFUNCTION("""COMPUTED_VALUE"""),"SDET")</f>
        <v>SDET</v>
      </c>
      <c r="J47" s="31"/>
      <c r="K47" s="31"/>
      <c r="L47" s="31" t="str">
        <f>IFERROR(__xludf.DUMMYFUNCTION("""COMPUTED_VALUE"""),"Dispatched")</f>
        <v>Dispatched</v>
      </c>
      <c r="M47" s="31" t="str">
        <f>IFERROR(__xludf.DUMMYFUNCTION("""COMPUTED_VALUE"""),"Delivered")</f>
        <v>Delivered</v>
      </c>
      <c r="N47" s="31"/>
    </row>
    <row r="48">
      <c r="A48" s="31">
        <f>IFERROR(__xludf.DUMMYFUNCTION("""COMPUTED_VALUE"""),46.0)</f>
        <v>46</v>
      </c>
      <c r="B48" s="31" t="str">
        <f>IFERROR(__xludf.DUMMYFUNCTION("""COMPUTED_VALUE"""),"Banta Singh")</f>
        <v>Banta Singh</v>
      </c>
      <c r="C48" s="31" t="str">
        <f>IFERROR(__xludf.DUMMYFUNCTION("""COMPUTED_VALUE"""),"bantasingh56595@gmail.com")</f>
        <v>bantasingh56595@gmail.com</v>
      </c>
      <c r="D48" s="84">
        <f>IFERROR(__xludf.DUMMYFUNCTION("""COMPUTED_VALUE"""),9.855699522E9)</f>
        <v>9855699522</v>
      </c>
      <c r="E48" s="88">
        <f>IFERROR(__xludf.DUMMYFUNCTION("""COMPUTED_VALUE"""),44609.0)</f>
        <v>44609</v>
      </c>
      <c r="F48" s="31"/>
      <c r="G48" s="85" t="str">
        <f>IFERROR(__xludf.DUMMYFUNCTION("""COMPUTED_VALUE"""),"Room No-26, Komal apartments, near Sharnam hotel ekta colony, Punjab Mohali (Balongi) pin code 160055")</f>
        <v>Room No-26, Komal apartments, near Sharnam hotel ekta colony, Punjab Mohali (Balongi) pin code 160055</v>
      </c>
      <c r="H48" s="31" t="str">
        <f>IFERROR(__xludf.DUMMYFUNCTION("""COMPUTED_VALUE"""),"Windows Laptop")</f>
        <v>Windows Laptop</v>
      </c>
      <c r="I48" s="31" t="str">
        <f>IFERROR(__xludf.DUMMYFUNCTION("""COMPUTED_VALUE"""),"Executive - Customer Experience")</f>
        <v>Executive - Customer Experience</v>
      </c>
      <c r="J48" s="31"/>
      <c r="K48" s="31"/>
      <c r="L48" s="31" t="str">
        <f>IFERROR(__xludf.DUMMYFUNCTION("""COMPUTED_VALUE"""),"Dispatched")</f>
        <v>Dispatched</v>
      </c>
      <c r="M48" s="31" t="str">
        <f>IFERROR(__xludf.DUMMYFUNCTION("""COMPUTED_VALUE"""),"Delivered")</f>
        <v>Delivered</v>
      </c>
      <c r="N48" s="31"/>
    </row>
    <row r="49">
      <c r="A49" s="31">
        <f>IFERROR(__xludf.DUMMYFUNCTION("""COMPUTED_VALUE"""),47.0)</f>
        <v>47</v>
      </c>
      <c r="B49" s="31" t="str">
        <f>IFERROR(__xludf.DUMMYFUNCTION("""COMPUTED_VALUE"""),"Om Prakash Deoli")</f>
        <v>Om Prakash Deoli</v>
      </c>
      <c r="C49" s="31" t="str">
        <f>IFERROR(__xludf.DUMMYFUNCTION("""COMPUTED_VALUE"""),"omdeoli@rediffmail.com")</f>
        <v>omdeoli@rediffmail.com</v>
      </c>
      <c r="D49" s="89">
        <f>IFERROR(__xludf.DUMMYFUNCTION("""COMPUTED_VALUE"""),9.871088999E9)</f>
        <v>9871088999</v>
      </c>
      <c r="E49" s="88">
        <f>IFERROR(__xludf.DUMMYFUNCTION("""COMPUTED_VALUE"""),44607.0)</f>
        <v>44607</v>
      </c>
      <c r="F49" s="31"/>
      <c r="G49" s="85" t="str">
        <f>IFERROR(__xludf.DUMMYFUNCTION("""COMPUTED_VALUE"""),"2921, F-9, Overseas Apartment, Sector- 50, Noida 201301")</f>
        <v>2921, F-9, Overseas Apartment, Sector- 50, Noida 201301</v>
      </c>
      <c r="H49" s="31" t="str">
        <f>IFERROR(__xludf.DUMMYFUNCTION("""COMPUTED_VALUE"""),"Windows Laptop")</f>
        <v>Windows Laptop</v>
      </c>
      <c r="I49" s="31" t="str">
        <f>IFERROR(__xludf.DUMMYFUNCTION("""COMPUTED_VALUE"""),"HR Consultant")</f>
        <v>HR Consultant</v>
      </c>
      <c r="J49" s="31"/>
      <c r="K49" s="31"/>
      <c r="L49" s="31" t="str">
        <f>IFERROR(__xludf.DUMMYFUNCTION("""COMPUTED_VALUE"""),"Dispatched")</f>
        <v>Dispatched</v>
      </c>
      <c r="M49" s="31" t="str">
        <f>IFERROR(__xludf.DUMMYFUNCTION("""COMPUTED_VALUE"""),"Delivered")</f>
        <v>Delivered</v>
      </c>
      <c r="N49" s="31" t="str">
        <f>IFERROR(__xludf.DUMMYFUNCTION("""COMPUTED_VALUE"""),"Laptop to be picked up")</f>
        <v>Laptop to be picked up</v>
      </c>
    </row>
    <row r="50">
      <c r="A50" s="31">
        <f>IFERROR(__xludf.DUMMYFUNCTION("""COMPUTED_VALUE"""),48.0)</f>
        <v>48</v>
      </c>
      <c r="B50" s="31" t="str">
        <f>IFERROR(__xludf.DUMMYFUNCTION("""COMPUTED_VALUE"""),"Ritwika Rai")</f>
        <v>Ritwika Rai</v>
      </c>
      <c r="C50" s="31" t="str">
        <f>IFERROR(__xludf.DUMMYFUNCTION("""COMPUTED_VALUE"""),"ritwikarai5@gmail.com")</f>
        <v>ritwikarai5@gmail.com</v>
      </c>
      <c r="D50" s="84">
        <f>IFERROR(__xludf.DUMMYFUNCTION("""COMPUTED_VALUE"""),7.038405006E9)</f>
        <v>7038405006</v>
      </c>
      <c r="E50" s="88">
        <f>IFERROR(__xludf.DUMMYFUNCTION("""COMPUTED_VALUE"""),44621.0)</f>
        <v>44621</v>
      </c>
      <c r="F50" s="31"/>
      <c r="G50" s="85" t="str">
        <f>IFERROR(__xludf.DUMMYFUNCTION("""COMPUTED_VALUE"""),"Shiv 11/49 AB5 Maa Gayatri Dham Colony, Chattripur, Holapur Road, Shivpur, Varanasi 221003")</f>
        <v>Shiv 11/49 AB5 Maa Gayatri Dham Colony, Chattripur, Holapur Road, Shivpur, Varanasi 221003</v>
      </c>
      <c r="H50" s="31" t="str">
        <f>IFERROR(__xludf.DUMMYFUNCTION("""COMPUTED_VALUE"""),"Macbook 13"" Pro")</f>
        <v>Macbook 13" Pro</v>
      </c>
      <c r="I50" s="31" t="str">
        <f>IFERROR(__xludf.DUMMYFUNCTION("""COMPUTED_VALUE"""),"Associate - Digital Marketing")</f>
        <v>Associate - Digital Marketing</v>
      </c>
      <c r="J50" s="31"/>
      <c r="K50" s="31"/>
      <c r="L50" s="31" t="str">
        <f>IFERROR(__xludf.DUMMYFUNCTION("""COMPUTED_VALUE"""),"Dispatched")</f>
        <v>Dispatched</v>
      </c>
      <c r="M50" s="31" t="str">
        <f>IFERROR(__xludf.DUMMYFUNCTION("""COMPUTED_VALUE"""),"Delivered")</f>
        <v>Delivered</v>
      </c>
      <c r="N50" s="31"/>
    </row>
    <row r="51">
      <c r="A51" s="31">
        <f>IFERROR(__xludf.DUMMYFUNCTION("""COMPUTED_VALUE"""),49.0)</f>
        <v>49</v>
      </c>
      <c r="B51" s="31" t="str">
        <f>IFERROR(__xludf.DUMMYFUNCTION("""COMPUTED_VALUE"""),"Saksham Aneja")</f>
        <v>Saksham Aneja</v>
      </c>
      <c r="C51" s="31" t="str">
        <f>IFERROR(__xludf.DUMMYFUNCTION("""COMPUTED_VALUE"""),"anejasaksham2@gmail.com")</f>
        <v>anejasaksham2@gmail.com</v>
      </c>
      <c r="D51" s="84">
        <f>IFERROR(__xludf.DUMMYFUNCTION("""COMPUTED_VALUE"""),8.770855347E9)</f>
        <v>8770855347</v>
      </c>
      <c r="E51" s="88">
        <f>IFERROR(__xludf.DUMMYFUNCTION("""COMPUTED_VALUE"""),44634.0)</f>
        <v>44634</v>
      </c>
      <c r="F51" s="31"/>
      <c r="G51" s="85" t="str">
        <f>IFERROR(__xludf.DUMMYFUNCTION("""COMPUTED_VALUE"""),"4/47 Ramnagar Adhartal, Jabalpur, M.P. 482004")</f>
        <v>4/47 Ramnagar Adhartal, Jabalpur, M.P. 482004</v>
      </c>
      <c r="H51" s="31" t="str">
        <f>IFERROR(__xludf.DUMMYFUNCTION("""COMPUTED_VALUE"""),"Macbook + Mobile Phone")</f>
        <v>Macbook + Mobile Phone</v>
      </c>
      <c r="I51" s="31" t="str">
        <f>IFERROR(__xludf.DUMMYFUNCTION("""COMPUTED_VALUE"""),"SDET")</f>
        <v>SDET</v>
      </c>
      <c r="J51" s="31"/>
      <c r="K51" s="31"/>
      <c r="L51" s="31" t="str">
        <f>IFERROR(__xludf.DUMMYFUNCTION("""COMPUTED_VALUE"""),"Dispatched")</f>
        <v>Dispatched</v>
      </c>
      <c r="M51" s="31" t="str">
        <f>IFERROR(__xludf.DUMMYFUNCTION("""COMPUTED_VALUE"""),"Delivered")</f>
        <v>Delivered</v>
      </c>
      <c r="N51" s="31"/>
    </row>
    <row r="52">
      <c r="A52" s="31">
        <f>IFERROR(__xludf.DUMMYFUNCTION("""COMPUTED_VALUE"""),50.0)</f>
        <v>50</v>
      </c>
      <c r="B52" s="31" t="str">
        <f>IFERROR(__xludf.DUMMYFUNCTION("""COMPUTED_VALUE"""),"Himanshi Manral")</f>
        <v>Himanshi Manral</v>
      </c>
      <c r="C52" s="31" t="str">
        <f>IFERROR(__xludf.DUMMYFUNCTION("""COMPUTED_VALUE"""),"hemsmanral@gmail.com")</f>
        <v>hemsmanral@gmail.com</v>
      </c>
      <c r="D52" s="84">
        <f>IFERROR(__xludf.DUMMYFUNCTION("""COMPUTED_VALUE"""),9.717556072E9)</f>
        <v>9717556072</v>
      </c>
      <c r="E52" s="88">
        <f>IFERROR(__xludf.DUMMYFUNCTION("""COMPUTED_VALUE"""),44621.0)</f>
        <v>44621</v>
      </c>
      <c r="F52" s="31"/>
      <c r="G52" s="85" t="str">
        <f>IFERROR(__xludf.DUMMYFUNCTION("""COMPUTED_VALUE"""),"E-15, Surya Kunj, near Kali Piou, Jharoda Road, Najafgarh, New Delhi 110072")</f>
        <v>E-15, Surya Kunj, near Kali Piou, Jharoda Road, Najafgarh, New Delhi 110072</v>
      </c>
      <c r="H52" s="31" t="str">
        <f>IFERROR(__xludf.DUMMYFUNCTION("""COMPUTED_VALUE"""),"Windows Laptop")</f>
        <v>Windows Laptop</v>
      </c>
      <c r="I52" s="31" t="str">
        <f>IFERROR(__xludf.DUMMYFUNCTION("""COMPUTED_VALUE"""),"Executive - Customer Experience")</f>
        <v>Executive - Customer Experience</v>
      </c>
      <c r="J52" s="31"/>
      <c r="K52" s="31"/>
      <c r="L52" s="31" t="str">
        <f>IFERROR(__xludf.DUMMYFUNCTION("""COMPUTED_VALUE"""),"Dispatched")</f>
        <v>Dispatched</v>
      </c>
      <c r="M52" s="31" t="str">
        <f>IFERROR(__xludf.DUMMYFUNCTION("""COMPUTED_VALUE"""),"Delivered")</f>
        <v>Delivered</v>
      </c>
      <c r="N52" s="31"/>
    </row>
    <row r="53">
      <c r="A53" s="31">
        <f>IFERROR(__xludf.DUMMYFUNCTION("""COMPUTED_VALUE"""),51.0)</f>
        <v>51</v>
      </c>
      <c r="B53" s="31" t="str">
        <f>IFERROR(__xludf.DUMMYFUNCTION("""COMPUTED_VALUE"""),"Sonam Gupta")</f>
        <v>Sonam Gupta</v>
      </c>
      <c r="C53" s="31" t="str">
        <f>IFERROR(__xludf.DUMMYFUNCTION("""COMPUTED_VALUE"""),"sonam.02gupta@gmail.com")</f>
        <v>sonam.02gupta@gmail.com</v>
      </c>
      <c r="D53" s="84" t="str">
        <f>IFERROR(__xludf.DUMMYFUNCTION("""COMPUTED_VALUE"""),"97174 - 69055")</f>
        <v>97174 - 69055</v>
      </c>
      <c r="E53" s="88">
        <f>IFERROR(__xludf.DUMMYFUNCTION("""COMPUTED_VALUE"""),44621.0)</f>
        <v>44621</v>
      </c>
      <c r="F53" s="31"/>
      <c r="G53" s="85" t="str">
        <f>IFERROR(__xludf.DUMMYFUNCTION("""COMPUTED_VALUE"""),"668/7, 3rd florr, Govindpuri, Kalkaji, New Delhi 110019")</f>
        <v>668/7, 3rd florr, Govindpuri, Kalkaji, New Delhi 110019</v>
      </c>
      <c r="H53" s="31" t="str">
        <f>IFERROR(__xludf.DUMMYFUNCTION("""COMPUTED_VALUE"""),"Macbook 13"" Pro + Mouse")</f>
        <v>Macbook 13" Pro + Mouse</v>
      </c>
      <c r="I53" s="31" t="str">
        <f>IFERROR(__xludf.DUMMYFUNCTION("""COMPUTED_VALUE"""),"Manager - Digital Marketing")</f>
        <v>Manager - Digital Marketing</v>
      </c>
      <c r="J53" s="31"/>
      <c r="K53" s="31"/>
      <c r="L53" s="31" t="str">
        <f>IFERROR(__xludf.DUMMYFUNCTION("""COMPUTED_VALUE"""),"Dispatched")</f>
        <v>Dispatched</v>
      </c>
      <c r="M53" s="31" t="str">
        <f>IFERROR(__xludf.DUMMYFUNCTION("""COMPUTED_VALUE"""),"Delivered")</f>
        <v>Delivered</v>
      </c>
      <c r="N53" s="31"/>
    </row>
    <row r="54">
      <c r="A54" s="31">
        <f>IFERROR(__xludf.DUMMYFUNCTION("""COMPUTED_VALUE"""),52.0)</f>
        <v>52</v>
      </c>
      <c r="B54" s="31" t="str">
        <f>IFERROR(__xludf.DUMMYFUNCTION("""COMPUTED_VALUE"""),"Aakshdeep Madaan")</f>
        <v>Aakshdeep Madaan</v>
      </c>
      <c r="C54" s="31" t="str">
        <f>IFERROR(__xludf.DUMMYFUNCTION("""COMPUTED_VALUE"""),"aakashdeepmadaan@gmail.com")</f>
        <v>aakashdeepmadaan@gmail.com</v>
      </c>
      <c r="D54" s="84">
        <f>IFERROR(__xludf.DUMMYFUNCTION("""COMPUTED_VALUE"""),9.485501999E9)</f>
        <v>9485501999</v>
      </c>
      <c r="E54" s="88">
        <f>IFERROR(__xludf.DUMMYFUNCTION("""COMPUTED_VALUE"""),44615.0)</f>
        <v>44615</v>
      </c>
      <c r="F54" s="31"/>
      <c r="G54" s="85" t="str">
        <f>IFERROR(__xludf.DUMMYFUNCTION("""COMPUTED_VALUE"""),"E-162, Near Anaj Mandi, Sirsa, Haryana -125055")</f>
        <v>E-162, Near Anaj Mandi, Sirsa, Haryana -125055</v>
      </c>
      <c r="H54" s="31" t="str">
        <f>IFERROR(__xludf.DUMMYFUNCTION("""COMPUTED_VALUE"""),"Macbook + Mobile Phone")</f>
        <v>Macbook + Mobile Phone</v>
      </c>
      <c r="I54" s="31" t="str">
        <f>IFERROR(__xludf.DUMMYFUNCTION("""COMPUTED_VALUE"""),"Security Engineer")</f>
        <v>Security Engineer</v>
      </c>
      <c r="J54" s="31"/>
      <c r="K54" s="31"/>
      <c r="L54" s="31" t="str">
        <f>IFERROR(__xludf.DUMMYFUNCTION("""COMPUTED_VALUE"""),"Dispatched")</f>
        <v>Dispatched</v>
      </c>
      <c r="M54" s="31" t="str">
        <f>IFERROR(__xludf.DUMMYFUNCTION("""COMPUTED_VALUE"""),"Delivered")</f>
        <v>Delivered</v>
      </c>
      <c r="N54" s="31"/>
    </row>
    <row r="55">
      <c r="A55" s="31">
        <f>IFERROR(__xludf.DUMMYFUNCTION("""COMPUTED_VALUE"""),53.0)</f>
        <v>53</v>
      </c>
      <c r="B55" s="31" t="str">
        <f>IFERROR(__xludf.DUMMYFUNCTION("""COMPUTED_VALUE"""),"Harsha Ratnam")</f>
        <v>Harsha Ratnam</v>
      </c>
      <c r="C55" s="31" t="str">
        <f>IFERROR(__xludf.DUMMYFUNCTION("""COMPUTED_VALUE"""),"harshratnam@hotmail.com")</f>
        <v>harshratnam@hotmail.com</v>
      </c>
      <c r="D55" s="84" t="str">
        <f>IFERROR(__xludf.DUMMYFUNCTION("""COMPUTED_VALUE"""),"98991 43682")</f>
        <v>98991 43682</v>
      </c>
      <c r="E55" s="88">
        <f>IFERROR(__xludf.DUMMYFUNCTION("""COMPUTED_VALUE"""),44613.0)</f>
        <v>44613</v>
      </c>
      <c r="F55" s="31"/>
      <c r="G55" s="85" t="str">
        <f>IFERROR(__xludf.DUMMYFUNCTION("""COMPUTED_VALUE"""),"I209, Galaxy North Avenue 2, Gaur City 2, Greater Noida West, Gautam Buddha Nagar, UP 201301")</f>
        <v>I209, Galaxy North Avenue 2, Gaur City 2, Greater Noida West, Gautam Buddha Nagar, UP 201301</v>
      </c>
      <c r="H55" s="31" t="str">
        <f>IFERROR(__xludf.DUMMYFUNCTION("""COMPUTED_VALUE"""),"Macbook 16"" Pro")</f>
        <v>Macbook 16" Pro</v>
      </c>
      <c r="I55" s="31" t="str">
        <f>IFERROR(__xludf.DUMMYFUNCTION("""COMPUTED_VALUE"""),"Senior Graphic Designer")</f>
        <v>Senior Graphic Designer</v>
      </c>
      <c r="J55" s="31"/>
      <c r="K55" s="31"/>
      <c r="L55" s="31" t="str">
        <f>IFERROR(__xludf.DUMMYFUNCTION("""COMPUTED_VALUE"""),"Dispatched")</f>
        <v>Dispatched</v>
      </c>
      <c r="M55" s="31" t="str">
        <f>IFERROR(__xludf.DUMMYFUNCTION("""COMPUTED_VALUE"""),"Delivered")</f>
        <v>Delivered</v>
      </c>
      <c r="N55" s="31"/>
    </row>
    <row r="56">
      <c r="A56" s="31">
        <f>IFERROR(__xludf.DUMMYFUNCTION("""COMPUTED_VALUE"""),54.0)</f>
        <v>54</v>
      </c>
      <c r="B56" s="31" t="str">
        <f>IFERROR(__xludf.DUMMYFUNCTION("""COMPUTED_VALUE"""),"Prakash Upadhyay")</f>
        <v>Prakash Upadhyay</v>
      </c>
      <c r="C56" s="31" t="str">
        <f>IFERROR(__xludf.DUMMYFUNCTION("""COMPUTED_VALUE"""),"upadhyay.ps26@gmail.com")</f>
        <v>upadhyay.ps26@gmail.com</v>
      </c>
      <c r="D56" s="84">
        <f>IFERROR(__xludf.DUMMYFUNCTION("""COMPUTED_VALUE"""),8.826414026E9)</f>
        <v>8826414026</v>
      </c>
      <c r="E56" s="88">
        <f>IFERROR(__xludf.DUMMYFUNCTION("""COMPUTED_VALUE"""),44609.0)</f>
        <v>44609</v>
      </c>
      <c r="F56" s="31"/>
      <c r="G56" s="85" t="str">
        <f>IFERROR(__xludf.DUMMYFUNCTION("""COMPUTED_VALUE"""),"T-2003, 20th floor, Phase 2, Amrapali Sapphire, Sector 45, Noida - 201303")</f>
        <v>T-2003, 20th floor, Phase 2, Amrapali Sapphire, Sector 45, Noida - 201303</v>
      </c>
      <c r="H56" s="31" t="str">
        <f>IFERROR(__xludf.DUMMYFUNCTION("""COMPUTED_VALUE"""),"Windows laptop")</f>
        <v>Windows laptop</v>
      </c>
      <c r="I56" s="31" t="str">
        <f>IFERROR(__xludf.DUMMYFUNCTION("""COMPUTED_VALUE"""),"Senior Fraud Analyst")</f>
        <v>Senior Fraud Analyst</v>
      </c>
      <c r="J56" s="31"/>
      <c r="K56" s="31"/>
      <c r="L56" s="31" t="str">
        <f>IFERROR(__xludf.DUMMYFUNCTION("""COMPUTED_VALUE"""),"Dispatched")</f>
        <v>Dispatched</v>
      </c>
      <c r="M56" s="31" t="str">
        <f>IFERROR(__xludf.DUMMYFUNCTION("""COMPUTED_VALUE"""),"Delivered")</f>
        <v>Delivered</v>
      </c>
      <c r="N56" s="31"/>
    </row>
    <row r="57">
      <c r="A57" s="31">
        <f>IFERROR(__xludf.DUMMYFUNCTION("""COMPUTED_VALUE"""),55.0)</f>
        <v>55</v>
      </c>
      <c r="B57" s="31" t="str">
        <f>IFERROR(__xludf.DUMMYFUNCTION("""COMPUTED_VALUE"""),"Rahul Shukla")</f>
        <v>Rahul Shukla</v>
      </c>
      <c r="C57" s="31" t="str">
        <f>IFERROR(__xludf.DUMMYFUNCTION("""COMPUTED_VALUE"""),"rahulshukla120397@gmail.com")</f>
        <v>rahulshukla120397@gmail.com</v>
      </c>
      <c r="D57" s="84" t="str">
        <f>IFERROR(__xludf.DUMMYFUNCTION("""COMPUTED_VALUE"""),"81095 20847")</f>
        <v>81095 20847</v>
      </c>
      <c r="E57" s="88">
        <f>IFERROR(__xludf.DUMMYFUNCTION("""COMPUTED_VALUE"""),44621.0)</f>
        <v>44621</v>
      </c>
      <c r="F57" s="31"/>
      <c r="G57" s="85" t="str">
        <f>IFERROR(__xludf.DUMMYFUNCTION("""COMPUTED_VALUE"""),"2212, Wright Town, behind Prem Mandir, Jabalpur, Madhya Pradesh 482002")</f>
        <v>2212, Wright Town, behind Prem Mandir, Jabalpur, Madhya Pradesh 482002</v>
      </c>
      <c r="H57" s="31" t="str">
        <f>IFERROR(__xludf.DUMMYFUNCTION("""COMPUTED_VALUE"""),"Windows laptop")</f>
        <v>Windows laptop</v>
      </c>
      <c r="I57" s="31" t="str">
        <f>IFERROR(__xludf.DUMMYFUNCTION("""COMPUTED_VALUE"""),"Executive - Customer Experience")</f>
        <v>Executive - Customer Experience</v>
      </c>
      <c r="J57" s="31"/>
      <c r="K57" s="31"/>
      <c r="L57" s="31" t="str">
        <f>IFERROR(__xludf.DUMMYFUNCTION("""COMPUTED_VALUE"""),"Dispatched")</f>
        <v>Dispatched</v>
      </c>
      <c r="M57" s="31" t="str">
        <f>IFERROR(__xludf.DUMMYFUNCTION("""COMPUTED_VALUE"""),"Delivered")</f>
        <v>Delivered</v>
      </c>
      <c r="N57" s="31"/>
    </row>
    <row r="58">
      <c r="A58" s="31">
        <f>IFERROR(__xludf.DUMMYFUNCTION("""COMPUTED_VALUE"""),56.0)</f>
        <v>56</v>
      </c>
      <c r="B58" s="31" t="str">
        <f>IFERROR(__xludf.DUMMYFUNCTION("""COMPUTED_VALUE"""),"Piyush Mewar")</f>
        <v>Piyush Mewar</v>
      </c>
      <c r="C58" s="31" t="str">
        <f>IFERROR(__xludf.DUMMYFUNCTION("""COMPUTED_VALUE"""),"mewarpiyush@gmail.com")</f>
        <v>mewarpiyush@gmail.com</v>
      </c>
      <c r="D58" s="84" t="str">
        <f>IFERROR(__xludf.DUMMYFUNCTION("""COMPUTED_VALUE"""),"98733 28871")</f>
        <v>98733 28871</v>
      </c>
      <c r="E58" s="88">
        <f>IFERROR(__xludf.DUMMYFUNCTION("""COMPUTED_VALUE"""),44621.0)</f>
        <v>44621</v>
      </c>
      <c r="F58" s="31"/>
      <c r="G58" s="85" t="str">
        <f>IFERROR(__xludf.DUMMYFUNCTION("""COMPUTED_VALUE"""),"139-D, Pocket A, Mayur Vihar Phase - 2, Delhi - 110091")</f>
        <v>139-D, Pocket A, Mayur Vihar Phase - 2, Delhi - 110091</v>
      </c>
      <c r="H58" s="31" t="str">
        <f>IFERROR(__xludf.DUMMYFUNCTION("""COMPUTED_VALUE"""),"Windows laptop")</f>
        <v>Windows laptop</v>
      </c>
      <c r="I58" s="31" t="str">
        <f>IFERROR(__xludf.DUMMYFUNCTION("""COMPUTED_VALUE"""),"Executive - Customer Experience")</f>
        <v>Executive - Customer Experience</v>
      </c>
      <c r="J58" s="31"/>
      <c r="K58" s="31"/>
      <c r="L58" s="31" t="str">
        <f>IFERROR(__xludf.DUMMYFUNCTION("""COMPUTED_VALUE"""),"Dispatched")</f>
        <v>Dispatched</v>
      </c>
      <c r="M58" s="31" t="str">
        <f>IFERROR(__xludf.DUMMYFUNCTION("""COMPUTED_VALUE"""),"Delivered")</f>
        <v>Delivered</v>
      </c>
      <c r="N58" s="31"/>
    </row>
    <row r="59">
      <c r="A59" s="31">
        <f>IFERROR(__xludf.DUMMYFUNCTION("""COMPUTED_VALUE"""),57.0)</f>
        <v>57</v>
      </c>
      <c r="B59" s="31" t="str">
        <f>IFERROR(__xludf.DUMMYFUNCTION("""COMPUTED_VALUE"""),"Mohd. Ghufran Ansari")</f>
        <v>Mohd. Ghufran Ansari</v>
      </c>
      <c r="C59" s="31" t="str">
        <f>IFERROR(__xludf.DUMMYFUNCTION("""COMPUTED_VALUE"""),"mohd.ghufran@hotmail.com")</f>
        <v>mohd.ghufran@hotmail.com</v>
      </c>
      <c r="D59" s="84">
        <f>IFERROR(__xludf.DUMMYFUNCTION("""COMPUTED_VALUE"""),9.999155585E9)</f>
        <v>9999155585</v>
      </c>
      <c r="E59" s="88">
        <f>IFERROR(__xludf.DUMMYFUNCTION("""COMPUTED_VALUE"""),44628.0)</f>
        <v>44628</v>
      </c>
      <c r="F59" s="31"/>
      <c r="G59" s="85" t="str">
        <f>IFERROR(__xludf.DUMMYFUNCTION("""COMPUTED_VALUE"""),"B-787 MIG Flat, East of Delhi Road, Mandoli Saboli, Delhi 110093")</f>
        <v>B-787 MIG Flat, East of Delhi Road, Mandoli Saboli, Delhi 110093</v>
      </c>
      <c r="H59" s="31" t="str">
        <f>IFERROR(__xludf.DUMMYFUNCTION("""COMPUTED_VALUE"""),"Macbook 14"" Pro")</f>
        <v>Macbook 14" Pro</v>
      </c>
      <c r="I59" s="31" t="str">
        <f>IFERROR(__xludf.DUMMYFUNCTION("""COMPUTED_VALUE"""),"Lead - Business Intelligence")</f>
        <v>Lead - Business Intelligence</v>
      </c>
      <c r="J59" s="31"/>
      <c r="K59" s="31"/>
      <c r="L59" s="31" t="str">
        <f>IFERROR(__xludf.DUMMYFUNCTION("""COMPUTED_VALUE"""),"Dispatched")</f>
        <v>Dispatched</v>
      </c>
      <c r="M59" s="31" t="str">
        <f>IFERROR(__xludf.DUMMYFUNCTION("""COMPUTED_VALUE"""),"Delivered")</f>
        <v>Delivered</v>
      </c>
      <c r="N59" s="31"/>
    </row>
    <row r="60">
      <c r="A60" s="31">
        <f>IFERROR(__xludf.DUMMYFUNCTION("""COMPUTED_VALUE"""),58.0)</f>
        <v>58</v>
      </c>
      <c r="B60" s="31" t="str">
        <f>IFERROR(__xludf.DUMMYFUNCTION("""COMPUTED_VALUE"""),"Nitesh Vijay")</f>
        <v>Nitesh Vijay</v>
      </c>
      <c r="C60" s="31" t="str">
        <f>IFERROR(__xludf.DUMMYFUNCTION("""COMPUTED_VALUE"""),"vijay.nitesh24@gmail.com")</f>
        <v>vijay.nitesh24@gmail.com</v>
      </c>
      <c r="D60" s="84">
        <f>IFERROR(__xludf.DUMMYFUNCTION("""COMPUTED_VALUE"""),8.010508033E9)</f>
        <v>8010508033</v>
      </c>
      <c r="E60" s="88">
        <f>IFERROR(__xludf.DUMMYFUNCTION("""COMPUTED_VALUE"""),44630.0)</f>
        <v>44630</v>
      </c>
      <c r="F60" s="31"/>
      <c r="G60" s="85" t="str">
        <f>IFERROR(__xludf.DUMMYFUNCTION("""COMPUTED_VALUE"""),"A-154, The Icon, Sector -53, DLF Phase 5, Gurgaon 122003")</f>
        <v>A-154, The Icon, Sector -53, DLF Phase 5, Gurgaon 122003</v>
      </c>
      <c r="H60" s="31" t="str">
        <f>IFERROR(__xludf.DUMMYFUNCTION("""COMPUTED_VALUE"""),"Macbook 16"" Pro")</f>
        <v>Macbook 16" Pro</v>
      </c>
      <c r="I60" s="31" t="str">
        <f>IFERROR(__xludf.DUMMYFUNCTION("""COMPUTED_VALUE"""),"Lead - Data Scientist")</f>
        <v>Lead - Data Scientist</v>
      </c>
      <c r="J60" s="31"/>
      <c r="K60" s="31"/>
      <c r="L60" s="31" t="str">
        <f>IFERROR(__xludf.DUMMYFUNCTION("""COMPUTED_VALUE"""),"Dispatched")</f>
        <v>Dispatched</v>
      </c>
      <c r="M60" s="31" t="str">
        <f>IFERROR(__xludf.DUMMYFUNCTION("""COMPUTED_VALUE"""),"Delivered")</f>
        <v>Delivered</v>
      </c>
      <c r="N60" s="31"/>
    </row>
    <row r="61">
      <c r="A61" s="31">
        <f>IFERROR(__xludf.DUMMYFUNCTION("""COMPUTED_VALUE"""),59.0)</f>
        <v>59</v>
      </c>
      <c r="B61" s="31" t="str">
        <f>IFERROR(__xludf.DUMMYFUNCTION("""COMPUTED_VALUE"""),"Jayata Dureja")</f>
        <v>Jayata Dureja</v>
      </c>
      <c r="C61" s="31" t="str">
        <f>IFERROR(__xludf.DUMMYFUNCTION("""COMPUTED_VALUE"""),"jayatadureja786@gmail.com")</f>
        <v>jayatadureja786@gmail.com</v>
      </c>
      <c r="D61" s="84">
        <f>IFERROR(__xludf.DUMMYFUNCTION("""COMPUTED_VALUE"""),9.654606653E9)</f>
        <v>9654606653</v>
      </c>
      <c r="E61" s="88">
        <f>IFERROR(__xludf.DUMMYFUNCTION("""COMPUTED_VALUE"""),44627.0)</f>
        <v>44627</v>
      </c>
      <c r="F61" s="31"/>
      <c r="G61" s="85" t="str">
        <f>IFERROR(__xludf.DUMMYFUNCTION("""COMPUTED_VALUE"""),"A-21 milap nagar uttam nagar new Delhi 110059")</f>
        <v>A-21 milap nagar uttam nagar new Delhi 110059</v>
      </c>
      <c r="H61" s="31" t="str">
        <f>IFERROR(__xludf.DUMMYFUNCTION("""COMPUTED_VALUE"""),"Windows laptop")</f>
        <v>Windows laptop</v>
      </c>
      <c r="I61" s="31" t="str">
        <f>IFERROR(__xludf.DUMMYFUNCTION("""COMPUTED_VALUE"""),"Executive - Customer Experience")</f>
        <v>Executive - Customer Experience</v>
      </c>
      <c r="J61" s="31"/>
      <c r="K61" s="31"/>
      <c r="L61" s="31" t="str">
        <f>IFERROR(__xludf.DUMMYFUNCTION("""COMPUTED_VALUE"""),"Dispatched")</f>
        <v>Dispatched</v>
      </c>
      <c r="M61" s="31" t="str">
        <f>IFERROR(__xludf.DUMMYFUNCTION("""COMPUTED_VALUE"""),"Delivered")</f>
        <v>Delivered</v>
      </c>
      <c r="N61" s="31"/>
    </row>
    <row r="62">
      <c r="A62" s="31">
        <f>IFERROR(__xludf.DUMMYFUNCTION("""COMPUTED_VALUE"""),60.0)</f>
        <v>60</v>
      </c>
      <c r="B62" s="31" t="str">
        <f>IFERROR(__xludf.DUMMYFUNCTION("""COMPUTED_VALUE"""),"Arunkumar R")</f>
        <v>Arunkumar R</v>
      </c>
      <c r="C62" s="31" t="str">
        <f>IFERROR(__xludf.DUMMYFUNCTION("""COMPUTED_VALUE"""),"arunkumarece005@gmail.com")</f>
        <v>arunkumarece005@gmail.com</v>
      </c>
      <c r="D62" s="84">
        <f>IFERROR(__xludf.DUMMYFUNCTION("""COMPUTED_VALUE"""),7.418504275E9)</f>
        <v>7418504275</v>
      </c>
      <c r="E62" s="88">
        <f>IFERROR(__xludf.DUMMYFUNCTION("""COMPUTED_VALUE"""),44629.0)</f>
        <v>44629</v>
      </c>
      <c r="F62" s="31"/>
      <c r="G62" s="85" t="str">
        <f>IFERROR(__xludf.DUMMYFUNCTION("""COMPUTED_VALUE"""),"Door No : 36/18, 1st floor , Bazaar street, Thammampatty , Gangavalli (Tk) , Salem (Dt) 636113")</f>
        <v>Door No : 36/18, 1st floor , Bazaar street, Thammampatty , Gangavalli (Tk) , Salem (Dt) 636113</v>
      </c>
      <c r="H62" s="31" t="str">
        <f>IFERROR(__xludf.DUMMYFUNCTION("""COMPUTED_VALUE"""),"Macbook + Mobile Phone")</f>
        <v>Macbook + Mobile Phone</v>
      </c>
      <c r="I62" s="31" t="str">
        <f>IFERROR(__xludf.DUMMYFUNCTION("""COMPUTED_VALUE"""),"Sr. SDET")</f>
        <v>Sr. SDET</v>
      </c>
      <c r="J62" s="31"/>
      <c r="K62" s="31"/>
      <c r="L62" s="31" t="str">
        <f>IFERROR(__xludf.DUMMYFUNCTION("""COMPUTED_VALUE"""),"Dispatched")</f>
        <v>Dispatched</v>
      </c>
      <c r="M62" s="31" t="str">
        <f>IFERROR(__xludf.DUMMYFUNCTION("""COMPUTED_VALUE"""),"Delivered")</f>
        <v>Delivered</v>
      </c>
      <c r="N62" s="31" t="str">
        <f>IFERROR(__xludf.DUMMYFUNCTION("""COMPUTED_VALUE"""),"Offer Drop - Assets to be picked up")</f>
        <v>Offer Drop - Assets to be picked up</v>
      </c>
    </row>
    <row r="63">
      <c r="A63" s="31">
        <f>IFERROR(__xludf.DUMMYFUNCTION("""COMPUTED_VALUE"""),61.0)</f>
        <v>61</v>
      </c>
      <c r="B63" s="31" t="str">
        <f>IFERROR(__xludf.DUMMYFUNCTION("""COMPUTED_VALUE"""),"A Rushyant Reddy")</f>
        <v>A Rushyant Reddy</v>
      </c>
      <c r="C63" s="31" t="str">
        <f>IFERROR(__xludf.DUMMYFUNCTION("""COMPUTED_VALUE"""),"a.rushyantreddy@gmail.com")</f>
        <v>a.rushyantreddy@gmail.com</v>
      </c>
      <c r="D63" s="84" t="str">
        <f>IFERROR(__xludf.DUMMYFUNCTION("""COMPUTED_VALUE"""),"85888 36434")</f>
        <v>85888 36434</v>
      </c>
      <c r="E63" s="88">
        <f>IFERROR(__xludf.DUMMYFUNCTION("""COMPUTED_VALUE"""),44641.0)</f>
        <v>44641</v>
      </c>
      <c r="F63" s="31"/>
      <c r="G63" s="85" t="str">
        <f>IFERROR(__xludf.DUMMYFUNCTION("""COMPUTED_VALUE"""),"House No: 6-20-8/5, Flat No: 002, Abhimanyu Apartments, East Point Colony, Visakhapatnam, AP 530017")</f>
        <v>House No: 6-20-8/5, Flat No: 002, Abhimanyu Apartments, East Point Colony, Visakhapatnam, AP 530017</v>
      </c>
      <c r="H63" s="31" t="str">
        <f>IFERROR(__xludf.DUMMYFUNCTION("""COMPUTED_VALUE"""),"Macbook 16"" + Keyboard + Mouse")</f>
        <v>Macbook 16" + Keyboard + Mouse</v>
      </c>
      <c r="I63" s="31" t="str">
        <f>IFERROR(__xludf.DUMMYFUNCTION("""COMPUTED_VALUE"""),"Senior Data Scientist")</f>
        <v>Senior Data Scientist</v>
      </c>
      <c r="J63" s="31"/>
      <c r="K63" s="31"/>
      <c r="L63" s="31" t="str">
        <f>IFERROR(__xludf.DUMMYFUNCTION("""COMPUTED_VALUE"""),"Dispatched")</f>
        <v>Dispatched</v>
      </c>
      <c r="M63" s="31" t="str">
        <f>IFERROR(__xludf.DUMMYFUNCTION("""COMPUTED_VALUE"""),"Delivered")</f>
        <v>Delivered</v>
      </c>
      <c r="N63" s="31"/>
    </row>
    <row r="64">
      <c r="A64" s="31">
        <f>IFERROR(__xludf.DUMMYFUNCTION("""COMPUTED_VALUE"""),62.0)</f>
        <v>62</v>
      </c>
      <c r="B64" s="31" t="str">
        <f>IFERROR(__xludf.DUMMYFUNCTION("""COMPUTED_VALUE"""),"Mandhir Singh")</f>
        <v>Mandhir Singh</v>
      </c>
      <c r="C64" s="31" t="str">
        <f>IFERROR(__xludf.DUMMYFUNCTION("""COMPUTED_VALUE"""),"mandhirsingh10@gmail.com")</f>
        <v>mandhirsingh10@gmail.com</v>
      </c>
      <c r="D64" s="84">
        <f>IFERROR(__xludf.DUMMYFUNCTION("""COMPUTED_VALUE"""),6.239076471E9)</f>
        <v>6239076471</v>
      </c>
      <c r="E64" s="88">
        <f>IFERROR(__xludf.DUMMYFUNCTION("""COMPUTED_VALUE"""),44641.0)</f>
        <v>44641</v>
      </c>
      <c r="F64" s="31"/>
      <c r="G64" s="85" t="str">
        <f>IFERROR(__xludf.DUMMYFUNCTION("""COMPUTED_VALUE"""),"House No. 268 Ward No. 15, Tehsil Mohalla, Malerkotla, Gali, Dhuri 148024, Distt. Sangrur, Punjab.")</f>
        <v>House No. 268 Ward No. 15, Tehsil Mohalla, Malerkotla, Gali, Dhuri 148024, Distt. Sangrur, Punjab.</v>
      </c>
      <c r="H64" s="31" t="str">
        <f>IFERROR(__xludf.DUMMYFUNCTION("""COMPUTED_VALUE"""),"Windows laptop")</f>
        <v>Windows laptop</v>
      </c>
      <c r="I64" s="31" t="str">
        <f>IFERROR(__xludf.DUMMYFUNCTION("""COMPUTED_VALUE"""),"Executive - Customer Experience")</f>
        <v>Executive - Customer Experience</v>
      </c>
      <c r="J64" s="31"/>
      <c r="K64" s="31"/>
      <c r="L64" s="31" t="str">
        <f>IFERROR(__xludf.DUMMYFUNCTION("""COMPUTED_VALUE"""),"Dispatched")</f>
        <v>Dispatched</v>
      </c>
      <c r="M64" s="31" t="str">
        <f>IFERROR(__xludf.DUMMYFUNCTION("""COMPUTED_VALUE"""),"Delivered")</f>
        <v>Delivered</v>
      </c>
      <c r="N64" s="31"/>
    </row>
    <row r="65">
      <c r="A65" s="31">
        <f>IFERROR(__xludf.DUMMYFUNCTION("""COMPUTED_VALUE"""),63.0)</f>
        <v>63</v>
      </c>
      <c r="B65" s="31" t="str">
        <f>IFERROR(__xludf.DUMMYFUNCTION("""COMPUTED_VALUE"""),"Vijay Singh")</f>
        <v>Vijay Singh</v>
      </c>
      <c r="C65" s="31" t="str">
        <f>IFERROR(__xludf.DUMMYFUNCTION("""COMPUTED_VALUE"""),"vsingh1977@gmail.com")</f>
        <v>vsingh1977@gmail.com</v>
      </c>
      <c r="D65" s="84">
        <f>IFERROR(__xludf.DUMMYFUNCTION("""COMPUTED_VALUE"""),9.811665056E9)</f>
        <v>9811665056</v>
      </c>
      <c r="E65" s="88">
        <f>IFERROR(__xludf.DUMMYFUNCTION("""COMPUTED_VALUE"""),44636.0)</f>
        <v>44636</v>
      </c>
      <c r="F65" s="31"/>
      <c r="G65" s="85" t="str">
        <f>IFERROR(__xludf.DUMMYFUNCTION("""COMPUTED_VALUE"""),"He will pick up from office")</f>
        <v>He will pick up from office</v>
      </c>
      <c r="H65" s="31" t="str">
        <f>IFERROR(__xludf.DUMMYFUNCTION("""COMPUTED_VALUE"""),"Windows laptop")</f>
        <v>Windows laptop</v>
      </c>
      <c r="I65" s="31" t="str">
        <f>IFERROR(__xludf.DUMMYFUNCTION("""COMPUTED_VALUE"""),"Head - Commercial &amp; Financial Projects")</f>
        <v>Head - Commercial &amp; Financial Projects</v>
      </c>
      <c r="J65" s="31"/>
      <c r="K65" s="31"/>
      <c r="L65" s="31" t="str">
        <f>IFERROR(__xludf.DUMMYFUNCTION("""COMPUTED_VALUE"""),"Dispatched")</f>
        <v>Dispatched</v>
      </c>
      <c r="M65" s="31" t="str">
        <f>IFERROR(__xludf.DUMMYFUNCTION("""COMPUTED_VALUE"""),"Delivered")</f>
        <v>Delivered</v>
      </c>
      <c r="N65" s="31"/>
    </row>
    <row r="66">
      <c r="A66" s="31">
        <f>IFERROR(__xludf.DUMMYFUNCTION("""COMPUTED_VALUE"""),64.0)</f>
        <v>64</v>
      </c>
      <c r="B66" s="31" t="str">
        <f>IFERROR(__xludf.DUMMYFUNCTION("""COMPUTED_VALUE"""),"Gyan Prakash Mishra")</f>
        <v>Gyan Prakash Mishra</v>
      </c>
      <c r="C66" s="31" t="str">
        <f>IFERROR(__xludf.DUMMYFUNCTION("""COMPUTED_VALUE"""),"busygyanu@gmail.com")</f>
        <v>busygyanu@gmail.com</v>
      </c>
      <c r="D66" s="84" t="str">
        <f>IFERROR(__xludf.DUMMYFUNCTION("""COMPUTED_VALUE"""),"89502 13170")</f>
        <v>89502 13170</v>
      </c>
      <c r="E66" s="90">
        <f>IFERROR(__xludf.DUMMYFUNCTION("""COMPUTED_VALUE"""),44652.0)</f>
        <v>44652</v>
      </c>
      <c r="F66" s="31"/>
      <c r="G66" s="85" t="str">
        <f>IFERROR(__xludf.DUMMYFUNCTION("""COMPUTED_VALUE"""),"C/o Shri Prakash Mishra, SA 4/67, G-18, Maa Kali Mandir, Daulatpur, Pandeypur, Varanasi UP 221002")</f>
        <v>C/o Shri Prakash Mishra, SA 4/67, G-18, Maa Kali Mandir, Daulatpur, Pandeypur, Varanasi UP 221002</v>
      </c>
      <c r="H66" s="31" t="str">
        <f>IFERROR(__xludf.DUMMYFUNCTION("""COMPUTED_VALUE"""),"Macbook 16"" + Keyboard + laptop Bag if possible")</f>
        <v>Macbook 16" + Keyboard + laptop Bag if possible</v>
      </c>
      <c r="I66" s="31" t="str">
        <f>IFERROR(__xludf.DUMMYFUNCTION("""COMPUTED_VALUE"""),"Senior Data Engineer")</f>
        <v>Senior Data Engineer</v>
      </c>
      <c r="J66" s="31"/>
      <c r="K66" s="31"/>
      <c r="L66" s="31" t="str">
        <f>IFERROR(__xludf.DUMMYFUNCTION("""COMPUTED_VALUE"""),"Dispatched")</f>
        <v>Dispatched</v>
      </c>
      <c r="M66" s="31" t="str">
        <f>IFERROR(__xludf.DUMMYFUNCTION("""COMPUTED_VALUE"""),"Delivered")</f>
        <v>Delivered</v>
      </c>
      <c r="N66" s="31"/>
    </row>
    <row r="67">
      <c r="A67" s="31">
        <f>IFERROR(__xludf.DUMMYFUNCTION("""COMPUTED_VALUE"""),65.0)</f>
        <v>65</v>
      </c>
      <c r="B67" s="31" t="str">
        <f>IFERROR(__xludf.DUMMYFUNCTION("""COMPUTED_VALUE"""),"Shreya Dwivedi")</f>
        <v>Shreya Dwivedi</v>
      </c>
      <c r="C67" s="31" t="str">
        <f>IFERROR(__xludf.DUMMYFUNCTION("""COMPUTED_VALUE"""),"dwivedishreya90@gmail.com")</f>
        <v>dwivedishreya90@gmail.com</v>
      </c>
      <c r="D67" s="84" t="str">
        <f>IFERROR(__xludf.DUMMYFUNCTION("""COMPUTED_VALUE"""),"73377 31484")</f>
        <v>73377 31484</v>
      </c>
      <c r="E67" s="88">
        <f>IFERROR(__xludf.DUMMYFUNCTION("""COMPUTED_VALUE"""),44656.0)</f>
        <v>44656</v>
      </c>
      <c r="F67" s="31"/>
      <c r="G67" s="85" t="str">
        <f>IFERROR(__xludf.DUMMYFUNCTION("""COMPUTED_VALUE"""),"Flat no. 504, Building N1, Narmada Apartments, Block D6, Vasant Kunj, New Delhi - 110070")</f>
        <v>Flat no. 504, Building N1, Narmada Apartments, Block D6, Vasant Kunj, New Delhi - 110070</v>
      </c>
      <c r="H67" s="31" t="str">
        <f>IFERROR(__xludf.DUMMYFUNCTION("""COMPUTED_VALUE"""),"Macbook 13"" + Mouse + USB Connector")</f>
        <v>Macbook 13" + Mouse + USB Connector</v>
      </c>
      <c r="I67" s="31" t="str">
        <f>IFERROR(__xludf.DUMMYFUNCTION("""COMPUTED_VALUE"""),"Senior UX Designer")</f>
        <v>Senior UX Designer</v>
      </c>
      <c r="J67" s="31"/>
      <c r="K67" s="31"/>
      <c r="L67" s="31" t="str">
        <f>IFERROR(__xludf.DUMMYFUNCTION("""COMPUTED_VALUE"""),"Dispatched")</f>
        <v>Dispatched</v>
      </c>
      <c r="M67" s="31" t="str">
        <f>IFERROR(__xludf.DUMMYFUNCTION("""COMPUTED_VALUE"""),"Delivered")</f>
        <v>Delivered</v>
      </c>
      <c r="N67" s="31"/>
    </row>
    <row r="68">
      <c r="A68" s="31">
        <f>IFERROR(__xludf.DUMMYFUNCTION("""COMPUTED_VALUE"""),66.0)</f>
        <v>66</v>
      </c>
      <c r="B68" s="31" t="str">
        <f>IFERROR(__xludf.DUMMYFUNCTION("""COMPUTED_VALUE"""),"Baljinder Singh")</f>
        <v>Baljinder Singh</v>
      </c>
      <c r="C68" s="31" t="str">
        <f>IFERROR(__xludf.DUMMYFUNCTION("""COMPUTED_VALUE"""),"baljindrsingh6011@gmail.com")</f>
        <v>baljindrsingh6011@gmail.com</v>
      </c>
      <c r="D68" s="84">
        <f>IFERROR(__xludf.DUMMYFUNCTION("""COMPUTED_VALUE"""),8.699829691E9)</f>
        <v>8699829691</v>
      </c>
      <c r="E68" s="88">
        <f>IFERROR(__xludf.DUMMYFUNCTION("""COMPUTED_VALUE"""),44656.0)</f>
        <v>44656</v>
      </c>
      <c r="F68" s="31"/>
      <c r="G68" s="85" t="str">
        <f>IFERROR(__xludf.DUMMYFUNCTION("""COMPUTED_VALUE"""),"#128 Hem Vihar, Phase -1, Baltana, ZIrakpur, Punjab, Pin code- 140604")</f>
        <v>#128 Hem Vihar, Phase -1, Baltana, ZIrakpur, Punjab, Pin code- 140604</v>
      </c>
      <c r="H68" s="31" t="str">
        <f>IFERROR(__xludf.DUMMYFUNCTION("""COMPUTED_VALUE"""),"Macbook + Mobile Phone")</f>
        <v>Macbook + Mobile Phone</v>
      </c>
      <c r="I68" s="31" t="str">
        <f>IFERROR(__xludf.DUMMYFUNCTION("""COMPUTED_VALUE"""),"SDET")</f>
        <v>SDET</v>
      </c>
      <c r="J68" s="31"/>
      <c r="K68" s="31"/>
      <c r="L68" s="31" t="str">
        <f>IFERROR(__xludf.DUMMYFUNCTION("""COMPUTED_VALUE"""),"Dispatched")</f>
        <v>Dispatched</v>
      </c>
      <c r="M68" s="31" t="str">
        <f>IFERROR(__xludf.DUMMYFUNCTION("""COMPUTED_VALUE"""),"Delivered")</f>
        <v>Delivered</v>
      </c>
      <c r="N68" s="31"/>
    </row>
    <row r="69">
      <c r="A69" s="31">
        <f>IFERROR(__xludf.DUMMYFUNCTION("""COMPUTED_VALUE"""),67.0)</f>
        <v>67</v>
      </c>
      <c r="B69" s="31" t="str">
        <f>IFERROR(__xludf.DUMMYFUNCTION("""COMPUTED_VALUE"""),"Mohit Mangal")</f>
        <v>Mohit Mangal</v>
      </c>
      <c r="C69" s="31" t="str">
        <f>IFERROR(__xludf.DUMMYFUNCTION("""COMPUTED_VALUE"""),"mohitmangaldesign@gmail.com")</f>
        <v>mohitmangaldesign@gmail.com</v>
      </c>
      <c r="D69" s="84">
        <f>IFERROR(__xludf.DUMMYFUNCTION("""COMPUTED_VALUE"""),8.209364503E9)</f>
        <v>8209364503</v>
      </c>
      <c r="E69" s="88">
        <f>IFERROR(__xludf.DUMMYFUNCTION("""COMPUTED_VALUE"""),44655.0)</f>
        <v>44655</v>
      </c>
      <c r="F69" s="31"/>
      <c r="G69" s="85" t="str">
        <f>IFERROR(__xludf.DUMMYFUNCTION("""COMPUTED_VALUE"""),"D-14, Puri Enclave, New Akashwani Colony, Near CCI Coaching, 324001, Kota, Rajasthan 324001")</f>
        <v>D-14, Puri Enclave, New Akashwani Colony, Near CCI Coaching, 324001, Kota, Rajasthan 324001</v>
      </c>
      <c r="H69" s="31" t="str">
        <f>IFERROR(__xludf.DUMMYFUNCTION("""COMPUTED_VALUE"""),"Mac 16GB ram and i7 processor")</f>
        <v>Mac 16GB ram and i7 processor</v>
      </c>
      <c r="I69" s="31" t="str">
        <f>IFERROR(__xludf.DUMMYFUNCTION("""COMPUTED_VALUE"""),"Senior UX Designer")</f>
        <v>Senior UX Designer</v>
      </c>
      <c r="J69" s="31"/>
      <c r="K69" s="31"/>
      <c r="L69" s="31" t="str">
        <f>IFERROR(__xludf.DUMMYFUNCTION("""COMPUTED_VALUE"""),"Dispatched")</f>
        <v>Dispatched</v>
      </c>
      <c r="M69" s="31" t="str">
        <f>IFERROR(__xludf.DUMMYFUNCTION("""COMPUTED_VALUE"""),"Delivered")</f>
        <v>Delivered</v>
      </c>
      <c r="N69" s="31"/>
    </row>
    <row r="70">
      <c r="A70" s="31">
        <f>IFERROR(__xludf.DUMMYFUNCTION("""COMPUTED_VALUE"""),68.0)</f>
        <v>68</v>
      </c>
      <c r="B70" s="31" t="str">
        <f>IFERROR(__xludf.DUMMYFUNCTION("""COMPUTED_VALUE"""),"Nikita Mantri")</f>
        <v>Nikita Mantri</v>
      </c>
      <c r="C70" s="31" t="str">
        <f>IFERROR(__xludf.DUMMYFUNCTION("""COMPUTED_VALUE"""),"nikitamantri92@yahoo.com")</f>
        <v>nikitamantri92@yahoo.com</v>
      </c>
      <c r="D70" s="84">
        <f>IFERROR(__xludf.DUMMYFUNCTION("""COMPUTED_VALUE"""),8.884366955E9)</f>
        <v>8884366955</v>
      </c>
      <c r="E70" s="88">
        <f>IFERROR(__xludf.DUMMYFUNCTION("""COMPUTED_VALUE"""),44655.0)</f>
        <v>44655</v>
      </c>
      <c r="F70" s="31"/>
      <c r="G70" s="85" t="str">
        <f>IFERROR(__xludf.DUMMYFUNCTION("""COMPUTED_VALUE"""),"161 Ground floor, Cedar Crest, nirvana country sector 50 Gurgaon, Haryana 122018")</f>
        <v>161 Ground floor, Cedar Crest, nirvana country sector 50 Gurgaon, Haryana 122018</v>
      </c>
      <c r="H70" s="31" t="str">
        <f>IFERROR(__xludf.DUMMYFUNCTION("""COMPUTED_VALUE"""),"Macbook 13""")</f>
        <v>Macbook 13"</v>
      </c>
      <c r="I70" s="31" t="str">
        <f>IFERROR(__xludf.DUMMYFUNCTION("""COMPUTED_VALUE"""),"Brand Manager")</f>
        <v>Brand Manager</v>
      </c>
      <c r="J70" s="31"/>
      <c r="K70" s="31"/>
      <c r="L70" s="31" t="str">
        <f>IFERROR(__xludf.DUMMYFUNCTION("""COMPUTED_VALUE"""),"Dispatched")</f>
        <v>Dispatched</v>
      </c>
      <c r="M70" s="31" t="str">
        <f>IFERROR(__xludf.DUMMYFUNCTION("""COMPUTED_VALUE"""),"Delivered")</f>
        <v>Delivered</v>
      </c>
      <c r="N70" s="31"/>
    </row>
    <row r="71">
      <c r="A71" s="31">
        <f>IFERROR(__xludf.DUMMYFUNCTION("""COMPUTED_VALUE"""),69.0)</f>
        <v>69</v>
      </c>
      <c r="B71" s="31" t="str">
        <f>IFERROR(__xludf.DUMMYFUNCTION("""COMPUTED_VALUE"""),"Himanshu Barsiwal")</f>
        <v>Himanshu Barsiwal</v>
      </c>
      <c r="C71" s="31" t="str">
        <f>IFERROR(__xludf.DUMMYFUNCTION("""COMPUTED_VALUE"""),"himanshu11294@gmail.com")</f>
        <v>himanshu11294@gmail.com</v>
      </c>
      <c r="D71" s="84">
        <f>IFERROR(__xludf.DUMMYFUNCTION("""COMPUTED_VALUE"""),9.582544608E9)</f>
        <v>9582544608</v>
      </c>
      <c r="E71" s="88">
        <f>IFERROR(__xludf.DUMMYFUNCTION("""COMPUTED_VALUE"""),44662.0)</f>
        <v>44662</v>
      </c>
      <c r="F71" s="31"/>
      <c r="G71" s="85" t="str">
        <f>IFERROR(__xludf.DUMMYFUNCTION("""COMPUTED_VALUE"""),"House No- 858 ground floor, Veer Sawarkar block, Saraswati Vihar , Chakkarpur, Sector-28, Gurgaon-HR")</f>
        <v>House No- 858 ground floor, Veer Sawarkar block, Saraswati Vihar , Chakkarpur, Sector-28, Gurgaon-HR</v>
      </c>
      <c r="H71" s="31" t="str">
        <f>IFERROR(__xludf.DUMMYFUNCTION("""COMPUTED_VALUE"""),"Macbook + Mobile Phone")</f>
        <v>Macbook + Mobile Phone</v>
      </c>
      <c r="I71" s="31" t="str">
        <f>IFERROR(__xludf.DUMMYFUNCTION("""COMPUTED_VALUE"""),"SDET")</f>
        <v>SDET</v>
      </c>
      <c r="J71" s="31"/>
      <c r="K71" s="31"/>
      <c r="L71" s="31" t="str">
        <f>IFERROR(__xludf.DUMMYFUNCTION("""COMPUTED_VALUE"""),"Dispatched")</f>
        <v>Dispatched</v>
      </c>
      <c r="M71" s="31" t="str">
        <f>IFERROR(__xludf.DUMMYFUNCTION("""COMPUTED_VALUE"""),"Delivered")</f>
        <v>Delivered</v>
      </c>
      <c r="N71" s="31"/>
    </row>
    <row r="72">
      <c r="A72" s="31">
        <f>IFERROR(__xludf.DUMMYFUNCTION("""COMPUTED_VALUE"""),70.0)</f>
        <v>70</v>
      </c>
      <c r="B72" s="31" t="str">
        <f>IFERROR(__xludf.DUMMYFUNCTION("""COMPUTED_VALUE"""),"Arvind Kumar Gupta")</f>
        <v>Arvind Kumar Gupta</v>
      </c>
      <c r="C72" s="31" t="str">
        <f>IFERROR(__xludf.DUMMYFUNCTION("""COMPUTED_VALUE"""),"arvind.gupta81@gmail.com")</f>
        <v>arvind.gupta81@gmail.com</v>
      </c>
      <c r="D72" s="84">
        <f>IFERROR(__xludf.DUMMYFUNCTION("""COMPUTED_VALUE"""),9.873071299E9)</f>
        <v>9873071299</v>
      </c>
      <c r="E72" s="88">
        <f>IFERROR(__xludf.DUMMYFUNCTION("""COMPUTED_VALUE"""),44666.0)</f>
        <v>44666</v>
      </c>
      <c r="F72" s="31"/>
      <c r="G72" s="85" t="str">
        <f>IFERROR(__xludf.DUMMYFUNCTION("""COMPUTED_VALUE"""),"H013, DLF Skycourt, Sector 86, Gurugram, 122004")</f>
        <v>H013, DLF Skycourt, Sector 86, Gurugram, 122004</v>
      </c>
      <c r="H72" s="31" t="str">
        <f>IFERROR(__xludf.DUMMYFUNCTION("""COMPUTED_VALUE"""),"Macbook")</f>
        <v>Macbook</v>
      </c>
      <c r="I72" s="31" t="str">
        <f>IFERROR(__xludf.DUMMYFUNCTION("""COMPUTED_VALUE"""),"Senior Manager - Media")</f>
        <v>Senior Manager - Media</v>
      </c>
      <c r="J72" s="31"/>
      <c r="K72" s="31"/>
      <c r="L72" s="31" t="str">
        <f>IFERROR(__xludf.DUMMYFUNCTION("""COMPUTED_VALUE"""),"Dispatched")</f>
        <v>Dispatched</v>
      </c>
      <c r="M72" s="31" t="str">
        <f>IFERROR(__xludf.DUMMYFUNCTION("""COMPUTED_VALUE"""),"Delivered")</f>
        <v>Delivered</v>
      </c>
      <c r="N72" s="31"/>
    </row>
    <row r="73">
      <c r="A73" s="31">
        <f>IFERROR(__xludf.DUMMYFUNCTION("""COMPUTED_VALUE"""),71.0)</f>
        <v>71</v>
      </c>
      <c r="B73" s="31" t="str">
        <f>IFERROR(__xludf.DUMMYFUNCTION("""COMPUTED_VALUE"""),"Bhakti Narang")</f>
        <v>Bhakti Narang</v>
      </c>
      <c r="C73" s="31" t="str">
        <f>IFERROR(__xludf.DUMMYFUNCTION("""COMPUTED_VALUE"""),"ibhaktinarang@gmail.com")</f>
        <v>ibhaktinarang@gmail.com</v>
      </c>
      <c r="D73" s="84">
        <f>IFERROR(__xludf.DUMMYFUNCTION("""COMPUTED_VALUE"""),9.779527099E9)</f>
        <v>9779527099</v>
      </c>
      <c r="E73" s="88">
        <f>IFERROR(__xludf.DUMMYFUNCTION("""COMPUTED_VALUE"""),44669.0)</f>
        <v>44669</v>
      </c>
      <c r="F73" s="31"/>
      <c r="G73" s="85" t="str">
        <f>IFERROR(__xludf.DUMMYFUNCTION("""COMPUTED_VALUE"""),"561/17 Gandhi Colony, Muzaffarnagar india, Pincode- 251001")</f>
        <v>561/17 Gandhi Colony, Muzaffarnagar india, Pincode- 251001</v>
      </c>
      <c r="H73" s="31" t="str">
        <f>IFERROR(__xludf.DUMMYFUNCTION("""COMPUTED_VALUE"""),"Macbook + Mobile Phone")</f>
        <v>Macbook + Mobile Phone</v>
      </c>
      <c r="I73" s="31" t="str">
        <f>IFERROR(__xludf.DUMMYFUNCTION("""COMPUTED_VALUE"""),"SDET")</f>
        <v>SDET</v>
      </c>
      <c r="J73" s="31"/>
      <c r="K73" s="31"/>
      <c r="L73" s="31" t="str">
        <f>IFERROR(__xludf.DUMMYFUNCTION("""COMPUTED_VALUE"""),"Dispatched")</f>
        <v>Dispatched</v>
      </c>
      <c r="M73" s="31" t="str">
        <f>IFERROR(__xludf.DUMMYFUNCTION("""COMPUTED_VALUE"""),"Delivered")</f>
        <v>Delivered</v>
      </c>
      <c r="N73" s="31" t="str">
        <f>IFERROR(__xludf.DUMMYFUNCTION("""COMPUTED_VALUE"""),"Offer Drop - Assets to be picked up")</f>
        <v>Offer Drop - Assets to be picked up</v>
      </c>
    </row>
    <row r="74">
      <c r="A74" s="31">
        <f>IFERROR(__xludf.DUMMYFUNCTION("""COMPUTED_VALUE"""),72.0)</f>
        <v>72</v>
      </c>
      <c r="B74" s="31" t="str">
        <f>IFERROR(__xludf.DUMMYFUNCTION("""COMPUTED_VALUE"""),"Deepanshu Aggarwal")</f>
        <v>Deepanshu Aggarwal</v>
      </c>
      <c r="C74" s="31" t="str">
        <f>IFERROR(__xludf.DUMMYFUNCTION("""COMPUTED_VALUE"""),"deepanshu.agg19@gmail.com")</f>
        <v>deepanshu.agg19@gmail.com</v>
      </c>
      <c r="D74" s="84">
        <f>IFERROR(__xludf.DUMMYFUNCTION("""COMPUTED_VALUE"""),7.210800551E9)</f>
        <v>7210800551</v>
      </c>
      <c r="E74" s="88">
        <f>IFERROR(__xludf.DUMMYFUNCTION("""COMPUTED_VALUE"""),44662.0)</f>
        <v>44662</v>
      </c>
      <c r="F74" s="31"/>
      <c r="G74" s="85" t="str">
        <f>IFERROR(__xludf.DUMMYFUNCTION("""COMPUTED_VALUE"""),"C 265, 2F, Ext2, Shalimar Garden, Sahibabad, Ghaziabad, 201005")</f>
        <v>C 265, 2F, Ext2, Shalimar Garden, Sahibabad, Ghaziabad, 201005</v>
      </c>
      <c r="H74" s="31" t="str">
        <f>IFERROR(__xludf.DUMMYFUNCTION("""COMPUTED_VALUE"""),"Macbook + Mobile Phone")</f>
        <v>Macbook + Mobile Phone</v>
      </c>
      <c r="I74" s="31" t="str">
        <f>IFERROR(__xludf.DUMMYFUNCTION("""COMPUTED_VALUE"""),"SDET")</f>
        <v>SDET</v>
      </c>
      <c r="J74" s="31"/>
      <c r="K74" s="31"/>
      <c r="L74" s="31"/>
      <c r="M74" s="31" t="str">
        <f>IFERROR(__xludf.DUMMYFUNCTION("""COMPUTED_VALUE"""),"Offer Dropped")</f>
        <v>Offer Dropped</v>
      </c>
      <c r="N74" s="31"/>
    </row>
    <row r="75">
      <c r="A75" s="31">
        <f>IFERROR(__xludf.DUMMYFUNCTION("""COMPUTED_VALUE"""),73.0)</f>
        <v>73</v>
      </c>
      <c r="B75" s="31" t="str">
        <f>IFERROR(__xludf.DUMMYFUNCTION("""COMPUTED_VALUE"""),"Ishu Sharma")</f>
        <v>Ishu Sharma</v>
      </c>
      <c r="C75" s="31" t="str">
        <f>IFERROR(__xludf.DUMMYFUNCTION("""COMPUTED_VALUE"""),"ishush1986@gmail.com")</f>
        <v>ishush1986@gmail.com</v>
      </c>
      <c r="D75" s="84">
        <f>IFERROR(__xludf.DUMMYFUNCTION("""COMPUTED_VALUE"""),9.871093246E9)</f>
        <v>9871093246</v>
      </c>
      <c r="E75" s="88">
        <f>IFERROR(__xludf.DUMMYFUNCTION("""COMPUTED_VALUE"""),44670.0)</f>
        <v>44670</v>
      </c>
      <c r="F75" s="31"/>
      <c r="G75" s="85" t="str">
        <f>IFERROR(__xludf.DUMMYFUNCTION("""COMPUTED_VALUE"""),"RG Block, Pocket B, Flat No-458, 3rd Floor, Raghubir Nagar, New Delhi - 110027")</f>
        <v>RG Block, Pocket B, Flat No-458, 3rd Floor, Raghubir Nagar, New Delhi - 110027</v>
      </c>
      <c r="H75" s="31" t="str">
        <f>IFERROR(__xludf.DUMMYFUNCTION("""COMPUTED_VALUE"""),"Macbook 16"" Pro + Mouse")</f>
        <v>Macbook 16" Pro + Mouse</v>
      </c>
      <c r="I75" s="31" t="str">
        <f>IFERROR(__xludf.DUMMYFUNCTION("""COMPUTED_VALUE"""),"Senior UI Designer")</f>
        <v>Senior UI Designer</v>
      </c>
      <c r="J75" s="31"/>
      <c r="K75" s="31"/>
      <c r="L75" s="31" t="str">
        <f>IFERROR(__xludf.DUMMYFUNCTION("""COMPUTED_VALUE"""),"Dispatched")</f>
        <v>Dispatched</v>
      </c>
      <c r="M75" s="31" t="str">
        <f>IFERROR(__xludf.DUMMYFUNCTION("""COMPUTED_VALUE"""),"Delivered")</f>
        <v>Delivered</v>
      </c>
      <c r="N75" s="31"/>
    </row>
    <row r="76">
      <c r="A76" s="31">
        <f>IFERROR(__xludf.DUMMYFUNCTION("""COMPUTED_VALUE"""),74.0)</f>
        <v>74</v>
      </c>
      <c r="B76" s="31" t="str">
        <f>IFERROR(__xludf.DUMMYFUNCTION("""COMPUTED_VALUE"""),"Mansi Dhoundiyal")</f>
        <v>Mansi Dhoundiyal</v>
      </c>
      <c r="C76" s="31" t="str">
        <f>IFERROR(__xludf.DUMMYFUNCTION("""COMPUTED_VALUE"""),"mansi.dhoundiyal0098@gmail.com")</f>
        <v>mansi.dhoundiyal0098@gmail.com</v>
      </c>
      <c r="D76" s="84">
        <f>IFERROR(__xludf.DUMMYFUNCTION("""COMPUTED_VALUE"""),8.178727891E9)</f>
        <v>8178727891</v>
      </c>
      <c r="E76" s="88">
        <f>IFERROR(__xludf.DUMMYFUNCTION("""COMPUTED_VALUE"""),44655.0)</f>
        <v>44655</v>
      </c>
      <c r="F76" s="31"/>
      <c r="G76" s="85" t="str">
        <f>IFERROR(__xludf.DUMMYFUNCTION("""COMPUTED_VALUE"""),"H-33 Garhwali mohalla, Laxmi Nagar, East Delhi Pin code: 110092")</f>
        <v>H-33 Garhwali mohalla, Laxmi Nagar, East Delhi Pin code: 110092</v>
      </c>
      <c r="H76" s="31" t="str">
        <f>IFERROR(__xludf.DUMMYFUNCTION("""COMPUTED_VALUE"""),"Windows laptop")</f>
        <v>Windows laptop</v>
      </c>
      <c r="I76" s="31" t="str">
        <f>IFERROR(__xludf.DUMMYFUNCTION("""COMPUTED_VALUE"""),"Executive - Customer Experience")</f>
        <v>Executive - Customer Experience</v>
      </c>
      <c r="J76" s="31"/>
      <c r="K76" s="31"/>
      <c r="L76" s="31"/>
      <c r="M76" s="31" t="str">
        <f>IFERROR(__xludf.DUMMYFUNCTION("""COMPUTED_VALUE"""),"Offer Dropped")</f>
        <v>Offer Dropped</v>
      </c>
      <c r="N76" s="31"/>
    </row>
    <row r="77">
      <c r="A77" s="31">
        <f>IFERROR(__xludf.DUMMYFUNCTION("""COMPUTED_VALUE"""),75.0)</f>
        <v>75</v>
      </c>
      <c r="B77" s="31" t="str">
        <f>IFERROR(__xludf.DUMMYFUNCTION("""COMPUTED_VALUE"""),"Vinni Kalra Francis")</f>
        <v>Vinni Kalra Francis</v>
      </c>
      <c r="C77" s="31" t="str">
        <f>IFERROR(__xludf.DUMMYFUNCTION("""COMPUTED_VALUE"""),"Vinnik.13@gmail.com")</f>
        <v>Vinnik.13@gmail.com</v>
      </c>
      <c r="D77" s="84">
        <f>IFERROR(__xludf.DUMMYFUNCTION("""COMPUTED_VALUE"""),8.800117482E9)</f>
        <v>8800117482</v>
      </c>
      <c r="E77" s="88">
        <f>IFERROR(__xludf.DUMMYFUNCTION("""COMPUTED_VALUE"""),44669.0)</f>
        <v>44669</v>
      </c>
      <c r="F77" s="31"/>
      <c r="G77" s="85" t="str">
        <f>IFERROR(__xludf.DUMMYFUNCTION("""COMPUTED_VALUE"""),"1711, 3rd floor, sector - 46, Gurugram, Haryana, near Huda Market sector - 46")</f>
        <v>1711, 3rd floor, sector - 46, Gurugram, Haryana, near Huda Market sector - 46</v>
      </c>
      <c r="H77" s="31" t="str">
        <f>IFERROR(__xludf.DUMMYFUNCTION("""COMPUTED_VALUE"""),"Windows laptop")</f>
        <v>Windows laptop</v>
      </c>
      <c r="I77" s="31" t="str">
        <f>IFERROR(__xludf.DUMMYFUNCTION("""COMPUTED_VALUE"""),"Lead - Corporate Counsel Transactions")</f>
        <v>Lead - Corporate Counsel Transactions</v>
      </c>
      <c r="J77" s="31"/>
      <c r="K77" s="31"/>
      <c r="L77" s="31" t="str">
        <f>IFERROR(__xludf.DUMMYFUNCTION("""COMPUTED_VALUE"""),"Dispatched")</f>
        <v>Dispatched</v>
      </c>
      <c r="M77" s="31" t="str">
        <f>IFERROR(__xludf.DUMMYFUNCTION("""COMPUTED_VALUE"""),"Delivered")</f>
        <v>Delivered</v>
      </c>
      <c r="N77" s="31"/>
    </row>
    <row r="78">
      <c r="A78" s="31">
        <f>IFERROR(__xludf.DUMMYFUNCTION("""COMPUTED_VALUE"""),76.0)</f>
        <v>76</v>
      </c>
      <c r="B78" s="31" t="str">
        <f>IFERROR(__xludf.DUMMYFUNCTION("""COMPUTED_VALUE"""),"Gursharan Chawla")</f>
        <v>Gursharan Chawla</v>
      </c>
      <c r="C78" s="31" t="str">
        <f>IFERROR(__xludf.DUMMYFUNCTION("""COMPUTED_VALUE"""),"gursharanchawla@yahoo.co.in")</f>
        <v>gursharanchawla@yahoo.co.in</v>
      </c>
      <c r="D78" s="84">
        <f>IFERROR(__xludf.DUMMYFUNCTION("""COMPUTED_VALUE"""),9.910872613E9)</f>
        <v>9910872613</v>
      </c>
      <c r="E78" s="88">
        <f>IFERROR(__xludf.DUMMYFUNCTION("""COMPUTED_VALUE"""),44676.0)</f>
        <v>44676</v>
      </c>
      <c r="F78" s="31"/>
      <c r="G78" s="85" t="str">
        <f>IFERROR(__xludf.DUMMYFUNCTION("""COMPUTED_VALUE"""),"D-14/34, Ground floor, DLF Exclusive Floors, DLF Phase V, Gurgaon – 122002")</f>
        <v>D-14/34, Ground floor, DLF Exclusive Floors, DLF Phase V, Gurgaon – 122002</v>
      </c>
      <c r="H78" s="31" t="str">
        <f>IFERROR(__xludf.DUMMYFUNCTION("""COMPUTED_VALUE"""),"Macbook 13"" Pro")</f>
        <v>Macbook 13" Pro</v>
      </c>
      <c r="I78" s="31" t="str">
        <f>IFERROR(__xludf.DUMMYFUNCTION("""COMPUTED_VALUE"""),"Head - Taxation")</f>
        <v>Head - Taxation</v>
      </c>
      <c r="J78" s="31"/>
      <c r="K78" s="31"/>
      <c r="L78" s="31" t="str">
        <f>IFERROR(__xludf.DUMMYFUNCTION("""COMPUTED_VALUE"""),"Dispatched")</f>
        <v>Dispatched</v>
      </c>
      <c r="M78" s="31" t="str">
        <f>IFERROR(__xludf.DUMMYFUNCTION("""COMPUTED_VALUE"""),"Delivered")</f>
        <v>Delivered</v>
      </c>
      <c r="N78" s="31"/>
    </row>
    <row r="79">
      <c r="A79" s="31">
        <f>IFERROR(__xludf.DUMMYFUNCTION("""COMPUTED_VALUE"""),77.0)</f>
        <v>77</v>
      </c>
      <c r="B79" s="31" t="str">
        <f>IFERROR(__xludf.DUMMYFUNCTION("""COMPUTED_VALUE"""),"Srijith")</f>
        <v>Srijith</v>
      </c>
      <c r="C79" s="31" t="str">
        <f>IFERROR(__xludf.DUMMYFUNCTION("""COMPUTED_VALUE"""),"Srijithmshaji@gmail. com")</f>
        <v>Srijithmshaji@gmail. com</v>
      </c>
      <c r="D79" s="84">
        <f>IFERROR(__xludf.DUMMYFUNCTION("""COMPUTED_VALUE"""),7.01212993E9)</f>
        <v>7012129930</v>
      </c>
      <c r="E79" s="90">
        <f>IFERROR(__xludf.DUMMYFUNCTION("""COMPUTED_VALUE"""),44683.0)</f>
        <v>44683</v>
      </c>
      <c r="F79" s="31"/>
      <c r="G79" s="85" t="str">
        <f>IFERROR(__xludf.DUMMYFUNCTION("""COMPUTED_VALUE"""),"Magattuthara house, Pattikad po, Manamkode ,panancherry, thrissur, kerala 680652")</f>
        <v>Magattuthara house, Pattikad po, Manamkode ,panancherry, thrissur, kerala 680652</v>
      </c>
      <c r="H79" s="31" t="str">
        <f>IFERROR(__xludf.DUMMYFUNCTION("""COMPUTED_VALUE"""),"Windows laptop")</f>
        <v>Windows laptop</v>
      </c>
      <c r="I79" s="31" t="str">
        <f>IFERROR(__xludf.DUMMYFUNCTION("""COMPUTED_VALUE"""),"Executive - Customer Experience")</f>
        <v>Executive - Customer Experience</v>
      </c>
      <c r="J79" s="31"/>
      <c r="K79" s="31"/>
      <c r="L79" s="31" t="str">
        <f>IFERROR(__xludf.DUMMYFUNCTION("""COMPUTED_VALUE"""),"Dispatched")</f>
        <v>Dispatched</v>
      </c>
      <c r="M79" s="31" t="str">
        <f>IFERROR(__xludf.DUMMYFUNCTION("""COMPUTED_VALUE"""),"Delivered")</f>
        <v>Delivered</v>
      </c>
      <c r="N79" s="31"/>
    </row>
    <row r="80">
      <c r="A80" s="31">
        <f>IFERROR(__xludf.DUMMYFUNCTION("""COMPUTED_VALUE"""),78.0)</f>
        <v>78</v>
      </c>
      <c r="B80" s="31" t="str">
        <f>IFERROR(__xludf.DUMMYFUNCTION("""COMPUTED_VALUE"""),"Vamsidhar Yeddu")</f>
        <v>Vamsidhar Yeddu</v>
      </c>
      <c r="C80" s="31" t="str">
        <f>IFERROR(__xludf.DUMMYFUNCTION("""COMPUTED_VALUE"""),"vamsidhar666@gmail.com")</f>
        <v>vamsidhar666@gmail.com</v>
      </c>
      <c r="D80" s="84">
        <f>IFERROR(__xludf.DUMMYFUNCTION("""COMPUTED_VALUE"""),8.800596489E9)</f>
        <v>8800596489</v>
      </c>
      <c r="E80" s="88">
        <f>IFERROR(__xludf.DUMMYFUNCTION("""COMPUTED_VALUE"""),44671.0)</f>
        <v>44671</v>
      </c>
      <c r="F80" s="31"/>
      <c r="G80" s="85" t="str">
        <f>IFERROR(__xludf.DUMMYFUNCTION("""COMPUTED_VALUE"""),"Door No: 9-36-12, Flat No. 403, Vijaynagar Dayal Aprtments, Pitapuram Colony, Visakhapatman, Andhra Pradesh 530003")</f>
        <v>Door No: 9-36-12, Flat No. 403, Vijaynagar Dayal Aprtments, Pitapuram Colony, Visakhapatman, Andhra Pradesh 530003</v>
      </c>
      <c r="H80" s="86" t="str">
        <f>IFERROR(__xludf.DUMMYFUNCTION("""COMPUTED_VALUE"""),"https://www.amazon.in/dp/B08CTZ7WGJ/ref=cm_sw_r_apan_i_HWGGRTK6JQQQA7BN3M1P?_encoding=UTF8&amp;psc=1")</f>
        <v>https://www.amazon.in/dp/B08CTZ7WGJ/ref=cm_sw_r_apan_i_HWGGRTK6JQQQA7BN3M1P?_encoding=UTF8&amp;psc=1</v>
      </c>
      <c r="I80" s="31" t="str">
        <f>IFERROR(__xludf.DUMMYFUNCTION("""COMPUTED_VALUE"""),"Technology Lead")</f>
        <v>Technology Lead</v>
      </c>
      <c r="J80" s="31"/>
      <c r="K80" s="31"/>
      <c r="L80" s="31" t="str">
        <f>IFERROR(__xludf.DUMMYFUNCTION("""COMPUTED_VALUE"""),"Dispatched")</f>
        <v>Dispatched</v>
      </c>
      <c r="M80" s="31" t="str">
        <f>IFERROR(__xludf.DUMMYFUNCTION("""COMPUTED_VALUE"""),"Delivered")</f>
        <v>Delivered</v>
      </c>
      <c r="N80" s="31"/>
    </row>
    <row r="81">
      <c r="A81" s="31">
        <f>IFERROR(__xludf.DUMMYFUNCTION("""COMPUTED_VALUE"""),79.0)</f>
        <v>79</v>
      </c>
      <c r="B81" s="31" t="str">
        <f>IFERROR(__xludf.DUMMYFUNCTION("""COMPUTED_VALUE"""),"Amit Kumar")</f>
        <v>Amit Kumar</v>
      </c>
      <c r="C81" s="31" t="str">
        <f>IFERROR(__xludf.DUMMYFUNCTION("""COMPUTED_VALUE"""),"amit2907255@gmail.com")</f>
        <v>amit2907255@gmail.com</v>
      </c>
      <c r="D81" s="84">
        <f>IFERROR(__xludf.DUMMYFUNCTION("""COMPUTED_VALUE"""),9.896705565E9)</f>
        <v>9896705565</v>
      </c>
      <c r="E81" s="88">
        <f>IFERROR(__xludf.DUMMYFUNCTION("""COMPUTED_VALUE"""),44676.0)</f>
        <v>44676</v>
      </c>
      <c r="F81" s="31"/>
      <c r="G81" s="85" t="str">
        <f>IFERROR(__xludf.DUMMYFUNCTION("""COMPUTED_VALUE"""),"Amit kumar S/O Raichand, House No 49, Housing Board Colony, Cheeka, Distt : Kaithal 136034")</f>
        <v>Amit kumar S/O Raichand, House No 49, Housing Board Colony, Cheeka, Distt : Kaithal 136034</v>
      </c>
      <c r="H81" s="31" t="str">
        <f>IFERROR(__xludf.DUMMYFUNCTION("""COMPUTED_VALUE"""),"Macbook + Mobile Phone")</f>
        <v>Macbook + Mobile Phone</v>
      </c>
      <c r="I81" s="31" t="str">
        <f>IFERROR(__xludf.DUMMYFUNCTION("""COMPUTED_VALUE"""),"SDET")</f>
        <v>SDET</v>
      </c>
      <c r="J81" s="31"/>
      <c r="K81" s="31"/>
      <c r="L81" s="31" t="str">
        <f>IFERROR(__xludf.DUMMYFUNCTION("""COMPUTED_VALUE"""),"Dispatched")</f>
        <v>Dispatched</v>
      </c>
      <c r="M81" s="31" t="str">
        <f>IFERROR(__xludf.DUMMYFUNCTION("""COMPUTED_VALUE"""),"Delivered")</f>
        <v>Delivered</v>
      </c>
      <c r="N81" s="31"/>
    </row>
    <row r="82">
      <c r="A82" s="31">
        <f>IFERROR(__xludf.DUMMYFUNCTION("""COMPUTED_VALUE"""),80.0)</f>
        <v>80</v>
      </c>
      <c r="B82" s="31" t="str">
        <f>IFERROR(__xludf.DUMMYFUNCTION("""COMPUTED_VALUE"""),"Mukesh Kumar Vaidya")</f>
        <v>Mukesh Kumar Vaidya</v>
      </c>
      <c r="C82" s="31" t="str">
        <f>IFERROR(__xludf.DUMMYFUNCTION("""COMPUTED_VALUE"""),"vaidyamukesh3@gmail.com")</f>
        <v>vaidyamukesh3@gmail.com</v>
      </c>
      <c r="D82" s="84">
        <f>IFERROR(__xludf.DUMMYFUNCTION("""COMPUTED_VALUE"""),8.373902014E9)</f>
        <v>8373902014</v>
      </c>
      <c r="E82" s="90">
        <f>IFERROR(__xludf.DUMMYFUNCTION("""COMPUTED_VALUE"""),44683.0)</f>
        <v>44683</v>
      </c>
      <c r="F82" s="31"/>
      <c r="G82" s="85"/>
      <c r="H82" s="31" t="str">
        <f>IFERROR(__xludf.DUMMYFUNCTION("""COMPUTED_VALUE"""),"Macbook + Mobile Phone")</f>
        <v>Macbook + Mobile Phone</v>
      </c>
      <c r="I82" s="31" t="str">
        <f>IFERROR(__xludf.DUMMYFUNCTION("""COMPUTED_VALUE"""),"Technology Lead")</f>
        <v>Technology Lead</v>
      </c>
      <c r="J82" s="31"/>
      <c r="K82" s="31"/>
      <c r="L82" s="31" t="str">
        <f>IFERROR(__xludf.DUMMYFUNCTION("""COMPUTED_VALUE"""),"NA")</f>
        <v>NA</v>
      </c>
      <c r="M82" s="31" t="str">
        <f>IFERROR(__xludf.DUMMYFUNCTION("""COMPUTED_VALUE"""),"NA")</f>
        <v>NA</v>
      </c>
      <c r="N82" s="31" t="str">
        <f>IFERROR(__xludf.DUMMYFUNCTION("""COMPUTED_VALUE"""),"He will pick up the assets on DOJ from office itself")</f>
        <v>He will pick up the assets on DOJ from office itself</v>
      </c>
    </row>
    <row r="83">
      <c r="A83" s="31">
        <f>IFERROR(__xludf.DUMMYFUNCTION("""COMPUTED_VALUE"""),81.0)</f>
        <v>81</v>
      </c>
      <c r="B83" s="31" t="str">
        <f>IFERROR(__xludf.DUMMYFUNCTION("""COMPUTED_VALUE"""),"Jhanvi Pandha")</f>
        <v>Jhanvi Pandha</v>
      </c>
      <c r="C83" s="31" t="str">
        <f>IFERROR(__xludf.DUMMYFUNCTION("""COMPUTED_VALUE"""),"jhanvipandha0438@gmail.com")</f>
        <v>jhanvipandha0438@gmail.com</v>
      </c>
      <c r="D83" s="84" t="str">
        <f>IFERROR(__xludf.DUMMYFUNCTION("""COMPUTED_VALUE"""),"88510 89231")</f>
        <v>88510 89231</v>
      </c>
      <c r="E83" s="90">
        <f>IFERROR(__xludf.DUMMYFUNCTION("""COMPUTED_VALUE"""),44683.0)</f>
        <v>44683</v>
      </c>
      <c r="F83" s="31"/>
      <c r="G83" s="85" t="str">
        <f>IFERROR(__xludf.DUMMYFUNCTION("""COMPUTED_VALUE"""),"58 Old roshan pura Najafgarh new delhi, 110043")</f>
        <v>58 Old roshan pura Najafgarh new delhi, 110043</v>
      </c>
      <c r="H83" s="31" t="str">
        <f>IFERROR(__xludf.DUMMYFUNCTION("""COMPUTED_VALUE"""),"Windows laptop")</f>
        <v>Windows laptop</v>
      </c>
      <c r="I83" s="31" t="str">
        <f>IFERROR(__xludf.DUMMYFUNCTION("""COMPUTED_VALUE"""),"Executive - Customer Experience")</f>
        <v>Executive - Customer Experience</v>
      </c>
      <c r="J83" s="31"/>
      <c r="K83" s="31"/>
      <c r="L83" s="31" t="str">
        <f>IFERROR(__xludf.DUMMYFUNCTION("""COMPUTED_VALUE"""),"NA")</f>
        <v>NA</v>
      </c>
      <c r="M83" s="31" t="str">
        <f>IFERROR(__xludf.DUMMYFUNCTION("""COMPUTED_VALUE"""),"NA")</f>
        <v>NA</v>
      </c>
      <c r="N83" s="31" t="str">
        <f>IFERROR(__xludf.DUMMYFUNCTION("""COMPUTED_VALUE"""),"She will pick up the assets on DOJ from office itself")</f>
        <v>She will pick up the assets on DOJ from office itself</v>
      </c>
    </row>
    <row r="84">
      <c r="A84" s="31">
        <f>IFERROR(__xludf.DUMMYFUNCTION("""COMPUTED_VALUE"""),82.0)</f>
        <v>82</v>
      </c>
      <c r="B84" s="31" t="str">
        <f>IFERROR(__xludf.DUMMYFUNCTION("""COMPUTED_VALUE"""),"Girish Singh")</f>
        <v>Girish Singh</v>
      </c>
      <c r="C84" s="31" t="str">
        <f>IFERROR(__xludf.DUMMYFUNCTION("""COMPUTED_VALUE"""),"girish13@gmail.com")</f>
        <v>girish13@gmail.com</v>
      </c>
      <c r="D84" s="84">
        <f>IFERROR(__xludf.DUMMYFUNCTION("""COMPUTED_VALUE"""),9.71730124E9)</f>
        <v>9717301240</v>
      </c>
      <c r="E84" s="90">
        <f>IFERROR(__xludf.DUMMYFUNCTION("""COMPUTED_VALUE"""),44683.0)</f>
        <v>44683</v>
      </c>
      <c r="F84" s="31"/>
      <c r="G84" s="85" t="str">
        <f>IFERROR(__xludf.DUMMYFUNCTION("""COMPUTED_VALUE"""),"House No. 3680, Sector 23, Gurgaon - 122017")</f>
        <v>House No. 3680, Sector 23, Gurgaon - 122017</v>
      </c>
      <c r="H84" s="31" t="str">
        <f>IFERROR(__xludf.DUMMYFUNCTION("""COMPUTED_VALUE"""),"Macbook")</f>
        <v>Macbook</v>
      </c>
      <c r="I84" s="31" t="str">
        <f>IFERROR(__xludf.DUMMYFUNCTION("""COMPUTED_VALUE"""),"VP - Growth")</f>
        <v>VP - Growth</v>
      </c>
      <c r="J84" s="31"/>
      <c r="K84" s="31"/>
      <c r="L84" s="31" t="str">
        <f>IFERROR(__xludf.DUMMYFUNCTION("""COMPUTED_VALUE"""),"Dispatched")</f>
        <v>Dispatched</v>
      </c>
      <c r="M84" s="31" t="str">
        <f>IFERROR(__xludf.DUMMYFUNCTION("""COMPUTED_VALUE"""),"Delivered")</f>
        <v>Delivered</v>
      </c>
      <c r="N84" s="31"/>
    </row>
    <row r="85">
      <c r="A85" s="31">
        <f>IFERROR(__xludf.DUMMYFUNCTION("""COMPUTED_VALUE"""),83.0)</f>
        <v>83</v>
      </c>
      <c r="B85" s="31" t="str">
        <f>IFERROR(__xludf.DUMMYFUNCTION("""COMPUTED_VALUE"""),"Ayush Singhal")</f>
        <v>Ayush Singhal</v>
      </c>
      <c r="C85" s="31" t="str">
        <f>IFERROR(__xludf.DUMMYFUNCTION("""COMPUTED_VALUE"""),"singhal.ayush530@gmail.com")</f>
        <v>singhal.ayush530@gmail.com</v>
      </c>
      <c r="D85" s="84">
        <f>IFERROR(__xludf.DUMMYFUNCTION("""COMPUTED_VALUE"""),8.950022186E9)</f>
        <v>8950022186</v>
      </c>
      <c r="E85" s="90">
        <f>IFERROR(__xludf.DUMMYFUNCTION("""COMPUTED_VALUE"""),44698.0)</f>
        <v>44698</v>
      </c>
      <c r="F85" s="31"/>
      <c r="G85" s="85" t="str">
        <f>IFERROR(__xludf.DUMMYFUNCTION("""COMPUTED_VALUE"""),"56 Anand Nagar - B, Boh Road, Ambala Cantt (133001), Haryana")</f>
        <v>56 Anand Nagar - B, Boh Road, Ambala Cantt (133001), Haryana</v>
      </c>
      <c r="H85" s="31" t="str">
        <f>IFERROR(__xludf.DUMMYFUNCTION("""COMPUTED_VALUE"""),"Macbook + Mobile Phone")</f>
        <v>Macbook + Mobile Phone</v>
      </c>
      <c r="I85" s="31"/>
      <c r="J85" s="31"/>
      <c r="K85" s="31"/>
      <c r="L85" s="31" t="str">
        <f>IFERROR(__xludf.DUMMYFUNCTION("""COMPUTED_VALUE"""),"Dispatched")</f>
        <v>Dispatched</v>
      </c>
      <c r="M85" s="31" t="str">
        <f>IFERROR(__xludf.DUMMYFUNCTION("""COMPUTED_VALUE"""),"Delivered")</f>
        <v>Delivered</v>
      </c>
      <c r="N85" s="31"/>
    </row>
    <row r="86">
      <c r="A86" s="31">
        <f>IFERROR(__xludf.DUMMYFUNCTION("""COMPUTED_VALUE"""),84.0)</f>
        <v>84</v>
      </c>
      <c r="B86" s="31" t="str">
        <f>IFERROR(__xludf.DUMMYFUNCTION("""COMPUTED_VALUE"""),"Archie Jain")</f>
        <v>Archie Jain</v>
      </c>
      <c r="C86" s="31" t="str">
        <f>IFERROR(__xludf.DUMMYFUNCTION("""COMPUTED_VALUE"""),"jainarchie@gmail.com")</f>
        <v>jainarchie@gmail.com</v>
      </c>
      <c r="D86" s="84">
        <f>IFERROR(__xludf.DUMMYFUNCTION("""COMPUTED_VALUE"""),7.0223764E9)</f>
        <v>7022376400</v>
      </c>
      <c r="E86" s="90">
        <f>IFERROR(__xludf.DUMMYFUNCTION("""COMPUTED_VALUE"""),44690.0)</f>
        <v>44690</v>
      </c>
      <c r="F86" s="31"/>
      <c r="G86" s="85" t="str">
        <f>IFERROR(__xludf.DUMMYFUNCTION("""COMPUTED_VALUE"""),"Flat 615, Siena tower, Mahagun moderne, Sector 78, Noida U.P. 201307")</f>
        <v>Flat 615, Siena tower, Mahagun moderne, Sector 78, Noida U.P. 201307</v>
      </c>
      <c r="H86" s="31" t="str">
        <f>IFERROR(__xludf.DUMMYFUNCTION("""COMPUTED_VALUE"""),"Macbook + Mobile Phone")</f>
        <v>Macbook + Mobile Phone</v>
      </c>
      <c r="I86" s="31" t="str">
        <f>IFERROR(__xludf.DUMMYFUNCTION("""COMPUTED_VALUE"""),"Technology Lead")</f>
        <v>Technology Lead</v>
      </c>
      <c r="J86" s="31"/>
      <c r="K86" s="31"/>
      <c r="L86" s="31"/>
      <c r="M86" s="31"/>
      <c r="N86" s="31" t="str">
        <f>IFERROR(__xludf.DUMMYFUNCTION("""COMPUTED_VALUE"""),"Offer dropped")</f>
        <v>Offer dropped</v>
      </c>
    </row>
    <row r="87">
      <c r="A87" s="31">
        <f>IFERROR(__xludf.DUMMYFUNCTION("""COMPUTED_VALUE"""),85.0)</f>
        <v>85</v>
      </c>
      <c r="B87" s="31" t="str">
        <f>IFERROR(__xludf.DUMMYFUNCTION("""COMPUTED_VALUE"""),"Rubal Bansal")</f>
        <v>Rubal Bansal</v>
      </c>
      <c r="C87" s="31" t="str">
        <f>IFERROR(__xludf.DUMMYFUNCTION("""COMPUTED_VALUE"""),"rbansal.rbansal@gmail.com")</f>
        <v>rbansal.rbansal@gmail.com</v>
      </c>
      <c r="D87" s="84">
        <f>IFERROR(__xludf.DUMMYFUNCTION("""COMPUTED_VALUE"""),9.899233076E9)</f>
        <v>9899233076</v>
      </c>
      <c r="E87" s="90">
        <f>IFERROR(__xludf.DUMMYFUNCTION("""COMPUTED_VALUE"""),44704.0)</f>
        <v>44704</v>
      </c>
      <c r="F87" s="31"/>
      <c r="G87" s="85" t="str">
        <f>IFERROR(__xludf.DUMMYFUNCTION("""COMPUTED_VALUE"""),"H No 22 1st Floor, T.D.I. Emperor Floors, Kundli, TDI Mall, Sonipat, Haryana 131028")</f>
        <v>H No 22 1st Floor, T.D.I. Emperor Floors, Kundli, TDI Mall, Sonipat, Haryana 131028</v>
      </c>
      <c r="H87" s="31" t="str">
        <f>IFERROR(__xludf.DUMMYFUNCTION("""COMPUTED_VALUE"""),"Macbook + Mobile Phone")</f>
        <v>Macbook + Mobile Phone</v>
      </c>
      <c r="I87" s="31" t="str">
        <f>IFERROR(__xludf.DUMMYFUNCTION("""COMPUTED_VALUE"""),"Software Engineer")</f>
        <v>Software Engineer</v>
      </c>
      <c r="J87" s="31"/>
      <c r="K87" s="31"/>
      <c r="L87" s="31"/>
      <c r="M87" s="31"/>
      <c r="N87" s="31"/>
    </row>
    <row r="88">
      <c r="A88" s="31">
        <f>IFERROR(__xludf.DUMMYFUNCTION("""COMPUTED_VALUE"""),86.0)</f>
        <v>86</v>
      </c>
      <c r="B88" s="31" t="str">
        <f>IFERROR(__xludf.DUMMYFUNCTION("""COMPUTED_VALUE"""),"Nihal Singh Sandhu")</f>
        <v>Nihal Singh Sandhu</v>
      </c>
      <c r="C88" s="31" t="str">
        <f>IFERROR(__xludf.DUMMYFUNCTION("""COMPUTED_VALUE"""),"nihalsidhu9@gmail.com")</f>
        <v>nihalsidhu9@gmail.com</v>
      </c>
      <c r="D88" s="84">
        <f>IFERROR(__xludf.DUMMYFUNCTION("""COMPUTED_VALUE"""),8.839644564E9)</f>
        <v>8839644564</v>
      </c>
      <c r="E88" s="90">
        <f>IFERROR(__xludf.DUMMYFUNCTION("""COMPUTED_VALUE"""),44686.0)</f>
        <v>44686</v>
      </c>
      <c r="F88" s="31"/>
      <c r="G88" s="85" t="str">
        <f>IFERROR(__xludf.DUMMYFUNCTION("""COMPUTED_VALUE"""),"824 Sidhu Gali, Behind Sector 6/C Padimar, BALCO Nagar, Korba, M. Corp, Chhattisgarh 495684")</f>
        <v>824 Sidhu Gali, Behind Sector 6/C Padimar, BALCO Nagar, Korba, M. Corp, Chhattisgarh 495684</v>
      </c>
      <c r="H88" s="31" t="str">
        <f>IFERROR(__xludf.DUMMYFUNCTION("""COMPUTED_VALUE"""),"Windows laptop")</f>
        <v>Windows laptop</v>
      </c>
      <c r="I88" s="31" t="str">
        <f>IFERROR(__xludf.DUMMYFUNCTION("""COMPUTED_VALUE"""),"Executive - Customer Experience")</f>
        <v>Executive - Customer Experience</v>
      </c>
      <c r="J88" s="31"/>
      <c r="K88" s="31"/>
      <c r="L88" s="31" t="str">
        <f>IFERROR(__xludf.DUMMYFUNCTION("""COMPUTED_VALUE"""),"Dispatched ")</f>
        <v>Dispatched </v>
      </c>
      <c r="M88" s="31" t="str">
        <f>IFERROR(__xludf.DUMMYFUNCTION("""COMPUTED_VALUE"""),"Delivered")</f>
        <v>Delivered</v>
      </c>
      <c r="N88" s="31"/>
    </row>
    <row r="89">
      <c r="A89" s="31">
        <f>IFERROR(__xludf.DUMMYFUNCTION("""COMPUTED_VALUE"""),87.0)</f>
        <v>87</v>
      </c>
      <c r="B89" s="31" t="str">
        <f>IFERROR(__xludf.DUMMYFUNCTION("""COMPUTED_VALUE"""),"Arun Singh")</f>
        <v>Arun Singh</v>
      </c>
      <c r="C89" s="31" t="str">
        <f>IFERROR(__xludf.DUMMYFUNCTION("""COMPUTED_VALUE"""),"varunshan0007@gmail.com")</f>
        <v>varunshan0007@gmail.com</v>
      </c>
      <c r="D89" s="84">
        <f>IFERROR(__xludf.DUMMYFUNCTION("""COMPUTED_VALUE"""),9.622480509E9)</f>
        <v>9622480509</v>
      </c>
      <c r="E89" s="90">
        <f>IFERROR(__xludf.DUMMYFUNCTION("""COMPUTED_VALUE"""),44686.0)</f>
        <v>44686</v>
      </c>
      <c r="F89" s="31"/>
      <c r="G89" s="85" t="str">
        <f>IFERROR(__xludf.DUMMYFUNCTION("""COMPUTED_VALUE"""),"Royal residency sec 73 Noida Flat no 208 3rd floor Near A square mall, Pin code -201307")</f>
        <v>Royal residency sec 73 Noida Flat no 208 3rd floor Near A square mall, Pin code -201307</v>
      </c>
      <c r="H89" s="31" t="str">
        <f>IFERROR(__xludf.DUMMYFUNCTION("""COMPUTED_VALUE"""),"Windows laptop")</f>
        <v>Windows laptop</v>
      </c>
      <c r="I89" s="31" t="str">
        <f>IFERROR(__xludf.DUMMYFUNCTION("""COMPUTED_VALUE"""),"Executive - Customer Experience")</f>
        <v>Executive - Customer Experience</v>
      </c>
      <c r="J89" s="31"/>
      <c r="K89" s="31"/>
      <c r="L89" s="31" t="str">
        <f>IFERROR(__xludf.DUMMYFUNCTION("""COMPUTED_VALUE"""),"Dispatched ")</f>
        <v>Dispatched </v>
      </c>
      <c r="M89" s="31" t="str">
        <f>IFERROR(__xludf.DUMMYFUNCTION("""COMPUTED_VALUE"""),"Delivered")</f>
        <v>Delivered</v>
      </c>
      <c r="N89" s="31"/>
    </row>
    <row r="90">
      <c r="A90" s="31">
        <f>IFERROR(__xludf.DUMMYFUNCTION("""COMPUTED_VALUE"""),88.0)</f>
        <v>88</v>
      </c>
      <c r="B90" s="31" t="str">
        <f>IFERROR(__xludf.DUMMYFUNCTION("""COMPUTED_VALUE"""),"Sakshi Singh")</f>
        <v>Sakshi Singh</v>
      </c>
      <c r="C90" s="31" t="str">
        <f>IFERROR(__xludf.DUMMYFUNCTION("""COMPUTED_VALUE"""),"sakshichauhan2125@gmail.com")</f>
        <v>sakshichauhan2125@gmail.com</v>
      </c>
      <c r="D90" s="84">
        <f>IFERROR(__xludf.DUMMYFUNCTION("""COMPUTED_VALUE"""),8.700162274E9)</f>
        <v>8700162274</v>
      </c>
      <c r="E90" s="90">
        <f>IFERROR(__xludf.DUMMYFUNCTION("""COMPUTED_VALUE"""),44686.0)</f>
        <v>44686</v>
      </c>
      <c r="F90" s="31"/>
      <c r="G90" s="85" t="str">
        <f>IFERROR(__xludf.DUMMYFUNCTION("""COMPUTED_VALUE"""),"481, Block-I, Sector Alpha-2, Greater Noida, 201308")</f>
        <v>481, Block-I, Sector Alpha-2, Greater Noida, 201308</v>
      </c>
      <c r="H90" s="31" t="str">
        <f>IFERROR(__xludf.DUMMYFUNCTION("""COMPUTED_VALUE"""),"Windows laptop")</f>
        <v>Windows laptop</v>
      </c>
      <c r="I90" s="31" t="str">
        <f>IFERROR(__xludf.DUMMYFUNCTION("""COMPUTED_VALUE"""),"Executive - Customer Experience")</f>
        <v>Executive - Customer Experience</v>
      </c>
      <c r="J90" s="31"/>
      <c r="K90" s="31"/>
      <c r="L90" s="31" t="str">
        <f>IFERROR(__xludf.DUMMYFUNCTION("""COMPUTED_VALUE"""),"Dispatched ")</f>
        <v>Dispatched </v>
      </c>
      <c r="M90" s="31" t="str">
        <f>IFERROR(__xludf.DUMMYFUNCTION("""COMPUTED_VALUE"""),"Delivered")</f>
        <v>Delivered</v>
      </c>
      <c r="N90" s="31"/>
    </row>
    <row r="91">
      <c r="A91" s="31">
        <f>IFERROR(__xludf.DUMMYFUNCTION("""COMPUTED_VALUE"""),89.0)</f>
        <v>89</v>
      </c>
      <c r="B91" s="31" t="str">
        <f>IFERROR(__xludf.DUMMYFUNCTION("""COMPUTED_VALUE"""),"Shikha Tripathi")</f>
        <v>Shikha Tripathi</v>
      </c>
      <c r="C91" s="31" t="str">
        <f>IFERROR(__xludf.DUMMYFUNCTION("""COMPUTED_VALUE"""),"2310shikha.tripathi@gmail.com")</f>
        <v>2310shikha.tripathi@gmail.com</v>
      </c>
      <c r="D91" s="84">
        <f>IFERROR(__xludf.DUMMYFUNCTION("""COMPUTED_VALUE"""),8.971196764E9)</f>
        <v>8971196764</v>
      </c>
      <c r="E91" s="90">
        <f>IFERROR(__xludf.DUMMYFUNCTION("""COMPUTED_VALUE"""),44686.0)</f>
        <v>44686</v>
      </c>
      <c r="F91" s="31"/>
      <c r="G91" s="85" t="str">
        <f>IFERROR(__xludf.DUMMYFUNCTION("""COMPUTED_VALUE"""),"Flat no 433 ,E2 ,vasant kunj ,mahipal pur 110070")</f>
        <v>Flat no 433 ,E2 ,vasant kunj ,mahipal pur 110070</v>
      </c>
      <c r="H91" s="31" t="str">
        <f>IFERROR(__xludf.DUMMYFUNCTION("""COMPUTED_VALUE"""),"Windows laptop")</f>
        <v>Windows laptop</v>
      </c>
      <c r="I91" s="31" t="str">
        <f>IFERROR(__xludf.DUMMYFUNCTION("""COMPUTED_VALUE"""),"Executive - Customer Experience")</f>
        <v>Executive - Customer Experience</v>
      </c>
      <c r="J91" s="31"/>
      <c r="K91" s="31"/>
      <c r="L91" s="31" t="str">
        <f>IFERROR(__xludf.DUMMYFUNCTION("""COMPUTED_VALUE"""),"Dispatched ")</f>
        <v>Dispatched </v>
      </c>
      <c r="M91" s="31" t="str">
        <f>IFERROR(__xludf.DUMMYFUNCTION("""COMPUTED_VALUE"""),"Delivered")</f>
        <v>Delivered</v>
      </c>
      <c r="N91" s="31"/>
    </row>
    <row r="92">
      <c r="A92" s="31">
        <f>IFERROR(__xludf.DUMMYFUNCTION("""COMPUTED_VALUE"""),90.0)</f>
        <v>90</v>
      </c>
      <c r="B92" s="31" t="str">
        <f>IFERROR(__xludf.DUMMYFUNCTION("""COMPUTED_VALUE"""),"Rahul Bisht")</f>
        <v>Rahul Bisht</v>
      </c>
      <c r="C92" s="31" t="str">
        <f>IFERROR(__xludf.DUMMYFUNCTION("""COMPUTED_VALUE"""),"rul.rahul71@gmail.com")</f>
        <v>rul.rahul71@gmail.com</v>
      </c>
      <c r="D92" s="84">
        <f>IFERROR(__xludf.DUMMYFUNCTION("""COMPUTED_VALUE"""),9.560479662E9)</f>
        <v>9560479662</v>
      </c>
      <c r="E92" s="90">
        <f>IFERROR(__xludf.DUMMYFUNCTION("""COMPUTED_VALUE"""),44694.0)</f>
        <v>44694</v>
      </c>
      <c r="F92" s="31"/>
      <c r="G92" s="85" t="str">
        <f>IFERROR(__xludf.DUMMYFUNCTION("""COMPUTED_VALUE"""),"14/1 Street 2, East Guru Angad Nagar, Delhi-110092")</f>
        <v>14/1 Street 2, East Guru Angad Nagar, Delhi-110092</v>
      </c>
      <c r="H92" s="31" t="str">
        <f>IFERROR(__xludf.DUMMYFUNCTION("""COMPUTED_VALUE"""),"Windows laptop")</f>
        <v>Windows laptop</v>
      </c>
      <c r="I92" s="31" t="str">
        <f>IFERROR(__xludf.DUMMYFUNCTION("""COMPUTED_VALUE"""),"Executive - Customer Experience")</f>
        <v>Executive - Customer Experience</v>
      </c>
      <c r="J92" s="31"/>
      <c r="K92" s="31"/>
      <c r="L92" s="31" t="str">
        <f>IFERROR(__xludf.DUMMYFUNCTION("""COMPUTED_VALUE"""),"Dispatched ")</f>
        <v>Dispatched </v>
      </c>
      <c r="M92" s="31" t="str">
        <f>IFERROR(__xludf.DUMMYFUNCTION("""COMPUTED_VALUE"""),"Delivered")</f>
        <v>Delivered</v>
      </c>
      <c r="N92" s="31"/>
    </row>
    <row r="93">
      <c r="A93" s="31">
        <f>IFERROR(__xludf.DUMMYFUNCTION("""COMPUTED_VALUE"""),91.0)</f>
        <v>91</v>
      </c>
      <c r="B93" s="31" t="str">
        <f>IFERROR(__xludf.DUMMYFUNCTION("""COMPUTED_VALUE"""),"Sumit Paul")</f>
        <v>Sumit Paul</v>
      </c>
      <c r="C93" s="31" t="str">
        <f>IFERROR(__xludf.DUMMYFUNCTION("""COMPUTED_VALUE"""),"sumitpaul226_ocx@indeedemail.com")</f>
        <v>sumitpaul226_ocx@indeedemail.com</v>
      </c>
      <c r="D93" s="84" t="str">
        <f>IFERROR(__xludf.DUMMYFUNCTION("""COMPUTED_VALUE"""),"78883 39345")</f>
        <v>78883 39345</v>
      </c>
      <c r="E93" s="90">
        <f>IFERROR(__xludf.DUMMYFUNCTION("""COMPUTED_VALUE"""),44694.0)</f>
        <v>44694</v>
      </c>
      <c r="F93" s="31"/>
      <c r="G93" s="85" t="str">
        <f>IFERROR(__xludf.DUMMYFUNCTION("""COMPUTED_VALUE"""),"House No-445 Old Hamida Anand Colony, Yamuna Nagar, Haryana 135001")</f>
        <v>House No-445 Old Hamida Anand Colony, Yamuna Nagar, Haryana 135001</v>
      </c>
      <c r="H93" s="31" t="str">
        <f>IFERROR(__xludf.DUMMYFUNCTION("""COMPUTED_VALUE"""),"Windows laptop")</f>
        <v>Windows laptop</v>
      </c>
      <c r="I93" s="31" t="str">
        <f>IFERROR(__xludf.DUMMYFUNCTION("""COMPUTED_VALUE"""),"Executive - Customer Experience")</f>
        <v>Executive - Customer Experience</v>
      </c>
      <c r="J93" s="31"/>
      <c r="K93" s="31"/>
      <c r="L93" s="31" t="str">
        <f>IFERROR(__xludf.DUMMYFUNCTION("""COMPUTED_VALUE"""),"Dispatched ")</f>
        <v>Dispatched </v>
      </c>
      <c r="M93" s="31" t="str">
        <f>IFERROR(__xludf.DUMMYFUNCTION("""COMPUTED_VALUE"""),"Delivered")</f>
        <v>Delivered</v>
      </c>
      <c r="N93" s="31"/>
    </row>
    <row r="94">
      <c r="A94" s="31">
        <f>IFERROR(__xludf.DUMMYFUNCTION("""COMPUTED_VALUE"""),92.0)</f>
        <v>92</v>
      </c>
      <c r="B94" s="31" t="str">
        <f>IFERROR(__xludf.DUMMYFUNCTION("""COMPUTED_VALUE"""),"Manish Karnatak")</f>
        <v>Manish Karnatak</v>
      </c>
      <c r="C94" s="31" t="str">
        <f>IFERROR(__xludf.DUMMYFUNCTION("""COMPUTED_VALUE"""),"manish.wizardry@gmail.com")</f>
        <v>manish.wizardry@gmail.com</v>
      </c>
      <c r="D94" s="84" t="str">
        <f>IFERROR(__xludf.DUMMYFUNCTION("""COMPUTED_VALUE"""),"99999 03630")</f>
        <v>99999 03630</v>
      </c>
      <c r="E94" s="90">
        <f>IFERROR(__xludf.DUMMYFUNCTION("""COMPUTED_VALUE"""),44690.0)</f>
        <v>44690</v>
      </c>
      <c r="F94" s="31"/>
      <c r="G94" s="85"/>
      <c r="H94" s="31" t="str">
        <f>IFERROR(__xludf.DUMMYFUNCTION("""COMPUTED_VALUE"""),"Macbook")</f>
        <v>Macbook</v>
      </c>
      <c r="I94" s="31" t="str">
        <f>IFERROR(__xludf.DUMMYFUNCTION("""COMPUTED_VALUE"""),"Senior Director - Creative")</f>
        <v>Senior Director - Creative</v>
      </c>
      <c r="J94" s="31"/>
      <c r="K94" s="31"/>
      <c r="L94" s="31" t="str">
        <f>IFERROR(__xludf.DUMMYFUNCTION("""COMPUTED_VALUE"""),"NA")</f>
        <v>NA</v>
      </c>
      <c r="M94" s="31" t="str">
        <f>IFERROR(__xludf.DUMMYFUNCTION("""COMPUTED_VALUE"""),"NA")</f>
        <v>NA</v>
      </c>
      <c r="N94" s="31" t="str">
        <f>IFERROR(__xludf.DUMMYFUNCTION("""COMPUTED_VALUE"""),"He will pick up the assets on May 11th from office")</f>
        <v>He will pick up the assets on May 11th from office</v>
      </c>
    </row>
    <row r="95">
      <c r="A95" s="31">
        <f>IFERROR(__xludf.DUMMYFUNCTION("""COMPUTED_VALUE"""),93.0)</f>
        <v>93</v>
      </c>
      <c r="B95" s="31" t="str">
        <f>IFERROR(__xludf.DUMMYFUNCTION("""COMPUTED_VALUE"""),"Manav Jain")</f>
        <v>Manav Jain</v>
      </c>
      <c r="C95" s="31"/>
      <c r="D95" s="84"/>
      <c r="E95" s="87">
        <f>IFERROR(__xludf.DUMMYFUNCTION("""COMPUTED_VALUE"""),44698.0)</f>
        <v>44698</v>
      </c>
      <c r="F95" s="31"/>
      <c r="G95" s="85"/>
      <c r="H95" s="31" t="str">
        <f>IFERROR(__xludf.DUMMYFUNCTION("""COMPUTED_VALUE"""),"Windows laptop")</f>
        <v>Windows laptop</v>
      </c>
      <c r="I95" s="31" t="str">
        <f>IFERROR(__xludf.DUMMYFUNCTION("""COMPUTED_VALUE"""),"Founder's Office Intern")</f>
        <v>Founder's Office Intern</v>
      </c>
      <c r="J95" s="31"/>
      <c r="K95" s="31"/>
      <c r="L95" s="31" t="str">
        <f>IFERROR(__xludf.DUMMYFUNCTION("""COMPUTED_VALUE"""),"NA")</f>
        <v>NA</v>
      </c>
      <c r="M95" s="31" t="str">
        <f>IFERROR(__xludf.DUMMYFUNCTION("""COMPUTED_VALUE"""),"NA")</f>
        <v>NA</v>
      </c>
      <c r="N95" s="31"/>
    </row>
    <row r="96">
      <c r="A96" s="31">
        <f>IFERROR(__xludf.DUMMYFUNCTION("""COMPUTED_VALUE"""),94.0)</f>
        <v>94</v>
      </c>
      <c r="B96" s="31" t="str">
        <f>IFERROR(__xludf.DUMMYFUNCTION("""COMPUTED_VALUE"""),"Gaurav Lal")</f>
        <v>Gaurav Lal</v>
      </c>
      <c r="C96" s="31"/>
      <c r="D96" s="84"/>
      <c r="E96" s="90">
        <f>IFERROR(__xludf.DUMMYFUNCTION("""COMPUTED_VALUE"""),44692.0)</f>
        <v>44692</v>
      </c>
      <c r="F96" s="31"/>
      <c r="G96" s="85"/>
      <c r="H96" s="31" t="str">
        <f>IFERROR(__xludf.DUMMYFUNCTION("""COMPUTED_VALUE"""),"Windows laptop")</f>
        <v>Windows laptop</v>
      </c>
      <c r="I96" s="31" t="str">
        <f>IFERROR(__xludf.DUMMYFUNCTION("""COMPUTED_VALUE"""),"Legal Intern")</f>
        <v>Legal Intern</v>
      </c>
      <c r="J96" s="31"/>
      <c r="K96" s="31"/>
      <c r="L96" s="31" t="str">
        <f>IFERROR(__xludf.DUMMYFUNCTION("""COMPUTED_VALUE"""),"NA")</f>
        <v>NA</v>
      </c>
      <c r="M96" s="31" t="str">
        <f>IFERROR(__xludf.DUMMYFUNCTION("""COMPUTED_VALUE"""),"NA")</f>
        <v>NA</v>
      </c>
      <c r="N96" s="31"/>
    </row>
    <row r="97">
      <c r="A97" s="31">
        <f>IFERROR(__xludf.DUMMYFUNCTION("""COMPUTED_VALUE"""),95.0)</f>
        <v>95</v>
      </c>
      <c r="B97" s="31" t="str">
        <f>IFERROR(__xludf.DUMMYFUNCTION("""COMPUTED_VALUE"""),"Rishab Sachdeva")</f>
        <v>Rishab Sachdeva</v>
      </c>
      <c r="C97" s="31" t="str">
        <f>IFERROR(__xludf.DUMMYFUNCTION("""COMPUTED_VALUE"""),"rishabsachdeva123@gmail.com")</f>
        <v>rishabsachdeva123@gmail.com</v>
      </c>
      <c r="D97" s="84" t="str">
        <f>IFERROR(__xludf.DUMMYFUNCTION("""COMPUTED_VALUE"""),"8272804967/ 8881307464")</f>
        <v>8272804967/ 8881307464</v>
      </c>
      <c r="E97" s="90">
        <f>IFERROR(__xludf.DUMMYFUNCTION("""COMPUTED_VALUE"""),44700.0)</f>
        <v>44700</v>
      </c>
      <c r="F97" s="31"/>
      <c r="G97" s="85" t="str">
        <f>IFERROR(__xludf.DUMMYFUNCTION("""COMPUTED_VALUE"""),"E-322 Jaipuriya Sunrise Greens, Baroli Aheer, Shamshabad Road, Agra UP 283125")</f>
        <v>E-322 Jaipuriya Sunrise Greens, Baroli Aheer, Shamshabad Road, Agra UP 283125</v>
      </c>
      <c r="H97" s="31" t="str">
        <f>IFERROR(__xludf.DUMMYFUNCTION("""COMPUTED_VALUE"""),"Windows laptop")</f>
        <v>Windows laptop</v>
      </c>
      <c r="I97" s="31" t="str">
        <f>IFERROR(__xludf.DUMMYFUNCTION("""COMPUTED_VALUE"""),"Executive - Customer Experience")</f>
        <v>Executive - Customer Experience</v>
      </c>
      <c r="J97" s="31"/>
      <c r="K97" s="31"/>
      <c r="L97" s="31" t="str">
        <f>IFERROR(__xludf.DUMMYFUNCTION("""COMPUTED_VALUE"""),"Dispatched ")</f>
        <v>Dispatched </v>
      </c>
      <c r="M97" s="31" t="str">
        <f>IFERROR(__xludf.DUMMYFUNCTION("""COMPUTED_VALUE"""),"Delivered")</f>
        <v>Delivered</v>
      </c>
      <c r="N97" s="31"/>
    </row>
    <row r="98">
      <c r="A98" s="31">
        <f>IFERROR(__xludf.DUMMYFUNCTION("""COMPUTED_VALUE"""),96.0)</f>
        <v>96</v>
      </c>
      <c r="B98" s="31" t="str">
        <f>IFERROR(__xludf.DUMMYFUNCTION("""COMPUTED_VALUE"""),"Shikha Verma")</f>
        <v>Shikha Verma</v>
      </c>
      <c r="C98" s="31" t="str">
        <f>IFERROR(__xludf.DUMMYFUNCTION("""COMPUTED_VALUE"""),"shikha96verma@gmail.com")</f>
        <v>shikha96verma@gmail.com</v>
      </c>
      <c r="D98" s="84">
        <f>IFERROR(__xludf.DUMMYFUNCTION("""COMPUTED_VALUE"""),8.527479586E9)</f>
        <v>8527479586</v>
      </c>
      <c r="E98" s="90">
        <f>IFERROR(__xludf.DUMMYFUNCTION("""COMPUTED_VALUE"""),44700.0)</f>
        <v>44700</v>
      </c>
      <c r="F98" s="31"/>
      <c r="G98" s="85"/>
      <c r="H98" s="31" t="str">
        <f>IFERROR(__xludf.DUMMYFUNCTION("""COMPUTED_VALUE"""),"Windows laptop")</f>
        <v>Windows laptop</v>
      </c>
      <c r="I98" s="31" t="str">
        <f>IFERROR(__xludf.DUMMYFUNCTION("""COMPUTED_VALUE"""),"Legal Intern")</f>
        <v>Legal Intern</v>
      </c>
      <c r="J98" s="31"/>
      <c r="K98" s="31"/>
      <c r="L98" s="31" t="str">
        <f>IFERROR(__xludf.DUMMYFUNCTION("""COMPUTED_VALUE"""),"NA")</f>
        <v>NA</v>
      </c>
      <c r="M98" s="31" t="str">
        <f>IFERROR(__xludf.DUMMYFUNCTION("""COMPUTED_VALUE"""),"NA")</f>
        <v>NA</v>
      </c>
      <c r="N98" s="31"/>
    </row>
    <row r="99">
      <c r="A99" s="31">
        <f>IFERROR(__xludf.DUMMYFUNCTION("""COMPUTED_VALUE"""),97.0)</f>
        <v>97</v>
      </c>
      <c r="B99" s="31" t="str">
        <f>IFERROR(__xludf.DUMMYFUNCTION("""COMPUTED_VALUE"""),"Harshit Raj")</f>
        <v>Harshit Raj</v>
      </c>
      <c r="C99" s="31" t="str">
        <f>IFERROR(__xludf.DUMMYFUNCTION("""COMPUTED_VALUE"""),"harshitraj.co@gmail.com")</f>
        <v>harshitraj.co@gmail.com</v>
      </c>
      <c r="D99" s="84">
        <f>IFERROR(__xludf.DUMMYFUNCTION("""COMPUTED_VALUE"""),7.053736032E9)</f>
        <v>7053736032</v>
      </c>
      <c r="E99" s="90">
        <f>IFERROR(__xludf.DUMMYFUNCTION("""COMPUTED_VALUE"""),44700.0)</f>
        <v>44700</v>
      </c>
      <c r="F99" s="31"/>
      <c r="G99" s="85"/>
      <c r="H99" s="31" t="str">
        <f>IFERROR(__xludf.DUMMYFUNCTION("""COMPUTED_VALUE"""),"Windows laptop")</f>
        <v>Windows laptop</v>
      </c>
      <c r="I99" s="31" t="str">
        <f>IFERROR(__xludf.DUMMYFUNCTION("""COMPUTED_VALUE"""),"Legal Intern")</f>
        <v>Legal Intern</v>
      </c>
      <c r="J99" s="31"/>
      <c r="K99" s="31"/>
      <c r="L99" s="31" t="str">
        <f>IFERROR(__xludf.DUMMYFUNCTION("""COMPUTED_VALUE"""),"NA")</f>
        <v>NA</v>
      </c>
      <c r="M99" s="31" t="str">
        <f>IFERROR(__xludf.DUMMYFUNCTION("""COMPUTED_VALUE"""),"NA")</f>
        <v>NA</v>
      </c>
      <c r="N99" s="31"/>
    </row>
    <row r="100">
      <c r="A100" s="31">
        <f>IFERROR(__xludf.DUMMYFUNCTION("""COMPUTED_VALUE"""),98.0)</f>
        <v>98</v>
      </c>
      <c r="B100" s="31" t="str">
        <f>IFERROR(__xludf.DUMMYFUNCTION("""COMPUTED_VALUE"""),"Yash ")</f>
        <v>Yash </v>
      </c>
      <c r="C100" s="31" t="str">
        <f>IFERROR(__xludf.DUMMYFUNCTION("""COMPUTED_VALUE"""),"yashgola444@gmail.com")</f>
        <v>yashgola444@gmail.com</v>
      </c>
      <c r="D100" s="84">
        <f>IFERROR(__xludf.DUMMYFUNCTION("""COMPUTED_VALUE"""),9.560222549E9)</f>
        <v>9560222549</v>
      </c>
      <c r="E100" s="90">
        <f>IFERROR(__xludf.DUMMYFUNCTION("""COMPUTED_VALUE"""),44704.0)</f>
        <v>44704</v>
      </c>
      <c r="F100" s="31"/>
      <c r="G100" s="85" t="str">
        <f>IFERROR(__xludf.DUMMYFUNCTION("""COMPUTED_VALUE"""),"3748 Baraf Khana, Old Sabzi Mandi, Malka Ganj, S. O North Delhi 110007")</f>
        <v>3748 Baraf Khana, Old Sabzi Mandi, Malka Ganj, S. O North Delhi 110007</v>
      </c>
      <c r="H100" s="31" t="str">
        <f>IFERROR(__xludf.DUMMYFUNCTION("""COMPUTED_VALUE"""),"Windows laptop")</f>
        <v>Windows laptop</v>
      </c>
      <c r="I100" s="31" t="str">
        <f>IFERROR(__xludf.DUMMYFUNCTION("""COMPUTED_VALUE"""),"Executive - Customer Experience")</f>
        <v>Executive - Customer Experience</v>
      </c>
      <c r="J100" s="31"/>
      <c r="K100" s="31"/>
      <c r="L100" s="31" t="str">
        <f>IFERROR(__xludf.DUMMYFUNCTION("""COMPUTED_VALUE"""),"Dispatched ")</f>
        <v>Dispatched </v>
      </c>
      <c r="M100" s="31" t="str">
        <f>IFERROR(__xludf.DUMMYFUNCTION("""COMPUTED_VALUE"""),"Delivered")</f>
        <v>Delivered</v>
      </c>
      <c r="N100" s="31"/>
    </row>
    <row r="101">
      <c r="A101" s="31">
        <f>IFERROR(__xludf.DUMMYFUNCTION("""COMPUTED_VALUE"""),99.0)</f>
        <v>99</v>
      </c>
      <c r="B101" s="31" t="str">
        <f>IFERROR(__xludf.DUMMYFUNCTION("""COMPUTED_VALUE"""),"Gauri Menghani")</f>
        <v>Gauri Menghani</v>
      </c>
      <c r="C101" s="31" t="str">
        <f>IFERROR(__xludf.DUMMYFUNCTION("""COMPUTED_VALUE"""),"gauri.menghani1@gmail.com")</f>
        <v>gauri.menghani1@gmail.com</v>
      </c>
      <c r="D101" s="84" t="str">
        <f>IFERROR(__xludf.DUMMYFUNCTION("""COMPUTED_VALUE"""),"8218-265-491")</f>
        <v>8218-265-491</v>
      </c>
      <c r="E101" s="90">
        <f>IFERROR(__xludf.DUMMYFUNCTION("""COMPUTED_VALUE"""),44704.0)</f>
        <v>44704</v>
      </c>
      <c r="F101" s="31"/>
      <c r="G101" s="85" t="str">
        <f>IFERROR(__xludf.DUMMYFUNCTION("""COMPUTED_VALUE"""),"D -181/15 Saraswati Lok colony, Delhi Road, Meerut - 250002")</f>
        <v>D -181/15 Saraswati Lok colony, Delhi Road, Meerut - 250002</v>
      </c>
      <c r="H101" s="31" t="str">
        <f>IFERROR(__xludf.DUMMYFUNCTION("""COMPUTED_VALUE"""),"Windows laptop")</f>
        <v>Windows laptop</v>
      </c>
      <c r="I101" s="31" t="str">
        <f>IFERROR(__xludf.DUMMYFUNCTION("""COMPUTED_VALUE"""),"Executive - Customer Experience")</f>
        <v>Executive - Customer Experience</v>
      </c>
      <c r="J101" s="31"/>
      <c r="K101" s="31"/>
      <c r="L101" s="31" t="str">
        <f>IFERROR(__xludf.DUMMYFUNCTION("""COMPUTED_VALUE"""),"Dispatched ")</f>
        <v>Dispatched </v>
      </c>
      <c r="M101" s="31" t="str">
        <f>IFERROR(__xludf.DUMMYFUNCTION("""COMPUTED_VALUE"""),"Delivered")</f>
        <v>Delivered</v>
      </c>
      <c r="N101" s="31"/>
    </row>
    <row r="102">
      <c r="A102" s="31">
        <f>IFERROR(__xludf.DUMMYFUNCTION("""COMPUTED_VALUE"""),100.0)</f>
        <v>100</v>
      </c>
      <c r="B102" s="31" t="str">
        <f>IFERROR(__xludf.DUMMYFUNCTION("""COMPUTED_VALUE"""),"Riya Maurya")</f>
        <v>Riya Maurya</v>
      </c>
      <c r="C102" s="31" t="str">
        <f>IFERROR(__xludf.DUMMYFUNCTION("""COMPUTED_VALUE"""),"Riyamaurya79@gmail.com")</f>
        <v>Riyamaurya79@gmail.com</v>
      </c>
      <c r="D102" s="84" t="str">
        <f>IFERROR(__xludf.DUMMYFUNCTION("""COMPUTED_VALUE"""),"97174-75101")</f>
        <v>97174-75101</v>
      </c>
      <c r="E102" s="90">
        <f>IFERROR(__xludf.DUMMYFUNCTION("""COMPUTED_VALUE"""),44704.0)</f>
        <v>44704</v>
      </c>
      <c r="F102" s="31"/>
      <c r="G102" s="85" t="str">
        <f>IFERROR(__xludf.DUMMYFUNCTION("""COMPUTED_VALUE"""),"Flat No 17039, E Tower, 14th Avenue, Gaur City 2, Greater Noida 201009")</f>
        <v>Flat No 17039, E Tower, 14th Avenue, Gaur City 2, Greater Noida 201009</v>
      </c>
      <c r="H102" s="31" t="str">
        <f>IFERROR(__xludf.DUMMYFUNCTION("""COMPUTED_VALUE"""),"Windows laptop")</f>
        <v>Windows laptop</v>
      </c>
      <c r="I102" s="31" t="str">
        <f>IFERROR(__xludf.DUMMYFUNCTION("""COMPUTED_VALUE"""),"Executive - Customer Experience")</f>
        <v>Executive - Customer Experience</v>
      </c>
      <c r="J102" s="31"/>
      <c r="K102" s="31"/>
      <c r="L102" s="31" t="str">
        <f>IFERROR(__xludf.DUMMYFUNCTION("""COMPUTED_VALUE"""),"Dispatched ")</f>
        <v>Dispatched </v>
      </c>
      <c r="M102" s="31" t="str">
        <f>IFERROR(__xludf.DUMMYFUNCTION("""COMPUTED_VALUE"""),"Delivered")</f>
        <v>Delivered</v>
      </c>
      <c r="N102" s="31"/>
    </row>
    <row r="103">
      <c r="A103" s="31">
        <f>IFERROR(__xludf.DUMMYFUNCTION("""COMPUTED_VALUE"""),101.0)</f>
        <v>101</v>
      </c>
      <c r="B103" s="31" t="str">
        <f>IFERROR(__xludf.DUMMYFUNCTION("""COMPUTED_VALUE"""),"Baldev Singh")</f>
        <v>Baldev Singh</v>
      </c>
      <c r="C103" s="31" t="str">
        <f>IFERROR(__xludf.DUMMYFUNCTION("""COMPUTED_VALUE"""),"baldev.singh7996@gmail.com")</f>
        <v>baldev.singh7996@gmail.com</v>
      </c>
      <c r="D103" s="84" t="str">
        <f>IFERROR(__xludf.DUMMYFUNCTION("""COMPUTED_VALUE"""),"8799759418, 9811866346")</f>
        <v>8799759418, 9811866346</v>
      </c>
      <c r="E103" s="90">
        <f>IFERROR(__xludf.DUMMYFUNCTION("""COMPUTED_VALUE"""),44718.0)</f>
        <v>44718</v>
      </c>
      <c r="F103" s="31"/>
      <c r="G103" s="85" t="str">
        <f>IFERROR(__xludf.DUMMYFUNCTION("""COMPUTED_VALUE"""),"Flat-308, Plot-74, Vrindavan Resd., Flora Envlave , Gangapuram, Ghaziabad, UP, 201013")</f>
        <v>Flat-308, Plot-74, Vrindavan Resd., Flora Envlave , Gangapuram, Ghaziabad, UP, 201013</v>
      </c>
      <c r="H103" s="31" t="str">
        <f>IFERROR(__xludf.DUMMYFUNCTION("""COMPUTED_VALUE"""),"Windows laptop")</f>
        <v>Windows laptop</v>
      </c>
      <c r="I103" s="31" t="str">
        <f>IFERROR(__xludf.DUMMYFUNCTION("""COMPUTED_VALUE"""),"Executive - Customer Experience")</f>
        <v>Executive - Customer Experience</v>
      </c>
      <c r="J103" s="31"/>
      <c r="K103" s="31"/>
      <c r="L103" s="31" t="str">
        <f>IFERROR(__xludf.DUMMYFUNCTION("""COMPUTED_VALUE"""),"Dispatched ")</f>
        <v>Dispatched </v>
      </c>
      <c r="M103" s="31" t="str">
        <f>IFERROR(__xludf.DUMMYFUNCTION("""COMPUTED_VALUE"""),"Delivered")</f>
        <v>Delivered</v>
      </c>
      <c r="N103" s="31"/>
    </row>
    <row r="104">
      <c r="A104" s="31">
        <f>IFERROR(__xludf.DUMMYFUNCTION("""COMPUTED_VALUE"""),102.0)</f>
        <v>102</v>
      </c>
      <c r="B104" s="31" t="str">
        <f>IFERROR(__xludf.DUMMYFUNCTION("""COMPUTED_VALUE"""),"Shubham Goyal")</f>
        <v>Shubham Goyal</v>
      </c>
      <c r="C104" s="31" t="str">
        <f>IFERROR(__xludf.DUMMYFUNCTION("""COMPUTED_VALUE"""),"SGOYAL3C@GMAIL.COM")</f>
        <v>SGOYAL3C@GMAIL.COM</v>
      </c>
      <c r="D104" s="84">
        <f>IFERROR(__xludf.DUMMYFUNCTION("""COMPUTED_VALUE"""),9.467994356E9)</f>
        <v>9467994356</v>
      </c>
      <c r="E104" s="90">
        <f>IFERROR(__xludf.DUMMYFUNCTION("""COMPUTED_VALUE"""),44718.0)</f>
        <v>44718</v>
      </c>
      <c r="F104" s="31"/>
      <c r="G104" s="85" t="str">
        <f>IFERROR(__xludf.DUMMYFUNCTION("""COMPUTED_VALUE"""),"1083/16 RC goyal Babra chowk , khaitan street near mata darwaja ( near Shubham Clinic) Rohtak Haryana -124001")</f>
        <v>1083/16 RC goyal Babra chowk , khaitan street near mata darwaja ( near Shubham Clinic) Rohtak Haryana -124001</v>
      </c>
      <c r="H104" s="31" t="str">
        <f>IFERROR(__xludf.DUMMYFUNCTION("""COMPUTED_VALUE"""),"Windows laptop")</f>
        <v>Windows laptop</v>
      </c>
      <c r="I104" s="31" t="str">
        <f>IFERROR(__xludf.DUMMYFUNCTION("""COMPUTED_VALUE"""),"Executive - Customer Experience")</f>
        <v>Executive - Customer Experience</v>
      </c>
      <c r="J104" s="31"/>
      <c r="K104" s="31"/>
      <c r="L104" s="31" t="str">
        <f>IFERROR(__xludf.DUMMYFUNCTION("""COMPUTED_VALUE"""),"Dispatched ")</f>
        <v>Dispatched </v>
      </c>
      <c r="M104" s="31" t="str">
        <f>IFERROR(__xludf.DUMMYFUNCTION("""COMPUTED_VALUE"""),"Delivered")</f>
        <v>Delivered</v>
      </c>
      <c r="N104" s="31"/>
    </row>
    <row r="105">
      <c r="A105" s="31">
        <f>IFERROR(__xludf.DUMMYFUNCTION("""COMPUTED_VALUE"""),103.0)</f>
        <v>103</v>
      </c>
      <c r="B105" s="31" t="str">
        <f>IFERROR(__xludf.DUMMYFUNCTION("""COMPUTED_VALUE"""),"Parv Sharma")</f>
        <v>Parv Sharma</v>
      </c>
      <c r="C105" s="31" t="str">
        <f>IFERROR(__xludf.DUMMYFUNCTION("""COMPUTED_VALUE"""),"parvx15@gmail.com")</f>
        <v>parvx15@gmail.com</v>
      </c>
      <c r="D105" s="84">
        <f>IFERROR(__xludf.DUMMYFUNCTION("""COMPUTED_VALUE"""),9.310386994E9)</f>
        <v>9310386994</v>
      </c>
      <c r="E105" s="90">
        <f>IFERROR(__xludf.DUMMYFUNCTION("""COMPUTED_VALUE"""),44718.0)</f>
        <v>44718</v>
      </c>
      <c r="F105" s="31"/>
      <c r="G105" s="85" t="str">
        <f>IFERROR(__xludf.DUMMYFUNCTION("""COMPUTED_VALUE"""),"Budh Vihar, Phase-1, C-2 3rd Floor, Sultanpuri C Block, North West Delhi 110086")</f>
        <v>Budh Vihar, Phase-1, C-2 3rd Floor, Sultanpuri C Block, North West Delhi 110086</v>
      </c>
      <c r="H105" s="31" t="str">
        <f>IFERROR(__xludf.DUMMYFUNCTION("""COMPUTED_VALUE"""),"Windows laptop")</f>
        <v>Windows laptop</v>
      </c>
      <c r="I105" s="31" t="str">
        <f>IFERROR(__xludf.DUMMYFUNCTION("""COMPUTED_VALUE"""),"Executive - Customer Experience")</f>
        <v>Executive - Customer Experience</v>
      </c>
      <c r="J105" s="31"/>
      <c r="K105" s="31"/>
      <c r="L105" s="31" t="str">
        <f>IFERROR(__xludf.DUMMYFUNCTION("""COMPUTED_VALUE"""),"Dispatched ")</f>
        <v>Dispatched </v>
      </c>
      <c r="M105" s="31" t="str">
        <f>IFERROR(__xludf.DUMMYFUNCTION("""COMPUTED_VALUE"""),"Delivered")</f>
        <v>Delivered</v>
      </c>
      <c r="N105" s="31"/>
    </row>
    <row r="106">
      <c r="A106" s="31">
        <f>IFERROR(__xludf.DUMMYFUNCTION("""COMPUTED_VALUE"""),104.0)</f>
        <v>104</v>
      </c>
      <c r="B106" s="31" t="str">
        <f>IFERROR(__xludf.DUMMYFUNCTION("""COMPUTED_VALUE"""),"Diksha Verma")</f>
        <v>Diksha Verma</v>
      </c>
      <c r="C106" s="31" t="str">
        <f>IFERROR(__xludf.DUMMYFUNCTION("""COMPUTED_VALUE"""),"dikshav318@gmail.com")</f>
        <v>dikshav318@gmail.com</v>
      </c>
      <c r="D106" s="84">
        <f>IFERROR(__xludf.DUMMYFUNCTION("""COMPUTED_VALUE"""),9.779435107E9)</f>
        <v>9779435107</v>
      </c>
      <c r="E106" s="90">
        <f>IFERROR(__xludf.DUMMYFUNCTION("""COMPUTED_VALUE"""),44718.0)</f>
        <v>44718</v>
      </c>
      <c r="F106" s="31"/>
      <c r="G106" s="85" t="str">
        <f>IFERROR(__xludf.DUMMYFUNCTION("""COMPUTED_VALUE"""),"House no 18, Gurjivan vihar, Dhakoli, nearby dental care implant center, Zirakpur Punjab Pincode 160104")</f>
        <v>House no 18, Gurjivan vihar, Dhakoli, nearby dental care implant center, Zirakpur Punjab Pincode 160104</v>
      </c>
      <c r="H106" s="31" t="str">
        <f>IFERROR(__xludf.DUMMYFUNCTION("""COMPUTED_VALUE"""),"Windows laptop")</f>
        <v>Windows laptop</v>
      </c>
      <c r="I106" s="31" t="str">
        <f>IFERROR(__xludf.DUMMYFUNCTION("""COMPUTED_VALUE"""),"Executive - Customer Experience")</f>
        <v>Executive - Customer Experience</v>
      </c>
      <c r="J106" s="31"/>
      <c r="K106" s="31"/>
      <c r="L106" s="31" t="str">
        <f>IFERROR(__xludf.DUMMYFUNCTION("""COMPUTED_VALUE"""),"Dispatched ")</f>
        <v>Dispatched </v>
      </c>
      <c r="M106" s="31" t="str">
        <f>IFERROR(__xludf.DUMMYFUNCTION("""COMPUTED_VALUE"""),"Delivered")</f>
        <v>Delivered</v>
      </c>
      <c r="N106" s="31"/>
    </row>
    <row r="107">
      <c r="A107" s="31">
        <f>IFERROR(__xludf.DUMMYFUNCTION("""COMPUTED_VALUE"""),105.0)</f>
        <v>105</v>
      </c>
      <c r="B107" s="31" t="str">
        <f>IFERROR(__xludf.DUMMYFUNCTION("""COMPUTED_VALUE"""),"Iteshree Ipsita")</f>
        <v>Iteshree Ipsita</v>
      </c>
      <c r="C107" s="31" t="str">
        <f>IFERROR(__xludf.DUMMYFUNCTION("""COMPUTED_VALUE"""),"iteipsita3@gmail.com")</f>
        <v>iteipsita3@gmail.com</v>
      </c>
      <c r="D107" s="84" t="str">
        <f>IFERROR(__xludf.DUMMYFUNCTION("""COMPUTED_VALUE"""),"7978562826, 9178737476")</f>
        <v>7978562826, 9178737476</v>
      </c>
      <c r="E107" s="90">
        <f>IFERROR(__xludf.DUMMYFUNCTION("""COMPUTED_VALUE"""),44718.0)</f>
        <v>44718</v>
      </c>
      <c r="F107" s="31"/>
      <c r="G107" s="85" t="str">
        <f>IFERROR(__xludf.DUMMYFUNCTION("""COMPUTED_VALUE"""),"Address: Plot no.142\1985, Dharmanda, near shree sai resort, jagamara, khandagiri, Bhubaneswar, Odisha - 751030")</f>
        <v>Address: Plot no.142\1985, Dharmanda, near shree sai resort, jagamara, khandagiri, Bhubaneswar, Odisha - 751030</v>
      </c>
      <c r="H107" s="31" t="str">
        <f>IFERROR(__xludf.DUMMYFUNCTION("""COMPUTED_VALUE"""),"Windows laptop")</f>
        <v>Windows laptop</v>
      </c>
      <c r="I107" s="31" t="str">
        <f>IFERROR(__xludf.DUMMYFUNCTION("""COMPUTED_VALUE"""),"Executive - Customer Experience")</f>
        <v>Executive - Customer Experience</v>
      </c>
      <c r="J107" s="31"/>
      <c r="K107" s="31"/>
      <c r="L107" s="31" t="str">
        <f>IFERROR(__xludf.DUMMYFUNCTION("""COMPUTED_VALUE"""),"Dispatched ")</f>
        <v>Dispatched </v>
      </c>
      <c r="M107" s="31" t="str">
        <f>IFERROR(__xludf.DUMMYFUNCTION("""COMPUTED_VALUE"""),"Delivered")</f>
        <v>Delivered</v>
      </c>
      <c r="N107" s="31"/>
    </row>
    <row r="108">
      <c r="A108" s="31">
        <f>IFERROR(__xludf.DUMMYFUNCTION("""COMPUTED_VALUE"""),106.0)</f>
        <v>106</v>
      </c>
      <c r="B108" s="31" t="str">
        <f>IFERROR(__xludf.DUMMYFUNCTION("""COMPUTED_VALUE"""),"Nitin Chauhan")</f>
        <v>Nitin Chauhan</v>
      </c>
      <c r="C108" s="31" t="str">
        <f>IFERROR(__xludf.DUMMYFUNCTION("""COMPUTED_VALUE"""),"nitin.chauhan91286@gmail.com")</f>
        <v>nitin.chauhan91286@gmail.com</v>
      </c>
      <c r="D108" s="84">
        <f>IFERROR(__xludf.DUMMYFUNCTION("""COMPUTED_VALUE"""),7.503269026E9)</f>
        <v>7503269026</v>
      </c>
      <c r="E108" s="90">
        <f>IFERROR(__xludf.DUMMYFUNCTION("""COMPUTED_VALUE"""),44713.0)</f>
        <v>44713</v>
      </c>
      <c r="F108" s="31"/>
      <c r="G108" s="85" t="str">
        <f>IFERROR(__xludf.DUMMYFUNCTION("""COMPUTED_VALUE"""),"2nd Floor, House No 703, FG Colony Sector 9, Gurugram, 122001")</f>
        <v>2nd Floor, House No 703, FG Colony Sector 9, Gurugram, 122001</v>
      </c>
      <c r="H108" s="31" t="str">
        <f>IFERROR(__xludf.DUMMYFUNCTION("""COMPUTED_VALUE"""),"Macbook 13""")</f>
        <v>Macbook 13"</v>
      </c>
      <c r="I108" s="31" t="str">
        <f>IFERROR(__xludf.DUMMYFUNCTION("""COMPUTED_VALUE"""),"Manager - Digital Marketing")</f>
        <v>Manager - Digital Marketing</v>
      </c>
      <c r="J108" s="31"/>
      <c r="K108" s="31"/>
      <c r="L108" s="31" t="str">
        <f>IFERROR(__xludf.DUMMYFUNCTION("""COMPUTED_VALUE"""),"Dispatched ")</f>
        <v>Dispatched </v>
      </c>
      <c r="M108" s="31" t="str">
        <f>IFERROR(__xludf.DUMMYFUNCTION("""COMPUTED_VALUE"""),"Delivered")</f>
        <v>Delivered</v>
      </c>
      <c r="N108" s="31"/>
    </row>
    <row r="109">
      <c r="A109" s="31">
        <f>IFERROR(__xludf.DUMMYFUNCTION("""COMPUTED_VALUE"""),107.0)</f>
        <v>107</v>
      </c>
      <c r="B109" s="31" t="str">
        <f>IFERROR(__xludf.DUMMYFUNCTION("""COMPUTED_VALUE"""),"Zeba Sheikh")</f>
        <v>Zeba Sheikh</v>
      </c>
      <c r="C109" s="31" t="str">
        <f>IFERROR(__xludf.DUMMYFUNCTION("""COMPUTED_VALUE"""),"zebashekh8126@gmail.com")</f>
        <v>zebashekh8126@gmail.com</v>
      </c>
      <c r="D109" s="84">
        <f>IFERROR(__xludf.DUMMYFUNCTION("""COMPUTED_VALUE"""),9.997445939E9)</f>
        <v>9997445939</v>
      </c>
      <c r="E109" s="90">
        <f>IFERROR(__xludf.DUMMYFUNCTION("""COMPUTED_VALUE"""),44718.0)</f>
        <v>44718</v>
      </c>
      <c r="F109" s="31"/>
      <c r="G109" s="85" t="str">
        <f>IFERROR(__xludf.DUMMYFUNCTION("""COMPUTED_VALUE"""),"Mittal colony, Lal bahadur shastri Marg, Majra, Dehradun Uttarakhand, Nearby : behind ISBT DEHRADUN, near Huda academy,248001")</f>
        <v>Mittal colony, Lal bahadur shastri Marg, Majra, Dehradun Uttarakhand, Nearby : behind ISBT DEHRADUN, near Huda academy,248001</v>
      </c>
      <c r="H109" s="31" t="str">
        <f>IFERROR(__xludf.DUMMYFUNCTION("""COMPUTED_VALUE"""),"Windows laptop")</f>
        <v>Windows laptop</v>
      </c>
      <c r="I109" s="31" t="str">
        <f>IFERROR(__xludf.DUMMYFUNCTION("""COMPUTED_VALUE"""),"Executive - Customer Experience")</f>
        <v>Executive - Customer Experience</v>
      </c>
      <c r="J109" s="31"/>
      <c r="K109" s="31"/>
      <c r="L109" s="31" t="str">
        <f>IFERROR(__xludf.DUMMYFUNCTION("""COMPUTED_VALUE"""),"Dispatched ")</f>
        <v>Dispatched </v>
      </c>
      <c r="M109" s="31" t="str">
        <f>IFERROR(__xludf.DUMMYFUNCTION("""COMPUTED_VALUE"""),"Delivered")</f>
        <v>Delivered</v>
      </c>
      <c r="N109" s="31"/>
    </row>
    <row r="110">
      <c r="A110" s="31">
        <f>IFERROR(__xludf.DUMMYFUNCTION("""COMPUTED_VALUE"""),108.0)</f>
        <v>108</v>
      </c>
      <c r="B110" s="31" t="str">
        <f>IFERROR(__xludf.DUMMYFUNCTION("""COMPUTED_VALUE"""),"Chinmay Malhotra")</f>
        <v>Chinmay Malhotra</v>
      </c>
      <c r="C110" s="31" t="str">
        <f>IFERROR(__xludf.DUMMYFUNCTION("""COMPUTED_VALUE"""),"chinmay2malhotra@gmail.com")</f>
        <v>chinmay2malhotra@gmail.com</v>
      </c>
      <c r="D110" s="84">
        <f>IFERROR(__xludf.DUMMYFUNCTION("""COMPUTED_VALUE"""),9.999891669E9)</f>
        <v>9999891669</v>
      </c>
      <c r="E110" s="90">
        <f>IFERROR(__xludf.DUMMYFUNCTION("""COMPUTED_VALUE"""),44713.0)</f>
        <v>44713</v>
      </c>
      <c r="F110" s="31"/>
      <c r="G110" s="85" t="str">
        <f>IFERROR(__xludf.DUMMYFUNCTION("""COMPUTED_VALUE"""),"501 Tower-7, The Palms, South City-1, Gurgaon, 122001")</f>
        <v>501 Tower-7, The Palms, South City-1, Gurgaon, 122001</v>
      </c>
      <c r="H110" s="31" t="str">
        <f>IFERROR(__xludf.DUMMYFUNCTION("""COMPUTED_VALUE"""),"Macbook ")</f>
        <v>Macbook </v>
      </c>
      <c r="I110" s="31" t="str">
        <f>IFERROR(__xludf.DUMMYFUNCTION("""COMPUTED_VALUE"""),"Data Analytics Trainee")</f>
        <v>Data Analytics Trainee</v>
      </c>
      <c r="J110" s="31"/>
      <c r="K110" s="31"/>
      <c r="L110" s="31" t="str">
        <f>IFERROR(__xludf.DUMMYFUNCTION("""COMPUTED_VALUE"""),"Dispatched")</f>
        <v>Dispatched</v>
      </c>
      <c r="M110" s="31" t="str">
        <f>IFERROR(__xludf.DUMMYFUNCTION("""COMPUTED_VALUE"""),"Delivered")</f>
        <v>Delivered</v>
      </c>
      <c r="N110" s="31"/>
    </row>
    <row r="111">
      <c r="A111" s="31">
        <f>IFERROR(__xludf.DUMMYFUNCTION("""COMPUTED_VALUE"""),109.0)</f>
        <v>109</v>
      </c>
      <c r="B111" s="31" t="str">
        <f>IFERROR(__xludf.DUMMYFUNCTION("""COMPUTED_VALUE"""),"Vamci Sharath Vishal")</f>
        <v>Vamci Sharath Vishal</v>
      </c>
      <c r="C111" s="31" t="str">
        <f>IFERROR(__xludf.DUMMYFUNCTION("""COMPUTED_VALUE"""),"vamcivishal@gmail.com")</f>
        <v>vamcivishal@gmail.com</v>
      </c>
      <c r="D111" s="84">
        <f>IFERROR(__xludf.DUMMYFUNCTION("""COMPUTED_VALUE"""),8.122608099E9)</f>
        <v>8122608099</v>
      </c>
      <c r="E111" s="90">
        <f>IFERROR(__xludf.DUMMYFUNCTION("""COMPUTED_VALUE"""),44718.0)</f>
        <v>44718</v>
      </c>
      <c r="F111" s="31"/>
      <c r="G111" s="85" t="str">
        <f>IFERROR(__xludf.DUMMYFUNCTION("""COMPUTED_VALUE"""),"A001, Saf Tejas Bloomingdale, 14th B Cross Rd, Gangappa Layout, Pai Layout, Mahadevapura, Bengaluru, Karnataka 560016")</f>
        <v>A001, Saf Tejas Bloomingdale, 14th B Cross Rd, Gangappa Layout, Pai Layout, Mahadevapura, Bengaluru, Karnataka 560016</v>
      </c>
      <c r="H111" s="31" t="str">
        <f>IFERROR(__xludf.DUMMYFUNCTION("""COMPUTED_VALUE"""),"Macbook 16""")</f>
        <v>Macbook 16"</v>
      </c>
      <c r="I111" s="31" t="str">
        <f>IFERROR(__xludf.DUMMYFUNCTION("""COMPUTED_VALUE"""),"Senior Data Engineer")</f>
        <v>Senior Data Engineer</v>
      </c>
      <c r="J111" s="31"/>
      <c r="K111" s="31"/>
      <c r="L111" s="31" t="str">
        <f>IFERROR(__xludf.DUMMYFUNCTION("""COMPUTED_VALUE"""),"Dispatched")</f>
        <v>Dispatched</v>
      </c>
      <c r="M111" s="31" t="str">
        <f>IFERROR(__xludf.DUMMYFUNCTION("""COMPUTED_VALUE"""),"Delivered")</f>
        <v>Delivered</v>
      </c>
      <c r="N111" s="31"/>
    </row>
    <row r="112">
      <c r="A112" s="31">
        <f>IFERROR(__xludf.DUMMYFUNCTION("""COMPUTED_VALUE"""),110.0)</f>
        <v>110</v>
      </c>
      <c r="B112" s="31" t="str">
        <f>IFERROR(__xludf.DUMMYFUNCTION("""COMPUTED_VALUE"""),"Ram Vyas Sehgal")</f>
        <v>Ram Vyas Sehgal</v>
      </c>
      <c r="C112" s="31" t="str">
        <f>IFERROR(__xludf.DUMMYFUNCTION("""COMPUTED_VALUE"""),"ramshgl@gmail.com")</f>
        <v>ramshgl@gmail.com</v>
      </c>
      <c r="D112" s="84">
        <f>IFERROR(__xludf.DUMMYFUNCTION("""COMPUTED_VALUE"""),8.264881831E9)</f>
        <v>8264881831</v>
      </c>
      <c r="E112" s="88">
        <f>IFERROR(__xludf.DUMMYFUNCTION("""COMPUTED_VALUE"""),44725.0)</f>
        <v>44725</v>
      </c>
      <c r="F112" s="31"/>
      <c r="G112" s="85" t="str">
        <f>IFERROR(__xludf.DUMMYFUNCTION("""COMPUTED_VALUE"""),"H. No 28, Block F, Alpha 2, Greater Noida, U.P., 201308")</f>
        <v>H. No 28, Block F, Alpha 2, Greater Noida, U.P., 201308</v>
      </c>
      <c r="H112" s="31" t="str">
        <f>IFERROR(__xludf.DUMMYFUNCTION("""COMPUTED_VALUE"""),"Windows laptop")</f>
        <v>Windows laptop</v>
      </c>
      <c r="I112" s="31" t="str">
        <f>IFERROR(__xludf.DUMMYFUNCTION("""COMPUTED_VALUE"""),"Executive - Customer Experience")</f>
        <v>Executive - Customer Experience</v>
      </c>
      <c r="J112" s="31"/>
      <c r="K112" s="31"/>
      <c r="L112" s="31" t="str">
        <f>IFERROR(__xludf.DUMMYFUNCTION("""COMPUTED_VALUE"""),"Dispatched")</f>
        <v>Dispatched</v>
      </c>
      <c r="M112" s="31" t="str">
        <f>IFERROR(__xludf.DUMMYFUNCTION("""COMPUTED_VALUE"""),"Delivered")</f>
        <v>Delivered</v>
      </c>
      <c r="N112" s="31"/>
    </row>
    <row r="113">
      <c r="A113" s="31">
        <f>IFERROR(__xludf.DUMMYFUNCTION("""COMPUTED_VALUE"""),111.0)</f>
        <v>111</v>
      </c>
      <c r="B113" s="31" t="str">
        <f>IFERROR(__xludf.DUMMYFUNCTION("""COMPUTED_VALUE"""),"Dalveer Kaur Sandhu")</f>
        <v>Dalveer Kaur Sandhu</v>
      </c>
      <c r="C113" s="31" t="str">
        <f>IFERROR(__xludf.DUMMYFUNCTION("""COMPUTED_VALUE"""),"dalveer.kaur43@yahoo.com")</f>
        <v>dalveer.kaur43@yahoo.com</v>
      </c>
      <c r="D113" s="84" t="str">
        <f>IFERROR(__xludf.DUMMYFUNCTION("""COMPUTED_VALUE"""),"7021674322 / 7869510804")</f>
        <v>7021674322 / 7869510804</v>
      </c>
      <c r="E113" s="88">
        <f>IFERROR(__xludf.DUMMYFUNCTION("""COMPUTED_VALUE"""),44725.0)</f>
        <v>44725</v>
      </c>
      <c r="F113" s="31"/>
      <c r="G113" s="85" t="str">
        <f>IFERROR(__xludf.DUMMYFUNCTION("""COMPUTED_VALUE"""),"House no.289, Tayde Colony, near Navchetan School, Ashok Nagar, Madhya pradesh- 473331")</f>
        <v>House no.289, Tayde Colony, near Navchetan School, Ashok Nagar, Madhya pradesh- 473331</v>
      </c>
      <c r="H113" s="31" t="str">
        <f>IFERROR(__xludf.DUMMYFUNCTION("""COMPUTED_VALUE"""),"Windows laptop")</f>
        <v>Windows laptop</v>
      </c>
      <c r="I113" s="31" t="str">
        <f>IFERROR(__xludf.DUMMYFUNCTION("""COMPUTED_VALUE"""),"Executive - Customer Experience")</f>
        <v>Executive - Customer Experience</v>
      </c>
      <c r="J113" s="31"/>
      <c r="K113" s="31"/>
      <c r="L113" s="31" t="str">
        <f>IFERROR(__xludf.DUMMYFUNCTION("""COMPUTED_VALUE"""),"Dispatched")</f>
        <v>Dispatched</v>
      </c>
      <c r="M113" s="31" t="str">
        <f>IFERROR(__xludf.DUMMYFUNCTION("""COMPUTED_VALUE"""),"Delivered")</f>
        <v>Delivered</v>
      </c>
      <c r="N113" s="31"/>
    </row>
    <row r="114">
      <c r="A114" s="31">
        <f>IFERROR(__xludf.DUMMYFUNCTION("""COMPUTED_VALUE"""),112.0)</f>
        <v>112</v>
      </c>
      <c r="B114" s="31" t="str">
        <f>IFERROR(__xludf.DUMMYFUNCTION("""COMPUTED_VALUE"""),"Saloni Madan")</f>
        <v>Saloni Madan</v>
      </c>
      <c r="C114" s="31" t="str">
        <f>IFERROR(__xludf.DUMMYFUNCTION("""COMPUTED_VALUE"""),"salonimadan55@gmail.com")</f>
        <v>salonimadan55@gmail.com</v>
      </c>
      <c r="D114" s="84">
        <f>IFERROR(__xludf.DUMMYFUNCTION("""COMPUTED_VALUE"""),9.068712933E9)</f>
        <v>9068712933</v>
      </c>
      <c r="E114" s="88">
        <f>IFERROR(__xludf.DUMMYFUNCTION("""COMPUTED_VALUE"""),44718.0)</f>
        <v>44718</v>
      </c>
      <c r="F114" s="31"/>
      <c r="G114" s="85" t="str">
        <f>IFERROR(__xludf.DUMMYFUNCTION("""COMPUTED_VALUE"""),"House no. 2190, Sector 21C,  Chandigarh, Pincode 160022, Landmark - Near gurudwara")</f>
        <v>House no. 2190, Sector 21C,  Chandigarh, Pincode 160022, Landmark - Near gurudwara</v>
      </c>
      <c r="H114" s="31" t="str">
        <f>IFERROR(__xludf.DUMMYFUNCTION("""COMPUTED_VALUE"""),"Windows laptop")</f>
        <v>Windows laptop</v>
      </c>
      <c r="I114" s="31" t="str">
        <f>IFERROR(__xludf.DUMMYFUNCTION("""COMPUTED_VALUE"""),"Executive - Customer Experience")</f>
        <v>Executive - Customer Experience</v>
      </c>
      <c r="J114" s="31"/>
      <c r="K114" s="31"/>
      <c r="L114" s="31" t="str">
        <f>IFERROR(__xludf.DUMMYFUNCTION("""COMPUTED_VALUE"""),"Dispatched")</f>
        <v>Dispatched</v>
      </c>
      <c r="M114" s="31" t="str">
        <f>IFERROR(__xludf.DUMMYFUNCTION("""COMPUTED_VALUE"""),"Delivered")</f>
        <v>Delivered</v>
      </c>
      <c r="N114" s="31"/>
    </row>
    <row r="115">
      <c r="A115" s="31">
        <f>IFERROR(__xludf.DUMMYFUNCTION("""COMPUTED_VALUE"""),113.0)</f>
        <v>113</v>
      </c>
      <c r="B115" s="31" t="str">
        <f>IFERROR(__xludf.DUMMYFUNCTION("""COMPUTED_VALUE"""),"Shipra Gupta")</f>
        <v>Shipra Gupta</v>
      </c>
      <c r="C115" s="31" t="str">
        <f>IFERROR(__xludf.DUMMYFUNCTION("""COMPUTED_VALUE"""),"shipra.gupta96@gmail.com")</f>
        <v>shipra.gupta96@gmail.com</v>
      </c>
      <c r="D115" s="84">
        <f>IFERROR(__xludf.DUMMYFUNCTION("""COMPUTED_VALUE"""),7.986246142E9)</f>
        <v>7986246142</v>
      </c>
      <c r="E115" s="88">
        <f>IFERROR(__xludf.DUMMYFUNCTION("""COMPUTED_VALUE"""),44728.0)</f>
        <v>44728</v>
      </c>
      <c r="F115" s="31"/>
      <c r="G115" s="85" t="str">
        <f>IFERROR(__xludf.DUMMYFUNCTION("""COMPUTED_VALUE"""),"303, tower no.-2A, suncity parikrama, sector-20, panchkula (Haryana) - 134117")</f>
        <v>303, tower no.-2A, suncity parikrama, sector-20, panchkula (Haryana) - 134117</v>
      </c>
      <c r="H115" s="31" t="str">
        <f>IFERROR(__xludf.DUMMYFUNCTION("""COMPUTED_VALUE"""),"Macbook + Android phone")</f>
        <v>Macbook + Android phone</v>
      </c>
      <c r="I115" s="31" t="str">
        <f>IFERROR(__xludf.DUMMYFUNCTION("""COMPUTED_VALUE"""),"SDET")</f>
        <v>SDET</v>
      </c>
      <c r="J115" s="31"/>
      <c r="K115" s="31"/>
      <c r="L115" s="31"/>
      <c r="M115" s="31"/>
      <c r="N115" s="31" t="str">
        <f>IFERROR(__xludf.DUMMYFUNCTION("""COMPUTED_VALUE"""),"Offer dropped - assets received back")</f>
        <v>Offer dropped - assets received back</v>
      </c>
    </row>
    <row r="116">
      <c r="A116" s="31">
        <f>IFERROR(__xludf.DUMMYFUNCTION("""COMPUTED_VALUE"""),114.0)</f>
        <v>114</v>
      </c>
      <c r="B116" s="31" t="str">
        <f>IFERROR(__xludf.DUMMYFUNCTION("""COMPUTED_VALUE"""),"Narender Kumar Verma")</f>
        <v>Narender Kumar Verma</v>
      </c>
      <c r="C116" s="31"/>
      <c r="D116" s="84"/>
      <c r="E116" s="88">
        <f>IFERROR(__xludf.DUMMYFUNCTION("""COMPUTED_VALUE"""),44721.0)</f>
        <v>44721</v>
      </c>
      <c r="F116" s="31"/>
      <c r="G116" s="85" t="str">
        <f>IFERROR(__xludf.DUMMYFUNCTION("""COMPUTED_VALUE"""),"He will pick up laptop from office on his DOJ")</f>
        <v>He will pick up laptop from office on his DOJ</v>
      </c>
      <c r="H116" s="31" t="str">
        <f>IFERROR(__xludf.DUMMYFUNCTION("""COMPUTED_VALUE"""),"Windows laptop")</f>
        <v>Windows laptop</v>
      </c>
      <c r="I116" s="31" t="str">
        <f>IFERROR(__xludf.DUMMYFUNCTION("""COMPUTED_VALUE"""),"Senior Executive - Media")</f>
        <v>Senior Executive - Media</v>
      </c>
      <c r="J116" s="31"/>
      <c r="K116" s="31"/>
      <c r="L116" s="31" t="str">
        <f>IFERROR(__xludf.DUMMYFUNCTION("""COMPUTED_VALUE"""),"NA")</f>
        <v>NA</v>
      </c>
      <c r="M116" s="31" t="str">
        <f>IFERROR(__xludf.DUMMYFUNCTION("""COMPUTED_VALUE"""),"NA")</f>
        <v>NA</v>
      </c>
      <c r="N116" s="31"/>
    </row>
    <row r="117">
      <c r="A117" s="31">
        <f>IFERROR(__xludf.DUMMYFUNCTION("""COMPUTED_VALUE"""),115.0)</f>
        <v>115</v>
      </c>
      <c r="B117" s="31" t="str">
        <f>IFERROR(__xludf.DUMMYFUNCTION("""COMPUTED_VALUE"""),"Akanksha Bhatia")</f>
        <v>Akanksha Bhatia</v>
      </c>
      <c r="C117" s="31"/>
      <c r="D117" s="84" t="str">
        <f>IFERROR(__xludf.DUMMYFUNCTION("""COMPUTED_VALUE"""),"8595101337,")</f>
        <v>8595101337,</v>
      </c>
      <c r="E117" s="88">
        <f>IFERROR(__xludf.DUMMYFUNCTION("""COMPUTED_VALUE"""),44715.0)</f>
        <v>44715</v>
      </c>
      <c r="F117" s="31"/>
      <c r="G117" s="85" t="str">
        <f>IFERROR(__xludf.DUMMYFUNCTION("""COMPUTED_VALUE"""),"She will pick up laptop from office on his DOJ")</f>
        <v>She will pick up laptop from office on his DOJ</v>
      </c>
      <c r="H117" s="31" t="str">
        <f>IFERROR(__xludf.DUMMYFUNCTION("""COMPUTED_VALUE"""),"Windows laptop")</f>
        <v>Windows laptop</v>
      </c>
      <c r="I117" s="31" t="str">
        <f>IFERROR(__xludf.DUMMYFUNCTION("""COMPUTED_VALUE"""),"Legal Intern")</f>
        <v>Legal Intern</v>
      </c>
      <c r="J117" s="31"/>
      <c r="K117" s="31"/>
      <c r="L117" s="31" t="str">
        <f>IFERROR(__xludf.DUMMYFUNCTION("""COMPUTED_VALUE"""),"NA")</f>
        <v>NA</v>
      </c>
      <c r="M117" s="31" t="str">
        <f>IFERROR(__xludf.DUMMYFUNCTION("""COMPUTED_VALUE"""),"NA")</f>
        <v>NA</v>
      </c>
      <c r="N117" s="31"/>
    </row>
    <row r="118">
      <c r="A118" s="31">
        <f>IFERROR(__xludf.DUMMYFUNCTION("""COMPUTED_VALUE"""),116.0)</f>
        <v>116</v>
      </c>
      <c r="B118" s="31" t="str">
        <f>IFERROR(__xludf.DUMMYFUNCTION("""COMPUTED_VALUE"""),"Shreya Manchanda")</f>
        <v>Shreya Manchanda</v>
      </c>
      <c r="C118" s="31"/>
      <c r="D118" s="84">
        <f>IFERROR(__xludf.DUMMYFUNCTION("""COMPUTED_VALUE"""),9.87111639E9)</f>
        <v>9871116390</v>
      </c>
      <c r="E118" s="88">
        <f>IFERROR(__xludf.DUMMYFUNCTION("""COMPUTED_VALUE"""),44714.0)</f>
        <v>44714</v>
      </c>
      <c r="F118" s="31"/>
      <c r="G118" s="85" t="str">
        <f>IFERROR(__xludf.DUMMYFUNCTION("""COMPUTED_VALUE"""),"She will pick up laptop from office on his DOJ")</f>
        <v>She will pick up laptop from office on his DOJ</v>
      </c>
      <c r="H118" s="31" t="str">
        <f>IFERROR(__xludf.DUMMYFUNCTION("""COMPUTED_VALUE"""),"Windows laptop")</f>
        <v>Windows laptop</v>
      </c>
      <c r="I118" s="31" t="str">
        <f>IFERROR(__xludf.DUMMYFUNCTION("""COMPUTED_VALUE"""),"Legal Intern")</f>
        <v>Legal Intern</v>
      </c>
      <c r="J118" s="31"/>
      <c r="K118" s="31"/>
      <c r="L118" s="31" t="str">
        <f>IFERROR(__xludf.DUMMYFUNCTION("""COMPUTED_VALUE"""),"NA")</f>
        <v>NA</v>
      </c>
      <c r="M118" s="31" t="str">
        <f>IFERROR(__xludf.DUMMYFUNCTION("""COMPUTED_VALUE"""),"NA")</f>
        <v>NA</v>
      </c>
      <c r="N118" s="31"/>
    </row>
    <row r="119">
      <c r="A119" s="31">
        <f>IFERROR(__xludf.DUMMYFUNCTION("""COMPUTED_VALUE"""),117.0)</f>
        <v>117</v>
      </c>
      <c r="B119" s="31" t="str">
        <f>IFERROR(__xludf.DUMMYFUNCTION("""COMPUTED_VALUE"""),"Rajat Mehla")</f>
        <v>Rajat Mehla</v>
      </c>
      <c r="C119" s="31" t="str">
        <f>IFERROR(__xludf.DUMMYFUNCTION("""COMPUTED_VALUE"""),"rajat.mehla017@gmail.com")</f>
        <v>rajat.mehla017@gmail.com</v>
      </c>
      <c r="D119" s="84">
        <f>IFERROR(__xludf.DUMMYFUNCTION("""COMPUTED_VALUE"""),9.535984843E9)</f>
        <v>9535984843</v>
      </c>
      <c r="E119" s="90">
        <f>IFERROR(__xludf.DUMMYFUNCTION("""COMPUTED_VALUE"""),44718.0)</f>
        <v>44718</v>
      </c>
      <c r="F119" s="31"/>
      <c r="G119" s="85" t="str">
        <f>IFERROR(__xludf.DUMMYFUNCTION("""COMPUTED_VALUE"""),"Rajat Mehla, VPO Jadaula, Dhand, Kaithal, Haryana -136020")</f>
        <v>Rajat Mehla, VPO Jadaula, Dhand, Kaithal, Haryana -136020</v>
      </c>
      <c r="H119" s="31" t="str">
        <f>IFERROR(__xludf.DUMMYFUNCTION("""COMPUTED_VALUE"""),"Macbook + Phone")</f>
        <v>Macbook + Phone</v>
      </c>
      <c r="I119" s="31" t="str">
        <f>IFERROR(__xludf.DUMMYFUNCTION("""COMPUTED_VALUE"""),"Technology Lead")</f>
        <v>Technology Lead</v>
      </c>
      <c r="J119" s="31"/>
      <c r="K119" s="31"/>
      <c r="L119" s="31"/>
      <c r="M119" s="31"/>
      <c r="N119" s="31" t="str">
        <f>IFERROR(__xludf.DUMMYFUNCTION("""COMPUTED_VALUE"""),"Offer dropped - received back in office")</f>
        <v>Offer dropped - received back in office</v>
      </c>
    </row>
    <row r="120">
      <c r="A120" s="31">
        <f>IFERROR(__xludf.DUMMYFUNCTION("""COMPUTED_VALUE"""),118.0)</f>
        <v>118</v>
      </c>
      <c r="B120" s="31" t="str">
        <f>IFERROR(__xludf.DUMMYFUNCTION("""COMPUTED_VALUE"""),"Ritika Tatiya")</f>
        <v>Ritika Tatiya</v>
      </c>
      <c r="C120" s="31" t="str">
        <f>IFERROR(__xludf.DUMMYFUNCTION("""COMPUTED_VALUE"""),"ritikajain961@gmail.com")</f>
        <v>ritikajain961@gmail.com</v>
      </c>
      <c r="D120" s="84">
        <f>IFERROR(__xludf.DUMMYFUNCTION("""COMPUTED_VALUE"""),7.773879003E9)</f>
        <v>7773879003</v>
      </c>
      <c r="E120" s="90">
        <f>IFERROR(__xludf.DUMMYFUNCTION("""COMPUTED_VALUE"""),44725.0)</f>
        <v>44725</v>
      </c>
      <c r="F120" s="31"/>
      <c r="G120" s="85" t="str">
        <f>IFERROR(__xludf.DUMMYFUNCTION("""COMPUTED_VALUE"""),"156 Street 6, Cantt, Sadar Bazar, Jabalpur, M. P. 482001")</f>
        <v>156 Street 6, Cantt, Sadar Bazar, Jabalpur, M. P. 482001</v>
      </c>
      <c r="H120" s="31" t="str">
        <f>IFERROR(__xludf.DUMMYFUNCTION("""COMPUTED_VALUE"""),"Windows laptop")</f>
        <v>Windows laptop</v>
      </c>
      <c r="I120" s="31" t="str">
        <f>IFERROR(__xludf.DUMMYFUNCTION("""COMPUTED_VALUE"""),"Executive - Customer Experience")</f>
        <v>Executive - Customer Experience</v>
      </c>
      <c r="J120" s="31"/>
      <c r="K120" s="31"/>
      <c r="L120" s="31" t="str">
        <f>IFERROR(__xludf.DUMMYFUNCTION("""COMPUTED_VALUE"""),"Dispatched")</f>
        <v>Dispatched</v>
      </c>
      <c r="M120" s="31" t="str">
        <f>IFERROR(__xludf.DUMMYFUNCTION("""COMPUTED_VALUE"""),"Delivered")</f>
        <v>Delivered</v>
      </c>
      <c r="N120" s="31"/>
    </row>
    <row r="121">
      <c r="A121" s="31">
        <f>IFERROR(__xludf.DUMMYFUNCTION("""COMPUTED_VALUE"""),119.0)</f>
        <v>119</v>
      </c>
      <c r="B121" s="31" t="str">
        <f>IFERROR(__xludf.DUMMYFUNCTION("""COMPUTED_VALUE"""),"Muskan")</f>
        <v>Muskan</v>
      </c>
      <c r="C121" s="31" t="str">
        <f>IFERROR(__xludf.DUMMYFUNCTION("""COMPUTED_VALUE"""),"aroramuskan7818@gmail.com")</f>
        <v>aroramuskan7818@gmail.com</v>
      </c>
      <c r="D121" s="84">
        <f>IFERROR(__xludf.DUMMYFUNCTION("""COMPUTED_VALUE"""),9.77989665E9)</f>
        <v>9779896650</v>
      </c>
      <c r="E121" s="90">
        <f>IFERROR(__xludf.DUMMYFUNCTION("""COMPUTED_VALUE"""),44725.0)</f>
        <v>44725</v>
      </c>
      <c r="F121" s="31"/>
      <c r="G121" s="85" t="str">
        <f>IFERROR(__xludf.DUMMYFUNCTION("""COMPUTED_VALUE"""),"92, Preet Vihar, purani chungi near gndu, Chheharta, Amritsar, Punjab 143105")</f>
        <v>92, Preet Vihar, purani chungi near gndu, Chheharta, Amritsar, Punjab 143105</v>
      </c>
      <c r="H121" s="31" t="str">
        <f>IFERROR(__xludf.DUMMYFUNCTION("""COMPUTED_VALUE"""),"Windows laptop")</f>
        <v>Windows laptop</v>
      </c>
      <c r="I121" s="31" t="str">
        <f>IFERROR(__xludf.DUMMYFUNCTION("""COMPUTED_VALUE"""),"Executive - Customer Experience")</f>
        <v>Executive - Customer Experience</v>
      </c>
      <c r="J121" s="31"/>
      <c r="K121" s="31"/>
      <c r="L121" s="31" t="str">
        <f>IFERROR(__xludf.DUMMYFUNCTION("""COMPUTED_VALUE"""),"Dispatched")</f>
        <v>Dispatched</v>
      </c>
      <c r="M121" s="31" t="str">
        <f>IFERROR(__xludf.DUMMYFUNCTION("""COMPUTED_VALUE"""),"Delivered")</f>
        <v>Delivered</v>
      </c>
      <c r="N121" s="31"/>
    </row>
    <row r="122">
      <c r="A122" s="31">
        <f>IFERROR(__xludf.DUMMYFUNCTION("""COMPUTED_VALUE"""),120.0)</f>
        <v>120</v>
      </c>
      <c r="B122" s="31" t="str">
        <f>IFERROR(__xludf.DUMMYFUNCTION("""COMPUTED_VALUE"""),"Ashwani Rana")</f>
        <v>Ashwani Rana</v>
      </c>
      <c r="C122" s="31" t="str">
        <f>IFERROR(__xludf.DUMMYFUNCTION("""COMPUTED_VALUE"""),"ashwani.rana@outlook.com")</f>
        <v>ashwani.rana@outlook.com</v>
      </c>
      <c r="D122" s="84">
        <f>IFERROR(__xludf.DUMMYFUNCTION("""COMPUTED_VALUE"""),8.800000771E9)</f>
        <v>8800000771</v>
      </c>
      <c r="E122" s="90">
        <f>IFERROR(__xludf.DUMMYFUNCTION("""COMPUTED_VALUE"""),44732.0)</f>
        <v>44732</v>
      </c>
      <c r="F122" s="31"/>
      <c r="G122" s="85" t="str">
        <f>IFERROR(__xludf.DUMMYFUNCTION("""COMPUTED_VALUE"""),"I-502, Park View Ciry 1, Sohna Road, Sector 48, Gurgaon -122018")</f>
        <v>I-502, Park View Ciry 1, Sohna Road, Sector 48, Gurgaon -122018</v>
      </c>
      <c r="H122" s="31" t="str">
        <f>IFERROR(__xludf.DUMMYFUNCTION("""COMPUTED_VALUE"""),"Macbook 13"" + Mobile + USB Connector")</f>
        <v>Macbook 13" + Mobile + USB Connector</v>
      </c>
      <c r="I122" s="31" t="str">
        <f>IFERROR(__xludf.DUMMYFUNCTION("""COMPUTED_VALUE"""),"Head - Corporate Affairs")</f>
        <v>Head - Corporate Affairs</v>
      </c>
      <c r="J122" s="31"/>
      <c r="K122" s="31"/>
      <c r="L122" s="31" t="str">
        <f>IFERROR(__xludf.DUMMYFUNCTION("""COMPUTED_VALUE"""),"Dispatched")</f>
        <v>Dispatched</v>
      </c>
      <c r="M122" s="31" t="str">
        <f>IFERROR(__xludf.DUMMYFUNCTION("""COMPUTED_VALUE"""),"Delivered")</f>
        <v>Delivered</v>
      </c>
      <c r="N122" s="31"/>
    </row>
    <row r="123">
      <c r="A123" s="31">
        <f>IFERROR(__xludf.DUMMYFUNCTION("""COMPUTED_VALUE"""),121.0)</f>
        <v>121</v>
      </c>
      <c r="B123" s="31" t="str">
        <f>IFERROR(__xludf.DUMMYFUNCTION("""COMPUTED_VALUE"""),"Shilpasree Chatterjee")</f>
        <v>Shilpasree Chatterjee</v>
      </c>
      <c r="C123" s="31" t="str">
        <f>IFERROR(__xludf.DUMMYFUNCTION("""COMPUTED_VALUE"""),"shilpachatterjee95@yahoo.com")</f>
        <v>shilpachatterjee95@yahoo.com</v>
      </c>
      <c r="D123" s="84" t="str">
        <f>IFERROR(__xludf.DUMMYFUNCTION("""COMPUTED_VALUE"""),"9769539108/ 8898133649")</f>
        <v>9769539108/ 8898133649</v>
      </c>
      <c r="E123" s="90">
        <f>IFERROR(__xludf.DUMMYFUNCTION("""COMPUTED_VALUE"""),44743.0)</f>
        <v>44743</v>
      </c>
      <c r="F123" s="31"/>
      <c r="G123" s="85" t="str">
        <f>IFERROR(__xludf.DUMMYFUNCTION("""COMPUTED_VALUE"""),"Room No. 401, Rukmini Vaibhav Chsl, Kanakia Road, Near Ankur Children Home, Mira Road East . . Thane, Maharashtra - 400068, India")</f>
        <v>Room No. 401, Rukmini Vaibhav Chsl, Kanakia Road, Near Ankur Children Home, Mira Road East . . Thane, Maharashtra - 400068, India</v>
      </c>
      <c r="H123" s="31" t="str">
        <f>IFERROR(__xludf.DUMMYFUNCTION("""COMPUTED_VALUE"""),"Windows Laptop")</f>
        <v>Windows Laptop</v>
      </c>
      <c r="I123" s="31" t="str">
        <f>IFERROR(__xludf.DUMMYFUNCTION("""COMPUTED_VALUE"""),"Executive - Customer Experience")</f>
        <v>Executive - Customer Experience</v>
      </c>
      <c r="J123" s="31"/>
      <c r="K123" s="31"/>
      <c r="L123" s="31" t="str">
        <f>IFERROR(__xludf.DUMMYFUNCTION("""COMPUTED_VALUE"""),"Dispatched")</f>
        <v>Dispatched</v>
      </c>
      <c r="M123" s="31" t="str">
        <f>IFERROR(__xludf.DUMMYFUNCTION("""COMPUTED_VALUE"""),"Delivered")</f>
        <v>Delivered</v>
      </c>
      <c r="N123" s="31"/>
    </row>
    <row r="124">
      <c r="A124" s="31">
        <f>IFERROR(__xludf.DUMMYFUNCTION("""COMPUTED_VALUE"""),122.0)</f>
        <v>122</v>
      </c>
      <c r="B124" s="31" t="str">
        <f>IFERROR(__xludf.DUMMYFUNCTION("""COMPUTED_VALUE"""),"Payal Katoch")</f>
        <v>Payal Katoch</v>
      </c>
      <c r="C124" s="31" t="str">
        <f>IFERROR(__xludf.DUMMYFUNCTION("""COMPUTED_VALUE"""),"payal.katoch.26@gmail.com")</f>
        <v>payal.katoch.26@gmail.com</v>
      </c>
      <c r="D124" s="84">
        <f>IFERROR(__xludf.DUMMYFUNCTION("""COMPUTED_VALUE"""),9.811191689E9)</f>
        <v>9811191689</v>
      </c>
      <c r="E124" s="90">
        <f>IFERROR(__xludf.DUMMYFUNCTION("""COMPUTED_VALUE"""),44747.0)</f>
        <v>44747</v>
      </c>
      <c r="F124" s="31"/>
      <c r="G124" s="85" t="str">
        <f>IFERROR(__xludf.DUMMYFUNCTION("""COMPUTED_VALUE"""),"Tower X, Flat no. X-802, The Hyde Park, Sector 78, Noida, Uttar Pradesh, 201304")</f>
        <v>Tower X, Flat no. X-802, The Hyde Park, Sector 78, Noida, Uttar Pradesh, 201304</v>
      </c>
      <c r="H124" s="31" t="str">
        <f>IFERROR(__xludf.DUMMYFUNCTION("""COMPUTED_VALUE"""),"Macbook + Phone")</f>
        <v>Macbook + Phone</v>
      </c>
      <c r="I124" s="31" t="str">
        <f>IFERROR(__xludf.DUMMYFUNCTION("""COMPUTED_VALUE"""),"Sr. SDET")</f>
        <v>Sr. SDET</v>
      </c>
      <c r="J124" s="31"/>
      <c r="K124" s="31"/>
      <c r="L124" s="31" t="str">
        <f>IFERROR(__xludf.DUMMYFUNCTION("""COMPUTED_VALUE"""),"Dispatched")</f>
        <v>Dispatched</v>
      </c>
      <c r="M124" s="31" t="str">
        <f>IFERROR(__xludf.DUMMYFUNCTION("""COMPUTED_VALUE"""),"Delivered")</f>
        <v>Delivered</v>
      </c>
      <c r="N124" s="31"/>
    </row>
    <row r="125">
      <c r="A125" s="31">
        <f>IFERROR(__xludf.DUMMYFUNCTION("""COMPUTED_VALUE"""),123.0)</f>
        <v>123</v>
      </c>
      <c r="B125" s="31" t="str">
        <f>IFERROR(__xludf.DUMMYFUNCTION("""COMPUTED_VALUE"""),"Aman Gupta")</f>
        <v>Aman Gupta</v>
      </c>
      <c r="C125" s="31"/>
      <c r="D125" s="84"/>
      <c r="E125" s="90">
        <f>IFERROR(__xludf.DUMMYFUNCTION("""COMPUTED_VALUE"""),44748.0)</f>
        <v>44748</v>
      </c>
      <c r="F125" s="31"/>
      <c r="G125" s="85" t="str">
        <f>IFERROR(__xludf.DUMMYFUNCTION("""COMPUTED_VALUE"""),"picked from office")</f>
        <v>picked from office</v>
      </c>
      <c r="H125" s="31" t="str">
        <f>IFERROR(__xludf.DUMMYFUNCTION("""COMPUTED_VALUE"""),"Macbook + Phone")</f>
        <v>Macbook + Phone</v>
      </c>
      <c r="I125" s="31" t="str">
        <f>IFERROR(__xludf.DUMMYFUNCTION("""COMPUTED_VALUE"""),"EM")</f>
        <v>EM</v>
      </c>
      <c r="J125" s="31"/>
      <c r="K125" s="31"/>
      <c r="L125" s="31" t="str">
        <f>IFERROR(__xludf.DUMMYFUNCTION("""COMPUTED_VALUE"""),"Dispatched")</f>
        <v>Dispatched</v>
      </c>
      <c r="M125" s="31" t="str">
        <f>IFERROR(__xludf.DUMMYFUNCTION("""COMPUTED_VALUE"""),"Delivered")</f>
        <v>Delivered</v>
      </c>
      <c r="N125" s="31"/>
    </row>
    <row r="126">
      <c r="A126" s="31">
        <f>IFERROR(__xludf.DUMMYFUNCTION("""COMPUTED_VALUE"""),124.0)</f>
        <v>124</v>
      </c>
      <c r="B126" s="31" t="str">
        <f>IFERROR(__xludf.DUMMYFUNCTION("""COMPUTED_VALUE"""),"Akshata Upari")</f>
        <v>Akshata Upari</v>
      </c>
      <c r="C126" s="31" t="str">
        <f>IFERROR(__xludf.DUMMYFUNCTION("""COMPUTED_VALUE"""),"akshataupari19@gmail.com")</f>
        <v>akshataupari19@gmail.com</v>
      </c>
      <c r="D126" s="84">
        <f>IFERROR(__xludf.DUMMYFUNCTION("""COMPUTED_VALUE"""),8.095208535E9)</f>
        <v>8095208535</v>
      </c>
      <c r="E126" s="90">
        <f>IFERROR(__xludf.DUMMYFUNCTION("""COMPUTED_VALUE"""),44743.0)</f>
        <v>44743</v>
      </c>
      <c r="F126" s="31"/>
      <c r="G126" s="85" t="str">
        <f>IFERROR(__xludf.DUMMYFUNCTION("""COMPUTED_VALUE"""),"H.No 24/1 Bhuvaneshwari galli, Laxmi nagar, vadgaon, belagavi, karnataka 590005")</f>
        <v>H.No 24/1 Bhuvaneshwari galli, Laxmi nagar, vadgaon, belagavi, karnataka 590005</v>
      </c>
      <c r="H126" s="31" t="str">
        <f>IFERROR(__xludf.DUMMYFUNCTION("""COMPUTED_VALUE"""),"Windows laptop")</f>
        <v>Windows laptop</v>
      </c>
      <c r="I126" s="31" t="str">
        <f>IFERROR(__xludf.DUMMYFUNCTION("""COMPUTED_VALUE"""),"Executive - Customer Experience")</f>
        <v>Executive - Customer Experience</v>
      </c>
      <c r="J126" s="31"/>
      <c r="K126" s="31"/>
      <c r="L126" s="31" t="str">
        <f>IFERROR(__xludf.DUMMYFUNCTION("""COMPUTED_VALUE"""),"Dispatched")</f>
        <v>Dispatched</v>
      </c>
      <c r="M126" s="31" t="str">
        <f>IFERROR(__xludf.DUMMYFUNCTION("""COMPUTED_VALUE"""),"Delivered")</f>
        <v>Delivered</v>
      </c>
      <c r="N126" s="31"/>
    </row>
    <row r="127">
      <c r="A127" s="31">
        <f>IFERROR(__xludf.DUMMYFUNCTION("""COMPUTED_VALUE"""),125.0)</f>
        <v>125</v>
      </c>
      <c r="B127" s="31" t="str">
        <f>IFERROR(__xludf.DUMMYFUNCTION("""COMPUTED_VALUE"""),"Sahil Shah")</f>
        <v>Sahil Shah</v>
      </c>
      <c r="C127" s="31" t="str">
        <f>IFERROR(__xludf.DUMMYFUNCTION("""COMPUTED_VALUE"""),"sahil.shah@hotmail.co.in")</f>
        <v>sahil.shah@hotmail.co.in</v>
      </c>
      <c r="D127" s="84">
        <f>IFERROR(__xludf.DUMMYFUNCTION("""COMPUTED_VALUE"""),8.888779918E9)</f>
        <v>8888779918</v>
      </c>
      <c r="E127" s="90">
        <f>IFERROR(__xludf.DUMMYFUNCTION("""COMPUTED_VALUE"""),44767.0)</f>
        <v>44767</v>
      </c>
      <c r="F127" s="31"/>
      <c r="G127" s="85" t="str">
        <f>IFERROR(__xludf.DUMMYFUNCTION("""COMPUTED_VALUE"""),"B 702, Majestic Towers, Bibwewadi Katraj Road, Behind Lake town society, Pune 411048")</f>
        <v>B 702, Majestic Towers, Bibwewadi Katraj Road, Behind Lake town society, Pune 411048</v>
      </c>
      <c r="H127" s="31" t="str">
        <f>IFERROR(__xludf.DUMMYFUNCTION("""COMPUTED_VALUE"""),"Microsoft Surface 3/4 laptop")</f>
        <v>Microsoft Surface 3/4 laptop</v>
      </c>
      <c r="I127" s="31" t="str">
        <f>IFERROR(__xludf.DUMMYFUNCTION("""COMPUTED_VALUE"""),"Head Treasury")</f>
        <v>Head Treasury</v>
      </c>
      <c r="J127" s="31"/>
      <c r="K127" s="31"/>
      <c r="L127" s="31" t="str">
        <f>IFERROR(__xludf.DUMMYFUNCTION("""COMPUTED_VALUE"""),"Dispatched")</f>
        <v>Dispatched</v>
      </c>
      <c r="M127" s="31" t="str">
        <f>IFERROR(__xludf.DUMMYFUNCTION("""COMPUTED_VALUE"""),"Delivered")</f>
        <v>Delivered</v>
      </c>
      <c r="N127" s="31"/>
    </row>
    <row r="128">
      <c r="A128" s="31">
        <f>IFERROR(__xludf.DUMMYFUNCTION("""COMPUTED_VALUE"""),126.0)</f>
        <v>126</v>
      </c>
      <c r="B128" s="31" t="str">
        <f>IFERROR(__xludf.DUMMYFUNCTION("""COMPUTED_VALUE"""),"Keerat Kaur")</f>
        <v>Keerat Kaur</v>
      </c>
      <c r="C128" s="31" t="str">
        <f>IFERROR(__xludf.DUMMYFUNCTION("""COMPUTED_VALUE"""),"kirat.k.bhatti@gmail.com")</f>
        <v>kirat.k.bhatti@gmail.com</v>
      </c>
      <c r="D128" s="84">
        <f>IFERROR(__xludf.DUMMYFUNCTION("""COMPUTED_VALUE"""),9.873656299E9)</f>
        <v>9873656299</v>
      </c>
      <c r="E128" s="90">
        <f>IFERROR(__xludf.DUMMYFUNCTION("""COMPUTED_VALUE"""),44743.0)</f>
        <v>44743</v>
      </c>
      <c r="F128" s="31"/>
      <c r="G128" s="85" t="str">
        <f>IFERROR(__xludf.DUMMYFUNCTION("""COMPUTED_VALUE"""),"C-38, Ground Floor, Parshavnath Paradise, Mohan Nagar, Ghaziabad-201007")</f>
        <v>C-38, Ground Floor, Parshavnath Paradise, Mohan Nagar, Ghaziabad-201007</v>
      </c>
      <c r="H128" s="31" t="str">
        <f>IFERROR(__xludf.DUMMYFUNCTION("""COMPUTED_VALUE"""),"Windows Laptop")</f>
        <v>Windows Laptop</v>
      </c>
      <c r="I128" s="31" t="str">
        <f>IFERROR(__xludf.DUMMYFUNCTION("""COMPUTED_VALUE"""),"AM- Talent Acquisition")</f>
        <v>AM- Talent Acquisition</v>
      </c>
      <c r="J128" s="31"/>
      <c r="K128" s="31"/>
      <c r="L128" s="31" t="str">
        <f>IFERROR(__xludf.DUMMYFUNCTION("""COMPUTED_VALUE"""),"Dispatched")</f>
        <v>Dispatched</v>
      </c>
      <c r="M128" s="31" t="str">
        <f>IFERROR(__xludf.DUMMYFUNCTION("""COMPUTED_VALUE"""),"Delivered")</f>
        <v>Delivered</v>
      </c>
      <c r="N128" s="31"/>
    </row>
    <row r="129">
      <c r="A129" s="31">
        <f>IFERROR(__xludf.DUMMYFUNCTION("""COMPUTED_VALUE"""),128.0)</f>
        <v>128</v>
      </c>
      <c r="B129" s="31" t="str">
        <f>IFERROR(__xludf.DUMMYFUNCTION("""COMPUTED_VALUE"""),"Jessica Dawda")</f>
        <v>Jessica Dawda</v>
      </c>
      <c r="C129" s="31" t="str">
        <f>IFERROR(__xludf.DUMMYFUNCTION("""COMPUTED_VALUE"""),"jessica.dawda@gmail.com")</f>
        <v>jessica.dawda@gmail.com</v>
      </c>
      <c r="D129" s="84">
        <f>IFERROR(__xludf.DUMMYFUNCTION("""COMPUTED_VALUE"""),9.970317903E9)</f>
        <v>9970317903</v>
      </c>
      <c r="E129" s="90">
        <f>IFERROR(__xludf.DUMMYFUNCTION("""COMPUTED_VALUE"""),44760.0)</f>
        <v>44760</v>
      </c>
      <c r="F129" s="31"/>
      <c r="G129" s="85" t="str">
        <f>IFERROR(__xludf.DUMMYFUNCTION("""COMPUTED_VALUE"""),"1108, studio, Palm Drive, opp.Vatika City, Sector 66, Gurgaon-122102")</f>
        <v>1108, studio, Palm Drive, opp.Vatika City, Sector 66, Gurgaon-122102</v>
      </c>
      <c r="H129" s="31" t="str">
        <f>IFERROR(__xludf.DUMMYFUNCTION("""COMPUTED_VALUE"""),"Macbook")</f>
        <v>Macbook</v>
      </c>
      <c r="I129" s="31" t="str">
        <f>IFERROR(__xludf.DUMMYFUNCTION("""COMPUTED_VALUE"""),"Manager Strategy")</f>
        <v>Manager Strategy</v>
      </c>
      <c r="J129" s="31"/>
      <c r="K129" s="31"/>
      <c r="L129" s="31" t="str">
        <f>IFERROR(__xludf.DUMMYFUNCTION("""COMPUTED_VALUE"""),"Picked from office")</f>
        <v>Picked from office</v>
      </c>
      <c r="M129" s="31" t="str">
        <f>IFERROR(__xludf.DUMMYFUNCTION("""COMPUTED_VALUE"""),"Picked from office")</f>
        <v>Picked from office</v>
      </c>
      <c r="N129" s="31"/>
    </row>
    <row r="130">
      <c r="A130" s="31">
        <f>IFERROR(__xludf.DUMMYFUNCTION("""COMPUTED_VALUE"""),129.0)</f>
        <v>129</v>
      </c>
      <c r="B130" s="31" t="str">
        <f>IFERROR(__xludf.DUMMYFUNCTION("""COMPUTED_VALUE"""),"Varsha SK")</f>
        <v>Varsha SK</v>
      </c>
      <c r="C130" s="31" t="str">
        <f>IFERROR(__xludf.DUMMYFUNCTION("""COMPUTED_VALUE"""),"Harvars83@gmail.com")</f>
        <v>Harvars83@gmail.com</v>
      </c>
      <c r="D130" s="84">
        <f>IFERROR(__xludf.DUMMYFUNCTION("""COMPUTED_VALUE"""),9.591374607E9)</f>
        <v>9591374607</v>
      </c>
      <c r="E130" s="90">
        <f>IFERROR(__xludf.DUMMYFUNCTION("""COMPUTED_VALUE"""),44753.0)</f>
        <v>44753</v>
      </c>
      <c r="F130" s="31"/>
      <c r="G130" s="85" t="str">
        <f>IFERROR(__xludf.DUMMYFUNCTION("""COMPUTED_VALUE"""),"c/o Geetha GS Aiyappanagar 1st cross, (opp road to Vasavi vidyalaya) , Chikkamagalur -577101 , Karnataka")</f>
        <v>c/o Geetha GS Aiyappanagar 1st cross, (opp road to Vasavi vidyalaya) , Chikkamagalur -577101 , Karnataka</v>
      </c>
      <c r="H130" s="31" t="str">
        <f>IFERROR(__xludf.DUMMYFUNCTION("""COMPUTED_VALUE"""),"Windows Laptop")</f>
        <v>Windows Laptop</v>
      </c>
      <c r="I130" s="31" t="str">
        <f>IFERROR(__xludf.DUMMYFUNCTION("""COMPUTED_VALUE"""),"Executive - Customer Experience")</f>
        <v>Executive - Customer Experience</v>
      </c>
      <c r="J130" s="31"/>
      <c r="K130" s="31"/>
      <c r="L130" s="31" t="str">
        <f>IFERROR(__xludf.DUMMYFUNCTION("""COMPUTED_VALUE"""),"Dispatched")</f>
        <v>Dispatched</v>
      </c>
      <c r="M130" s="31" t="str">
        <f>IFERROR(__xludf.DUMMYFUNCTION("""COMPUTED_VALUE"""),"Delivered")</f>
        <v>Delivered</v>
      </c>
      <c r="N130" s="31"/>
    </row>
    <row r="131">
      <c r="A131" s="31">
        <f>IFERROR(__xludf.DUMMYFUNCTION("""COMPUTED_VALUE"""),130.0)</f>
        <v>130</v>
      </c>
      <c r="B131" s="31" t="str">
        <f>IFERROR(__xludf.DUMMYFUNCTION("""COMPUTED_VALUE"""),"Manvi Agarwal")</f>
        <v>Manvi Agarwal</v>
      </c>
      <c r="C131" s="31" t="str">
        <f>IFERROR(__xludf.DUMMYFUNCTION("""COMPUTED_VALUE"""),"manvi9518@gmail.com")</f>
        <v>manvi9518@gmail.com</v>
      </c>
      <c r="D131" s="84">
        <f>IFERROR(__xludf.DUMMYFUNCTION("""COMPUTED_VALUE"""),8.395093777E9)</f>
        <v>8395093777</v>
      </c>
      <c r="E131" s="90">
        <f>IFERROR(__xludf.DUMMYFUNCTION("""COMPUTED_VALUE"""),44760.0)</f>
        <v>44760</v>
      </c>
      <c r="F131" s="31"/>
      <c r="G131" s="85" t="str">
        <f>IFERROR(__xludf.DUMMYFUNCTION("""COMPUTED_VALUE"""),"Punjabi Colony Station Road Nagina, District Bijnor, U.P 246762")</f>
        <v>Punjabi Colony Station Road Nagina, District Bijnor, U.P 246762</v>
      </c>
      <c r="H131" s="31" t="str">
        <f>IFERROR(__xludf.DUMMYFUNCTION("""COMPUTED_VALUE"""),"Windows Laptop")</f>
        <v>Windows Laptop</v>
      </c>
      <c r="I131" s="31" t="str">
        <f>IFERROR(__xludf.DUMMYFUNCTION("""COMPUTED_VALUE"""),"Associate - Talent Acquisition")</f>
        <v>Associate - Talent Acquisition</v>
      </c>
      <c r="J131" s="31"/>
      <c r="K131" s="31"/>
      <c r="L131" s="31" t="str">
        <f>IFERROR(__xludf.DUMMYFUNCTION("""COMPUTED_VALUE"""),"Dispatched")</f>
        <v>Dispatched</v>
      </c>
      <c r="M131" s="31" t="str">
        <f>IFERROR(__xludf.DUMMYFUNCTION("""COMPUTED_VALUE"""),"Delivered")</f>
        <v>Delivered</v>
      </c>
      <c r="N131" s="31"/>
    </row>
    <row r="132">
      <c r="A132" s="31">
        <f>IFERROR(__xludf.DUMMYFUNCTION("""COMPUTED_VALUE"""),131.0)</f>
        <v>131</v>
      </c>
      <c r="B132" s="31" t="str">
        <f>IFERROR(__xludf.DUMMYFUNCTION("""COMPUTED_VALUE"""),"Ananya Apurva")</f>
        <v>Ananya Apurva</v>
      </c>
      <c r="C132" s="31" t="str">
        <f>IFERROR(__xludf.DUMMYFUNCTION("""COMPUTED_VALUE"""),"ananyaapurva291@gmail.com")</f>
        <v>ananyaapurva291@gmail.com</v>
      </c>
      <c r="D132" s="84">
        <f>IFERROR(__xludf.DUMMYFUNCTION("""COMPUTED_VALUE"""),8.789348904E9)</f>
        <v>8789348904</v>
      </c>
      <c r="E132" s="88">
        <f>IFERROR(__xludf.DUMMYFUNCTION("""COMPUTED_VALUE"""),44774.0)</f>
        <v>44774</v>
      </c>
      <c r="F132" s="31"/>
      <c r="G132" s="85" t="str">
        <f>IFERROR(__xludf.DUMMYFUNCTION("""COMPUTED_VALUE"""),"194/A-3, Bariatu Road, Opp. -Arogya Bhawan, Mandelia Nagar, Near C.N Honda Showroom, Ranchi- 834009")</f>
        <v>194/A-3, Bariatu Road, Opp. -Arogya Bhawan, Mandelia Nagar, Near C.N Honda Showroom, Ranchi- 834009</v>
      </c>
      <c r="H132" s="31" t="str">
        <f>IFERROR(__xludf.DUMMYFUNCTION("""COMPUTED_VALUE"""),"Macbook 16""")</f>
        <v>Macbook 16"</v>
      </c>
      <c r="I132" s="31" t="str">
        <f>IFERROR(__xludf.DUMMYFUNCTION("""COMPUTED_VALUE"""),"Senior Data Analyst")</f>
        <v>Senior Data Analyst</v>
      </c>
      <c r="J132" s="31"/>
      <c r="K132" s="31"/>
      <c r="L132" s="31" t="str">
        <f>IFERROR(__xludf.DUMMYFUNCTION("""COMPUTED_VALUE"""),"Dispatched")</f>
        <v>Dispatched</v>
      </c>
      <c r="M132" s="31" t="str">
        <f>IFERROR(__xludf.DUMMYFUNCTION("""COMPUTED_VALUE"""),"Delivered")</f>
        <v>Delivered</v>
      </c>
      <c r="N132" s="31"/>
    </row>
    <row r="133">
      <c r="A133" s="31">
        <f>IFERROR(__xludf.DUMMYFUNCTION("""COMPUTED_VALUE"""),132.0)</f>
        <v>132</v>
      </c>
      <c r="B133" s="31" t="str">
        <f>IFERROR(__xludf.DUMMYFUNCTION("""COMPUTED_VALUE"""),"Astha Yadav")</f>
        <v>Astha Yadav</v>
      </c>
      <c r="C133" s="31" t="str">
        <f>IFERROR(__xludf.DUMMYFUNCTION("""COMPUTED_VALUE"""),"yadavastha27@gmail.com")</f>
        <v>yadavastha27@gmail.com</v>
      </c>
      <c r="D133" s="84">
        <f>IFERROR(__xludf.DUMMYFUNCTION("""COMPUTED_VALUE"""),8.708993911E9)</f>
        <v>8708993911</v>
      </c>
      <c r="E133" s="88">
        <f>IFERROR(__xludf.DUMMYFUNCTION("""COMPUTED_VALUE"""),44774.0)</f>
        <v>44774</v>
      </c>
      <c r="F133" s="31"/>
      <c r="G133" s="85" t="str">
        <f>IFERROR(__xludf.DUMMYFUNCTION("""COMPUTED_VALUE"""),"36 Vashisth Nagar near p model school, ambala cantt, haryana 133005")</f>
        <v>36 Vashisth Nagar near p model school, ambala cantt, haryana 133005</v>
      </c>
      <c r="H133" s="31" t="str">
        <f>IFERROR(__xludf.DUMMYFUNCTION("""COMPUTED_VALUE"""),"Macbook 16""")</f>
        <v>Macbook 16"</v>
      </c>
      <c r="I133" s="31" t="str">
        <f>IFERROR(__xludf.DUMMYFUNCTION("""COMPUTED_VALUE"""),"Software Engineer")</f>
        <v>Software Engineer</v>
      </c>
      <c r="J133" s="31"/>
      <c r="K133" s="31"/>
      <c r="L133" s="31" t="str">
        <f>IFERROR(__xludf.DUMMYFUNCTION("""COMPUTED_VALUE"""),"Dispatched")</f>
        <v>Dispatched</v>
      </c>
      <c r="M133" s="31" t="str">
        <f>IFERROR(__xludf.DUMMYFUNCTION("""COMPUTED_VALUE"""),"Delivered")</f>
        <v>Delivered</v>
      </c>
      <c r="N133" s="31"/>
    </row>
    <row r="134">
      <c r="A134" s="31">
        <f>IFERROR(__xludf.DUMMYFUNCTION("""COMPUTED_VALUE"""),133.0)</f>
        <v>133</v>
      </c>
      <c r="B134" s="31" t="str">
        <f>IFERROR(__xludf.DUMMYFUNCTION("""COMPUTED_VALUE"""),"Avisha Singh")</f>
        <v>Avisha Singh</v>
      </c>
      <c r="C134" s="31" t="str">
        <f>IFERROR(__xludf.DUMMYFUNCTION("""COMPUTED_VALUE"""),"avishasingh4@gmail.com")</f>
        <v>avishasingh4@gmail.com</v>
      </c>
      <c r="D134" s="84">
        <f>IFERROR(__xludf.DUMMYFUNCTION("""COMPUTED_VALUE"""),9.015652504E9)</f>
        <v>9015652504</v>
      </c>
      <c r="E134" s="88">
        <f>IFERROR(__xludf.DUMMYFUNCTION("""COMPUTED_VALUE"""),44774.0)</f>
        <v>44774</v>
      </c>
      <c r="F134" s="31"/>
      <c r="G134" s="85" t="str">
        <f>IFERROR(__xludf.DUMMYFUNCTION("""COMPUTED_VALUE"""),"She will pick up laptop from office on his DOJ")</f>
        <v>She will pick up laptop from office on his DOJ</v>
      </c>
      <c r="H134" s="31" t="str">
        <f>IFERROR(__xludf.DUMMYFUNCTION("""COMPUTED_VALUE"""),"Windows laptop")</f>
        <v>Windows laptop</v>
      </c>
      <c r="I134" s="31" t="str">
        <f>IFERROR(__xludf.DUMMYFUNCTION("""COMPUTED_VALUE"""),"Manager HR")</f>
        <v>Manager HR</v>
      </c>
      <c r="J134" s="31"/>
      <c r="K134" s="31"/>
      <c r="L134" s="31" t="str">
        <f>IFERROR(__xludf.DUMMYFUNCTION("""COMPUTED_VALUE"""),"NA")</f>
        <v>NA</v>
      </c>
      <c r="M134" s="31" t="str">
        <f>IFERROR(__xludf.DUMMYFUNCTION("""COMPUTED_VALUE"""),"NA")</f>
        <v>NA</v>
      </c>
      <c r="N134" s="31"/>
    </row>
    <row r="135">
      <c r="A135" s="31">
        <f>IFERROR(__xludf.DUMMYFUNCTION("""COMPUTED_VALUE"""),134.0)</f>
        <v>134</v>
      </c>
      <c r="B135" s="31" t="str">
        <f>IFERROR(__xludf.DUMMYFUNCTION("""COMPUTED_VALUE"""),"Tanmeet Kaur Ahuja")</f>
        <v>Tanmeet Kaur Ahuja</v>
      </c>
      <c r="C135" s="31" t="str">
        <f>IFERROR(__xludf.DUMMYFUNCTION("""COMPUTED_VALUE"""),"ahuja.tanmeet29@gmail.com")</f>
        <v>ahuja.tanmeet29@gmail.com</v>
      </c>
      <c r="D135" s="84" t="str">
        <f>IFERROR(__xludf.DUMMYFUNCTION("""COMPUTED_VALUE"""),"95600 20236")</f>
        <v>95600 20236</v>
      </c>
      <c r="E135" s="88">
        <f>IFERROR(__xludf.DUMMYFUNCTION("""COMPUTED_VALUE"""),44774.0)</f>
        <v>44774</v>
      </c>
      <c r="F135" s="31"/>
      <c r="G135" s="85" t="str">
        <f>IFERROR(__xludf.DUMMYFUNCTION("""COMPUTED_VALUE"""),"She will pick up laptop from office on his DOJ")</f>
        <v>She will pick up laptop from office on his DOJ</v>
      </c>
      <c r="H135" s="31" t="str">
        <f>IFERROR(__xludf.DUMMYFUNCTION("""COMPUTED_VALUE"""),"Macbook 13""")</f>
        <v>Macbook 13"</v>
      </c>
      <c r="I135" s="31" t="str">
        <f>IFERROR(__xludf.DUMMYFUNCTION("""COMPUTED_VALUE"""),"Manager- Public Relations")</f>
        <v>Manager- Public Relations</v>
      </c>
      <c r="J135" s="31"/>
      <c r="K135" s="31"/>
      <c r="L135" s="31" t="str">
        <f>IFERROR(__xludf.DUMMYFUNCTION("""COMPUTED_VALUE"""),"NA")</f>
        <v>NA</v>
      </c>
      <c r="M135" s="31" t="str">
        <f>IFERROR(__xludf.DUMMYFUNCTION("""COMPUTED_VALUE"""),"NA")</f>
        <v>NA</v>
      </c>
      <c r="N135" s="31"/>
    </row>
    <row r="136">
      <c r="A136" s="31">
        <f>IFERROR(__xludf.DUMMYFUNCTION("""COMPUTED_VALUE"""),135.0)</f>
        <v>135</v>
      </c>
      <c r="B136" s="31" t="str">
        <f>IFERROR(__xludf.DUMMYFUNCTION("""COMPUTED_VALUE"""),"Ankit Singh")</f>
        <v>Ankit Singh</v>
      </c>
      <c r="C136" s="31" t="str">
        <f>IFERROR(__xludf.DUMMYFUNCTION("""COMPUTED_VALUE"""),"ankitnitjsr13@gmail.com")</f>
        <v>ankitnitjsr13@gmail.com</v>
      </c>
      <c r="D136" s="84">
        <f>IFERROR(__xludf.DUMMYFUNCTION("""COMPUTED_VALUE"""),9.631839418E9)</f>
        <v>9631839418</v>
      </c>
      <c r="E136" s="88">
        <f>IFERROR(__xludf.DUMMYFUNCTION("""COMPUTED_VALUE"""),44789.0)</f>
        <v>44789</v>
      </c>
      <c r="F136" s="31"/>
      <c r="G136" s="85" t="str">
        <f>IFERROR(__xludf.DUMMYFUNCTION("""COMPUTED_VALUE"""),"C7, 3rd floor, Gunina Jeno, 4th cross road, Neeladri road, banagalore, karnataka, 560100")</f>
        <v>C7, 3rd floor, Gunina Jeno, 4th cross road, Neeladri road, banagalore, karnataka, 560100</v>
      </c>
      <c r="H136" s="31" t="str">
        <f>IFERROR(__xludf.DUMMYFUNCTION("""COMPUTED_VALUE"""),"Macbook 16""")</f>
        <v>Macbook 16"</v>
      </c>
      <c r="I136" s="31" t="str">
        <f>IFERROR(__xludf.DUMMYFUNCTION("""COMPUTED_VALUE"""),"Senior Machine Learning Engineer")</f>
        <v>Senior Machine Learning Engineer</v>
      </c>
      <c r="J136" s="31"/>
      <c r="K136" s="31"/>
      <c r="L136" s="31" t="str">
        <f>IFERROR(__xludf.DUMMYFUNCTION("""COMPUTED_VALUE"""),"Dispatched")</f>
        <v>Dispatched</v>
      </c>
      <c r="M136" s="31" t="str">
        <f>IFERROR(__xludf.DUMMYFUNCTION("""COMPUTED_VALUE"""),"Delivered")</f>
        <v>Delivered</v>
      </c>
      <c r="N136" s="31" t="str">
        <f>IFERROR(__xludf.DUMMYFUNCTION("""COMPUTED_VALUE"""),"Offer dropped - assets received back in office")</f>
        <v>Offer dropped - assets received back in office</v>
      </c>
    </row>
    <row r="137">
      <c r="A137" s="31">
        <f>IFERROR(__xludf.DUMMYFUNCTION("""COMPUTED_VALUE"""),136.0)</f>
        <v>136</v>
      </c>
      <c r="B137" s="31" t="str">
        <f>IFERROR(__xludf.DUMMYFUNCTION("""COMPUTED_VALUE"""),"Rohan Aggarwal")</f>
        <v>Rohan Aggarwal</v>
      </c>
      <c r="C137" s="31" t="str">
        <f>IFERROR(__xludf.DUMMYFUNCTION("""COMPUTED_VALUE"""),"rohanagg31@gmail.com")</f>
        <v>rohanagg31@gmail.com</v>
      </c>
      <c r="D137" s="84">
        <f>IFERROR(__xludf.DUMMYFUNCTION("""COMPUTED_VALUE"""),9.53057594E9)</f>
        <v>9530575940</v>
      </c>
      <c r="E137" s="88">
        <f>IFERROR(__xludf.DUMMYFUNCTION("""COMPUTED_VALUE"""),44774.0)</f>
        <v>44774</v>
      </c>
      <c r="F137" s="31"/>
      <c r="G137" s="85" t="str">
        <f>IFERROR(__xludf.DUMMYFUNCTION("""COMPUTED_VALUE"""),"He will pick up laptop from office on his DOJ")</f>
        <v>He will pick up laptop from office on his DOJ</v>
      </c>
      <c r="H137" s="31" t="str">
        <f>IFERROR(__xludf.DUMMYFUNCTION("""COMPUTED_VALUE"""),"Windows laptop")</f>
        <v>Windows laptop</v>
      </c>
      <c r="I137" s="31" t="str">
        <f>IFERROR(__xludf.DUMMYFUNCTION("""COMPUTED_VALUE"""),"Legal Trainee")</f>
        <v>Legal Trainee</v>
      </c>
      <c r="J137" s="31"/>
      <c r="K137" s="31"/>
      <c r="L137" s="31" t="str">
        <f>IFERROR(__xludf.DUMMYFUNCTION("""COMPUTED_VALUE"""),"NA")</f>
        <v>NA</v>
      </c>
      <c r="M137" s="31" t="str">
        <f>IFERROR(__xludf.DUMMYFUNCTION("""COMPUTED_VALUE"""),"NA")</f>
        <v>NA</v>
      </c>
      <c r="N137" s="31"/>
    </row>
    <row r="138">
      <c r="A138" s="31">
        <f>IFERROR(__xludf.DUMMYFUNCTION("""COMPUTED_VALUE"""),137.0)</f>
        <v>137</v>
      </c>
      <c r="B138" s="31" t="str">
        <f>IFERROR(__xludf.DUMMYFUNCTION("""COMPUTED_VALUE"""),"Pavit Batra")</f>
        <v>Pavit Batra</v>
      </c>
      <c r="C138" s="31" t="str">
        <f>IFERROR(__xludf.DUMMYFUNCTION("""COMPUTED_VALUE"""),"pavitbatra93@gmail.com")</f>
        <v>pavitbatra93@gmail.com</v>
      </c>
      <c r="D138" s="84">
        <f>IFERROR(__xludf.DUMMYFUNCTION("""COMPUTED_VALUE"""),8.39605034E9)</f>
        <v>8396050340</v>
      </c>
      <c r="E138" s="88">
        <f>IFERROR(__xludf.DUMMYFUNCTION("""COMPUTED_VALUE"""),44781.0)</f>
        <v>44781</v>
      </c>
      <c r="F138" s="31"/>
      <c r="G138" s="85" t="str">
        <f>IFERROR(__xludf.DUMMYFUNCTION("""COMPUTED_VALUE"""),"He will pick up laptop from office on his DOJ")</f>
        <v>He will pick up laptop from office on his DOJ</v>
      </c>
      <c r="H138" s="31" t="str">
        <f>IFERROR(__xludf.DUMMYFUNCTION("""COMPUTED_VALUE"""),"Windows laptop")</f>
        <v>Windows laptop</v>
      </c>
      <c r="I138" s="31" t="str">
        <f>IFERROR(__xludf.DUMMYFUNCTION("""COMPUTED_VALUE"""),"Manager - indirect tax")</f>
        <v>Manager - indirect tax</v>
      </c>
      <c r="J138" s="31"/>
      <c r="K138" s="31"/>
      <c r="L138" s="31" t="str">
        <f>IFERROR(__xludf.DUMMYFUNCTION("""COMPUTED_VALUE"""),"NA")</f>
        <v>NA</v>
      </c>
      <c r="M138" s="31" t="str">
        <f>IFERROR(__xludf.DUMMYFUNCTION("""COMPUTED_VALUE"""),"NA")</f>
        <v>NA</v>
      </c>
      <c r="N138" s="31"/>
    </row>
    <row r="139">
      <c r="A139" s="31">
        <f>IFERROR(__xludf.DUMMYFUNCTION("""COMPUTED_VALUE"""),138.0)</f>
        <v>138</v>
      </c>
      <c r="B139" s="31" t="str">
        <f>IFERROR(__xludf.DUMMYFUNCTION("""COMPUTED_VALUE"""),"Amiya Panda")</f>
        <v>Amiya Panda</v>
      </c>
      <c r="C139" s="31" t="str">
        <f>IFERROR(__xludf.DUMMYFUNCTION("""COMPUTED_VALUE"""),"pandaamiya@gmail.com")</f>
        <v>pandaamiya@gmail.com</v>
      </c>
      <c r="D139" s="84">
        <f>IFERROR(__xludf.DUMMYFUNCTION("""COMPUTED_VALUE"""),9.935099992E9)</f>
        <v>9935099992</v>
      </c>
      <c r="E139" s="88">
        <f>IFERROR(__xludf.DUMMYFUNCTION("""COMPUTED_VALUE"""),44785.0)</f>
        <v>44785</v>
      </c>
      <c r="F139" s="31"/>
      <c r="G139" s="85" t="str">
        <f>IFERROR(__xludf.DUMMYFUNCTION("""COMPUTED_VALUE"""),"He will pick up laptop from office on his DOJ")</f>
        <v>He will pick up laptop from office on his DOJ</v>
      </c>
      <c r="H139" s="31" t="str">
        <f>IFERROR(__xludf.DUMMYFUNCTION("""COMPUTED_VALUE"""),"Macbook 13"" + Mobile Phone if requested")</f>
        <v>Macbook 13" + Mobile Phone if requested</v>
      </c>
      <c r="I139" s="31" t="str">
        <f>IFERROR(__xludf.DUMMYFUNCTION("""COMPUTED_VALUE"""),"Director - Legal")</f>
        <v>Director - Legal</v>
      </c>
      <c r="J139" s="31"/>
      <c r="K139" s="31"/>
      <c r="L139" s="31" t="str">
        <f>IFERROR(__xludf.DUMMYFUNCTION("""COMPUTED_VALUE"""),"NA")</f>
        <v>NA</v>
      </c>
      <c r="M139" s="31" t="str">
        <f>IFERROR(__xludf.DUMMYFUNCTION("""COMPUTED_VALUE"""),"NA")</f>
        <v>NA</v>
      </c>
      <c r="N139" s="31"/>
    </row>
    <row r="140">
      <c r="A140" s="31">
        <f>IFERROR(__xludf.DUMMYFUNCTION("""COMPUTED_VALUE"""),139.0)</f>
        <v>139</v>
      </c>
      <c r="B140" s="31" t="str">
        <f>IFERROR(__xludf.DUMMYFUNCTION("""COMPUTED_VALUE"""),"Prashant Yadav")</f>
        <v>Prashant Yadav</v>
      </c>
      <c r="C140" s="31" t="str">
        <f>IFERROR(__xludf.DUMMYFUNCTION("""COMPUTED_VALUE"""),"prashantyadav1003@gmail.com ")</f>
        <v>prashantyadav1003@gmail.com </v>
      </c>
      <c r="D140" s="84" t="str">
        <f>IFERROR(__xludf.DUMMYFUNCTION("""COMPUTED_VALUE"""),"7409782849, 8840612190")</f>
        <v>7409782849, 8840612190</v>
      </c>
      <c r="E140" s="90">
        <f>IFERROR(__xludf.DUMMYFUNCTION("""COMPUTED_VALUE"""),44792.0)</f>
        <v>44792</v>
      </c>
      <c r="F140" s="31"/>
      <c r="G140" s="85" t="str">
        <f>IFERROR(__xludf.DUMMYFUNCTION("""COMPUTED_VALUE"""),"He will pick up the assets from office on 19 Aug")</f>
        <v>He will pick up the assets from office on 19 Aug</v>
      </c>
      <c r="H140" s="31" t="str">
        <f>IFERROR(__xludf.DUMMYFUNCTION("""COMPUTED_VALUE"""),"Macbook + Phone")</f>
        <v>Macbook + Phone</v>
      </c>
      <c r="I140" s="31" t="str">
        <f>IFERROR(__xludf.DUMMYFUNCTION("""COMPUTED_VALUE"""),"Sr. SDET")</f>
        <v>Sr. SDET</v>
      </c>
      <c r="J140" s="31"/>
      <c r="K140" s="31"/>
      <c r="L140" s="31" t="str">
        <f>IFERROR(__xludf.DUMMYFUNCTION("""COMPUTED_VALUE"""),"NA")</f>
        <v>NA</v>
      </c>
      <c r="M140" s="31" t="str">
        <f>IFERROR(__xludf.DUMMYFUNCTION("""COMPUTED_VALUE"""),"NA")</f>
        <v>NA</v>
      </c>
      <c r="N140" s="31"/>
    </row>
    <row r="141">
      <c r="A141" s="31">
        <f>IFERROR(__xludf.DUMMYFUNCTION("""COMPUTED_VALUE"""),140.0)</f>
        <v>140</v>
      </c>
      <c r="B141" s="31" t="str">
        <f>IFERROR(__xludf.DUMMYFUNCTION("""COMPUTED_VALUE"""),"Manoj Rane")</f>
        <v>Manoj Rane</v>
      </c>
      <c r="C141" s="31" t="str">
        <f>IFERROR(__xludf.DUMMYFUNCTION("""COMPUTED_VALUE"""),"manojd2d@gmail.com")</f>
        <v>manojd2d@gmail.com</v>
      </c>
      <c r="D141" s="84">
        <f>IFERROR(__xludf.DUMMYFUNCTION("""COMPUTED_VALUE"""),9.700270687E9)</f>
        <v>9700270687</v>
      </c>
      <c r="E141" s="90">
        <f>IFERROR(__xludf.DUMMYFUNCTION("""COMPUTED_VALUE"""),44792.0)</f>
        <v>44792</v>
      </c>
      <c r="F141" s="31"/>
      <c r="G141" s="85" t="str">
        <f>IFERROR(__xludf.DUMMYFUNCTION("""COMPUTED_VALUE"""),"He will pick up laptop from office on his DOJ")</f>
        <v>He will pick up laptop from office on his DOJ</v>
      </c>
      <c r="H141" s="31"/>
      <c r="I141" s="31" t="str">
        <f>IFERROR(__xludf.DUMMYFUNCTION("""COMPUTED_VALUE"""),"Senior 2D Animator")</f>
        <v>Senior 2D Animator</v>
      </c>
      <c r="J141" s="31"/>
      <c r="K141" s="31"/>
      <c r="L141" s="31" t="str">
        <f>IFERROR(__xludf.DUMMYFUNCTION("""COMPUTED_VALUE"""),"NA")</f>
        <v>NA</v>
      </c>
      <c r="M141" s="31" t="str">
        <f>IFERROR(__xludf.DUMMYFUNCTION("""COMPUTED_VALUE"""),"NA")</f>
        <v>NA</v>
      </c>
      <c r="N141" s="31"/>
    </row>
    <row r="142">
      <c r="A142" s="31">
        <f>IFERROR(__xludf.DUMMYFUNCTION("""COMPUTED_VALUE"""),141.0)</f>
        <v>141</v>
      </c>
      <c r="B142" s="31" t="str">
        <f>IFERROR(__xludf.DUMMYFUNCTION("""COMPUTED_VALUE"""),"Harshitaa Prakash")</f>
        <v>Harshitaa Prakash</v>
      </c>
      <c r="C142" s="31" t="str">
        <f>IFERROR(__xludf.DUMMYFUNCTION("""COMPUTED_VALUE"""),"harshitaa.prakash@gmail.com")</f>
        <v>harshitaa.prakash@gmail.com</v>
      </c>
      <c r="D142" s="84">
        <f>IFERROR(__xludf.DUMMYFUNCTION("""COMPUTED_VALUE"""),9.818761514E9)</f>
        <v>9818761514</v>
      </c>
      <c r="E142" s="90">
        <f>IFERROR(__xludf.DUMMYFUNCTION("""COMPUTED_VALUE"""),44783.0)</f>
        <v>44783</v>
      </c>
      <c r="F142" s="31"/>
      <c r="G142" s="85" t="str">
        <f>IFERROR(__xludf.DUMMYFUNCTION("""COMPUTED_VALUE"""),"She will pick up laptop from office tomorrow")</f>
        <v>She will pick up laptop from office tomorrow</v>
      </c>
      <c r="H142" s="31" t="str">
        <f>IFERROR(__xludf.DUMMYFUNCTION("""COMPUTED_VALUE"""),"Windows laptop")</f>
        <v>Windows laptop</v>
      </c>
      <c r="I142" s="31" t="str">
        <f>IFERROR(__xludf.DUMMYFUNCTION("""COMPUTED_VALUE"""),"Legal Trainee")</f>
        <v>Legal Trainee</v>
      </c>
      <c r="J142" s="31"/>
      <c r="K142" s="31"/>
      <c r="L142" s="31" t="str">
        <f>IFERROR(__xludf.DUMMYFUNCTION("""COMPUTED_VALUE"""),"NA")</f>
        <v>NA</v>
      </c>
      <c r="M142" s="31" t="str">
        <f>IFERROR(__xludf.DUMMYFUNCTION("""COMPUTED_VALUE"""),"NA")</f>
        <v>NA</v>
      </c>
      <c r="N142" s="31"/>
    </row>
    <row r="143">
      <c r="A143" s="31">
        <f>IFERROR(__xludf.DUMMYFUNCTION("""COMPUTED_VALUE"""),142.0)</f>
        <v>142</v>
      </c>
      <c r="B143" s="31" t="str">
        <f>IFERROR(__xludf.DUMMYFUNCTION("""COMPUTED_VALUE"""),"Anshu Satheesh")</f>
        <v>Anshu Satheesh</v>
      </c>
      <c r="C143" s="31" t="str">
        <f>IFERROR(__xludf.DUMMYFUNCTION("""COMPUTED_VALUE"""),"anshusatheesh986@gmail.com")</f>
        <v>anshusatheesh986@gmail.com</v>
      </c>
      <c r="D143" s="84">
        <f>IFERROR(__xludf.DUMMYFUNCTION("""COMPUTED_VALUE"""),9.747437783E9)</f>
        <v>9747437783</v>
      </c>
      <c r="E143" s="90">
        <f>IFERROR(__xludf.DUMMYFUNCTION("""COMPUTED_VALUE"""),44789.0)</f>
        <v>44789</v>
      </c>
      <c r="F143" s="31"/>
      <c r="G143" s="85" t="str">
        <f>IFERROR(__xludf.DUMMYFUNCTION("""COMPUTED_VALUE"""),"C-10, Type-4, Tower-5, NBCC, East Kidwai Nagar, South Delhi-110023")</f>
        <v>C-10, Type-4, Tower-5, NBCC, East Kidwai Nagar, South Delhi-110023</v>
      </c>
      <c r="H143" s="31" t="str">
        <f>IFERROR(__xludf.DUMMYFUNCTION("""COMPUTED_VALUE"""),"Windows laptop")</f>
        <v>Windows laptop</v>
      </c>
      <c r="I143" s="31" t="str">
        <f>IFERROR(__xludf.DUMMYFUNCTION("""COMPUTED_VALUE"""),"Management Traineer - Digital Marketing")</f>
        <v>Management Traineer - Digital Marketing</v>
      </c>
      <c r="J143" s="31"/>
      <c r="K143" s="31"/>
      <c r="L143" s="31" t="str">
        <f>IFERROR(__xludf.DUMMYFUNCTION("""COMPUTED_VALUE"""),"Dispatched")</f>
        <v>Dispatched</v>
      </c>
      <c r="M143" s="31" t="str">
        <f>IFERROR(__xludf.DUMMYFUNCTION("""COMPUTED_VALUE"""),"Delivered")</f>
        <v>Delivered</v>
      </c>
      <c r="N143" s="31"/>
    </row>
    <row r="144">
      <c r="A144" s="31">
        <f>IFERROR(__xludf.DUMMYFUNCTION("""COMPUTED_VALUE"""),143.0)</f>
        <v>143</v>
      </c>
      <c r="B144" s="31" t="str">
        <f>IFERROR(__xludf.DUMMYFUNCTION("""COMPUTED_VALUE"""),"Ayushi Goyal")</f>
        <v>Ayushi Goyal</v>
      </c>
      <c r="C144" s="31" t="str">
        <f>IFERROR(__xludf.DUMMYFUNCTION("""COMPUTED_VALUE"""),"ayushi10025@iiitd.ac.in")</f>
        <v>ayushi10025@iiitd.ac.in</v>
      </c>
      <c r="D144" s="84">
        <f>IFERROR(__xludf.DUMMYFUNCTION("""COMPUTED_VALUE"""),9.97196717E9)</f>
        <v>9971967170</v>
      </c>
      <c r="E144" s="88">
        <f>IFERROR(__xludf.DUMMYFUNCTION("""COMPUTED_VALUE"""),44795.0)</f>
        <v>44795</v>
      </c>
      <c r="F144" s="31"/>
      <c r="G144" s="85" t="str">
        <f>IFERROR(__xludf.DUMMYFUNCTION("""COMPUTED_VALUE"""),"She will pick the IT assets from office on DOJ")</f>
        <v>She will pick the IT assets from office on DOJ</v>
      </c>
      <c r="H144" s="31" t="str">
        <f>IFERROR(__xludf.DUMMYFUNCTION("""COMPUTED_VALUE"""),"Macbook 16"" + Mobile phone")</f>
        <v>Macbook 16" + Mobile phone</v>
      </c>
      <c r="I144" s="31" t="str">
        <f>IFERROR(__xludf.DUMMYFUNCTION("""COMPUTED_VALUE"""),"Engineering Manager")</f>
        <v>Engineering Manager</v>
      </c>
      <c r="J144" s="31"/>
      <c r="K144" s="31"/>
      <c r="L144" s="31" t="str">
        <f>IFERROR(__xludf.DUMMYFUNCTION("""COMPUTED_VALUE"""),"NA")</f>
        <v>NA</v>
      </c>
      <c r="M144" s="31" t="str">
        <f>IFERROR(__xludf.DUMMYFUNCTION("""COMPUTED_VALUE"""),"NA")</f>
        <v>NA</v>
      </c>
      <c r="N144" s="31"/>
    </row>
    <row r="145">
      <c r="A145" s="31">
        <f>IFERROR(__xludf.DUMMYFUNCTION("""COMPUTED_VALUE"""),144.0)</f>
        <v>144</v>
      </c>
      <c r="B145" s="31" t="str">
        <f>IFERROR(__xludf.DUMMYFUNCTION("""COMPUTED_VALUE"""),"Chandan Dwivedi")</f>
        <v>Chandan Dwivedi</v>
      </c>
      <c r="C145" s="31" t="str">
        <f>IFERROR(__xludf.DUMMYFUNCTION("""COMPUTED_VALUE"""),"chandandwivedi795@gmail.com")</f>
        <v>chandandwivedi795@gmail.com</v>
      </c>
      <c r="D145" s="84">
        <f>IFERROR(__xludf.DUMMYFUNCTION("""COMPUTED_VALUE"""),7.905848156E9)</f>
        <v>7905848156</v>
      </c>
      <c r="E145" s="88">
        <f>IFERROR(__xludf.DUMMYFUNCTION("""COMPUTED_VALUE"""),44816.0)</f>
        <v>44816</v>
      </c>
      <c r="F145" s="31"/>
      <c r="G145" s="85" t="str">
        <f>IFERROR(__xludf.DUMMYFUNCTION("""COMPUTED_VALUE"""),"N 4/33 C22, Radheshyam Bhavan, Mahamana Nagar Colony, Opposite Dhirendra Mahila PG College, Karaundi, Varanasi, Uttar Pradesh, India - 221005 Landmark: Opposite Dhirendra Mahila PG College")</f>
        <v>N 4/33 C22, Radheshyam Bhavan, Mahamana Nagar Colony, Opposite Dhirendra Mahila PG College, Karaundi, Varanasi, Uttar Pradesh, India - 221005 Landmark: Opposite Dhirendra Mahila PG College</v>
      </c>
      <c r="H145" s="31" t="str">
        <f>IFERROR(__xludf.DUMMYFUNCTION("""COMPUTED_VALUE"""),"Macbook 16""")</f>
        <v>Macbook 16"</v>
      </c>
      <c r="I145" s="31" t="str">
        <f>IFERROR(__xludf.DUMMYFUNCTION("""COMPUTED_VALUE"""),"Senior ML Engineer")</f>
        <v>Senior ML Engineer</v>
      </c>
      <c r="J145" s="31"/>
      <c r="K145" s="31"/>
      <c r="L145" s="31" t="str">
        <f>IFERROR(__xludf.DUMMYFUNCTION("""COMPUTED_VALUE"""),"Dispatched")</f>
        <v>Dispatched</v>
      </c>
      <c r="M145" s="31" t="str">
        <f>IFERROR(__xludf.DUMMYFUNCTION("""COMPUTED_VALUE"""),"Delivered")</f>
        <v>Delivered</v>
      </c>
      <c r="N145" s="31"/>
    </row>
    <row r="146">
      <c r="A146" s="31">
        <f>IFERROR(__xludf.DUMMYFUNCTION("""COMPUTED_VALUE"""),145.0)</f>
        <v>145</v>
      </c>
      <c r="B146" s="31" t="str">
        <f>IFERROR(__xludf.DUMMYFUNCTION("""COMPUTED_VALUE"""),"Khushali Bagga")</f>
        <v>Khushali Bagga</v>
      </c>
      <c r="C146" s="31" t="str">
        <f>IFERROR(__xludf.DUMMYFUNCTION("""COMPUTED_VALUE"""),"khushalibagga@gmail.com")</f>
        <v>khushalibagga@gmail.com</v>
      </c>
      <c r="D146" s="84">
        <f>IFERROR(__xludf.DUMMYFUNCTION("""COMPUTED_VALUE"""),9.871815454E9)</f>
        <v>9871815454</v>
      </c>
      <c r="E146" s="88">
        <f>IFERROR(__xludf.DUMMYFUNCTION("""COMPUTED_VALUE"""),44816.0)</f>
        <v>44816</v>
      </c>
      <c r="F146" s="31"/>
      <c r="G146" s="85" t="str">
        <f>IFERROR(__xludf.DUMMYFUNCTION("""COMPUTED_VALUE"""),"52/3 Aster, Vatika City, Sector 49, Sohna Road, Gurugram 122018")</f>
        <v>52/3 Aster, Vatika City, Sector 49, Sohna Road, Gurugram 122018</v>
      </c>
      <c r="H146" s="31" t="str">
        <f>IFERROR(__xludf.DUMMYFUNCTION("""COMPUTED_VALUE"""),"Macbook 13""")</f>
        <v>Macbook 13"</v>
      </c>
      <c r="I146" s="31" t="str">
        <f>IFERROR(__xludf.DUMMYFUNCTION("""COMPUTED_VALUE"""),"Manager - Branded Content")</f>
        <v>Manager - Branded Content</v>
      </c>
      <c r="J146" s="31"/>
      <c r="K146" s="31"/>
      <c r="L146" s="31" t="str">
        <f>IFERROR(__xludf.DUMMYFUNCTION("""COMPUTED_VALUE"""),"Dispatched")</f>
        <v>Dispatched</v>
      </c>
      <c r="M146" s="31" t="str">
        <f>IFERROR(__xludf.DUMMYFUNCTION("""COMPUTED_VALUE"""),"Delivered")</f>
        <v>Delivered</v>
      </c>
      <c r="N146" s="31"/>
    </row>
    <row r="147">
      <c r="A147" s="31">
        <f>IFERROR(__xludf.DUMMYFUNCTION("""COMPUTED_VALUE"""),146.0)</f>
        <v>146</v>
      </c>
      <c r="B147" s="31" t="str">
        <f>IFERROR(__xludf.DUMMYFUNCTION("""COMPUTED_VALUE"""),"Akash Bisht")</f>
        <v>Akash Bisht</v>
      </c>
      <c r="C147" s="86" t="str">
        <f>IFERROR(__xludf.DUMMYFUNCTION("""COMPUTED_VALUE"""),"bisht.akash781@gmail.com")</f>
        <v>bisht.akash781@gmail.com</v>
      </c>
      <c r="D147" s="84">
        <f>IFERROR(__xludf.DUMMYFUNCTION("""COMPUTED_VALUE"""),8.555009705E9)</f>
        <v>8555009705</v>
      </c>
      <c r="E147" s="88">
        <f>IFERROR(__xludf.DUMMYFUNCTION("""COMPUTED_VALUE"""),44816.0)</f>
        <v>44816</v>
      </c>
      <c r="F147" s="31"/>
      <c r="G147" s="85" t="str">
        <f>IFERROR(__xludf.DUMMYFUNCTION("""COMPUTED_VALUE"""),"B701 Omkar Vive, Kurla West, Mumbai, Maharashtra 400070")</f>
        <v>B701 Omkar Vive, Kurla West, Mumbai, Maharashtra 400070</v>
      </c>
      <c r="H147" s="31" t="str">
        <f>IFERROR(__xludf.DUMMYFUNCTION("""COMPUTED_VALUE"""),"Macbook 16"" + Mobile phone")</f>
        <v>Macbook 16" + Mobile phone</v>
      </c>
      <c r="I147" s="31" t="str">
        <f>IFERROR(__xludf.DUMMYFUNCTION("""COMPUTED_VALUE"""),"Senior SDET")</f>
        <v>Senior SDET</v>
      </c>
      <c r="J147" s="31"/>
      <c r="K147" s="31"/>
      <c r="L147" s="31" t="str">
        <f>IFERROR(__xludf.DUMMYFUNCTION("""COMPUTED_VALUE"""),"Dispatched")</f>
        <v>Dispatched</v>
      </c>
      <c r="M147" s="31" t="str">
        <f>IFERROR(__xludf.DUMMYFUNCTION("""COMPUTED_VALUE"""),"Delivered")</f>
        <v>Delivered</v>
      </c>
      <c r="N147" s="31"/>
    </row>
    <row r="148">
      <c r="A148" s="31">
        <f>IFERROR(__xludf.DUMMYFUNCTION("""COMPUTED_VALUE"""),147.0)</f>
        <v>147</v>
      </c>
      <c r="B148" s="31" t="str">
        <f>IFERROR(__xludf.DUMMYFUNCTION("""COMPUTED_VALUE"""),"Anish Joseph Abraham")</f>
        <v>Anish Joseph Abraham</v>
      </c>
      <c r="C148" s="31" t="str">
        <f>IFERROR(__xludf.DUMMYFUNCTION("""COMPUTED_VALUE"""),"anishabraham99@gmail.com")</f>
        <v>anishabraham99@gmail.com</v>
      </c>
      <c r="D148" s="84" t="str">
        <f>IFERROR(__xludf.DUMMYFUNCTION("""COMPUTED_VALUE"""),"98116 70439")</f>
        <v>98116 70439</v>
      </c>
      <c r="E148" s="88">
        <f>IFERROR(__xludf.DUMMYFUNCTION("""COMPUTED_VALUE"""),44823.0)</f>
        <v>44823</v>
      </c>
      <c r="F148" s="31"/>
      <c r="G148" s="85" t="str">
        <f>IFERROR(__xludf.DUMMYFUNCTION("""COMPUTED_VALUE"""),"He will pick up on 7th Sep from office")</f>
        <v>He will pick up on 7th Sep from office</v>
      </c>
      <c r="H148" s="31" t="str">
        <f>IFERROR(__xludf.DUMMYFUNCTION("""COMPUTED_VALUE"""),"Macbook")</f>
        <v>Macbook</v>
      </c>
      <c r="I148" s="31" t="str">
        <f>IFERROR(__xludf.DUMMYFUNCTION("""COMPUTED_VALUE"""),"Director - Design")</f>
        <v>Director - Design</v>
      </c>
      <c r="J148" s="31"/>
      <c r="K148" s="31"/>
      <c r="L148" s="31" t="str">
        <f>IFERROR(__xludf.DUMMYFUNCTION("""COMPUTED_VALUE"""),"NA")</f>
        <v>NA</v>
      </c>
      <c r="M148" s="31" t="str">
        <f>IFERROR(__xludf.DUMMYFUNCTION("""COMPUTED_VALUE"""),"NA")</f>
        <v>NA</v>
      </c>
      <c r="N148" s="31"/>
    </row>
    <row r="149">
      <c r="A149" s="31">
        <f>IFERROR(__xludf.DUMMYFUNCTION("""COMPUTED_VALUE"""),148.0)</f>
        <v>148</v>
      </c>
      <c r="B149" s="31" t="str">
        <f>IFERROR(__xludf.DUMMYFUNCTION("""COMPUTED_VALUE"""),"Adarsh Kumar")</f>
        <v>Adarsh Kumar</v>
      </c>
      <c r="C149" s="31" t="str">
        <f>IFERROR(__xludf.DUMMYFUNCTION("""COMPUTED_VALUE"""),"adarshkumar124@gmail.com")</f>
        <v>adarshkumar124@gmail.com</v>
      </c>
      <c r="D149" s="84">
        <f>IFERROR(__xludf.DUMMYFUNCTION("""COMPUTED_VALUE"""),9.012270979E9)</f>
        <v>9012270979</v>
      </c>
      <c r="E149" s="88">
        <f>IFERROR(__xludf.DUMMYFUNCTION("""COMPUTED_VALUE"""),44809.0)</f>
        <v>44809</v>
      </c>
      <c r="F149" s="31"/>
      <c r="G149" s="85" t="str">
        <f>IFERROR(__xludf.DUMMYFUNCTION("""COMPUTED_VALUE"""),"Purvanchal Royal City, Tower 9, Flat - 1733, Plot No. - GH-05 Sector, Chi V, Greater Noida, Uttar Pradesh, 201310")</f>
        <v>Purvanchal Royal City, Tower 9, Flat - 1733, Plot No. - GH-05 Sector, Chi V, Greater Noida, Uttar Pradesh, 201310</v>
      </c>
      <c r="H149" s="31" t="str">
        <f>IFERROR(__xludf.DUMMYFUNCTION("""COMPUTED_VALUE"""),"Macbook 16"" + Mobile phone")</f>
        <v>Macbook 16" + Mobile phone</v>
      </c>
      <c r="I149" s="31" t="str">
        <f>IFERROR(__xludf.DUMMYFUNCTION("""COMPUTED_VALUE"""),"Software Engineer")</f>
        <v>Software Engineer</v>
      </c>
      <c r="J149" s="31"/>
      <c r="K149" s="31"/>
      <c r="L149" s="31" t="str">
        <f>IFERROR(__xludf.DUMMYFUNCTION("""COMPUTED_VALUE"""),"Dispatched")</f>
        <v>Dispatched</v>
      </c>
      <c r="M149" s="31" t="str">
        <f>IFERROR(__xludf.DUMMYFUNCTION("""COMPUTED_VALUE"""),"Delivered")</f>
        <v>Delivered</v>
      </c>
      <c r="N149" s="31"/>
    </row>
    <row r="150">
      <c r="A150" s="31">
        <f>IFERROR(__xludf.DUMMYFUNCTION("""COMPUTED_VALUE"""),149.0)</f>
        <v>149</v>
      </c>
      <c r="B150" s="31" t="str">
        <f>IFERROR(__xludf.DUMMYFUNCTION("""COMPUTED_VALUE"""),"Sahil Narang")</f>
        <v>Sahil Narang</v>
      </c>
      <c r="C150" s="31" t="str">
        <f>IFERROR(__xludf.DUMMYFUNCTION("""COMPUTED_VALUE"""),"sah.narang@gmail.com")</f>
        <v>sah.narang@gmail.com</v>
      </c>
      <c r="D150" s="84">
        <f>IFERROR(__xludf.DUMMYFUNCTION("""COMPUTED_VALUE"""),9.888389374E9)</f>
        <v>9888389374</v>
      </c>
      <c r="E150" s="88">
        <f>IFERROR(__xludf.DUMMYFUNCTION("""COMPUTED_VALUE"""),44809.0)</f>
        <v>44809</v>
      </c>
      <c r="F150" s="31"/>
      <c r="G150" s="85" t="str">
        <f>IFERROR(__xludf.DUMMYFUNCTION("""COMPUTED_VALUE"""),"H No. 19/B, Gurbax Nagar, Opposite Amardeep Sainik School, Amritsar, Punjab, 143001")</f>
        <v>H No. 19/B, Gurbax Nagar, Opposite Amardeep Sainik School, Amritsar, Punjab, 143001</v>
      </c>
      <c r="H150" s="31" t="str">
        <f>IFERROR(__xludf.DUMMYFUNCTION("""COMPUTED_VALUE"""),"Macbook 16"" + Mobile phone")</f>
        <v>Macbook 16" + Mobile phone</v>
      </c>
      <c r="I150" s="31" t="str">
        <f>IFERROR(__xludf.DUMMYFUNCTION("""COMPUTED_VALUE"""),"Senior DevOps Engineer")</f>
        <v>Senior DevOps Engineer</v>
      </c>
      <c r="J150" s="31"/>
      <c r="K150" s="31"/>
      <c r="L150" s="31" t="str">
        <f>IFERROR(__xludf.DUMMYFUNCTION("""COMPUTED_VALUE"""),"Dispatched")</f>
        <v>Dispatched</v>
      </c>
      <c r="M150" s="31" t="str">
        <f>IFERROR(__xludf.DUMMYFUNCTION("""COMPUTED_VALUE"""),"Delivered")</f>
        <v>Delivered</v>
      </c>
      <c r="N150" s="31"/>
    </row>
    <row r="151">
      <c r="A151" s="31">
        <f>IFERROR(__xludf.DUMMYFUNCTION("""COMPUTED_VALUE"""),150.0)</f>
        <v>150</v>
      </c>
      <c r="B151" s="31" t="str">
        <f>IFERROR(__xludf.DUMMYFUNCTION("""COMPUTED_VALUE"""),"Vedant Sharma")</f>
        <v>Vedant Sharma</v>
      </c>
      <c r="C151" s="31" t="str">
        <f>IFERROR(__xludf.DUMMYFUNCTION("""COMPUTED_VALUE"""),"2009vedant@gmail.com")</f>
        <v>2009vedant@gmail.com</v>
      </c>
      <c r="D151" s="84">
        <f>IFERROR(__xludf.DUMMYFUNCTION("""COMPUTED_VALUE"""),9.599165055E9)</f>
        <v>9599165055</v>
      </c>
      <c r="E151" s="88">
        <f>IFERROR(__xludf.DUMMYFUNCTION("""COMPUTED_VALUE"""),44811.0)</f>
        <v>44811</v>
      </c>
      <c r="F151" s="31"/>
      <c r="G151" s="85" t="str">
        <f>IFERROR(__xludf.DUMMYFUNCTION("""COMPUTED_VALUE"""),"He will pick up laptop from office on his DOJ")</f>
        <v>He will pick up laptop from office on his DOJ</v>
      </c>
      <c r="H151" s="31"/>
      <c r="I151" s="31" t="str">
        <f>IFERROR(__xludf.DUMMYFUNCTION("""COMPUTED_VALUE"""),"Senior Executive - Social Media")</f>
        <v>Senior Executive - Social Media</v>
      </c>
      <c r="J151" s="31"/>
      <c r="K151" s="31"/>
      <c r="L151" s="31" t="str">
        <f>IFERROR(__xludf.DUMMYFUNCTION("""COMPUTED_VALUE"""),"NA")</f>
        <v>NA</v>
      </c>
      <c r="M151" s="31" t="str">
        <f>IFERROR(__xludf.DUMMYFUNCTION("""COMPUTED_VALUE"""),"NA")</f>
        <v>NA</v>
      </c>
      <c r="N151" s="31"/>
    </row>
    <row r="152">
      <c r="A152" s="31">
        <f>IFERROR(__xludf.DUMMYFUNCTION("""COMPUTED_VALUE"""),151.0)</f>
        <v>151</v>
      </c>
      <c r="B152" s="31" t="str">
        <f>IFERROR(__xludf.DUMMYFUNCTION("""COMPUTED_VALUE"""),"Sonam Rathore")</f>
        <v>Sonam Rathore</v>
      </c>
      <c r="C152" s="31" t="str">
        <f>IFERROR(__xludf.DUMMYFUNCTION("""COMPUTED_VALUE"""),"sonamrathore0484@gmail.com")</f>
        <v>sonamrathore0484@gmail.com</v>
      </c>
      <c r="D152" s="84">
        <f>IFERROR(__xludf.DUMMYFUNCTION("""COMPUTED_VALUE"""),9.174056702E9)</f>
        <v>9174056702</v>
      </c>
      <c r="E152" s="88">
        <f>IFERROR(__xludf.DUMMYFUNCTION("""COMPUTED_VALUE"""),44812.0)</f>
        <v>44812</v>
      </c>
      <c r="F152" s="31"/>
      <c r="G152" s="85" t="str">
        <f>IFERROR(__xludf.DUMMYFUNCTION("""COMPUTED_VALUE"""),"Shubhanjali Puram, Near by Holi child public school, Maharaj Pura, Deen dayal Nagar, Gwalior 474020")</f>
        <v>Shubhanjali Puram, Near by Holi child public school, Maharaj Pura, Deen dayal Nagar, Gwalior 474020</v>
      </c>
      <c r="H152" s="31"/>
      <c r="I152" s="31" t="str">
        <f>IFERROR(__xludf.DUMMYFUNCTION("""COMPUTED_VALUE"""),"Quality Assurance Engineer 1")</f>
        <v>Quality Assurance Engineer 1</v>
      </c>
      <c r="J152" s="31"/>
      <c r="K152" s="31"/>
      <c r="L152" s="31" t="str">
        <f>IFERROR(__xludf.DUMMYFUNCTION("""COMPUTED_VALUE"""),"Dispatched")</f>
        <v>Dispatched</v>
      </c>
      <c r="M152" s="31" t="str">
        <f>IFERROR(__xludf.DUMMYFUNCTION("""COMPUTED_VALUE"""),"Delivered")</f>
        <v>Delivered</v>
      </c>
      <c r="N152" s="31"/>
    </row>
    <row r="153">
      <c r="A153" s="31">
        <f>IFERROR(__xludf.DUMMYFUNCTION("""COMPUTED_VALUE"""),152.0)</f>
        <v>152</v>
      </c>
      <c r="B153" s="31" t="str">
        <f>IFERROR(__xludf.DUMMYFUNCTION("""COMPUTED_VALUE"""),"Amit Arora")</f>
        <v>Amit Arora</v>
      </c>
      <c r="C153" s="31" t="str">
        <f>IFERROR(__xludf.DUMMYFUNCTION("""COMPUTED_VALUE"""),"amitarora_1@yahoo.com")</f>
        <v>amitarora_1@yahoo.com</v>
      </c>
      <c r="D153" s="84">
        <f>IFERROR(__xludf.DUMMYFUNCTION("""COMPUTED_VALUE"""),9.654454426E9)</f>
        <v>9654454426</v>
      </c>
      <c r="E153" s="88">
        <f>IFERROR(__xludf.DUMMYFUNCTION("""COMPUTED_VALUE"""),44812.0)</f>
        <v>44812</v>
      </c>
      <c r="F153" s="31"/>
      <c r="G153" s="85" t="str">
        <f>IFERROR(__xludf.DUMMYFUNCTION("""COMPUTED_VALUE"""),"He will pick up laptop from office on his DOJ")</f>
        <v>He will pick up laptop from office on his DOJ</v>
      </c>
      <c r="H153" s="31"/>
      <c r="I153" s="31" t="str">
        <f>IFERROR(__xludf.DUMMYFUNCTION("""COMPUTED_VALUE"""),"Assistant Manager - Admin")</f>
        <v>Assistant Manager - Admin</v>
      </c>
      <c r="J153" s="31"/>
      <c r="K153" s="31"/>
      <c r="L153" s="31" t="str">
        <f>IFERROR(__xludf.DUMMYFUNCTION("""COMPUTED_VALUE"""),"NA")</f>
        <v>NA</v>
      </c>
      <c r="M153" s="31" t="str">
        <f>IFERROR(__xludf.DUMMYFUNCTION("""COMPUTED_VALUE"""),"NA")</f>
        <v>NA</v>
      </c>
      <c r="N153" s="31"/>
    </row>
    <row r="154">
      <c r="A154" s="31">
        <f>IFERROR(__xludf.DUMMYFUNCTION("""COMPUTED_VALUE"""),153.0)</f>
        <v>153</v>
      </c>
      <c r="B154" s="31" t="str">
        <f>IFERROR(__xludf.DUMMYFUNCTION("""COMPUTED_VALUE"""),"Sunil Gupta")</f>
        <v>Sunil Gupta</v>
      </c>
      <c r="C154" s="31" t="str">
        <f>IFERROR(__xludf.DUMMYFUNCTION("""COMPUTED_VALUE"""),"1964sunil.gupta@gmail.com")</f>
        <v>1964sunil.gupta@gmail.com</v>
      </c>
      <c r="D154" s="84" t="str">
        <f>IFERROR(__xludf.DUMMYFUNCTION("""COMPUTED_VALUE"""),"98114 19133")</f>
        <v>98114 19133</v>
      </c>
      <c r="E154" s="88">
        <f>IFERROR(__xludf.DUMMYFUNCTION("""COMPUTED_VALUE"""),44820.0)</f>
        <v>44820</v>
      </c>
      <c r="F154" s="31"/>
      <c r="G154" s="85" t="str">
        <f>IFERROR(__xludf.DUMMYFUNCTION("""COMPUTED_VALUE"""),"He will pick laptop from office on 13th Sep")</f>
        <v>He will pick laptop from office on 13th Sep</v>
      </c>
      <c r="H154" s="31" t="str">
        <f>IFERROR(__xludf.DUMMYFUNCTION("""COMPUTED_VALUE"""),"Macbook Pro")</f>
        <v>Macbook Pro</v>
      </c>
      <c r="I154" s="31" t="str">
        <f>IFERROR(__xludf.DUMMYFUNCTION("""COMPUTED_VALUE"""),"Director - Finance &amp; Controls")</f>
        <v>Director - Finance &amp; Controls</v>
      </c>
      <c r="J154" s="31"/>
      <c r="K154" s="31"/>
      <c r="L154" s="31" t="str">
        <f>IFERROR(__xludf.DUMMYFUNCTION("""COMPUTED_VALUE"""),"NA")</f>
        <v>NA</v>
      </c>
      <c r="M154" s="31" t="str">
        <f>IFERROR(__xludf.DUMMYFUNCTION("""COMPUTED_VALUE"""),"NA")</f>
        <v>NA</v>
      </c>
      <c r="N154" s="31"/>
    </row>
    <row r="155">
      <c r="A155" s="31">
        <f>IFERROR(__xludf.DUMMYFUNCTION("""COMPUTED_VALUE"""),154.0)</f>
        <v>154</v>
      </c>
      <c r="B155" s="31" t="str">
        <f>IFERROR(__xludf.DUMMYFUNCTION("""COMPUTED_VALUE"""),"Ashmita Dwivedi")</f>
        <v>Ashmita Dwivedi</v>
      </c>
      <c r="C155" s="31" t="str">
        <f>IFERROR(__xludf.DUMMYFUNCTION("""COMPUTED_VALUE"""),"dwivedi.ashmita@gmail.com")</f>
        <v>dwivedi.ashmita@gmail.com</v>
      </c>
      <c r="D155" s="84">
        <f>IFERROR(__xludf.DUMMYFUNCTION("""COMPUTED_VALUE"""),9.315808844E9)</f>
        <v>9315808844</v>
      </c>
      <c r="E155" s="88">
        <f>IFERROR(__xludf.DUMMYFUNCTION("""COMPUTED_VALUE"""),44827.0)</f>
        <v>44827</v>
      </c>
      <c r="F155" s="31"/>
      <c r="G155" s="85" t="str">
        <f>IFERROR(__xludf.DUMMYFUNCTION("""COMPUTED_VALUE"""),"C-13, Ground Floor, Sector 122, Noida,U.P. 201307")</f>
        <v>C-13, Ground Floor, Sector 122, Noida,U.P. 201307</v>
      </c>
      <c r="H155" s="31"/>
      <c r="I155" s="31" t="str">
        <f>IFERROR(__xludf.DUMMYFUNCTION("""COMPUTED_VALUE"""),"Executive - Customer Experience")</f>
        <v>Executive - Customer Experience</v>
      </c>
      <c r="J155" s="31"/>
      <c r="K155" s="31"/>
      <c r="L155" s="31" t="str">
        <f>IFERROR(__xludf.DUMMYFUNCTION("""COMPUTED_VALUE"""),"Dispatched")</f>
        <v>Dispatched</v>
      </c>
      <c r="M155" s="31" t="str">
        <f>IFERROR(__xludf.DUMMYFUNCTION("""COMPUTED_VALUE"""),"Delivered")</f>
        <v>Delivered</v>
      </c>
      <c r="N155" s="31"/>
    </row>
    <row r="156">
      <c r="A156" s="31">
        <f>IFERROR(__xludf.DUMMYFUNCTION("""COMPUTED_VALUE"""),155.0)</f>
        <v>155</v>
      </c>
      <c r="B156" s="31" t="str">
        <f>IFERROR(__xludf.DUMMYFUNCTION("""COMPUTED_VALUE"""),"Nandeshwar Gupta")</f>
        <v>Nandeshwar Gupta</v>
      </c>
      <c r="C156" s="31" t="str">
        <f>IFERROR(__xludf.DUMMYFUNCTION("""COMPUTED_VALUE"""),"guptanandeshwar553@gmail.com")</f>
        <v>guptanandeshwar553@gmail.com</v>
      </c>
      <c r="D156" s="84">
        <f>IFERROR(__xludf.DUMMYFUNCTION("""COMPUTED_VALUE"""),7.011825826E9)</f>
        <v>7011825826</v>
      </c>
      <c r="E156" s="88">
        <f>IFERROR(__xludf.DUMMYFUNCTION("""COMPUTED_VALUE"""),44825.0)</f>
        <v>44825</v>
      </c>
      <c r="F156" s="31"/>
      <c r="G156" s="85" t="str">
        <f>IFERROR(__xludf.DUMMYFUNCTION("""COMPUTED_VALUE"""),"He will pick up laptop from office on his DOJ")</f>
        <v>He will pick up laptop from office on his DOJ</v>
      </c>
      <c r="H156" s="31" t="str">
        <f>IFERROR(__xludf.DUMMYFUNCTION("""COMPUTED_VALUE"""),"Macbook 16""")</f>
        <v>Macbook 16"</v>
      </c>
      <c r="I156" s="31" t="str">
        <f>IFERROR(__xludf.DUMMYFUNCTION("""COMPUTED_VALUE"""),"Senior ML Engineer")</f>
        <v>Senior ML Engineer</v>
      </c>
      <c r="J156" s="31"/>
      <c r="K156" s="31"/>
      <c r="L156" s="31" t="str">
        <f>IFERROR(__xludf.DUMMYFUNCTION("""COMPUTED_VALUE"""),"NA")</f>
        <v>NA</v>
      </c>
      <c r="M156" s="31" t="str">
        <f>IFERROR(__xludf.DUMMYFUNCTION("""COMPUTED_VALUE"""),"NA")</f>
        <v>NA</v>
      </c>
      <c r="N156" s="31"/>
    </row>
    <row r="157">
      <c r="A157" s="31">
        <f>IFERROR(__xludf.DUMMYFUNCTION("""COMPUTED_VALUE"""),156.0)</f>
        <v>156</v>
      </c>
      <c r="B157" s="31" t="str">
        <f>IFERROR(__xludf.DUMMYFUNCTION("""COMPUTED_VALUE"""),"Anshul Mittal")</f>
        <v>Anshul Mittal</v>
      </c>
      <c r="C157" s="31" t="str">
        <f>IFERROR(__xludf.DUMMYFUNCTION("""COMPUTED_VALUE"""),"mittal.anshul87@gmail.com")</f>
        <v>mittal.anshul87@gmail.com</v>
      </c>
      <c r="D157" s="84" t="str">
        <f>IFERROR(__xludf.DUMMYFUNCTION("""COMPUTED_VALUE"""),"80105-83231")</f>
        <v>80105-83231</v>
      </c>
      <c r="E157" s="88">
        <f>IFERROR(__xludf.DUMMYFUNCTION("""COMPUTED_VALUE"""),44844.0)</f>
        <v>44844</v>
      </c>
      <c r="F157" s="31"/>
      <c r="G157" s="85" t="str">
        <f>IFERROR(__xludf.DUMMYFUNCTION("""COMPUTED_VALUE"""),"96, Teachers Colony, near Durga mandir, Govind Garh, Dehradun- 248001")</f>
        <v>96, Teachers Colony, near Durga mandir, Govind Garh, Dehradun- 248001</v>
      </c>
      <c r="H157" s="31" t="str">
        <f>IFERROR(__xludf.DUMMYFUNCTION("""COMPUTED_VALUE"""),"Macbook 16"" with 16gb RAM")</f>
        <v>Macbook 16" with 16gb RAM</v>
      </c>
      <c r="I157" s="31" t="str">
        <f>IFERROR(__xludf.DUMMYFUNCTION("""COMPUTED_VALUE"""),"Engineering Manager- Android")</f>
        <v>Engineering Manager- Android</v>
      </c>
      <c r="J157" s="31"/>
      <c r="K157" s="31"/>
      <c r="L157" s="31" t="str">
        <f>IFERROR(__xludf.DUMMYFUNCTION("""COMPUTED_VALUE"""),"Dispatched")</f>
        <v>Dispatched</v>
      </c>
      <c r="M157" s="31" t="str">
        <f>IFERROR(__xludf.DUMMYFUNCTION("""COMPUTED_VALUE"""),"Delivered")</f>
        <v>Delivered</v>
      </c>
      <c r="N157" s="31"/>
    </row>
    <row r="158">
      <c r="A158" s="31">
        <f>IFERROR(__xludf.DUMMYFUNCTION("""COMPUTED_VALUE"""),157.0)</f>
        <v>157</v>
      </c>
      <c r="B158" s="31" t="str">
        <f>IFERROR(__xludf.DUMMYFUNCTION("""COMPUTED_VALUE"""),"Aatmiy Tomar")</f>
        <v>Aatmiy Tomar</v>
      </c>
      <c r="C158" s="31" t="str">
        <f>IFERROR(__xludf.DUMMYFUNCTION("""COMPUTED_VALUE"""),"aatmiytomar94@gmail.com")</f>
        <v>aatmiytomar94@gmail.com</v>
      </c>
      <c r="D158" s="84">
        <f>IFERROR(__xludf.DUMMYFUNCTION("""COMPUTED_VALUE"""),9.773975866E9)</f>
        <v>9773975866</v>
      </c>
      <c r="E158" s="88">
        <f>IFERROR(__xludf.DUMMYFUNCTION("""COMPUTED_VALUE"""),44827.0)</f>
        <v>44827</v>
      </c>
      <c r="F158" s="31"/>
      <c r="G158" s="85" t="str">
        <f>IFERROR(__xludf.DUMMYFUNCTION("""COMPUTED_VALUE"""),"68B, Jindal Colony, Samalkha, New Delhi - 110037")</f>
        <v>68B, Jindal Colony, Samalkha, New Delhi - 110037</v>
      </c>
      <c r="H158" s="31" t="str">
        <f>IFERROR(__xludf.DUMMYFUNCTION("""COMPUTED_VALUE"""),"Windows laptop")</f>
        <v>Windows laptop</v>
      </c>
      <c r="I158" s="31" t="str">
        <f>IFERROR(__xludf.DUMMYFUNCTION("""COMPUTED_VALUE"""),"Executive - Customer Experience")</f>
        <v>Executive - Customer Experience</v>
      </c>
      <c r="J158" s="31"/>
      <c r="K158" s="31"/>
      <c r="L158" s="31" t="str">
        <f>IFERROR(__xludf.DUMMYFUNCTION("""COMPUTED_VALUE"""),"Dispatched")</f>
        <v>Dispatched</v>
      </c>
      <c r="M158" s="31" t="str">
        <f>IFERROR(__xludf.DUMMYFUNCTION("""COMPUTED_VALUE"""),"Delivered")</f>
        <v>Delivered</v>
      </c>
      <c r="N158" s="31"/>
    </row>
    <row r="159">
      <c r="A159" s="31">
        <f>IFERROR(__xludf.DUMMYFUNCTION("""COMPUTED_VALUE"""),158.0)</f>
        <v>158</v>
      </c>
      <c r="B159" s="31" t="str">
        <f>IFERROR(__xludf.DUMMYFUNCTION("""COMPUTED_VALUE"""),"Suresh Gupta")</f>
        <v>Suresh Gupta</v>
      </c>
      <c r="C159" s="31" t="str">
        <f>IFERROR(__xludf.DUMMYFUNCTION("""COMPUTED_VALUE"""),"skgtester06@gmail.com")</f>
        <v>skgtester06@gmail.com</v>
      </c>
      <c r="D159" s="84">
        <f>IFERROR(__xludf.DUMMYFUNCTION("""COMPUTED_VALUE"""),9.935872955E9)</f>
        <v>9935872955</v>
      </c>
      <c r="E159" s="91">
        <f>IFERROR(__xludf.DUMMYFUNCTION("""COMPUTED_VALUE"""),44837.0)</f>
        <v>44837</v>
      </c>
      <c r="F159" s="31"/>
      <c r="G159" s="85" t="str">
        <f>IFERROR(__xludf.DUMMYFUNCTION("""COMPUTED_VALUE"""),"Siyarhan, Post -mondh, Sant Ravidas Nagar Bhadohi-221406; Landmark-Mondh Railway Crossing")</f>
        <v>Siyarhan, Post -mondh, Sant Ravidas Nagar Bhadohi-221406; Landmark-Mondh Railway Crossing</v>
      </c>
      <c r="H159" s="31"/>
      <c r="I159" s="31" t="str">
        <f>IFERROR(__xludf.DUMMYFUNCTION("""COMPUTED_VALUE"""),"Quality Assurance Engineer 1")</f>
        <v>Quality Assurance Engineer 1</v>
      </c>
      <c r="J159" s="31"/>
      <c r="K159" s="31"/>
      <c r="L159" s="31" t="str">
        <f>IFERROR(__xludf.DUMMYFUNCTION("""COMPUTED_VALUE"""),"Dispatched")</f>
        <v>Dispatched</v>
      </c>
      <c r="M159" s="31"/>
      <c r="N159" s="31"/>
    </row>
    <row r="160">
      <c r="A160" s="31">
        <f>IFERROR(__xludf.DUMMYFUNCTION("""COMPUTED_VALUE"""),159.0)</f>
        <v>159</v>
      </c>
      <c r="B160" s="31" t="str">
        <f>IFERROR(__xludf.DUMMYFUNCTION("""COMPUTED_VALUE"""),"Wajid Ali Ansari")</f>
        <v>Wajid Ali Ansari</v>
      </c>
      <c r="C160" s="86" t="str">
        <f>IFERROR(__xludf.DUMMYFUNCTION("""COMPUTED_VALUE"""),"wajidzac123445@gmail.com")</f>
        <v>wajidzac123445@gmail.com</v>
      </c>
      <c r="D160" s="84" t="str">
        <f>IFERROR(__xludf.DUMMYFUNCTION("""COMPUTED_VALUE"""),"97185 02769")</f>
        <v>97185 02769</v>
      </c>
      <c r="E160" s="91">
        <f>IFERROR(__xludf.DUMMYFUNCTION("""COMPUTED_VALUE"""),44837.0)</f>
        <v>44837</v>
      </c>
      <c r="F160" s="31"/>
      <c r="G160" s="85"/>
      <c r="H160" s="31" t="str">
        <f>IFERROR(__xludf.DUMMYFUNCTION("""COMPUTED_VALUE"""),"Windows laptop")</f>
        <v>Windows laptop</v>
      </c>
      <c r="I160" s="31" t="str">
        <f>IFERROR(__xludf.DUMMYFUNCTION("""COMPUTED_VALUE"""),"Management Trainee - Digital Marketing")</f>
        <v>Management Trainee - Digital Marketing</v>
      </c>
      <c r="J160" s="31"/>
      <c r="K160" s="31"/>
      <c r="L160" s="31"/>
      <c r="M160" s="31"/>
      <c r="N160" s="31"/>
    </row>
    <row r="161">
      <c r="A161" s="31">
        <f>IFERROR(__xludf.DUMMYFUNCTION("""COMPUTED_VALUE"""),200.0)</f>
        <v>200</v>
      </c>
      <c r="B161" s="31" t="str">
        <f>IFERROR(__xludf.DUMMYFUNCTION("""COMPUTED_VALUE"""),"Pratik Aswal")</f>
        <v>Pratik Aswal</v>
      </c>
      <c r="C161" s="31" t="str">
        <f>IFERROR(__xludf.DUMMYFUNCTION("""COMPUTED_VALUE"""),"pratikaswal@gmail.com")</f>
        <v>pratikaswal@gmail.com</v>
      </c>
      <c r="D161" s="84" t="str">
        <f>IFERROR(__xludf.DUMMYFUNCTION("""COMPUTED_VALUE"""),"81269 31718")</f>
        <v>81269 31718</v>
      </c>
      <c r="E161" s="91">
        <f>IFERROR(__xludf.DUMMYFUNCTION("""COMPUTED_VALUE"""),44837.0)</f>
        <v>44837</v>
      </c>
      <c r="F161" s="31"/>
      <c r="G161" s="85"/>
      <c r="H161" s="31" t="str">
        <f>IFERROR(__xludf.DUMMYFUNCTION("""COMPUTED_VALUE"""),"Windows laptop")</f>
        <v>Windows laptop</v>
      </c>
      <c r="I161" s="31" t="str">
        <f>IFERROR(__xludf.DUMMYFUNCTION("""COMPUTED_VALUE"""),"Senior Executive - Branded Content")</f>
        <v>Senior Executive - Branded Content</v>
      </c>
      <c r="J161" s="31"/>
      <c r="K161" s="31"/>
      <c r="L161" s="31"/>
      <c r="M161" s="31"/>
      <c r="N161" s="31"/>
    </row>
    <row r="162">
      <c r="A162" s="31">
        <f>IFERROR(__xludf.DUMMYFUNCTION("""COMPUTED_VALUE"""),201.0)</f>
        <v>201</v>
      </c>
      <c r="B162" s="31" t="str">
        <f>IFERROR(__xludf.DUMMYFUNCTION("""COMPUTED_VALUE"""),"Devagya Kumar ")</f>
        <v>Devagya Kumar </v>
      </c>
      <c r="C162" s="86" t="str">
        <f>IFERROR(__xludf.DUMMYFUNCTION("""COMPUTED_VALUE"""),"devagya33@gmail.com")</f>
        <v>devagya33@gmail.com</v>
      </c>
      <c r="D162" s="84">
        <f>IFERROR(__xludf.DUMMYFUNCTION("""COMPUTED_VALUE"""),8.439887943E9)</f>
        <v>8439887943</v>
      </c>
      <c r="E162" s="91">
        <f>IFERROR(__xludf.DUMMYFUNCTION("""COMPUTED_VALUE"""),44844.0)</f>
        <v>44844</v>
      </c>
      <c r="F162" s="31"/>
      <c r="G162" s="85"/>
      <c r="H162" s="31" t="str">
        <f>IFERROR(__xludf.DUMMYFUNCTION("""COMPUTED_VALUE"""),"Macbook 13""")</f>
        <v>Macbook 13"</v>
      </c>
      <c r="I162" s="31" t="str">
        <f>IFERROR(__xludf.DUMMYFUNCTION("""COMPUTED_VALUE"""),"Product Manager ")</f>
        <v>Product Manager </v>
      </c>
      <c r="J162" s="31"/>
      <c r="K162" s="31"/>
      <c r="L162" s="31"/>
      <c r="M162" s="31"/>
      <c r="N162" s="31"/>
    </row>
    <row r="163">
      <c r="A163" s="31">
        <f>IFERROR(__xludf.DUMMYFUNCTION("""COMPUTED_VALUE"""),202.0)</f>
        <v>202</v>
      </c>
      <c r="B163" s="31" t="str">
        <f>IFERROR(__xludf.DUMMYFUNCTION("""COMPUTED_VALUE"""),"Sruja Gangolu")</f>
        <v>Sruja Gangolu</v>
      </c>
      <c r="C163" s="31" t="str">
        <f>IFERROR(__xludf.DUMMYFUNCTION("""COMPUTED_VALUE"""),"gangolus2020@email.iimcal.ac.in")</f>
        <v>gangolus2020@email.iimcal.ac.in</v>
      </c>
      <c r="D163" s="84">
        <f>IFERROR(__xludf.DUMMYFUNCTION("""COMPUTED_VALUE"""),7.797256112E9)</f>
        <v>7797256112</v>
      </c>
      <c r="E163" s="91">
        <f>IFERROR(__xludf.DUMMYFUNCTION("""COMPUTED_VALUE"""),44844.0)</f>
        <v>44844</v>
      </c>
      <c r="F163" s="31"/>
      <c r="G163" s="85" t="str">
        <f>IFERROR(__xludf.DUMMYFUNCTION("""COMPUTED_VALUE"""),"B-103, Runwal Elina, Near Mehra Industrial Estate, Sakinaka, Andheri East, Mumbai - 400072")</f>
        <v>B-103, Runwal Elina, Near Mehra Industrial Estate, Sakinaka, Andheri East, Mumbai - 400072</v>
      </c>
      <c r="H163" s="31" t="str">
        <f>IFERROR(__xludf.DUMMYFUNCTION("""COMPUTED_VALUE"""),"Mac")</f>
        <v>Mac</v>
      </c>
      <c r="I163" s="31" t="str">
        <f>IFERROR(__xludf.DUMMYFUNCTION("""COMPUTED_VALUE"""),"Product Manager ")</f>
        <v>Product Manager </v>
      </c>
      <c r="J163" s="31"/>
      <c r="K163" s="31"/>
      <c r="L163" s="31"/>
      <c r="M163" s="31"/>
      <c r="N163" s="31" t="str">
        <f>IFERROR(__xludf.DUMMYFUNCTION("""COMPUTED_VALUE"""),"Offer Drop")</f>
        <v>Offer Drop</v>
      </c>
    </row>
    <row r="164">
      <c r="A164" s="31">
        <f>IFERROR(__xludf.DUMMYFUNCTION("""COMPUTED_VALUE"""),203.0)</f>
        <v>203</v>
      </c>
      <c r="B164" s="31" t="str">
        <f>IFERROR(__xludf.DUMMYFUNCTION("""COMPUTED_VALUE"""),"Archit Kumar")</f>
        <v>Archit Kumar</v>
      </c>
      <c r="C164" s="31" t="str">
        <f>IFERROR(__xludf.DUMMYFUNCTION("""COMPUTED_VALUE"""),"architkumar07@gmail.com")</f>
        <v>architkumar07@gmail.com</v>
      </c>
      <c r="D164" s="84">
        <f>IFERROR(__xludf.DUMMYFUNCTION("""COMPUTED_VALUE"""),9.667971474E9)</f>
        <v>9667971474</v>
      </c>
      <c r="E164" s="91">
        <f>IFERROR(__xludf.DUMMYFUNCTION("""COMPUTED_VALUE"""),44844.0)</f>
        <v>44844</v>
      </c>
      <c r="F164" s="31"/>
      <c r="G164" s="85" t="str">
        <f>IFERROR(__xludf.DUMMYFUNCTION("""COMPUTED_VALUE"""),"B-156, nirman vihar first floor, opp to v3s mall delhi-110092")</f>
        <v>B-156, nirman vihar first floor, opp to v3s mall delhi-110092</v>
      </c>
      <c r="H164" s="31" t="str">
        <f>IFERROR(__xludf.DUMMYFUNCTION("""COMPUTED_VALUE"""),"Windows laptop")</f>
        <v>Windows laptop</v>
      </c>
      <c r="I164" s="31" t="str">
        <f>IFERROR(__xludf.DUMMYFUNCTION("""COMPUTED_VALUE"""),"Executive - Customer Experience")</f>
        <v>Executive - Customer Experience</v>
      </c>
      <c r="J164" s="31"/>
      <c r="K164" s="31"/>
      <c r="L164" s="31"/>
      <c r="M164" s="31"/>
      <c r="N164" s="31" t="str">
        <f>IFERROR(__xludf.DUMMYFUNCTION("""COMPUTED_VALUE"""),"Offer Drop")</f>
        <v>Offer Drop</v>
      </c>
    </row>
    <row r="165">
      <c r="A165" s="31">
        <f>IFERROR(__xludf.DUMMYFUNCTION("""COMPUTED_VALUE"""),204.0)</f>
        <v>204</v>
      </c>
      <c r="B165" s="31" t="str">
        <f>IFERROR(__xludf.DUMMYFUNCTION("""COMPUTED_VALUE"""),"Nikhil Kumar Jha")</f>
        <v>Nikhil Kumar Jha</v>
      </c>
      <c r="C165" s="31" t="str">
        <f>IFERROR(__xludf.DUMMYFUNCTION("""COMPUTED_VALUE"""),"nikhiljha30@gmail.com")</f>
        <v>nikhiljha30@gmail.com</v>
      </c>
      <c r="D165" s="84">
        <f>IFERROR(__xludf.DUMMYFUNCTION("""COMPUTED_VALUE"""),8.100689691E9)</f>
        <v>8100689691</v>
      </c>
      <c r="E165" s="91">
        <f>IFERROR(__xludf.DUMMYFUNCTION("""COMPUTED_VALUE"""),44851.0)</f>
        <v>44851</v>
      </c>
      <c r="F165" s="31"/>
      <c r="G165" s="85" t="str">
        <f>IFERROR(__xludf.DUMMYFUNCTION("""COMPUTED_VALUE"""),"WZ-120, Palam Village, Near Punjab National Bank, New Delhi Pincode: 110045")</f>
        <v>WZ-120, Palam Village, Near Punjab National Bank, New Delhi Pincode: 110045</v>
      </c>
      <c r="H165" s="31" t="str">
        <f>IFERROR(__xludf.DUMMYFUNCTION("""COMPUTED_VALUE"""),"Mac ")</f>
        <v>Mac </v>
      </c>
      <c r="I165" s="31" t="str">
        <f>IFERROR(__xludf.DUMMYFUNCTION("""COMPUTED_VALUE"""),"Data Scientist")</f>
        <v>Data Scientist</v>
      </c>
      <c r="J165" s="31"/>
      <c r="K165" s="31"/>
      <c r="L165" s="31"/>
      <c r="M165" s="31"/>
      <c r="N165" s="31"/>
    </row>
    <row r="166">
      <c r="A166" s="31">
        <f>IFERROR(__xludf.DUMMYFUNCTION("""COMPUTED_VALUE"""),205.0)</f>
        <v>205</v>
      </c>
      <c r="B166" s="31" t="str">
        <f>IFERROR(__xludf.DUMMYFUNCTION("""COMPUTED_VALUE"""),"Garima Bothra")</f>
        <v>Garima Bothra</v>
      </c>
      <c r="C166" s="86" t="str">
        <f>IFERROR(__xludf.DUMMYFUNCTION("""COMPUTED_VALUE"""),"bothra.garima@gmail.com")</f>
        <v>bothra.garima@gmail.com</v>
      </c>
      <c r="D166" s="84">
        <f>IFERROR(__xludf.DUMMYFUNCTION("""COMPUTED_VALUE"""),9.560975269E9)</f>
        <v>9560975269</v>
      </c>
      <c r="E166" s="91">
        <f>IFERROR(__xludf.DUMMYFUNCTION("""COMPUTED_VALUE"""),44851.0)</f>
        <v>44851</v>
      </c>
      <c r="F166" s="31"/>
      <c r="G166" s="85"/>
      <c r="H166" s="31"/>
      <c r="I166" s="31" t="str">
        <f>IFERROR(__xludf.DUMMYFUNCTION("""COMPUTED_VALUE"""),"Business Finance Controller")</f>
        <v>Business Finance Controller</v>
      </c>
      <c r="J166" s="31"/>
      <c r="K166" s="31"/>
      <c r="L166" s="31"/>
      <c r="M166" s="31"/>
      <c r="N166" s="31"/>
    </row>
    <row r="167">
      <c r="A167" s="31">
        <f>IFERROR(__xludf.DUMMYFUNCTION("""COMPUTED_VALUE"""),206.0)</f>
        <v>206</v>
      </c>
      <c r="B167" s="31" t="str">
        <f>IFERROR(__xludf.DUMMYFUNCTION("""COMPUTED_VALUE"""),"Nishchay Singh")</f>
        <v>Nishchay Singh</v>
      </c>
      <c r="C167" s="31" t="str">
        <f>IFERROR(__xludf.DUMMYFUNCTION("""COMPUTED_VALUE"""),"nishchay.singh42@gmail.com")</f>
        <v>nishchay.singh42@gmail.com</v>
      </c>
      <c r="D167" s="84">
        <f>IFERROR(__xludf.DUMMYFUNCTION("""COMPUTED_VALUE"""),8.050725148E9)</f>
        <v>8050725148</v>
      </c>
      <c r="E167" s="91">
        <f>IFERROR(__xludf.DUMMYFUNCTION("""COMPUTED_VALUE"""),44853.0)</f>
        <v>44853</v>
      </c>
      <c r="F167" s="31"/>
      <c r="G167" s="85" t="str">
        <f>IFERROR(__xludf.DUMMYFUNCTION("""COMPUTED_VALUE"""),"B-132 Pilots Court, Essel Tower Rd, Sector 28, Gurugram, Haryana 122002, India")</f>
        <v>B-132 Pilots Court, Essel Tower Rd, Sector 28, Gurugram, Haryana 122002, India</v>
      </c>
      <c r="H167" s="31" t="str">
        <f>IFERROR(__xludf.DUMMYFUNCTION("""COMPUTED_VALUE"""),"Mac")</f>
        <v>Mac</v>
      </c>
      <c r="I167" s="31" t="str">
        <f>IFERROR(__xludf.DUMMYFUNCTION("""COMPUTED_VALUE"""),"Product Manager ")</f>
        <v>Product Manager </v>
      </c>
      <c r="J167" s="31"/>
      <c r="K167" s="31"/>
      <c r="L167" s="31"/>
      <c r="M167" s="31"/>
      <c r="N167" s="31"/>
    </row>
    <row r="168">
      <c r="A168" s="31">
        <f>IFERROR(__xludf.DUMMYFUNCTION("""COMPUTED_VALUE"""),207.0)</f>
        <v>207</v>
      </c>
      <c r="B168" s="31" t="str">
        <f>IFERROR(__xludf.DUMMYFUNCTION("""COMPUTED_VALUE"""),"Ankit Tiwari")</f>
        <v>Ankit Tiwari</v>
      </c>
      <c r="C168" s="31" t="str">
        <f>IFERROR(__xludf.DUMMYFUNCTION("""COMPUTED_VALUE"""),"at8767@gmail.com")</f>
        <v>at8767@gmail.com</v>
      </c>
      <c r="D168" s="84">
        <f>IFERROR(__xludf.DUMMYFUNCTION("""COMPUTED_VALUE"""),8.452073716E9)</f>
        <v>8452073716</v>
      </c>
      <c r="E168" s="91">
        <f>IFERROR(__xludf.DUMMYFUNCTION("""COMPUTED_VALUE"""),44854.0)</f>
        <v>44854</v>
      </c>
      <c r="F168" s="31"/>
      <c r="G168" s="85" t="str">
        <f>IFERROR(__xludf.DUMMYFUNCTION("""COMPUTED_VALUE"""),"5/56, bodyguard lane, near rto office,Tardeo, Mumbai central West, Mumbai 400 034")</f>
        <v>5/56, bodyguard lane, near rto office,Tardeo, Mumbai central West, Mumbai 400 034</v>
      </c>
      <c r="H168" s="31" t="str">
        <f>IFERROR(__xludf.DUMMYFUNCTION("""COMPUTED_VALUE"""),"Mac")</f>
        <v>Mac</v>
      </c>
      <c r="I168" s="31" t="str">
        <f>IFERROR(__xludf.DUMMYFUNCTION("""COMPUTED_VALUE"""),"SDET 1")</f>
        <v>SDET 1</v>
      </c>
      <c r="J168" s="31"/>
      <c r="K168" s="31"/>
      <c r="L168" s="31"/>
      <c r="M168" s="31"/>
      <c r="N168" s="31"/>
    </row>
    <row r="169">
      <c r="A169" s="31">
        <f>IFERROR(__xludf.DUMMYFUNCTION("""COMPUTED_VALUE"""),208.0)</f>
        <v>208</v>
      </c>
      <c r="B169" s="31" t="str">
        <f>IFERROR(__xludf.DUMMYFUNCTION("""COMPUTED_VALUE"""),"Sonu Modi")</f>
        <v>Sonu Modi</v>
      </c>
      <c r="C169" s="31" t="str">
        <f>IFERROR(__xludf.DUMMYFUNCTION("""COMPUTED_VALUE"""),"sonumodi66@gmail.com")</f>
        <v>sonumodi66@gmail.com</v>
      </c>
      <c r="D169" s="84" t="str">
        <f>IFERROR(__xludf.DUMMYFUNCTION("""COMPUTED_VALUE"""),"7739269877, 8269713153")</f>
        <v>7739269877, 8269713153</v>
      </c>
      <c r="E169" s="91">
        <f>IFERROR(__xludf.DUMMYFUNCTION("""COMPUTED_VALUE"""),44854.0)</f>
        <v>44854</v>
      </c>
      <c r="F169" s="31"/>
      <c r="G169" s="85" t="str">
        <f>IFERROR(__xludf.DUMMYFUNCTION("""COMPUTED_VALUE"""),"C/O - Rampyari ModiMotileda, Barmasiya, Giridih, Jharkhand - 815302")</f>
        <v>C/O - Rampyari ModiMotileda, Barmasiya, Giridih, Jharkhand - 815302</v>
      </c>
      <c r="H169" s="31"/>
      <c r="I169" s="31" t="str">
        <f>IFERROR(__xludf.DUMMYFUNCTION("""COMPUTED_VALUE"""),"Software Engineer- Unity")</f>
        <v>Software Engineer- Unity</v>
      </c>
      <c r="J169" s="31"/>
      <c r="K169" s="31"/>
      <c r="L169" s="31"/>
      <c r="M169" s="31"/>
      <c r="N169" s="31"/>
    </row>
    <row r="170">
      <c r="A170" s="31">
        <f>IFERROR(__xludf.DUMMYFUNCTION("""COMPUTED_VALUE"""),209.0)</f>
        <v>209</v>
      </c>
      <c r="B170" s="31" t="str">
        <f>IFERROR(__xludf.DUMMYFUNCTION("""COMPUTED_VALUE"""),"Tripat Kaur (Bani Gill)")</f>
        <v>Tripat Kaur (Bani Gill)</v>
      </c>
      <c r="C170" s="31" t="str">
        <f>IFERROR(__xludf.DUMMYFUNCTION("""COMPUTED_VALUE"""),"ktripat41@gmail.com")</f>
        <v>ktripat41@gmail.com</v>
      </c>
      <c r="D170" s="84" t="str">
        <f>IFERROR(__xludf.DUMMYFUNCTION("""COMPUTED_VALUE"""),"85279-59544")</f>
        <v>85279-59544</v>
      </c>
      <c r="E170" s="91">
        <f>IFERROR(__xludf.DUMMYFUNCTION("""COMPUTED_VALUE"""),44867.0)</f>
        <v>44867</v>
      </c>
      <c r="F170" s="31"/>
      <c r="G170" s="85" t="str">
        <f>IFERROR(__xludf.DUMMYFUNCTION("""COMPUTED_VALUE"""),"J2,1B 3rd floor kalkaji DDA flats, new delhi 110019 ")</f>
        <v>J2,1B 3rd floor kalkaji DDA flats, new delhi 110019 </v>
      </c>
      <c r="H170" s="31" t="str">
        <f>IFERROR(__xludf.DUMMYFUNCTION("""COMPUTED_VALUE"""),"Windows laptop")</f>
        <v>Windows laptop</v>
      </c>
      <c r="I170" s="31" t="str">
        <f>IFERROR(__xludf.DUMMYFUNCTION("""COMPUTED_VALUE"""),"Customer Support Executive")</f>
        <v>Customer Support Executive</v>
      </c>
      <c r="J170" s="31"/>
      <c r="K170" s="31"/>
      <c r="L170" s="31"/>
      <c r="M170" s="31"/>
      <c r="N170" s="31"/>
    </row>
    <row r="171">
      <c r="A171" s="31">
        <f>IFERROR(__xludf.DUMMYFUNCTION("""COMPUTED_VALUE"""),210.0)</f>
        <v>210</v>
      </c>
      <c r="B171" s="31" t="str">
        <f>IFERROR(__xludf.DUMMYFUNCTION("""COMPUTED_VALUE"""),"Deepak Rawat")</f>
        <v>Deepak Rawat</v>
      </c>
      <c r="C171" s="31" t="str">
        <f>IFERROR(__xludf.DUMMYFUNCTION("""COMPUTED_VALUE"""),"deepak.rawat02@gmail.com")</f>
        <v>deepak.rawat02@gmail.com</v>
      </c>
      <c r="D171" s="84" t="str">
        <f>IFERROR(__xludf.DUMMYFUNCTION("""COMPUTED_VALUE"""),"99538 02188")</f>
        <v>99538 02188</v>
      </c>
      <c r="E171" s="91">
        <f>IFERROR(__xludf.DUMMYFUNCTION("""COMPUTED_VALUE"""),44867.0)</f>
        <v>44867</v>
      </c>
      <c r="F171" s="31"/>
      <c r="G171" s="85" t="str">
        <f>IFERROR(__xludf.DUMMYFUNCTION("""COMPUTED_VALUE"""),"R Z I 129/A Mahavir Enclave Part 1 Palam New Delhi 110045")</f>
        <v>R Z I 129/A Mahavir Enclave Part 1 Palam New Delhi 110045</v>
      </c>
      <c r="H171" s="31" t="str">
        <f>IFERROR(__xludf.DUMMYFUNCTION("""COMPUTED_VALUE"""),"Windows laptop")</f>
        <v>Windows laptop</v>
      </c>
      <c r="I171" s="31" t="str">
        <f>IFERROR(__xludf.DUMMYFUNCTION("""COMPUTED_VALUE"""),"Customer Support Executive")</f>
        <v>Customer Support Executive</v>
      </c>
      <c r="J171" s="31"/>
      <c r="K171" s="31"/>
      <c r="L171" s="31"/>
      <c r="M171" s="31"/>
      <c r="N171" s="31"/>
    </row>
    <row r="172">
      <c r="A172" s="31">
        <f>IFERROR(__xludf.DUMMYFUNCTION("""COMPUTED_VALUE"""),211.0)</f>
        <v>211</v>
      </c>
      <c r="B172" s="31" t="str">
        <f>IFERROR(__xludf.DUMMYFUNCTION("""COMPUTED_VALUE"""),"Umme Asma ")</f>
        <v>Umme Asma </v>
      </c>
      <c r="C172" s="31" t="str">
        <f>IFERROR(__xludf.DUMMYFUNCTION("""COMPUTED_VALUE"""),"asmaumme19@gmail.com")</f>
        <v>asmaumme19@gmail.com</v>
      </c>
      <c r="D172" s="84">
        <f>IFERROR(__xludf.DUMMYFUNCTION("""COMPUTED_VALUE"""),8.660912744E9)</f>
        <v>8660912744</v>
      </c>
      <c r="E172" s="91">
        <f>IFERROR(__xludf.DUMMYFUNCTION("""COMPUTED_VALUE"""),44867.0)</f>
        <v>44867</v>
      </c>
      <c r="F172" s="31"/>
      <c r="G172" s="85" t="str">
        <f>IFERROR(__xludf.DUMMYFUNCTION("""COMPUTED_VALUE"""),"#21, 3rd cross sait palya near oil mill Road park lingaraj puram bangalore - 560084")</f>
        <v>#21, 3rd cross sait palya near oil mill Road park lingaraj puram bangalore - 560084</v>
      </c>
      <c r="H172" s="31" t="str">
        <f>IFERROR(__xludf.DUMMYFUNCTION("""COMPUTED_VALUE"""),"Windows laptop")</f>
        <v>Windows laptop</v>
      </c>
      <c r="I172" s="31" t="str">
        <f>IFERROR(__xludf.DUMMYFUNCTION("""COMPUTED_VALUE"""),"Customer Support Executive")</f>
        <v>Customer Support Executive</v>
      </c>
      <c r="J172" s="31"/>
      <c r="K172" s="31"/>
      <c r="L172" s="31"/>
      <c r="M172" s="31"/>
      <c r="N172" s="31" t="str">
        <f>IFERROR(__xludf.DUMMYFUNCTION("""COMPUTED_VALUE"""),"Offer Drop")</f>
        <v>Offer Drop</v>
      </c>
    </row>
    <row r="173">
      <c r="A173" s="31">
        <f>IFERROR(__xludf.DUMMYFUNCTION("""COMPUTED_VALUE"""),212.0)</f>
        <v>212</v>
      </c>
      <c r="B173" s="31" t="str">
        <f>IFERROR(__xludf.DUMMYFUNCTION("""COMPUTED_VALUE"""),"Afshan Akram")</f>
        <v>Afshan Akram</v>
      </c>
      <c r="C173" s="31" t="str">
        <f>IFERROR(__xludf.DUMMYFUNCTION("""COMPUTED_VALUE"""),"aefiakram1395@gmail.com")</f>
        <v>aefiakram1395@gmail.com</v>
      </c>
      <c r="D173" s="84">
        <f>IFERROR(__xludf.DUMMYFUNCTION("""COMPUTED_VALUE"""),8.398900091E9)</f>
        <v>8398900091</v>
      </c>
      <c r="E173" s="91">
        <f>IFERROR(__xludf.DUMMYFUNCTION("""COMPUTED_VALUE"""),44867.0)</f>
        <v>44867</v>
      </c>
      <c r="F173" s="31"/>
      <c r="G173" s="85" t="str">
        <f>IFERROR(__xludf.DUMMYFUNCTION("""COMPUTED_VALUE"""),"S-362, 2nd floor. Greater Kailash - 2.-110048")</f>
        <v>S-362, 2nd floor. Greater Kailash - 2.-110048</v>
      </c>
      <c r="H173" s="31"/>
      <c r="I173" s="31" t="str">
        <f>IFERROR(__xludf.DUMMYFUNCTION("""COMPUTED_VALUE"""),"Content Strategist
")</f>
        <v>Content Strategist
</v>
      </c>
      <c r="J173" s="31"/>
      <c r="K173" s="31"/>
      <c r="L173" s="31"/>
      <c r="M173" s="31"/>
      <c r="N173" s="31"/>
    </row>
    <row r="174">
      <c r="A174" s="31">
        <f>IFERROR(__xludf.DUMMYFUNCTION("""COMPUTED_VALUE"""),213.0)</f>
        <v>213</v>
      </c>
      <c r="B174" s="31" t="str">
        <f>IFERROR(__xludf.DUMMYFUNCTION("""COMPUTED_VALUE"""),"Atiullaha Siddiqui")</f>
        <v>Atiullaha Siddiqui</v>
      </c>
      <c r="C174" s="31" t="str">
        <f>IFERROR(__xludf.DUMMYFUNCTION("""COMPUTED_VALUE"""),"atiullahsiddique40@gmail.com")</f>
        <v>atiullahsiddique40@gmail.com</v>
      </c>
      <c r="D174" s="84" t="str">
        <f>IFERROR(__xludf.DUMMYFUNCTION("""COMPUTED_VALUE"""),"098995 62877")</f>
        <v>098995 62877</v>
      </c>
      <c r="E174" s="91">
        <f>IFERROR(__xludf.DUMMYFUNCTION("""COMPUTED_VALUE"""),44867.0)</f>
        <v>44867</v>
      </c>
      <c r="F174" s="31"/>
      <c r="G174" s="85"/>
      <c r="H174" s="31" t="str">
        <f>IFERROR(__xludf.DUMMYFUNCTION("""COMPUTED_VALUE"""),"Windows laptop")</f>
        <v>Windows laptop</v>
      </c>
      <c r="I174" s="31" t="str">
        <f>IFERROR(__xludf.DUMMYFUNCTION("""COMPUTED_VALUE"""),"Customer Support Executive")</f>
        <v>Customer Support Executive</v>
      </c>
      <c r="J174" s="31"/>
      <c r="K174" s="31"/>
      <c r="L174" s="31"/>
      <c r="M174" s="31"/>
      <c r="N174" s="31"/>
    </row>
    <row r="175">
      <c r="A175" s="31">
        <f>IFERROR(__xludf.DUMMYFUNCTION("""COMPUTED_VALUE"""),214.0)</f>
        <v>214</v>
      </c>
      <c r="B175" s="31" t="str">
        <f>IFERROR(__xludf.DUMMYFUNCTION("""COMPUTED_VALUE"""),"Mohammed Nayeem")</f>
        <v>Mohammed Nayeem</v>
      </c>
      <c r="C175" s="31" t="str">
        <f>IFERROR(__xludf.DUMMYFUNCTION("""COMPUTED_VALUE"""),"mohd.nayeem26@gmail.com")</f>
        <v>mohd.nayeem26@gmail.com</v>
      </c>
      <c r="D175" s="84">
        <f>IFERROR(__xludf.DUMMYFUNCTION("""COMPUTED_VALUE"""),9.654847143E9)</f>
        <v>9654847143</v>
      </c>
      <c r="E175" s="91">
        <f>IFERROR(__xludf.DUMMYFUNCTION("""COMPUTED_VALUE"""),44867.0)</f>
        <v>44867</v>
      </c>
      <c r="F175" s="31"/>
      <c r="G175" s="85" t="str">
        <f>IFERROR(__xludf.DUMMYFUNCTION("""COMPUTED_VALUE"""),"E-11/29, Khidki Extn. Malviya nagar New Delhi 110017")</f>
        <v>E-11/29, Khidki Extn. Malviya nagar New Delhi 110017</v>
      </c>
      <c r="H175" s="31" t="str">
        <f>IFERROR(__xludf.DUMMYFUNCTION("""COMPUTED_VALUE"""),"Mac")</f>
        <v>Mac</v>
      </c>
      <c r="I175" s="31" t="str">
        <f>IFERROR(__xludf.DUMMYFUNCTION("""COMPUTED_VALUE"""),"Senior Creative Designer")</f>
        <v>Senior Creative Designer</v>
      </c>
      <c r="J175" s="31"/>
      <c r="K175" s="31"/>
      <c r="L175" s="31"/>
      <c r="M175" s="31"/>
      <c r="N175" s="31"/>
    </row>
    <row r="176">
      <c r="A176" s="31">
        <f>IFERROR(__xludf.DUMMYFUNCTION("""COMPUTED_VALUE"""),215.0)</f>
        <v>215</v>
      </c>
      <c r="B176" s="31" t="str">
        <f>IFERROR(__xludf.DUMMYFUNCTION("""COMPUTED_VALUE"""),"Deepak Bajaj")</f>
        <v>Deepak Bajaj</v>
      </c>
      <c r="C176" s="31" t="str">
        <f>IFERROR(__xludf.DUMMYFUNCTION("""COMPUTED_VALUE"""),"kaps12265@gmail.com")</f>
        <v>kaps12265@gmail.com</v>
      </c>
      <c r="D176" s="84">
        <f>IFERROR(__xludf.DUMMYFUNCTION("""COMPUTED_VALUE"""),8.368816968E9)</f>
        <v>8368816968</v>
      </c>
      <c r="E176" s="91">
        <f>IFERROR(__xludf.DUMMYFUNCTION("""COMPUTED_VALUE"""),44872.0)</f>
        <v>44872</v>
      </c>
      <c r="F176" s="31"/>
      <c r="G176" s="85" t="str">
        <f>IFERROR(__xludf.DUMMYFUNCTION("""COMPUTED_VALUE"""),"A-2/79, UGF, JANAKPURI, NEW DELHI - 110058")</f>
        <v>A-2/79, UGF, JANAKPURI, NEW DELHI - 110058</v>
      </c>
      <c r="H176" s="31"/>
      <c r="I176" s="31" t="str">
        <f>IFERROR(__xludf.DUMMYFUNCTION("""COMPUTED_VALUE"""),"Assistant Manager- Financial Planning &amp; Assurance")</f>
        <v>Assistant Manager- Financial Planning &amp; Assurance</v>
      </c>
      <c r="J176" s="31"/>
      <c r="K176" s="31"/>
      <c r="L176" s="31"/>
      <c r="M176" s="31"/>
      <c r="N176" s="31"/>
    </row>
    <row r="177">
      <c r="A177" s="31">
        <f>IFERROR(__xludf.DUMMYFUNCTION("""COMPUTED_VALUE"""),216.0)</f>
        <v>216</v>
      </c>
      <c r="B177" s="31" t="str">
        <f>IFERROR(__xludf.DUMMYFUNCTION("""COMPUTED_VALUE"""),"Prince Batra")</f>
        <v>Prince Batra</v>
      </c>
      <c r="C177" s="31" t="str">
        <f>IFERROR(__xludf.DUMMYFUNCTION("""COMPUTED_VALUE"""),"email@princebatra.com")</f>
        <v>email@princebatra.com</v>
      </c>
      <c r="D177" s="84">
        <f>IFERROR(__xludf.DUMMYFUNCTION("""COMPUTED_VALUE"""),8.376903335E9)</f>
        <v>8376903335</v>
      </c>
      <c r="E177" s="91">
        <f>IFERROR(__xludf.DUMMYFUNCTION("""COMPUTED_VALUE"""),44879.0)</f>
        <v>44879</v>
      </c>
      <c r="F177" s="31"/>
      <c r="G177" s="85"/>
      <c r="H177" s="31"/>
      <c r="I177" s="31" t="str">
        <f>IFERROR(__xludf.DUMMYFUNCTION("""COMPUTED_VALUE"""),"Senior Software Development Engineer- Android")</f>
        <v>Senior Software Development Engineer- Android</v>
      </c>
      <c r="J177" s="31"/>
      <c r="K177" s="31"/>
      <c r="L177" s="31"/>
      <c r="M177" s="31"/>
      <c r="N177" s="31" t="str">
        <f>IFERROR(__xludf.DUMMYFUNCTION("""COMPUTED_VALUE"""),"Offer Drop")</f>
        <v>Offer Drop</v>
      </c>
    </row>
    <row r="178">
      <c r="A178" s="31">
        <f>IFERROR(__xludf.DUMMYFUNCTION("""COMPUTED_VALUE"""),217.0)</f>
        <v>217</v>
      </c>
      <c r="B178" s="31" t="str">
        <f>IFERROR(__xludf.DUMMYFUNCTION("""COMPUTED_VALUE"""),"Gyani Dass")</f>
        <v>Gyani Dass</v>
      </c>
      <c r="C178" s="31" t="str">
        <f>IFERROR(__xludf.DUMMYFUNCTION("""COMPUTED_VALUE"""),"gyanidass1992@gmail.com")</f>
        <v>gyanidass1992@gmail.com</v>
      </c>
      <c r="D178" s="84">
        <f>IFERROR(__xludf.DUMMYFUNCTION("""COMPUTED_VALUE"""),7.01168764E9)</f>
        <v>7011687640</v>
      </c>
      <c r="E178" s="91">
        <f>IFERROR(__xludf.DUMMYFUNCTION("""COMPUTED_VALUE"""),44880.0)</f>
        <v>44880</v>
      </c>
      <c r="F178" s="31"/>
      <c r="G178" s="85"/>
      <c r="H178" s="31"/>
      <c r="I178" s="31" t="str">
        <f>IFERROR(__xludf.DUMMYFUNCTION("""COMPUTED_VALUE"""),"Customer Support Executive")</f>
        <v>Customer Support Executive</v>
      </c>
      <c r="J178" s="31"/>
      <c r="K178" s="31"/>
      <c r="L178" s="31"/>
      <c r="M178" s="31"/>
      <c r="N178" s="31"/>
    </row>
    <row r="179">
      <c r="A179" s="31">
        <f>IFERROR(__xludf.DUMMYFUNCTION("""COMPUTED_VALUE"""),218.0)</f>
        <v>218</v>
      </c>
      <c r="B179" s="31" t="str">
        <f>IFERROR(__xludf.DUMMYFUNCTION("""COMPUTED_VALUE"""),"Teena Gupta")</f>
        <v>Teena Gupta</v>
      </c>
      <c r="C179" s="86" t="str">
        <f>IFERROR(__xludf.DUMMYFUNCTION("""COMPUTED_VALUE"""),"tguptaa2019@gmail.com")</f>
        <v>tguptaa2019@gmail.com</v>
      </c>
      <c r="D179" s="84">
        <f>IFERROR(__xludf.DUMMYFUNCTION("""COMPUTED_VALUE"""),6.43914525E8)</f>
        <v>643914525</v>
      </c>
      <c r="E179" s="91">
        <f>IFERROR(__xludf.DUMMYFUNCTION("""COMPUTED_VALUE"""),44880.0)</f>
        <v>44880</v>
      </c>
      <c r="F179" s="31"/>
      <c r="G179" s="85" t="str">
        <f>IFERROR(__xludf.DUMMYFUNCTION("""COMPUTED_VALUE"""),"Flat no 9 near Rahul sweet Shop sarhol sector 18 pin code -122015")</f>
        <v>Flat no 9 near Rahul sweet Shop sarhol sector 18 pin code -122015</v>
      </c>
      <c r="H179" s="31"/>
      <c r="I179" s="31" t="str">
        <f>IFERROR(__xludf.DUMMYFUNCTION("""COMPUTED_VALUE"""),"Customer Support Executive")</f>
        <v>Customer Support Executive</v>
      </c>
      <c r="J179" s="31"/>
      <c r="K179" s="31"/>
      <c r="L179" s="31"/>
      <c r="M179" s="31"/>
      <c r="N179" s="31"/>
    </row>
    <row r="180">
      <c r="A180" s="31">
        <f>IFERROR(__xludf.DUMMYFUNCTION("""COMPUTED_VALUE"""),219.0)</f>
        <v>219</v>
      </c>
      <c r="B180" s="31" t="str">
        <f>IFERROR(__xludf.DUMMYFUNCTION("""COMPUTED_VALUE"""),"Ashutosh Bharatwal")</f>
        <v>Ashutosh Bharatwal</v>
      </c>
      <c r="C180" s="31" t="str">
        <f>IFERROR(__xludf.DUMMYFUNCTION("""COMPUTED_VALUE"""),"ashutosh.barthwal001@gmail.com
")</f>
        <v>ashutosh.barthwal001@gmail.com
</v>
      </c>
      <c r="D180" s="84">
        <f>IFERROR(__xludf.DUMMYFUNCTION("""COMPUTED_VALUE"""),8.448629447E9)</f>
        <v>8448629447</v>
      </c>
      <c r="E180" s="91">
        <f>IFERROR(__xludf.DUMMYFUNCTION("""COMPUTED_VALUE"""),44881.0)</f>
        <v>44881</v>
      </c>
      <c r="F180" s="31"/>
      <c r="G180" s="85"/>
      <c r="H180" s="31"/>
      <c r="I180" s="31" t="str">
        <f>IFERROR(__xludf.DUMMYFUNCTION("""COMPUTED_VALUE"""),"Senior Software Development Engineer- Backend")</f>
        <v>Senior Software Development Engineer- Backend</v>
      </c>
      <c r="J180" s="31"/>
      <c r="K180" s="31"/>
      <c r="L180" s="31"/>
      <c r="M180" s="31"/>
      <c r="N180" s="31"/>
    </row>
    <row r="181">
      <c r="A181" s="31">
        <f>IFERROR(__xludf.DUMMYFUNCTION("""COMPUTED_VALUE"""),220.0)</f>
        <v>220</v>
      </c>
      <c r="B181" s="31" t="str">
        <f>IFERROR(__xludf.DUMMYFUNCTION("""COMPUTED_VALUE"""),"Pulkit Gupta")</f>
        <v>Pulkit Gupta</v>
      </c>
      <c r="C181" s="86" t="str">
        <f>IFERROR(__xludf.DUMMYFUNCTION("""COMPUTED_VALUE"""),"pulkitgupta040@gmail.com")</f>
        <v>pulkitgupta040@gmail.com</v>
      </c>
      <c r="D181" s="84">
        <f>IFERROR(__xludf.DUMMYFUNCTION("""COMPUTED_VALUE"""),8.946807788E9)</f>
        <v>8946807788</v>
      </c>
      <c r="E181" s="91">
        <f>IFERROR(__xludf.DUMMYFUNCTION("""COMPUTED_VALUE"""),44887.0)</f>
        <v>44887</v>
      </c>
      <c r="F181" s="31"/>
      <c r="G181" s="85" t="str">
        <f>IFERROR(__xludf.DUMMYFUNCTION("""COMPUTED_VALUE"""),"Relocating to Delhi")</f>
        <v>Relocating to Delhi</v>
      </c>
      <c r="H181" s="31"/>
      <c r="I181" s="31" t="str">
        <f>IFERROR(__xludf.DUMMYFUNCTION("""COMPUTED_VALUE"""),"Manager Strategy")</f>
        <v>Manager Strategy</v>
      </c>
      <c r="J181" s="31"/>
      <c r="K181" s="31"/>
      <c r="L181" s="31"/>
      <c r="M181" s="31"/>
      <c r="N181" s="31"/>
    </row>
    <row r="182">
      <c r="A182" s="31">
        <f>IFERROR(__xludf.DUMMYFUNCTION("""COMPUTED_VALUE"""),221.0)</f>
        <v>221</v>
      </c>
      <c r="B182" s="31" t="str">
        <f>IFERROR(__xludf.DUMMYFUNCTION("""COMPUTED_VALUE"""),"Udit Mahendra
")</f>
        <v>Udit Mahendra
</v>
      </c>
      <c r="C182" s="31" t="str">
        <f>IFERROR(__xludf.DUMMYFUNCTION("""COMPUTED_VALUE"""),"mahendraudit6@gmail.com")</f>
        <v>mahendraudit6@gmail.com</v>
      </c>
      <c r="D182" s="84" t="str">
        <f>IFERROR(__xludf.DUMMYFUNCTION("""COMPUTED_VALUE"""),"84478 31189")</f>
        <v>84478 31189</v>
      </c>
      <c r="E182" s="91">
        <f>IFERROR(__xludf.DUMMYFUNCTION("""COMPUTED_VALUE"""),44887.0)</f>
        <v>44887</v>
      </c>
      <c r="F182" s="31"/>
      <c r="G182" s="85" t="str">
        <f>IFERROR(__xludf.DUMMYFUNCTION("""COMPUTED_VALUE"""),"149 GF ashiana greens indirapuram Ahinsa khand 2 pin code 201014 near Shanti Gopal hospital.")</f>
        <v>149 GF ashiana greens indirapuram Ahinsa khand 2 pin code 201014 near Shanti Gopal hospital.</v>
      </c>
      <c r="H182" s="31"/>
      <c r="I182" s="31" t="str">
        <f>IFERROR(__xludf.DUMMYFUNCTION("""COMPUTED_VALUE"""),"Customer Support Executive")</f>
        <v>Customer Support Executive</v>
      </c>
      <c r="J182" s="31"/>
      <c r="K182" s="31"/>
      <c r="L182" s="31"/>
      <c r="M182" s="31"/>
      <c r="N182" s="31"/>
    </row>
    <row r="183">
      <c r="A183" s="31">
        <f>IFERROR(__xludf.DUMMYFUNCTION("""COMPUTED_VALUE"""),222.0)</f>
        <v>222</v>
      </c>
      <c r="B183" s="31" t="str">
        <f>IFERROR(__xludf.DUMMYFUNCTION("""COMPUTED_VALUE"""),"Deepak Mehndiratta")</f>
        <v>Deepak Mehndiratta</v>
      </c>
      <c r="C183" s="31" t="str">
        <f>IFERROR(__xludf.DUMMYFUNCTION("""COMPUTED_VALUE"""),"deepakmendi@gmail.com")</f>
        <v>deepakmendi@gmail.com</v>
      </c>
      <c r="D183" s="84">
        <f>IFERROR(__xludf.DUMMYFUNCTION("""COMPUTED_VALUE"""),9.694498757E9)</f>
        <v>9694498757</v>
      </c>
      <c r="E183" s="91">
        <f>IFERROR(__xludf.DUMMYFUNCTION("""COMPUTED_VALUE"""),44890.0)</f>
        <v>44890</v>
      </c>
      <c r="F183" s="31"/>
      <c r="G183" s="85" t="str">
        <f>IFERROR(__xludf.DUMMYFUNCTION("""COMPUTED_VALUE"""),"RBL Tower, DLF Phase 3, Gurgaon-Haryana")</f>
        <v>RBL Tower, DLF Phase 3, Gurgaon-Haryana</v>
      </c>
      <c r="H183" s="31"/>
      <c r="I183" s="31" t="str">
        <f>IFERROR(__xludf.DUMMYFUNCTION("""COMPUTED_VALUE"""),"Senior Manager - Internal Audit")</f>
        <v>Senior Manager - Internal Audit</v>
      </c>
      <c r="J183" s="31"/>
      <c r="K183" s="31"/>
      <c r="L183" s="31"/>
      <c r="M183" s="31"/>
      <c r="N183" s="31"/>
    </row>
    <row r="184">
      <c r="A184" s="31">
        <f>IFERROR(__xludf.DUMMYFUNCTION("""COMPUTED_VALUE"""),223.0)</f>
        <v>223</v>
      </c>
      <c r="B184" s="31" t="str">
        <f>IFERROR(__xludf.DUMMYFUNCTION("""COMPUTED_VALUE"""),"Maneesh Goyal")</f>
        <v>Maneesh Goyal</v>
      </c>
      <c r="C184" s="86" t="str">
        <f>IFERROR(__xludf.DUMMYFUNCTION("""COMPUTED_VALUE"""),"goelmaneesh@gmail.com&gt;")</f>
        <v>goelmaneesh@gmail.com&gt;</v>
      </c>
      <c r="D184" s="84">
        <f>IFERROR(__xludf.DUMMYFUNCTION("""COMPUTED_VALUE"""),9.958666442E9)</f>
        <v>9958666442</v>
      </c>
      <c r="E184" s="91">
        <f>IFERROR(__xludf.DUMMYFUNCTION("""COMPUTED_VALUE"""),44896.0)</f>
        <v>44896</v>
      </c>
      <c r="F184" s="31"/>
      <c r="G184" s="85" t="str">
        <f>IFERROR(__xludf.DUMMYFUNCTION("""COMPUTED_VALUE"""),"B1201, Park view city 1, Sector 48, Sohna Road, South City II, Gurgaon, Haryana 122018")</f>
        <v>B1201, Park view city 1, Sector 48, Sohna Road, South City II, Gurgaon, Haryana 122018</v>
      </c>
      <c r="H184" s="31"/>
      <c r="I184" s="31" t="str">
        <f>IFERROR(__xludf.DUMMYFUNCTION("""COMPUTED_VALUE"""),"CFO")</f>
        <v>CFO</v>
      </c>
      <c r="J184" s="31"/>
      <c r="K184" s="31"/>
      <c r="L184" s="31"/>
      <c r="M184" s="31"/>
      <c r="N184" s="31"/>
    </row>
    <row r="185">
      <c r="A185" s="31">
        <f>IFERROR(__xludf.DUMMYFUNCTION("""COMPUTED_VALUE"""),224.0)</f>
        <v>224</v>
      </c>
      <c r="B185" s="31" t="str">
        <f>IFERROR(__xludf.DUMMYFUNCTION("""COMPUTED_VALUE"""),"Mayank Pathak")</f>
        <v>Mayank Pathak</v>
      </c>
      <c r="C185" s="31" t="str">
        <f>IFERROR(__xludf.DUMMYFUNCTION("""COMPUTED_VALUE"""),"mayankvijaypathak@gmail.com")</f>
        <v>mayankvijaypathak@gmail.com</v>
      </c>
      <c r="D185" s="84">
        <f>IFERROR(__xludf.DUMMYFUNCTION("""COMPUTED_VALUE"""),7.415838974E9)</f>
        <v>7415838974</v>
      </c>
      <c r="E185" s="91">
        <f>IFERROR(__xludf.DUMMYFUNCTION("""COMPUTED_VALUE"""),44902.0)</f>
        <v>44902</v>
      </c>
      <c r="F185" s="31"/>
      <c r="G185" s="85"/>
      <c r="H185" s="31"/>
      <c r="I185" s="31" t="str">
        <f>IFERROR(__xludf.DUMMYFUNCTION("""COMPUTED_VALUE"""),"Senior Software Development Engineer- iOS")</f>
        <v>Senior Software Development Engineer- iOS</v>
      </c>
      <c r="J185" s="31"/>
      <c r="K185" s="31"/>
      <c r="L185" s="31"/>
      <c r="M185" s="31"/>
      <c r="N185" s="31"/>
    </row>
    <row r="186">
      <c r="A186" s="31">
        <f>IFERROR(__xludf.DUMMYFUNCTION("""COMPUTED_VALUE"""),225.0)</f>
        <v>225</v>
      </c>
      <c r="B186" s="31" t="str">
        <f>IFERROR(__xludf.DUMMYFUNCTION("""COMPUTED_VALUE"""),"Arpita Latta")</f>
        <v>Arpita Latta</v>
      </c>
      <c r="C186" s="31" t="str">
        <f>IFERROR(__xludf.DUMMYFUNCTION("""COMPUTED_VALUE"""),"arpita.latta@gmail.com")</f>
        <v>arpita.latta@gmail.com</v>
      </c>
      <c r="D186" s="84" t="str">
        <f>IFERROR(__xludf.DUMMYFUNCTION("""COMPUTED_VALUE"""),"83739 60387")</f>
        <v>83739 60387</v>
      </c>
      <c r="E186" s="91">
        <f>IFERROR(__xludf.DUMMYFUNCTION("""COMPUTED_VALUE"""),44907.0)</f>
        <v>44907</v>
      </c>
      <c r="F186" s="31"/>
      <c r="G186" s="85"/>
      <c r="H186" s="31"/>
      <c r="I186" s="31" t="str">
        <f>IFERROR(__xludf.DUMMYFUNCTION("""COMPUTED_VALUE"""),"Senior Manager - Contracts")</f>
        <v>Senior Manager - Contracts</v>
      </c>
      <c r="J186" s="31"/>
      <c r="K186" s="31"/>
      <c r="L186" s="31"/>
      <c r="M186" s="31"/>
      <c r="N186" s="31"/>
    </row>
    <row r="187">
      <c r="A187" s="31">
        <f>IFERROR(__xludf.DUMMYFUNCTION("""COMPUTED_VALUE"""),226.0)</f>
        <v>226</v>
      </c>
      <c r="B187" s="31" t="str">
        <f>IFERROR(__xludf.DUMMYFUNCTION("""COMPUTED_VALUE"""),"Pulkit Sehgal")</f>
        <v>Pulkit Sehgal</v>
      </c>
      <c r="C187" s="31" t="str">
        <f>IFERROR(__xludf.DUMMYFUNCTION("""COMPUTED_VALUE"""),"pulkitsehgal47@gmail.com")</f>
        <v>pulkitsehgal47@gmail.com</v>
      </c>
      <c r="D187" s="84">
        <f>IFERROR(__xludf.DUMMYFUNCTION("""COMPUTED_VALUE"""),8.595233273E9)</f>
        <v>8595233273</v>
      </c>
      <c r="E187" s="91">
        <f>IFERROR(__xludf.DUMMYFUNCTION("""COMPUTED_VALUE"""),44907.0)</f>
        <v>44907</v>
      </c>
      <c r="F187" s="31"/>
      <c r="G187" s="85"/>
      <c r="H187" s="31"/>
      <c r="I187" s="31" t="str">
        <f>IFERROR(__xludf.DUMMYFUNCTION("""COMPUTED_VALUE"""),"Assistant Manager- Finance")</f>
        <v>Assistant Manager- Finance</v>
      </c>
      <c r="J187" s="31"/>
      <c r="K187" s="31"/>
      <c r="L187" s="31"/>
      <c r="M187" s="31"/>
      <c r="N187" s="31"/>
    </row>
    <row r="188">
      <c r="A188" s="31">
        <f>IFERROR(__xludf.DUMMYFUNCTION("""COMPUTED_VALUE"""),227.0)</f>
        <v>227</v>
      </c>
      <c r="B188" s="31" t="str">
        <f>IFERROR(__xludf.DUMMYFUNCTION("""COMPUTED_VALUE"""),"Tarun Misra")</f>
        <v>Tarun Misra</v>
      </c>
      <c r="C188" s="92" t="str">
        <f>IFERROR(__xludf.DUMMYFUNCTION("""COMPUTED_VALUE"""),"tarund12@gmail.com")</f>
        <v>tarund12@gmail.com</v>
      </c>
      <c r="D188" s="93" t="str">
        <f>IFERROR(__xludf.DUMMYFUNCTION("""COMPUTED_VALUE"""),"72899-82080")</f>
        <v>72899-82080</v>
      </c>
      <c r="E188" s="91">
        <f>IFERROR(__xludf.DUMMYFUNCTION("""COMPUTED_VALUE"""),44914.0)</f>
        <v>44914</v>
      </c>
      <c r="F188" s="31"/>
      <c r="G188" s="85"/>
      <c r="H188" s="31"/>
      <c r="I188" s="31" t="str">
        <f>IFERROR(__xludf.DUMMYFUNCTION("""COMPUTED_VALUE"""),"Senior Graphic Designer")</f>
        <v>Senior Graphic Designer</v>
      </c>
      <c r="J188" s="31"/>
      <c r="K188" s="31"/>
      <c r="L188" s="31"/>
      <c r="M188" s="31"/>
      <c r="N188" s="31"/>
    </row>
    <row r="189">
      <c r="A189" s="31">
        <f>IFERROR(__xludf.DUMMYFUNCTION("""COMPUTED_VALUE"""),228.0)</f>
        <v>228</v>
      </c>
      <c r="B189" s="31" t="str">
        <f>IFERROR(__xludf.DUMMYFUNCTION("""COMPUTED_VALUE"""),"Sahil Aggrawal")</f>
        <v>Sahil Aggrawal</v>
      </c>
      <c r="C189" s="31" t="str">
        <f>IFERROR(__xludf.DUMMYFUNCTION("""COMPUTED_VALUE"""),"sahilaggarwal.in@gmail.com")</f>
        <v>sahilaggarwal.in@gmail.com</v>
      </c>
      <c r="D189" s="84">
        <f>IFERROR(__xludf.DUMMYFUNCTION("""COMPUTED_VALUE"""),8.950509598E9)</f>
        <v>8950509598</v>
      </c>
      <c r="E189" s="91">
        <f>IFERROR(__xludf.DUMMYFUNCTION("""COMPUTED_VALUE"""),44917.0)</f>
        <v>44917</v>
      </c>
      <c r="F189" s="31"/>
      <c r="G189" s="85"/>
      <c r="H189" s="31"/>
      <c r="I189" s="31" t="str">
        <f>IFERROR(__xludf.DUMMYFUNCTION("""COMPUTED_VALUE"""),"Associate - Innovation ")</f>
        <v>Associate - Innovation </v>
      </c>
      <c r="J189" s="31"/>
      <c r="K189" s="31"/>
      <c r="L189" s="31"/>
      <c r="M189" s="31"/>
      <c r="N189" s="31"/>
    </row>
    <row r="190">
      <c r="A190" s="31">
        <f>IFERROR(__xludf.DUMMYFUNCTION("""COMPUTED_VALUE"""),229.0)</f>
        <v>229</v>
      </c>
      <c r="B190" s="31" t="str">
        <f>IFERROR(__xludf.DUMMYFUNCTION("""COMPUTED_VALUE"""),"Pranjal Saxena")</f>
        <v>Pranjal Saxena</v>
      </c>
      <c r="C190" s="31" t="str">
        <f>IFERROR(__xludf.DUMMYFUNCTION("""COMPUTED_VALUE"""),"098pranjal@gmail.com")</f>
        <v>098pranjal@gmail.com</v>
      </c>
      <c r="D190" s="84">
        <f>IFERROR(__xludf.DUMMYFUNCTION("""COMPUTED_VALUE"""),8.744092673E9)</f>
        <v>8744092673</v>
      </c>
      <c r="E190" s="91">
        <f>IFERROR(__xludf.DUMMYFUNCTION("""COMPUTED_VALUE"""),44918.0)</f>
        <v>44918</v>
      </c>
      <c r="F190" s="31"/>
      <c r="G190" s="85" t="str">
        <f>IFERROR(__xludf.DUMMYFUNCTION("""COMPUTED_VALUE""")," 14/5, Ganesh Puram, Pawan Vihar, Pilibhit bypass road, Bareilly - 243006")</f>
        <v> 14/5, Ganesh Puram, Pawan Vihar, Pilibhit bypass road, Bareilly - 243006</v>
      </c>
      <c r="H190" s="31"/>
      <c r="I190" s="31" t="str">
        <f>IFERROR(__xludf.DUMMYFUNCTION("""COMPUTED_VALUE"""),"Senior Software Development Engineer- Backend")</f>
        <v>Senior Software Development Engineer- Backend</v>
      </c>
      <c r="J190" s="31"/>
      <c r="K190" s="31"/>
      <c r="L190" s="31"/>
      <c r="M190" s="31"/>
      <c r="N190" s="31"/>
    </row>
    <row r="191">
      <c r="A191" s="31">
        <f>IFERROR(__xludf.DUMMYFUNCTION("""COMPUTED_VALUE"""),230.0)</f>
        <v>230</v>
      </c>
      <c r="B191" s="31" t="str">
        <f>IFERROR(__xludf.DUMMYFUNCTION("""COMPUTED_VALUE"""),"Shreyansh Bengani")</f>
        <v>Shreyansh Bengani</v>
      </c>
      <c r="C191" s="31" t="str">
        <f>IFERROR(__xludf.DUMMYFUNCTION("""COMPUTED_VALUE"""),"sbengani09@gmail.com")</f>
        <v>sbengani09@gmail.com</v>
      </c>
      <c r="D191" s="84">
        <f>IFERROR(__xludf.DUMMYFUNCTION("""COMPUTED_VALUE"""),9.986069541E9)</f>
        <v>9986069541</v>
      </c>
      <c r="E191" s="91">
        <f>IFERROR(__xludf.DUMMYFUNCTION("""COMPUTED_VALUE"""),44928.0)</f>
        <v>44928</v>
      </c>
      <c r="F191" s="31"/>
      <c r="G191" s="85"/>
      <c r="H191" s="31"/>
      <c r="I191" s="31" t="str">
        <f>IFERROR(__xludf.DUMMYFUNCTION("""COMPUTED_VALUE"""),"Engineering Manager- Security")</f>
        <v>Engineering Manager- Security</v>
      </c>
      <c r="J191" s="31"/>
      <c r="K191" s="31"/>
      <c r="L191" s="31"/>
      <c r="M191" s="31"/>
      <c r="N191" s="31"/>
    </row>
    <row r="192">
      <c r="A192" s="31">
        <f>IFERROR(__xludf.DUMMYFUNCTION("""COMPUTED_VALUE"""),231.0)</f>
        <v>231</v>
      </c>
      <c r="B192" s="31" t="str">
        <f>IFERROR(__xludf.DUMMYFUNCTION("""COMPUTED_VALUE"""),"Puneet Dhiman")</f>
        <v>Puneet Dhiman</v>
      </c>
      <c r="C192" s="31" t="str">
        <f>IFERROR(__xludf.DUMMYFUNCTION("""COMPUTED_VALUE"""),"puneet.dhiman@outlook.com")</f>
        <v>puneet.dhiman@outlook.com</v>
      </c>
      <c r="D192" s="84">
        <f>IFERROR(__xludf.DUMMYFUNCTION("""COMPUTED_VALUE"""),9.289700008E9)</f>
        <v>9289700008</v>
      </c>
      <c r="E192" s="91">
        <f>IFERROR(__xludf.DUMMYFUNCTION("""COMPUTED_VALUE"""),44935.0)</f>
        <v>44935</v>
      </c>
      <c r="F192" s="31"/>
      <c r="G192" s="85"/>
      <c r="H192" s="31"/>
      <c r="I192" s="31" t="str">
        <f>IFERROR(__xludf.DUMMYFUNCTION("""COMPUTED_VALUE"""),"Senior DevOps Engineer")</f>
        <v>Senior DevOps Engineer</v>
      </c>
      <c r="J192" s="31"/>
      <c r="K192" s="31"/>
      <c r="L192" s="31"/>
      <c r="M192" s="31"/>
      <c r="N192" s="31"/>
    </row>
    <row r="193">
      <c r="A193" s="31">
        <f>IFERROR(__xludf.DUMMYFUNCTION("""COMPUTED_VALUE"""),232.0)</f>
        <v>232</v>
      </c>
      <c r="B193" s="31" t="str">
        <f>IFERROR(__xludf.DUMMYFUNCTION("""COMPUTED_VALUE"""),"Sachin Yadav")</f>
        <v>Sachin Yadav</v>
      </c>
      <c r="C193" s="31" t="str">
        <f>IFERROR(__xludf.DUMMYFUNCTION("""COMPUTED_VALUE"""),"ysachin.yadav04@gmail.com")</f>
        <v>ysachin.yadav04@gmail.com</v>
      </c>
      <c r="D193" s="84">
        <f>IFERROR(__xludf.DUMMYFUNCTION("""COMPUTED_VALUE"""),8.800635424E9)</f>
        <v>8800635424</v>
      </c>
      <c r="E193" s="91">
        <f>IFERROR(__xludf.DUMMYFUNCTION("""COMPUTED_VALUE"""),44935.0)</f>
        <v>44935</v>
      </c>
      <c r="F193" s="31"/>
      <c r="G193" s="85"/>
      <c r="H193" s="31"/>
      <c r="I193" s="31" t="str">
        <f>IFERROR(__xludf.DUMMYFUNCTION("""COMPUTED_VALUE"""),"Website Lead")</f>
        <v>Website Lead</v>
      </c>
      <c r="J193" s="31"/>
      <c r="K193" s="31"/>
      <c r="L193" s="31"/>
      <c r="M193" s="31"/>
      <c r="N193" s="31"/>
    </row>
    <row r="194">
      <c r="A194" s="31">
        <f>IFERROR(__xludf.DUMMYFUNCTION("""COMPUTED_VALUE"""),233.0)</f>
        <v>233</v>
      </c>
      <c r="B194" s="31" t="str">
        <f>IFERROR(__xludf.DUMMYFUNCTION("""COMPUTED_VALUE"""),"Ashutosh Bishnoi")</f>
        <v>Ashutosh Bishnoi</v>
      </c>
      <c r="C194" s="31" t="str">
        <f>IFERROR(__xludf.DUMMYFUNCTION("""COMPUTED_VALUE"""),"ashutoshkumarbishnoi@gmail.com")</f>
        <v>ashutoshkumarbishnoi@gmail.com</v>
      </c>
      <c r="D194" s="84">
        <f>IFERROR(__xludf.DUMMYFUNCTION("""COMPUTED_VALUE"""),9.953445949E9)</f>
        <v>9953445949</v>
      </c>
      <c r="E194" s="91">
        <f>IFERROR(__xludf.DUMMYFUNCTION("""COMPUTED_VALUE"""),44936.0)</f>
        <v>44936</v>
      </c>
      <c r="F194" s="31"/>
      <c r="G194" s="85"/>
      <c r="H194" s="31"/>
      <c r="I194" s="31" t="str">
        <f>IFERROR(__xludf.DUMMYFUNCTION("""COMPUTED_VALUE"""),"Manager - Law Enforcement, Legal Operations and Compliance")</f>
        <v>Manager - Law Enforcement, Legal Operations and Compliance</v>
      </c>
      <c r="J194" s="31"/>
      <c r="K194" s="31"/>
      <c r="L194" s="31"/>
      <c r="M194" s="31"/>
      <c r="N194" s="31"/>
    </row>
    <row r="195">
      <c r="A195" s="31">
        <f>IFERROR(__xludf.DUMMYFUNCTION("""COMPUTED_VALUE"""),244.0)</f>
        <v>244</v>
      </c>
      <c r="B195" s="31" t="str">
        <f>IFERROR(__xludf.DUMMYFUNCTION("""COMPUTED_VALUE"""),"Surabhi Sanchita")</f>
        <v>Surabhi Sanchita</v>
      </c>
      <c r="C195" s="31" t="str">
        <f>IFERROR(__xludf.DUMMYFUNCTION("""COMPUTED_VALUE"""),"surabhi.sharan@gmail.com")</f>
        <v>surabhi.sharan@gmail.com</v>
      </c>
      <c r="D195" s="84">
        <f>IFERROR(__xludf.DUMMYFUNCTION("""COMPUTED_VALUE"""),9.971020709E9)</f>
        <v>9971020709</v>
      </c>
      <c r="E195" s="91">
        <f>IFERROR(__xludf.DUMMYFUNCTION("""COMPUTED_VALUE"""),44958.0)</f>
        <v>44958</v>
      </c>
      <c r="F195" s="31"/>
      <c r="G195" s="85"/>
      <c r="H195" s="31"/>
      <c r="I195" s="31" t="str">
        <f>IFERROR(__xludf.DUMMYFUNCTION("""COMPUTED_VALUE"""),"VP HR")</f>
        <v>VP HR</v>
      </c>
      <c r="J195" s="31"/>
      <c r="K195" s="31"/>
      <c r="L195" s="31"/>
      <c r="M195" s="31"/>
      <c r="N195" s="31"/>
    </row>
    <row r="196">
      <c r="A196" s="31">
        <f>IFERROR(__xludf.DUMMYFUNCTION("""COMPUTED_VALUE"""),255.0)</f>
        <v>255</v>
      </c>
      <c r="B196" s="31" t="str">
        <f>IFERROR(__xludf.DUMMYFUNCTION("""COMPUTED_VALUE"""),"Shitiza Arora")</f>
        <v>Shitiza Arora</v>
      </c>
      <c r="C196" s="31" t="str">
        <f>IFERROR(__xludf.DUMMYFUNCTION("""COMPUTED_VALUE"""),"cashitizaarora@gmail.com ")</f>
        <v>cashitizaarora@gmail.com </v>
      </c>
      <c r="D196" s="84">
        <f>IFERROR(__xludf.DUMMYFUNCTION("""COMPUTED_VALUE"""),7.042432283E9)</f>
        <v>7042432283</v>
      </c>
      <c r="E196" s="91">
        <f>IFERROR(__xludf.DUMMYFUNCTION("""COMPUTED_VALUE"""),44970.0)</f>
        <v>44970</v>
      </c>
      <c r="F196" s="31"/>
      <c r="G196" s="85" t="str">
        <f>IFERROR(__xludf.DUMMYFUNCTION("""COMPUTED_VALUE"""),"135,First Floor, Sector 10A, Gurgaon 122001")</f>
        <v>135,First Floor, Sector 10A, Gurgaon 122001</v>
      </c>
      <c r="H196" s="31"/>
      <c r="I196" s="31" t="str">
        <f>IFERROR(__xludf.DUMMYFUNCTION("""COMPUTED_VALUE"""),"Financial Planning and Analysis Manager")</f>
        <v>Financial Planning and Analysis Manager</v>
      </c>
      <c r="J196" s="31"/>
      <c r="K196" s="31"/>
      <c r="L196" s="31"/>
      <c r="M196" s="31"/>
      <c r="N196" s="31"/>
    </row>
    <row r="197">
      <c r="A197" s="31">
        <f>IFERROR(__xludf.DUMMYFUNCTION("""COMPUTED_VALUE"""),256.0)</f>
        <v>256</v>
      </c>
      <c r="B197" s="31" t="str">
        <f>IFERROR(__xludf.DUMMYFUNCTION("""COMPUTED_VALUE"""),"Manish Kumar")</f>
        <v>Manish Kumar</v>
      </c>
      <c r="C197" s="31" t="str">
        <f>IFERROR(__xludf.DUMMYFUNCTION("""COMPUTED_VALUE"""),"manish.kumar@zupee.in")</f>
        <v>manish.kumar@zupee.in</v>
      </c>
      <c r="D197" s="84">
        <f>IFERROR(__xludf.DUMMYFUNCTION("""COMPUTED_VALUE"""),9.9994157E9)</f>
        <v>9999415700</v>
      </c>
      <c r="E197" s="91">
        <f>IFERROR(__xludf.DUMMYFUNCTION("""COMPUTED_VALUE"""),44971.0)</f>
        <v>44971</v>
      </c>
      <c r="F197" s="31"/>
      <c r="G197" s="85"/>
      <c r="H197" s="31"/>
      <c r="I197" s="31" t="str">
        <f>IFERROR(__xludf.DUMMYFUNCTION("""COMPUTED_VALUE"""),"Consultant Legal")</f>
        <v>Consultant Legal</v>
      </c>
      <c r="J197" s="31"/>
      <c r="K197" s="31"/>
      <c r="L197" s="31"/>
      <c r="M197" s="31"/>
      <c r="N197" s="31"/>
    </row>
    <row r="198">
      <c r="A198" s="31">
        <f>IFERROR(__xludf.DUMMYFUNCTION("""COMPUTED_VALUE"""),257.0)</f>
        <v>257</v>
      </c>
      <c r="B198" s="31" t="str">
        <f>IFERROR(__xludf.DUMMYFUNCTION("""COMPUTED_VALUE"""),"Abhinav Srivastava")</f>
        <v>Abhinav Srivastava</v>
      </c>
      <c r="C198" s="31" t="str">
        <f>IFERROR(__xludf.DUMMYFUNCTION("""COMPUTED_VALUE"""),"abhinavsrivastava170@gmail.com")</f>
        <v>abhinavsrivastava170@gmail.com</v>
      </c>
      <c r="D198" s="84">
        <f>IFERROR(__xludf.DUMMYFUNCTION("""COMPUTED_VALUE"""),9.58236164E9)</f>
        <v>9582361640</v>
      </c>
      <c r="E198" s="91">
        <f>IFERROR(__xludf.DUMMYFUNCTION("""COMPUTED_VALUE"""),44981.0)</f>
        <v>44981</v>
      </c>
      <c r="F198" s="31"/>
      <c r="G198" s="85" t="str">
        <f>IFERROR(__xludf.DUMMYFUNCTION("""COMPUTED_VALUE"""),"B-445 Raja ji puram lucknow, Uttar Pradesh. Pincode - 226017")</f>
        <v>B-445 Raja ji puram lucknow, Uttar Pradesh. Pincode - 226017</v>
      </c>
      <c r="H198" s="31"/>
      <c r="I198" s="31" t="str">
        <f>IFERROR(__xludf.DUMMYFUNCTION("""COMPUTED_VALUE"""),"Data Engineer")</f>
        <v>Data Engineer</v>
      </c>
      <c r="J198" s="31"/>
      <c r="K198" s="31"/>
      <c r="L198" s="31"/>
      <c r="M198" s="31"/>
      <c r="N198" s="31"/>
    </row>
    <row r="199">
      <c r="A199" s="31">
        <f>IFERROR(__xludf.DUMMYFUNCTION("""COMPUTED_VALUE"""),258.0)</f>
        <v>258</v>
      </c>
      <c r="B199" s="31" t="str">
        <f>IFERROR(__xludf.DUMMYFUNCTION("""COMPUTED_VALUE"""),"Monika Yadav")</f>
        <v>Monika Yadav</v>
      </c>
      <c r="C199" s="31" t="str">
        <f>IFERROR(__xludf.DUMMYFUNCTION("""COMPUTED_VALUE"""),"monika.1234yadav@gmail.com")</f>
        <v>monika.1234yadav@gmail.com</v>
      </c>
      <c r="D199" s="84">
        <f>IFERROR(__xludf.DUMMYFUNCTION("""COMPUTED_VALUE"""),9.971515242E9)</f>
        <v>9971515242</v>
      </c>
      <c r="E199" s="91">
        <f>IFERROR(__xludf.DUMMYFUNCTION("""COMPUTED_VALUE"""),44988.0)</f>
        <v>44988</v>
      </c>
      <c r="F199" s="31"/>
      <c r="G199" s="85"/>
      <c r="H199" s="31"/>
      <c r="I199" s="31" t="str">
        <f>IFERROR(__xludf.DUMMYFUNCTION("""COMPUTED_VALUE"""),"Senior Database Administrator")</f>
        <v>Senior Database Administrator</v>
      </c>
      <c r="J199" s="31"/>
      <c r="K199" s="31"/>
      <c r="L199" s="31"/>
      <c r="M199" s="31"/>
      <c r="N199" s="31"/>
    </row>
    <row r="200">
      <c r="A200" s="31">
        <f>IFERROR(__xludf.DUMMYFUNCTION("""COMPUTED_VALUE"""),259.0)</f>
        <v>259</v>
      </c>
      <c r="B200" s="31" t="str">
        <f>IFERROR(__xludf.DUMMYFUNCTION("""COMPUTED_VALUE"""),"Raman Dixit")</f>
        <v>Raman Dixit</v>
      </c>
      <c r="C200" s="31" t="str">
        <f>IFERROR(__xludf.DUMMYFUNCTION("""COMPUTED_VALUE"""),"ramandixit13@gmail.com")</f>
        <v>ramandixit13@gmail.com</v>
      </c>
      <c r="D200" s="84">
        <f>IFERROR(__xludf.DUMMYFUNCTION("""COMPUTED_VALUE"""),8.949320446E9)</f>
        <v>8949320446</v>
      </c>
      <c r="E200" s="91">
        <f>IFERROR(__xludf.DUMMYFUNCTION("""COMPUTED_VALUE"""),44991.0)</f>
        <v>44991</v>
      </c>
      <c r="F200" s="31"/>
      <c r="G200" s="85"/>
      <c r="H200" s="31"/>
      <c r="I200" s="31" t="str">
        <f>IFERROR(__xludf.DUMMYFUNCTION("""COMPUTED_VALUE"""),"Software Engineer - Android ")</f>
        <v>Software Engineer - Android </v>
      </c>
      <c r="J200" s="31"/>
      <c r="K200" s="31"/>
      <c r="L200" s="31"/>
      <c r="M200" s="31"/>
      <c r="N200" s="31"/>
    </row>
    <row r="201">
      <c r="A201" s="31">
        <f>IFERROR(__xludf.DUMMYFUNCTION("""COMPUTED_VALUE"""),260.0)</f>
        <v>260</v>
      </c>
      <c r="B201" s="31" t="str">
        <f>IFERROR(__xludf.DUMMYFUNCTION("""COMPUTED_VALUE"""),"Harjeet Kaur")</f>
        <v>Harjeet Kaur</v>
      </c>
      <c r="C201" s="31" t="str">
        <f>IFERROR(__xludf.DUMMYFUNCTION("""COMPUTED_VALUE"""),"kharjeet24@gmail.com")</f>
        <v>kharjeet24@gmail.com</v>
      </c>
      <c r="D201" s="84">
        <f>IFERROR(__xludf.DUMMYFUNCTION("""COMPUTED_VALUE"""),9.810632408E9)</f>
        <v>9810632408</v>
      </c>
      <c r="E201" s="91">
        <f>IFERROR(__xludf.DUMMYFUNCTION("""COMPUTED_VALUE"""),44995.0)</f>
        <v>44995</v>
      </c>
      <c r="F201" s="31"/>
      <c r="G201" s="85"/>
      <c r="H201" s="31"/>
      <c r="I201" s="31" t="str">
        <f>IFERROR(__xludf.DUMMYFUNCTION("""COMPUTED_VALUE"""),"Senior Manager - Finance")</f>
        <v>Senior Manager - Finance</v>
      </c>
      <c r="J201" s="31"/>
      <c r="K201" s="31"/>
      <c r="L201" s="31"/>
      <c r="M201" s="31"/>
      <c r="N201" s="31"/>
    </row>
    <row r="202">
      <c r="A202" s="31">
        <f>IFERROR(__xludf.DUMMYFUNCTION("""COMPUTED_VALUE"""),261.0)</f>
        <v>261</v>
      </c>
      <c r="B202" s="31" t="str">
        <f>IFERROR(__xludf.DUMMYFUNCTION("""COMPUTED_VALUE"""),"Rajat Sharma")</f>
        <v>Rajat Sharma</v>
      </c>
      <c r="C202" s="31" t="str">
        <f>IFERROR(__xludf.DUMMYFUNCTION("""COMPUTED_VALUE"""),"getrajat@gmail.com")</f>
        <v>getrajat@gmail.com</v>
      </c>
      <c r="D202" s="84">
        <f>IFERROR(__xludf.DUMMYFUNCTION("""COMPUTED_VALUE"""),9.818255488E9)</f>
        <v>9818255488</v>
      </c>
      <c r="E202" s="91">
        <f>IFERROR(__xludf.DUMMYFUNCTION("""COMPUTED_VALUE"""),44999.0)</f>
        <v>44999</v>
      </c>
      <c r="F202" s="31"/>
      <c r="G202" s="85"/>
      <c r="H202" s="31"/>
      <c r="I202" s="31" t="str">
        <f>IFERROR(__xludf.DUMMYFUNCTION("""COMPUTED_VALUE"""),"Financial Consultant")</f>
        <v>Financial Consultant</v>
      </c>
      <c r="J202" s="31"/>
      <c r="K202" s="31"/>
      <c r="L202" s="31"/>
      <c r="M202" s="31"/>
      <c r="N202" s="31"/>
    </row>
    <row r="203">
      <c r="A203" s="31">
        <f>IFERROR(__xludf.DUMMYFUNCTION("""COMPUTED_VALUE"""),262.0)</f>
        <v>262</v>
      </c>
      <c r="B203" s="31" t="str">
        <f>IFERROR(__xludf.DUMMYFUNCTION("""COMPUTED_VALUE"""),"Deepanshi Tongria")</f>
        <v>Deepanshi Tongria</v>
      </c>
      <c r="C203" s="31" t="str">
        <f>IFERROR(__xludf.DUMMYFUNCTION("""COMPUTED_VALUE"""),"deepanshisaffron@gmail.com")</f>
        <v>deepanshisaffron@gmail.com</v>
      </c>
      <c r="D203" s="84">
        <f>IFERROR(__xludf.DUMMYFUNCTION("""COMPUTED_VALUE"""),8.826158177E9)</f>
        <v>8826158177</v>
      </c>
      <c r="E203" s="91">
        <f>IFERROR(__xludf.DUMMYFUNCTION("""COMPUTED_VALUE"""),44999.0)</f>
        <v>44999</v>
      </c>
      <c r="F203" s="31"/>
      <c r="G203" s="85"/>
      <c r="H203" s="31"/>
      <c r="I203" s="31" t="str">
        <f>IFERROR(__xludf.DUMMYFUNCTION("""COMPUTED_VALUE"""),"Senior Copywriter")</f>
        <v>Senior Copywriter</v>
      </c>
      <c r="J203" s="31"/>
      <c r="K203" s="31"/>
      <c r="L203" s="31"/>
      <c r="M203" s="31"/>
      <c r="N203" s="31"/>
    </row>
    <row r="204">
      <c r="A204" s="31">
        <f>IFERROR(__xludf.DUMMYFUNCTION("""COMPUTED_VALUE"""),263.0)</f>
        <v>263</v>
      </c>
      <c r="B204" s="31" t="str">
        <f>IFERROR(__xludf.DUMMYFUNCTION("""COMPUTED_VALUE"""),"Amarjeet Singh")</f>
        <v>Amarjeet Singh</v>
      </c>
      <c r="C204" s="31" t="str">
        <f>IFERROR(__xludf.DUMMYFUNCTION("""COMPUTED_VALUE"""),"amarjeet.singh55@hotmail.com")</f>
        <v>amarjeet.singh55@hotmail.com</v>
      </c>
      <c r="D204" s="84">
        <f>IFERROR(__xludf.DUMMYFUNCTION("""COMPUTED_VALUE"""),7.354854331E9)</f>
        <v>7354854331</v>
      </c>
      <c r="E204" s="91">
        <f>IFERROR(__xludf.DUMMYFUNCTION("""COMPUTED_VALUE"""),45006.0)</f>
        <v>45006</v>
      </c>
      <c r="F204" s="31"/>
      <c r="G204" s="85" t="str">
        <f>IFERROR(__xludf.DUMMYFUNCTION("""COMPUTED_VALUE"""),"Amarjeet Singh Pasrija, Guard Line Near Ram Mandir Damoh MadhyaPradesh,470661")</f>
        <v>Amarjeet Singh Pasrija, Guard Line Near Ram Mandir Damoh MadhyaPradesh,470661</v>
      </c>
      <c r="H204" s="31"/>
      <c r="I204" s="31" t="str">
        <f>IFERROR(__xludf.DUMMYFUNCTION("""COMPUTED_VALUE"""),"Data Engineer")</f>
        <v>Data Engineer</v>
      </c>
      <c r="J204" s="31"/>
      <c r="K204" s="31"/>
      <c r="L204" s="31"/>
      <c r="M204" s="31"/>
      <c r="N204" s="31"/>
    </row>
    <row r="205">
      <c r="A205" s="31">
        <f>IFERROR(__xludf.DUMMYFUNCTION("""COMPUTED_VALUE"""),264.0)</f>
        <v>264</v>
      </c>
      <c r="B205" s="31" t="str">
        <f>IFERROR(__xludf.DUMMYFUNCTION("""COMPUTED_VALUE"""),"Deepak Dahiya")</f>
        <v>Deepak Dahiya</v>
      </c>
      <c r="C205" s="31" t="str">
        <f>IFERROR(__xludf.DUMMYFUNCTION("""COMPUTED_VALUE"""),"Dahiya.deepak@hotmail.com")</f>
        <v>Dahiya.deepak@hotmail.com</v>
      </c>
      <c r="D205" s="84">
        <f>IFERROR(__xludf.DUMMYFUNCTION("""COMPUTED_VALUE"""),9.355222293E9)</f>
        <v>9355222293</v>
      </c>
      <c r="E205" s="91">
        <f>IFERROR(__xludf.DUMMYFUNCTION("""COMPUTED_VALUE"""),45005.0)</f>
        <v>45005</v>
      </c>
      <c r="F205" s="31"/>
      <c r="G205" s="85"/>
      <c r="H205" s="31"/>
      <c r="I205" s="31" t="str">
        <f>IFERROR(__xludf.DUMMYFUNCTION("""COMPUTED_VALUE"""),"Senior HR Exectuive")</f>
        <v>Senior HR Exectuive</v>
      </c>
      <c r="J205" s="31"/>
      <c r="K205" s="31"/>
      <c r="L205" s="31"/>
      <c r="M205" s="31"/>
      <c r="N205" s="31"/>
    </row>
    <row r="206">
      <c r="A206" s="31">
        <f>IFERROR(__xludf.DUMMYFUNCTION("""COMPUTED_VALUE"""),265.0)</f>
        <v>265</v>
      </c>
      <c r="B206" s="31" t="str">
        <f>IFERROR(__xludf.DUMMYFUNCTION("""COMPUTED_VALUE"""),"Anubhav Mishra")</f>
        <v>Anubhav Mishra</v>
      </c>
      <c r="C206" s="31" t="str">
        <f>IFERROR(__xludf.DUMMYFUNCTION("""COMPUTED_VALUE"""),"anumishra0786@gmail.com")</f>
        <v>anumishra0786@gmail.com</v>
      </c>
      <c r="D206" s="84">
        <f>IFERROR(__xludf.DUMMYFUNCTION("""COMPUTED_VALUE"""),8.318610594E9)</f>
        <v>8318610594</v>
      </c>
      <c r="E206" s="91">
        <f>IFERROR(__xludf.DUMMYFUNCTION("""COMPUTED_VALUE"""),45019.0)</f>
        <v>45019</v>
      </c>
      <c r="F206" s="31"/>
      <c r="G206" s="85" t="str">
        <f>IFERROR(__xludf.DUMMYFUNCTION("""COMPUTED_VALUE"""),"241/3, Babu Purwa Colony, Kidwai Nagar, T P Nagar, Kanpur Nagar, Uttar Pradesh - 208023")</f>
        <v>241/3, Babu Purwa Colony, Kidwai Nagar, T P Nagar, Kanpur Nagar, Uttar Pradesh - 208023</v>
      </c>
      <c r="H206" s="31"/>
      <c r="I206" s="31" t="str">
        <f>IFERROR(__xludf.DUMMYFUNCTION("""COMPUTED_VALUE"""),"Customer Support Executive")</f>
        <v>Customer Support Executive</v>
      </c>
      <c r="J206" s="31"/>
      <c r="K206" s="31"/>
      <c r="L206" s="31"/>
      <c r="M206" s="31"/>
      <c r="N206" s="31"/>
    </row>
    <row r="207">
      <c r="A207" s="31">
        <f>IFERROR(__xludf.DUMMYFUNCTION("""COMPUTED_VALUE"""),266.0)</f>
        <v>266</v>
      </c>
      <c r="B207" s="31" t="str">
        <f>IFERROR(__xludf.DUMMYFUNCTION("""COMPUTED_VALUE"""),"Tulika Bhatnagar")</f>
        <v>Tulika Bhatnagar</v>
      </c>
      <c r="C207" s="31" t="str">
        <f>IFERROR(__xludf.DUMMYFUNCTION("""COMPUTED_VALUE"""),"tulika1010@gmail.com ")</f>
        <v>tulika1010@gmail.com </v>
      </c>
      <c r="D207" s="84">
        <f>IFERROR(__xludf.DUMMYFUNCTION("""COMPUTED_VALUE"""),9.643987425E9)</f>
        <v>9643987425</v>
      </c>
      <c r="E207" s="91">
        <f>IFERROR(__xludf.DUMMYFUNCTION("""COMPUTED_VALUE"""),45019.0)</f>
        <v>45019</v>
      </c>
      <c r="F207" s="31"/>
      <c r="G207" s="85" t="str">
        <f>IFERROR(__xludf.DUMMYFUNCTION("""COMPUTED_VALUE"""),"A-32, Madhuban Colony, Naka Madar, Ajmer, Rajasthan 305008. Landmark: Behind Gupta Boot House")</f>
        <v>A-32, Madhuban Colony, Naka Madar, Ajmer, Rajasthan 305008. Landmark: Behind Gupta Boot House</v>
      </c>
      <c r="H207" s="31"/>
      <c r="I207" s="31" t="str">
        <f>IFERROR(__xludf.DUMMYFUNCTION("""COMPUTED_VALUE"""),"Customer Support Executive")</f>
        <v>Customer Support Executive</v>
      </c>
      <c r="J207" s="31"/>
      <c r="K207" s="31"/>
      <c r="L207" s="31"/>
      <c r="M207" s="31"/>
      <c r="N207" s="31"/>
    </row>
    <row r="208">
      <c r="A208" s="31">
        <f>IFERROR(__xludf.DUMMYFUNCTION("""COMPUTED_VALUE"""),267.0)</f>
        <v>267</v>
      </c>
      <c r="B208" s="31" t="str">
        <f>IFERROR(__xludf.DUMMYFUNCTION("""COMPUTED_VALUE"""),"Rahul")</f>
        <v>Rahul</v>
      </c>
      <c r="C208" s="31" t="str">
        <f>IFERROR(__xludf.DUMMYFUNCTION("""COMPUTED_VALUE"""),"rahuljaat1816@gmail.com")</f>
        <v>rahuljaat1816@gmail.com</v>
      </c>
      <c r="D208" s="84">
        <f>IFERROR(__xludf.DUMMYFUNCTION("""COMPUTED_VALUE"""),7.529030199E9)</f>
        <v>7529030199</v>
      </c>
      <c r="E208" s="91">
        <f>IFERROR(__xludf.DUMMYFUNCTION("""COMPUTED_VALUE"""),45019.0)</f>
        <v>45019</v>
      </c>
      <c r="F208" s="31"/>
      <c r="G208" s="85" t="str">
        <f>IFERROR(__xludf.DUMMYFUNCTION("""COMPUTED_VALUE"""),"Galli no 01, Shiv Nagar, Bass Road,near halicopter building, DHARUHERA, Rewari, Haryana (123106)")</f>
        <v>Galli no 01, Shiv Nagar, Bass Road,near halicopter building, DHARUHERA, Rewari, Haryana (123106)</v>
      </c>
      <c r="H208" s="31"/>
      <c r="I208" s="31" t="str">
        <f>IFERROR(__xludf.DUMMYFUNCTION("""COMPUTED_VALUE"""),"Customer Support Executive")</f>
        <v>Customer Support Executive</v>
      </c>
      <c r="J208" s="31"/>
      <c r="K208" s="31"/>
      <c r="L208" s="31"/>
      <c r="M208" s="31"/>
      <c r="N208" s="31"/>
    </row>
    <row r="209">
      <c r="A209" s="31">
        <f>IFERROR(__xludf.DUMMYFUNCTION("""COMPUTED_VALUE"""),268.0)</f>
        <v>268</v>
      </c>
      <c r="B209" s="31" t="str">
        <f>IFERROR(__xludf.DUMMYFUNCTION("""COMPUTED_VALUE"""),"Mounica Duvva")</f>
        <v>Mounica Duvva</v>
      </c>
      <c r="C209" s="31" t="str">
        <f>IFERROR(__xludf.DUMMYFUNCTION("""COMPUTED_VALUE"""),"monicaeshu5@gmail.com")</f>
        <v>monicaeshu5@gmail.com</v>
      </c>
      <c r="D209" s="84">
        <f>IFERROR(__xludf.DUMMYFUNCTION("""COMPUTED_VALUE"""),8.465070035E9)</f>
        <v>8465070035</v>
      </c>
      <c r="E209" s="91">
        <f>IFERROR(__xludf.DUMMYFUNCTION("""COMPUTED_VALUE"""),45026.0)</f>
        <v>45026</v>
      </c>
      <c r="F209" s="31"/>
      <c r="G209" s="85" t="str">
        <f>IFERROR(__xludf.DUMMYFUNCTION("""COMPUTED_VALUE"""),"25-4-515, Vishnupuri, Kazipet,Hanamkonda, Warangal, Telangana, 506003")</f>
        <v>25-4-515, Vishnupuri, Kazipet,Hanamkonda, Warangal, Telangana, 506003</v>
      </c>
      <c r="H209" s="31"/>
      <c r="I209" s="31" t="str">
        <f>IFERROR(__xludf.DUMMYFUNCTION("""COMPUTED_VALUE"""),"SEO Content Writer ")</f>
        <v>SEO Content Writer </v>
      </c>
      <c r="J209" s="31"/>
      <c r="K209" s="31"/>
      <c r="L209" s="31"/>
      <c r="M209" s="31"/>
      <c r="N209" s="31"/>
    </row>
    <row r="210">
      <c r="A210" s="31">
        <f>IFERROR(__xludf.DUMMYFUNCTION("""COMPUTED_VALUE"""),269.0)</f>
        <v>269</v>
      </c>
      <c r="B210" s="31" t="str">
        <f>IFERROR(__xludf.DUMMYFUNCTION("""COMPUTED_VALUE"""),"Priyanshu Jain")</f>
        <v>Priyanshu Jain</v>
      </c>
      <c r="C210" s="31" t="str">
        <f>IFERROR(__xludf.DUMMYFUNCTION("""COMPUTED_VALUE"""),"jainpriyanshu1991@gmail.com")</f>
        <v>jainpriyanshu1991@gmail.com</v>
      </c>
      <c r="D210" s="84">
        <f>IFERROR(__xludf.DUMMYFUNCTION("""COMPUTED_VALUE"""),9.718110582E9)</f>
        <v>9718110582</v>
      </c>
      <c r="E210" s="91">
        <f>IFERROR(__xludf.DUMMYFUNCTION("""COMPUTED_VALUE"""),45027.0)</f>
        <v>45027</v>
      </c>
      <c r="F210" s="31"/>
      <c r="G210" s="85"/>
      <c r="H210" s="31"/>
      <c r="I210" s="31" t="str">
        <f>IFERROR(__xludf.DUMMYFUNCTION("""COMPUTED_VALUE"""),"Data Science Manager")</f>
        <v>Data Science Manager</v>
      </c>
      <c r="J210" s="31"/>
      <c r="K210" s="31"/>
      <c r="L210" s="31"/>
      <c r="M210" s="31"/>
      <c r="N210" s="31"/>
    </row>
    <row r="211">
      <c r="A211" s="31">
        <f>IFERROR(__xludf.DUMMYFUNCTION("""COMPUTED_VALUE"""),270.0)</f>
        <v>270</v>
      </c>
      <c r="B211" s="31" t="str">
        <f>IFERROR(__xludf.DUMMYFUNCTION("""COMPUTED_VALUE"""),"Bhoomika Arora")</f>
        <v>Bhoomika Arora</v>
      </c>
      <c r="C211" s="31" t="str">
        <f>IFERROR(__xludf.DUMMYFUNCTION("""COMPUTED_VALUE"""),"bhumiarora05@gmail.com")</f>
        <v>bhumiarora05@gmail.com</v>
      </c>
      <c r="D211" s="84">
        <f>IFERROR(__xludf.DUMMYFUNCTION("""COMPUTED_VALUE"""),8.076329019E9)</f>
        <v>8076329019</v>
      </c>
      <c r="E211" s="91">
        <f>IFERROR(__xludf.DUMMYFUNCTION("""COMPUTED_VALUE"""),45030.0)</f>
        <v>45030</v>
      </c>
      <c r="F211" s="31"/>
      <c r="G211" s="85" t="str">
        <f>IFERROR(__xludf.DUMMYFUNCTION("""COMPUTED_VALUE"""),"House no 105, street no 9 west guru angad nagar laxmi nagar Delhi 110092")</f>
        <v>House no 105, street no 9 west guru angad nagar laxmi nagar Delhi 110092</v>
      </c>
      <c r="H211" s="31"/>
      <c r="I211" s="31" t="str">
        <f>IFERROR(__xludf.DUMMYFUNCTION("""COMPUTED_VALUE"""),"Customer Support Executive")</f>
        <v>Customer Support Executive</v>
      </c>
      <c r="J211" s="31"/>
      <c r="K211" s="31"/>
      <c r="L211" s="31"/>
      <c r="M211" s="31"/>
      <c r="N211" s="31"/>
    </row>
    <row r="212">
      <c r="A212" s="31">
        <f>IFERROR(__xludf.DUMMYFUNCTION("""COMPUTED_VALUE"""),271.0)</f>
        <v>271</v>
      </c>
      <c r="B212" s="31" t="str">
        <f>IFERROR(__xludf.DUMMYFUNCTION("""COMPUTED_VALUE"""),"Aditya Pathak")</f>
        <v>Aditya Pathak</v>
      </c>
      <c r="C212" s="31" t="str">
        <f>IFERROR(__xludf.DUMMYFUNCTION("""COMPUTED_VALUE"""),"aditya.pathak518@gmail.com")</f>
        <v>aditya.pathak518@gmail.com</v>
      </c>
      <c r="D212" s="84" t="str">
        <f>IFERROR(__xludf.DUMMYFUNCTION("""COMPUTED_VALUE"""),"70654 53356")</f>
        <v>70654 53356</v>
      </c>
      <c r="E212" s="91">
        <f>IFERROR(__xludf.DUMMYFUNCTION("""COMPUTED_VALUE"""),45033.0)</f>
        <v>45033</v>
      </c>
      <c r="F212" s="31"/>
      <c r="G212" s="85" t="str">
        <f>IFERROR(__xludf.DUMMYFUNCTION("""COMPUTED_VALUE"""),"
Radha nagar  maruti true value showroom bilagram chungi Hardoi u.p. Near by Dr indu yadav gali,Pin code 241001")</f>
        <v>
Radha nagar  maruti true value showroom bilagram chungi Hardoi u.p. Near by Dr indu yadav gali,Pin code 241001</v>
      </c>
      <c r="H212" s="31"/>
      <c r="I212" s="31" t="str">
        <f>IFERROR(__xludf.DUMMYFUNCTION("""COMPUTED_VALUE"""),"Senior Fraud Analyst")</f>
        <v>Senior Fraud Analyst</v>
      </c>
      <c r="J212" s="31"/>
      <c r="K212" s="31"/>
      <c r="L212" s="31"/>
      <c r="M212" s="31"/>
      <c r="N212" s="31"/>
    </row>
    <row r="213">
      <c r="A213" s="31">
        <f>IFERROR(__xludf.DUMMYFUNCTION("""COMPUTED_VALUE"""),272.0)</f>
        <v>272</v>
      </c>
      <c r="B213" s="31" t="str">
        <f>IFERROR(__xludf.DUMMYFUNCTION("""COMPUTED_VALUE"""),"Gaurav Sharma")</f>
        <v>Gaurav Sharma</v>
      </c>
      <c r="C213" s="31" t="str">
        <f>IFERROR(__xludf.DUMMYFUNCTION("""COMPUTED_VALUE"""),"gaurav.sharma@gmail.com")</f>
        <v>gaurav.sharma@gmail.com</v>
      </c>
      <c r="D213" s="84">
        <f>IFERROR(__xludf.DUMMYFUNCTION("""COMPUTED_VALUE"""),8.790212424E9)</f>
        <v>8790212424</v>
      </c>
      <c r="E213" s="88">
        <f>IFERROR(__xludf.DUMMYFUNCTION("""COMPUTED_VALUE"""),45033.0)</f>
        <v>45033</v>
      </c>
      <c r="F213" s="31"/>
      <c r="G213" s="85"/>
      <c r="H213" s="31"/>
      <c r="I213" s="31" t="str">
        <f>IFERROR(__xludf.DUMMYFUNCTION("""COMPUTED_VALUE"""),"Head Of Engineering")</f>
        <v>Head Of Engineering</v>
      </c>
      <c r="J213" s="31"/>
      <c r="K213" s="31"/>
      <c r="L213" s="31"/>
      <c r="M213" s="31"/>
      <c r="N213" s="31"/>
    </row>
    <row r="214">
      <c r="A214" s="31">
        <f>IFERROR(__xludf.DUMMYFUNCTION("""COMPUTED_VALUE"""),273.0)</f>
        <v>273</v>
      </c>
      <c r="B214" s="31" t="str">
        <f>IFERROR(__xludf.DUMMYFUNCTION("""COMPUTED_VALUE"""),"Niyati Verma ")</f>
        <v>Niyati Verma </v>
      </c>
      <c r="C214" s="31" t="str">
        <f>IFERROR(__xludf.DUMMYFUNCTION("""COMPUTED_VALUE"""),"niyativ7@gmail.com
")</f>
        <v>niyativ7@gmail.com
</v>
      </c>
      <c r="D214" s="84">
        <f>IFERROR(__xludf.DUMMYFUNCTION("""COMPUTED_VALUE"""),9.999222195E9)</f>
        <v>9999222195</v>
      </c>
      <c r="E214" s="88">
        <f>IFERROR(__xludf.DUMMYFUNCTION("""COMPUTED_VALUE"""),45036.0)</f>
        <v>45036</v>
      </c>
      <c r="F214" s="31"/>
      <c r="G214" s="85"/>
      <c r="H214" s="31"/>
      <c r="I214" s="31" t="str">
        <f>IFERROR(__xludf.DUMMYFUNCTION("""COMPUTED_VALUE"""),"Consultant Public Policy ")</f>
        <v>Consultant Public Policy </v>
      </c>
      <c r="J214" s="31"/>
      <c r="K214" s="31"/>
      <c r="L214" s="31"/>
      <c r="M214" s="31"/>
      <c r="N214" s="31"/>
    </row>
    <row r="215">
      <c r="A215" s="31">
        <f>IFERROR(__xludf.DUMMYFUNCTION("""COMPUTED_VALUE"""),274.0)</f>
        <v>274</v>
      </c>
      <c r="B215" s="31" t="str">
        <f>IFERROR(__xludf.DUMMYFUNCTION("""COMPUTED_VALUE"""),"Astha Mishra")</f>
        <v>Astha Mishra</v>
      </c>
      <c r="C215" s="86" t="str">
        <f>IFERROR(__xludf.DUMMYFUNCTION("""COMPUTED_VALUE"""),"mishraastha211@gmail.com")</f>
        <v>mishraastha211@gmail.com</v>
      </c>
      <c r="D215" s="84">
        <f>IFERROR(__xludf.DUMMYFUNCTION("""COMPUTED_VALUE"""),8.076476282E9)</f>
        <v>8076476282</v>
      </c>
      <c r="E215" s="88">
        <f>IFERROR(__xludf.DUMMYFUNCTION("""COMPUTED_VALUE"""),45054.0)</f>
        <v>45054</v>
      </c>
      <c r="F215" s="31"/>
      <c r="G215" s="85" t="str">
        <f>IFERROR(__xludf.DUMMYFUNCTION("""COMPUTED_VALUE"""),"B-904, Police officer society, Nawada Village, Sector 49, Faridabad.")</f>
        <v>B-904, Police officer society, Nawada Village, Sector 49, Faridabad.</v>
      </c>
      <c r="H215" s="31"/>
      <c r="I215" s="31" t="str">
        <f>IFERROR(__xludf.DUMMYFUNCTION("""COMPUTED_VALUE"""),"Software Engineer- Unity")</f>
        <v>Software Engineer- Unity</v>
      </c>
      <c r="J215" s="31"/>
      <c r="K215" s="31"/>
      <c r="L215" s="31"/>
      <c r="M215" s="31"/>
      <c r="N215" s="31"/>
    </row>
    <row r="216">
      <c r="A216" s="31">
        <f>IFERROR(__xludf.DUMMYFUNCTION("""COMPUTED_VALUE"""),275.0)</f>
        <v>275</v>
      </c>
      <c r="B216" s="31" t="str">
        <f>IFERROR(__xludf.DUMMYFUNCTION("""COMPUTED_VALUE"""),"Amul Singh")</f>
        <v>Amul Singh</v>
      </c>
      <c r="C216" s="31" t="str">
        <f>IFERROR(__xludf.DUMMYFUNCTION("""COMPUTED_VALUE"""),"mramulsingh@gmail.com")</f>
        <v>mramulsingh@gmail.com</v>
      </c>
      <c r="D216" s="84">
        <f>IFERROR(__xludf.DUMMYFUNCTION("""COMPUTED_VALUE"""),7.503395302E9)</f>
        <v>7503395302</v>
      </c>
      <c r="E216" s="88">
        <f>IFERROR(__xludf.DUMMYFUNCTION("""COMPUTED_VALUE"""),45054.0)</f>
        <v>45054</v>
      </c>
      <c r="F216" s="31"/>
      <c r="G216" s="85"/>
      <c r="H216" s="31"/>
      <c r="I216" s="31" t="str">
        <f>IFERROR(__xludf.DUMMYFUNCTION("""COMPUTED_VALUE"""),"""Assistant Manager- Financial Planning &amp; Assurance")</f>
        <v>"Assistant Manager- Financial Planning &amp; Assurance</v>
      </c>
      <c r="J216" s="31"/>
      <c r="K216" s="31"/>
      <c r="L216" s="31"/>
      <c r="M216" s="31"/>
      <c r="N216" s="31"/>
    </row>
    <row r="217">
      <c r="A217" s="31">
        <f>IFERROR(__xludf.DUMMYFUNCTION("""COMPUTED_VALUE"""),276.0)</f>
        <v>276</v>
      </c>
      <c r="B217" s="31" t="str">
        <f>IFERROR(__xludf.DUMMYFUNCTION("""COMPUTED_VALUE"""),"Akshat Bhaskar")</f>
        <v>Akshat Bhaskar</v>
      </c>
      <c r="C217" s="31" t="str">
        <f>IFERROR(__xludf.DUMMYFUNCTION("""COMPUTED_VALUE"""),"bhaskar20inn@gmail.com")</f>
        <v>bhaskar20inn@gmail.com</v>
      </c>
      <c r="D217" s="84">
        <f>IFERROR(__xludf.DUMMYFUNCTION("""COMPUTED_VALUE"""),9.262561881E9)</f>
        <v>9262561881</v>
      </c>
      <c r="E217" s="88">
        <f>IFERROR(__xludf.DUMMYFUNCTION("""COMPUTED_VALUE"""),45057.0)</f>
        <v>45057</v>
      </c>
      <c r="F217" s="31"/>
      <c r="G217" s="85"/>
      <c r="H217" s="31"/>
      <c r="I217" s="31" t="str">
        <f>IFERROR(__xludf.DUMMYFUNCTION("""COMPUTED_VALUE"""),"Software Engineer- iOS ")</f>
        <v>Software Engineer- iOS </v>
      </c>
      <c r="J217" s="31"/>
      <c r="K217" s="31"/>
      <c r="L217" s="31"/>
      <c r="M217" s="31"/>
      <c r="N217" s="31"/>
    </row>
    <row r="218">
      <c r="A218" s="31">
        <f>IFERROR(__xludf.DUMMYFUNCTION("""COMPUTED_VALUE"""),277.0)</f>
        <v>277</v>
      </c>
      <c r="B218" s="31" t="str">
        <f>IFERROR(__xludf.DUMMYFUNCTION("""COMPUTED_VALUE"""),"Jeevan Kumar Singla")</f>
        <v>Jeevan Kumar Singla</v>
      </c>
      <c r="C218" s="31" t="str">
        <f>IFERROR(__xludf.DUMMYFUNCTION("""COMPUTED_VALUE"""),"jeevankumar85@gmail.com")</f>
        <v>jeevankumar85@gmail.com</v>
      </c>
      <c r="D218" s="84">
        <f>IFERROR(__xludf.DUMMYFUNCTION("""COMPUTED_VALUE"""),8.847656687E9)</f>
        <v>8847656687</v>
      </c>
      <c r="E218" s="90">
        <f>IFERROR(__xludf.DUMMYFUNCTION("""COMPUTED_VALUE"""),45061.0)</f>
        <v>45061</v>
      </c>
      <c r="F218" s="31"/>
      <c r="G218" s="85" t="str">
        <f>IFERROR(__xludf.DUMMYFUNCTION("""COMPUTED_VALUE"""),"H. No. 1858/1, Street No. 2, White Quarter,
Azad Nagar, Nr. Vikas Dharamshala, 
Ludhiana-141003.")</f>
        <v>H. No. 1858/1, Street No. 2, White Quarter,
Azad Nagar, Nr. Vikas Dharamshala, 
Ludhiana-141003.</v>
      </c>
      <c r="H218" s="31"/>
      <c r="I218" s="31" t="str">
        <f>IFERROR(__xludf.DUMMYFUNCTION("""COMPUTED_VALUE"""),"Senior Software Engineer- Unity")</f>
        <v>Senior Software Engineer- Unity</v>
      </c>
      <c r="J218" s="31"/>
      <c r="K218" s="31"/>
      <c r="L218" s="31"/>
      <c r="M218" s="31"/>
      <c r="N218" s="31"/>
    </row>
    <row r="219">
      <c r="A219" s="31">
        <f>IFERROR(__xludf.DUMMYFUNCTION("""COMPUTED_VALUE"""),278.0)</f>
        <v>278</v>
      </c>
      <c r="B219" s="31" t="str">
        <f>IFERROR(__xludf.DUMMYFUNCTION("""COMPUTED_VALUE"""),"Molik Chauhan")</f>
        <v>Molik Chauhan</v>
      </c>
      <c r="C219" s="31" t="str">
        <f>IFERROR(__xludf.DUMMYFUNCTION("""COMPUTED_VALUE"""),"chauhanmolik@gmail.com")</f>
        <v>chauhanmolik@gmail.com</v>
      </c>
      <c r="D219" s="84">
        <f>IFERROR(__xludf.DUMMYFUNCTION("""COMPUTED_VALUE"""),8.800937898E9)</f>
        <v>8800937898</v>
      </c>
      <c r="E219" s="94">
        <f>IFERROR(__xludf.DUMMYFUNCTION("""COMPUTED_VALUE"""),45063.0)</f>
        <v>45063</v>
      </c>
      <c r="F219" s="31"/>
      <c r="G219" s="85"/>
      <c r="H219" s="31"/>
      <c r="I219" s="31" t="str">
        <f>IFERROR(__xludf.DUMMYFUNCTION("""COMPUTED_VALUE"""),"Manager- Business Finance")</f>
        <v>Manager- Business Finance</v>
      </c>
      <c r="J219" s="31"/>
      <c r="K219" s="31"/>
      <c r="L219" s="31"/>
      <c r="M219" s="31"/>
      <c r="N219" s="31"/>
    </row>
    <row r="220">
      <c r="A220" s="31">
        <f>IFERROR(__xludf.DUMMYFUNCTION("""COMPUTED_VALUE"""),279.0)</f>
        <v>279</v>
      </c>
      <c r="B220" s="31" t="str">
        <f>IFERROR(__xludf.DUMMYFUNCTION("""COMPUTED_VALUE"""),"Yogesh Yadav")</f>
        <v>Yogesh Yadav</v>
      </c>
      <c r="C220" s="31" t="str">
        <f>IFERROR(__xludf.DUMMYFUNCTION("""COMPUTED_VALUE"""),"yogeshyadav.yya96@gmail.com")</f>
        <v>yogeshyadav.yya96@gmail.com</v>
      </c>
      <c r="D220" s="84">
        <f>IFERROR(__xludf.DUMMYFUNCTION("""COMPUTED_VALUE"""),9.501731077E9)</f>
        <v>9501731077</v>
      </c>
      <c r="E220" s="94">
        <f>IFERROR(__xludf.DUMMYFUNCTION("""COMPUTED_VALUE"""),45065.0)</f>
        <v>45065</v>
      </c>
      <c r="F220" s="31"/>
      <c r="G220" s="85"/>
      <c r="H220" s="31"/>
      <c r="I220" s="31" t="str">
        <f>IFERROR(__xludf.DUMMYFUNCTION("""COMPUTED_VALUE"""),"Software Development Engineer in Test")</f>
        <v>Software Development Engineer in Test</v>
      </c>
      <c r="J220" s="31"/>
      <c r="K220" s="31"/>
      <c r="L220" s="31"/>
      <c r="M220" s="31"/>
      <c r="N220" s="31"/>
    </row>
    <row r="221">
      <c r="A221" s="31">
        <f>IFERROR(__xludf.DUMMYFUNCTION("""COMPUTED_VALUE"""),280.0)</f>
        <v>280</v>
      </c>
      <c r="B221" s="31" t="str">
        <f>IFERROR(__xludf.DUMMYFUNCTION("""COMPUTED_VALUE"""),"Maneesha Negi ")</f>
        <v>Maneesha Negi </v>
      </c>
      <c r="C221" s="31" t="str">
        <f>IFERROR(__xludf.DUMMYFUNCTION("""COMPUTED_VALUE"""),"maneeshanegi30@gmail.com")</f>
        <v>maneeshanegi30@gmail.com</v>
      </c>
      <c r="D221" s="84">
        <f>IFERROR(__xludf.DUMMYFUNCTION("""COMPUTED_VALUE"""),9.815049488E9)</f>
        <v>9815049488</v>
      </c>
      <c r="E221" s="94">
        <f>IFERROR(__xludf.DUMMYFUNCTION("""COMPUTED_VALUE"""),45068.0)</f>
        <v>45068</v>
      </c>
      <c r="F221" s="31"/>
      <c r="G221" s="85"/>
      <c r="H221" s="31"/>
      <c r="I221" s="31" t="str">
        <f>IFERROR(__xludf.DUMMYFUNCTION("""COMPUTED_VALUE"""),"Sr. Product Manager ")</f>
        <v>Sr. Product Manager </v>
      </c>
      <c r="J221" s="31"/>
      <c r="K221" s="31"/>
      <c r="L221" s="31"/>
      <c r="M221" s="31"/>
      <c r="N221" s="31"/>
    </row>
    <row r="222">
      <c r="A222" s="31">
        <f>IFERROR(__xludf.DUMMYFUNCTION("""COMPUTED_VALUE"""),281.0)</f>
        <v>281</v>
      </c>
      <c r="B222" s="31" t="str">
        <f>IFERROR(__xludf.DUMMYFUNCTION("""COMPUTED_VALUE"""),"Saurabh Upadhyay")</f>
        <v>Saurabh Upadhyay</v>
      </c>
      <c r="C222" s="31" t="str">
        <f>IFERROR(__xludf.DUMMYFUNCTION("""COMPUTED_VALUE"""),"casaurabhupadhyay@gmail.com")</f>
        <v>casaurabhupadhyay@gmail.com</v>
      </c>
      <c r="D222" s="84">
        <f>IFERROR(__xludf.DUMMYFUNCTION("""COMPUTED_VALUE"""),9.818048883E9)</f>
        <v>9818048883</v>
      </c>
      <c r="E222" s="95">
        <f>IFERROR(__xludf.DUMMYFUNCTION("""COMPUTED_VALUE"""),45069.0)</f>
        <v>45069</v>
      </c>
      <c r="F222" s="31"/>
      <c r="G222" s="85"/>
      <c r="H222" s="31"/>
      <c r="I222" s="31" t="str">
        <f>IFERROR(__xludf.DUMMYFUNCTION("""COMPUTED_VALUE"""),"Director- Taxation")</f>
        <v>Director- Taxation</v>
      </c>
      <c r="J222" s="31"/>
      <c r="K222" s="31"/>
      <c r="L222" s="31"/>
      <c r="M222" s="31"/>
      <c r="N222" s="31"/>
    </row>
    <row r="223">
      <c r="A223" s="31">
        <f>IFERROR(__xludf.DUMMYFUNCTION("""COMPUTED_VALUE"""),282.0)</f>
        <v>282</v>
      </c>
      <c r="B223" s="31" t="str">
        <f>IFERROR(__xludf.DUMMYFUNCTION("""COMPUTED_VALUE"""),"Shubham Singh ")</f>
        <v>Shubham Singh </v>
      </c>
      <c r="C223" s="31" t="str">
        <f>IFERROR(__xludf.DUMMYFUNCTION("""COMPUTED_VALUE"""),"shubhamsingh16@gmail.com")</f>
        <v>shubhamsingh16@gmail.com</v>
      </c>
      <c r="D223" s="84">
        <f>IFERROR(__xludf.DUMMYFUNCTION("""COMPUTED_VALUE"""),9.560900373E9)</f>
        <v>9560900373</v>
      </c>
      <c r="E223" s="94">
        <f>IFERROR(__xludf.DUMMYFUNCTION("""COMPUTED_VALUE"""),45070.0)</f>
        <v>45070</v>
      </c>
      <c r="F223" s="31"/>
      <c r="G223" s="85"/>
      <c r="H223" s="31"/>
      <c r="I223" s="31" t="str">
        <f>IFERROR(__xludf.DUMMYFUNCTION("""COMPUTED_VALUE"""),"Sr. Manager Strategy ")</f>
        <v>Sr. Manager Strategy </v>
      </c>
      <c r="J223" s="31"/>
      <c r="K223" s="31"/>
      <c r="L223" s="31"/>
      <c r="M223" s="31"/>
      <c r="N223" s="31"/>
    </row>
    <row r="224">
      <c r="A224" s="31">
        <f>IFERROR(__xludf.DUMMYFUNCTION("""COMPUTED_VALUE"""),283.0)</f>
        <v>283</v>
      </c>
      <c r="B224" s="31" t="str">
        <f>IFERROR(__xludf.DUMMYFUNCTION("""COMPUTED_VALUE"""),"Vidya Bhushan")</f>
        <v>Vidya Bhushan</v>
      </c>
      <c r="C224" s="31" t="str">
        <f>IFERROR(__xludf.DUMMYFUNCTION("""COMPUTED_VALUE"""),"vidyabhushan84060@gmail.com")</f>
        <v>vidyabhushan84060@gmail.com</v>
      </c>
      <c r="D224" s="84">
        <f>IFERROR(__xludf.DUMMYFUNCTION("""COMPUTED_VALUE"""),6.20746646E9)</f>
        <v>6207466460</v>
      </c>
      <c r="E224" s="94">
        <f>IFERROR(__xludf.DUMMYFUNCTION("""COMPUTED_VALUE"""),45078.0)</f>
        <v>45078</v>
      </c>
      <c r="F224" s="31"/>
      <c r="G224" s="85"/>
      <c r="H224" s="31"/>
      <c r="I224" s="31" t="str">
        <f>IFERROR(__xludf.DUMMYFUNCTION("""COMPUTED_VALUE"""),"Executive- Founder's Office")</f>
        <v>Executive- Founder's Office</v>
      </c>
      <c r="J224" s="31"/>
      <c r="K224" s="31"/>
      <c r="L224" s="31"/>
      <c r="M224" s="31"/>
      <c r="N224" s="31"/>
    </row>
    <row r="225">
      <c r="A225" s="31">
        <f>IFERROR(__xludf.DUMMYFUNCTION("""COMPUTED_VALUE"""),284.0)</f>
        <v>284</v>
      </c>
      <c r="B225" s="31" t="str">
        <f>IFERROR(__xludf.DUMMYFUNCTION("""COMPUTED_VALUE"""),"Prathamesh Gitesh Kurambhatti")</f>
        <v>Prathamesh Gitesh Kurambhatti</v>
      </c>
      <c r="C225" s="31" t="str">
        <f>IFERROR(__xludf.DUMMYFUNCTION("""COMPUTED_VALUE"""),"prathameshgvk@gmail.com")</f>
        <v>prathameshgvk@gmail.com</v>
      </c>
      <c r="D225" s="84">
        <f>IFERROR(__xludf.DUMMYFUNCTION("""COMPUTED_VALUE"""),9.96933077E9)</f>
        <v>9969330770</v>
      </c>
      <c r="E225" s="94">
        <f>IFERROR(__xludf.DUMMYFUNCTION("""COMPUTED_VALUE"""),45078.0)</f>
        <v>45078</v>
      </c>
      <c r="F225" s="31"/>
      <c r="G225" s="85"/>
      <c r="H225" s="31"/>
      <c r="I225" s="31" t="str">
        <f>IFERROR(__xludf.DUMMYFUNCTION("""COMPUTED_VALUE"""),"Executive- Founder's Office")</f>
        <v>Executive- Founder's Office</v>
      </c>
      <c r="J225" s="31"/>
      <c r="K225" s="31"/>
      <c r="L225" s="31"/>
      <c r="M225" s="31"/>
      <c r="N225" s="31"/>
    </row>
    <row r="226">
      <c r="A226" s="31">
        <f>IFERROR(__xludf.DUMMYFUNCTION("""COMPUTED_VALUE"""),285.0)</f>
        <v>285</v>
      </c>
      <c r="B226" s="31" t="str">
        <f>IFERROR(__xludf.DUMMYFUNCTION("""COMPUTED_VALUE"""),"Manav Jain")</f>
        <v>Manav Jain</v>
      </c>
      <c r="C226" s="31" t="str">
        <f>IFERROR(__xludf.DUMMYFUNCTION("""COMPUTED_VALUE"""),"manavmukeshjain.cse18@iitbhu.ac.in")</f>
        <v>manavmukeshjain.cse18@iitbhu.ac.in</v>
      </c>
      <c r="D226" s="84">
        <f>IFERROR(__xludf.DUMMYFUNCTION("""COMPUTED_VALUE"""),8.080007703E9)</f>
        <v>8080007703</v>
      </c>
      <c r="E226" s="94">
        <f>IFERROR(__xludf.DUMMYFUNCTION("""COMPUTED_VALUE"""),45078.0)</f>
        <v>45078</v>
      </c>
      <c r="F226" s="31"/>
      <c r="G226" s="85"/>
      <c r="H226" s="31"/>
      <c r="I226" s="31" t="str">
        <f>IFERROR(__xludf.DUMMYFUNCTION("""COMPUTED_VALUE"""),"Executive- Founder's Office")</f>
        <v>Executive- Founder's Office</v>
      </c>
      <c r="J226" s="31"/>
      <c r="K226" s="31"/>
      <c r="L226" s="31"/>
      <c r="M226" s="31"/>
      <c r="N226" s="31"/>
    </row>
    <row r="227">
      <c r="A227" s="31">
        <f>IFERROR(__xludf.DUMMYFUNCTION("""COMPUTED_VALUE"""),286.0)</f>
        <v>286</v>
      </c>
      <c r="B227" s="31" t="str">
        <f>IFERROR(__xludf.DUMMYFUNCTION("""COMPUTED_VALUE"""),"Vijay MR")</f>
        <v>Vijay MR</v>
      </c>
      <c r="C227" s="31" t="str">
        <f>IFERROR(__xludf.DUMMYFUNCTION("""COMPUTED_VALUE"""),"vijaymagadi@gmail.com")</f>
        <v>vijaymagadi@gmail.com</v>
      </c>
      <c r="D227" s="84">
        <f>IFERROR(__xludf.DUMMYFUNCTION("""COMPUTED_VALUE"""),9.886232731E9)</f>
        <v>9886232731</v>
      </c>
      <c r="E227" s="94">
        <f>IFERROR(__xludf.DUMMYFUNCTION("""COMPUTED_VALUE"""),45082.0)</f>
        <v>45082</v>
      </c>
      <c r="F227" s="31"/>
      <c r="G227" s="85"/>
      <c r="H227" s="31"/>
      <c r="I227" s="31" t="str">
        <f>IFERROR(__xludf.DUMMYFUNCTION("""COMPUTED_VALUE"""),"Director- Taxation")</f>
        <v>Director- Taxation</v>
      </c>
      <c r="J227" s="31"/>
      <c r="K227" s="31"/>
      <c r="L227" s="31"/>
      <c r="M227" s="31"/>
      <c r="N227" s="31"/>
    </row>
    <row r="228">
      <c r="A228" s="31">
        <f>IFERROR(__xludf.DUMMYFUNCTION("""COMPUTED_VALUE"""),287.0)</f>
        <v>287</v>
      </c>
      <c r="B228" s="31" t="str">
        <f>IFERROR(__xludf.DUMMYFUNCTION("""COMPUTED_VALUE"""),"Dhruv Adlakha")</f>
        <v>Dhruv Adlakha</v>
      </c>
      <c r="C228" s="31" t="str">
        <f>IFERROR(__xludf.DUMMYFUNCTION("""COMPUTED_VALUE"""),"adlakhadhruv@yahoo.com")</f>
        <v>adlakhadhruv@yahoo.com</v>
      </c>
      <c r="D228" s="84">
        <f>IFERROR(__xludf.DUMMYFUNCTION("""COMPUTED_VALUE"""),9.999974658E9)</f>
        <v>9999974658</v>
      </c>
      <c r="E228" s="94">
        <f>IFERROR(__xludf.DUMMYFUNCTION("""COMPUTED_VALUE"""),45089.0)</f>
        <v>45089</v>
      </c>
      <c r="F228" s="31"/>
      <c r="G228" s="85"/>
      <c r="H228" s="31"/>
      <c r="I228" s="31" t="str">
        <f>IFERROR(__xludf.DUMMYFUNCTION("""COMPUTED_VALUE"""),"Assistant Manager- Finance")</f>
        <v>Assistant Manager- Finance</v>
      </c>
      <c r="J228" s="31"/>
      <c r="K228" s="31"/>
      <c r="L228" s="31"/>
      <c r="M228" s="31"/>
      <c r="N228" s="31"/>
    </row>
    <row r="229">
      <c r="A229" s="31">
        <f>IFERROR(__xludf.DUMMYFUNCTION("""COMPUTED_VALUE"""),288.0)</f>
        <v>288</v>
      </c>
      <c r="B229" s="31" t="str">
        <f>IFERROR(__xludf.DUMMYFUNCTION("""COMPUTED_VALUE"""),"Nimish Goyal ")</f>
        <v>Nimish Goyal </v>
      </c>
      <c r="C229" s="31" t="str">
        <f>IFERROR(__xludf.DUMMYFUNCTION("""COMPUTED_VALUE"""),"nimishgoyal1302@gmail.com ")</f>
        <v>nimishgoyal1302@gmail.com </v>
      </c>
      <c r="D229" s="84">
        <f>IFERROR(__xludf.DUMMYFUNCTION("""COMPUTED_VALUE"""),7.888756922E9)</f>
        <v>7888756922</v>
      </c>
      <c r="E229" s="94">
        <f>IFERROR(__xludf.DUMMYFUNCTION("""COMPUTED_VALUE"""),45096.0)</f>
        <v>45096</v>
      </c>
      <c r="F229" s="31"/>
      <c r="G229" s="85"/>
      <c r="H229" s="31"/>
      <c r="I229" s="31" t="str">
        <f>IFERROR(__xludf.DUMMYFUNCTION("""COMPUTED_VALUE"""),"Associate Product Manager ")</f>
        <v>Associate Product Manager </v>
      </c>
      <c r="J229" s="31"/>
      <c r="K229" s="31"/>
      <c r="L229" s="31"/>
      <c r="M229" s="31"/>
      <c r="N229" s="31"/>
    </row>
    <row r="230">
      <c r="A230" s="31">
        <f>IFERROR(__xludf.DUMMYFUNCTION("""COMPUTED_VALUE"""),289.0)</f>
        <v>289</v>
      </c>
      <c r="B230" s="31" t="str">
        <f>IFERROR(__xludf.DUMMYFUNCTION("""COMPUTED_VALUE"""),"Aditya Jha")</f>
        <v>Aditya Jha</v>
      </c>
      <c r="C230" s="31" t="str">
        <f>IFERROR(__xludf.DUMMYFUNCTION("""COMPUTED_VALUE"""),"aditya.jha2709@gmail.com")</f>
        <v>aditya.jha2709@gmail.com</v>
      </c>
      <c r="D230" s="84">
        <f>IFERROR(__xludf.DUMMYFUNCTION("""COMPUTED_VALUE"""),9.16328751E9)</f>
        <v>9163287510</v>
      </c>
      <c r="E230" s="94">
        <f>IFERROR(__xludf.DUMMYFUNCTION("""COMPUTED_VALUE"""),45096.0)</f>
        <v>45096</v>
      </c>
      <c r="F230" s="31"/>
      <c r="G230" s="85"/>
      <c r="H230" s="31"/>
      <c r="I230" s="31" t="str">
        <f>IFERROR(__xludf.DUMMYFUNCTION("""COMPUTED_VALUE"""),"Product Marketing Manager")</f>
        <v>Product Marketing Manager</v>
      </c>
      <c r="J230" s="31"/>
      <c r="K230" s="31"/>
      <c r="L230" s="31"/>
      <c r="M230" s="31"/>
      <c r="N230" s="31"/>
    </row>
    <row r="231">
      <c r="A231" s="31">
        <f>IFERROR(__xludf.DUMMYFUNCTION("""COMPUTED_VALUE"""),290.0)</f>
        <v>290</v>
      </c>
      <c r="B231" s="31" t="str">
        <f>IFERROR(__xludf.DUMMYFUNCTION("""COMPUTED_VALUE"""),"Gaurav Sharma")</f>
        <v>Gaurav Sharma</v>
      </c>
      <c r="C231" s="31" t="str">
        <f>IFERROR(__xludf.DUMMYFUNCTION("""COMPUTED_VALUE"""),"gaurav5130sharma@gmail.com")</f>
        <v>gaurav5130sharma@gmail.com</v>
      </c>
      <c r="D231" s="84">
        <f>IFERROR(__xludf.DUMMYFUNCTION("""COMPUTED_VALUE"""),7.678355678E9)</f>
        <v>7678355678</v>
      </c>
      <c r="E231" s="94">
        <f>IFERROR(__xludf.DUMMYFUNCTION("""COMPUTED_VALUE"""),45110.0)</f>
        <v>45110</v>
      </c>
      <c r="F231" s="31"/>
      <c r="G231" s="85"/>
      <c r="H231" s="31"/>
      <c r="I231" s="31" t="str">
        <f>IFERROR(__xludf.DUMMYFUNCTION("""COMPUTED_VALUE"""),"Senior Software Engineer- Unity")</f>
        <v>Senior Software Engineer- Unity</v>
      </c>
      <c r="J231" s="31"/>
      <c r="K231" s="31"/>
      <c r="L231" s="31"/>
      <c r="M231" s="31"/>
      <c r="N231" s="31"/>
    </row>
    <row r="232">
      <c r="A232" s="31">
        <f>IFERROR(__xludf.DUMMYFUNCTION("""COMPUTED_VALUE"""),291.0)</f>
        <v>291</v>
      </c>
      <c r="B232" s="31" t="str">
        <f>IFERROR(__xludf.DUMMYFUNCTION("""COMPUTED_VALUE"""),"Dheeraj Kumar")</f>
        <v>Dheeraj Kumar</v>
      </c>
      <c r="C232" s="31" t="str">
        <f>IFERROR(__xludf.DUMMYFUNCTION("""COMPUTED_VALUE"""),"imdky173@gmail.com")</f>
        <v>imdky173@gmail.com</v>
      </c>
      <c r="D232" s="84">
        <f>IFERROR(__xludf.DUMMYFUNCTION("""COMPUTED_VALUE"""),9.350065554E9)</f>
        <v>9350065554</v>
      </c>
      <c r="E232" s="94">
        <f>IFERROR(__xludf.DUMMYFUNCTION("""COMPUTED_VALUE"""),45110.0)</f>
        <v>45110</v>
      </c>
      <c r="F232" s="31"/>
      <c r="G232" s="85"/>
      <c r="H232" s="31"/>
      <c r="I232" s="31" t="str">
        <f>IFERROR(__xludf.DUMMYFUNCTION("""COMPUTED_VALUE"""),"Data Engineer - Intern")</f>
        <v>Data Engineer - Intern</v>
      </c>
      <c r="J232" s="31"/>
      <c r="K232" s="31"/>
      <c r="L232" s="31"/>
      <c r="M232" s="31"/>
      <c r="N232" s="31"/>
    </row>
    <row r="233">
      <c r="A233" s="31">
        <f>IFERROR(__xludf.DUMMYFUNCTION("""COMPUTED_VALUE"""),292.0)</f>
        <v>292</v>
      </c>
      <c r="B233" s="31" t="str">
        <f>IFERROR(__xludf.DUMMYFUNCTION("""COMPUTED_VALUE"""),"Lakshay Kapoor")</f>
        <v>Lakshay Kapoor</v>
      </c>
      <c r="C233" s="31" t="str">
        <f>IFERROR(__xludf.DUMMYFUNCTION("""COMPUTED_VALUE"""),"lakshaykapoor2020@gmail.com ")</f>
        <v>lakshaykapoor2020@gmail.com </v>
      </c>
      <c r="D233" s="84">
        <f>IFERROR(__xludf.DUMMYFUNCTION("""COMPUTED_VALUE"""),8.383049428E9)</f>
        <v>8383049428</v>
      </c>
      <c r="E233" s="94">
        <f>IFERROR(__xludf.DUMMYFUNCTION("""COMPUTED_VALUE"""),45110.0)</f>
        <v>45110</v>
      </c>
      <c r="F233" s="31"/>
      <c r="G233" s="85"/>
      <c r="H233" s="31"/>
      <c r="I233" s="31" t="str">
        <f>IFERROR(__xludf.DUMMYFUNCTION("""COMPUTED_VALUE"""),"Data Engineer - Intern")</f>
        <v>Data Engineer - Intern</v>
      </c>
      <c r="J233" s="31"/>
      <c r="K233" s="31"/>
      <c r="L233" s="31"/>
      <c r="M233" s="31"/>
      <c r="N233" s="31"/>
    </row>
    <row r="234">
      <c r="A234" s="31">
        <f>IFERROR(__xludf.DUMMYFUNCTION("""COMPUTED_VALUE"""),293.0)</f>
        <v>293</v>
      </c>
      <c r="B234" s="31" t="str">
        <f>IFERROR(__xludf.DUMMYFUNCTION("""COMPUTED_VALUE"""),"Kailash Lakshmikanth")</f>
        <v>Kailash Lakshmikanth</v>
      </c>
      <c r="C234" s="31" t="str">
        <f>IFERROR(__xludf.DUMMYFUNCTION("""COMPUTED_VALUE"""),"be18b004@smail.iitm.ac.in")</f>
        <v>be18b004@smail.iitm.ac.in</v>
      </c>
      <c r="D234" s="84">
        <f>IFERROR(__xludf.DUMMYFUNCTION("""COMPUTED_VALUE"""),6.380044291E9)</f>
        <v>6380044291</v>
      </c>
      <c r="E234" s="94">
        <f>IFERROR(__xludf.DUMMYFUNCTION("""COMPUTED_VALUE"""),45117.0)</f>
        <v>45117</v>
      </c>
      <c r="F234" s="31"/>
      <c r="G234" s="85"/>
      <c r="H234" s="31"/>
      <c r="I234" s="31" t="str">
        <f>IFERROR(__xludf.DUMMYFUNCTION("""COMPUTED_VALUE"""),"Executive- Founder's Office")</f>
        <v>Executive- Founder's Office</v>
      </c>
      <c r="J234" s="31"/>
      <c r="K234" s="31"/>
      <c r="L234" s="31"/>
      <c r="M234" s="31"/>
      <c r="N234" s="31"/>
    </row>
    <row r="235">
      <c r="A235" s="31">
        <f>IFERROR(__xludf.DUMMYFUNCTION("""COMPUTED_VALUE"""),294.0)</f>
        <v>294</v>
      </c>
      <c r="B235" s="31" t="str">
        <f>IFERROR(__xludf.DUMMYFUNCTION("""COMPUTED_VALUE"""),"Shirish Shubhanker")</f>
        <v>Shirish Shubhanker</v>
      </c>
      <c r="C235" s="31" t="str">
        <f>IFERROR(__xludf.DUMMYFUNCTION("""COMPUTED_VALUE"""),"shubhanker.shirish98@gmail.com")</f>
        <v>shubhanker.shirish98@gmail.com</v>
      </c>
      <c r="D235" s="84">
        <f>IFERROR(__xludf.DUMMYFUNCTION("""COMPUTED_VALUE"""),7.690045551E9)</f>
        <v>7690045551</v>
      </c>
      <c r="E235" s="94">
        <f>IFERROR(__xludf.DUMMYFUNCTION("""COMPUTED_VALUE"""),45117.0)</f>
        <v>45117</v>
      </c>
      <c r="F235" s="31"/>
      <c r="G235" s="85"/>
      <c r="H235" s="31"/>
      <c r="I235" s="31" t="str">
        <f>IFERROR(__xludf.DUMMYFUNCTION("""COMPUTED_VALUE"""),"Senior Data Analyst")</f>
        <v>Senior Data Analyst</v>
      </c>
      <c r="J235" s="31"/>
      <c r="K235" s="31"/>
      <c r="L235" s="31"/>
      <c r="M235" s="31"/>
      <c r="N235" s="31"/>
    </row>
    <row r="236">
      <c r="A236" s="31">
        <f>IFERROR(__xludf.DUMMYFUNCTION("""COMPUTED_VALUE"""),295.0)</f>
        <v>295</v>
      </c>
      <c r="B236" s="31" t="str">
        <f>IFERROR(__xludf.DUMMYFUNCTION("""COMPUTED_VALUE"""),"Gaurav Saxena")</f>
        <v>Gaurav Saxena</v>
      </c>
      <c r="C236" s="31" t="str">
        <f>IFERROR(__xludf.DUMMYFUNCTION("""COMPUTED_VALUE"""),"saxenagaurav51@gmail.com")</f>
        <v>saxenagaurav51@gmail.com</v>
      </c>
      <c r="D236" s="84">
        <f>IFERROR(__xludf.DUMMYFUNCTION("""COMPUTED_VALUE"""),7.838015028E9)</f>
        <v>7838015028</v>
      </c>
      <c r="E236" s="94">
        <f>IFERROR(__xludf.DUMMYFUNCTION("""COMPUTED_VALUE"""),45131.0)</f>
        <v>45131</v>
      </c>
      <c r="F236" s="31"/>
      <c r="G236" s="85"/>
      <c r="H236" s="31"/>
      <c r="I236" s="31" t="str">
        <f>IFERROR(__xludf.DUMMYFUNCTION("""COMPUTED_VALUE"""),"Associate Director - HR")</f>
        <v>Associate Director - HR</v>
      </c>
      <c r="J236" s="31"/>
      <c r="K236" s="31"/>
      <c r="L236" s="31"/>
      <c r="M236" s="31"/>
      <c r="N236" s="31"/>
    </row>
    <row r="237">
      <c r="A237" s="31">
        <f>IFERROR(__xludf.DUMMYFUNCTION("""COMPUTED_VALUE"""),296.0)</f>
        <v>296</v>
      </c>
      <c r="B237" s="31" t="str">
        <f>IFERROR(__xludf.DUMMYFUNCTION("""COMPUTED_VALUE"""),"Varun Yadav")</f>
        <v>Varun Yadav</v>
      </c>
      <c r="C237" s="31" t="str">
        <f>IFERROR(__xludf.DUMMYFUNCTION("""COMPUTED_VALUE"""),"varunrsyadav@gmail.com")</f>
        <v>varunrsyadav@gmail.com</v>
      </c>
      <c r="D237" s="84">
        <f>IFERROR(__xludf.DUMMYFUNCTION("""COMPUTED_VALUE"""),9.663045642E9)</f>
        <v>9663045642</v>
      </c>
      <c r="E237" s="94">
        <f>IFERROR(__xludf.DUMMYFUNCTION("""COMPUTED_VALUE"""),45139.0)</f>
        <v>45139</v>
      </c>
      <c r="F237" s="31"/>
      <c r="G237" s="85"/>
      <c r="H237" s="31"/>
      <c r="I237" s="31" t="str">
        <f>IFERROR(__xludf.DUMMYFUNCTION("""COMPUTED_VALUE"""),"Consultant")</f>
        <v>Consultant</v>
      </c>
      <c r="J237" s="31"/>
      <c r="K237" s="31"/>
      <c r="L237" s="31"/>
      <c r="M237" s="31"/>
      <c r="N237" s="31"/>
    </row>
    <row r="238">
      <c r="A238" s="31">
        <f>IFERROR(__xludf.DUMMYFUNCTION("""COMPUTED_VALUE"""),297.0)</f>
        <v>297</v>
      </c>
      <c r="B238" s="31" t="str">
        <f>IFERROR(__xludf.DUMMYFUNCTION("""COMPUTED_VALUE"""),"Arya Soni")</f>
        <v>Arya Soni</v>
      </c>
      <c r="C238" s="31" t="str">
        <f>IFERROR(__xludf.DUMMYFUNCTION("""COMPUTED_VALUE"""),"aryasoni98@gmail.com ")</f>
        <v>aryasoni98@gmail.com </v>
      </c>
      <c r="D238" s="84">
        <f>IFERROR(__xludf.DUMMYFUNCTION("""COMPUTED_VALUE"""),9.667475014E9)</f>
        <v>9667475014</v>
      </c>
      <c r="E238" s="94">
        <f>IFERROR(__xludf.DUMMYFUNCTION("""COMPUTED_VALUE"""),45139.0)</f>
        <v>45139</v>
      </c>
      <c r="F238" s="31"/>
      <c r="G238" s="85"/>
      <c r="H238" s="31"/>
      <c r="I238" s="31" t="str">
        <f>IFERROR(__xludf.DUMMYFUNCTION("""COMPUTED_VALUE"""),"Devops Intern")</f>
        <v>Devops Intern</v>
      </c>
      <c r="J238" s="31"/>
      <c r="K238" s="31"/>
      <c r="L238" s="31"/>
      <c r="M238" s="31"/>
      <c r="N238" s="31"/>
    </row>
    <row r="239">
      <c r="A239" s="31">
        <f>IFERROR(__xludf.DUMMYFUNCTION("""COMPUTED_VALUE"""),298.0)</f>
        <v>298</v>
      </c>
      <c r="B239" s="31" t="str">
        <f>IFERROR(__xludf.DUMMYFUNCTION("""COMPUTED_VALUE"""),"Vivek Jain")</f>
        <v>Vivek Jain</v>
      </c>
      <c r="C239" s="31" t="str">
        <f>IFERROR(__xludf.DUMMYFUNCTION("""COMPUTED_VALUE"""),"vivek.jain37@gmail.com")</f>
        <v>vivek.jain37@gmail.com</v>
      </c>
      <c r="D239" s="84">
        <f>IFERROR(__xludf.DUMMYFUNCTION("""COMPUTED_VALUE"""),9.953198801E9)</f>
        <v>9953198801</v>
      </c>
      <c r="E239" s="94">
        <f>IFERROR(__xludf.DUMMYFUNCTION("""COMPUTED_VALUE"""),45149.0)</f>
        <v>45149</v>
      </c>
      <c r="F239" s="31"/>
      <c r="G239" s="85"/>
      <c r="H239" s="31"/>
      <c r="I239" s="31" t="str">
        <f>IFERROR(__xludf.DUMMYFUNCTION("""COMPUTED_VALUE"""),"Manager - HR")</f>
        <v>Manager - HR</v>
      </c>
      <c r="J239" s="31"/>
      <c r="K239" s="31"/>
      <c r="L239" s="31"/>
      <c r="M239" s="31"/>
      <c r="N239" s="31"/>
    </row>
    <row r="240">
      <c r="A240" s="31">
        <f>IFERROR(__xludf.DUMMYFUNCTION("""COMPUTED_VALUE"""),299.0)</f>
        <v>299</v>
      </c>
      <c r="B240" s="31" t="str">
        <f>IFERROR(__xludf.DUMMYFUNCTION("""COMPUTED_VALUE"""),"Vinay Pratap")</f>
        <v>Vinay Pratap</v>
      </c>
      <c r="C240" s="31" t="str">
        <f>IFERROR(__xludf.DUMMYFUNCTION("""COMPUTED_VALUE"""),"vinaypratap3110@gmail.com ")</f>
        <v>vinaypratap3110@gmail.com </v>
      </c>
      <c r="D240" s="84">
        <f>IFERROR(__xludf.DUMMYFUNCTION("""COMPUTED_VALUE"""),7.550431318E9)</f>
        <v>7550431318</v>
      </c>
      <c r="E240" s="94">
        <f>IFERROR(__xludf.DUMMYFUNCTION("""COMPUTED_VALUE"""),45148.0)</f>
        <v>45148</v>
      </c>
      <c r="F240" s="31"/>
      <c r="G240" s="85"/>
      <c r="H240" s="31"/>
      <c r="I240" s="31" t="str">
        <f>IFERROR(__xludf.DUMMYFUNCTION("""COMPUTED_VALUE"""),"Devops Intern")</f>
        <v>Devops Intern</v>
      </c>
      <c r="J240" s="31"/>
      <c r="K240" s="31"/>
      <c r="L240" s="31"/>
      <c r="M240" s="31"/>
      <c r="N240" s="31"/>
    </row>
    <row r="241">
      <c r="A241" s="31">
        <f>IFERROR(__xludf.DUMMYFUNCTION("""COMPUTED_VALUE"""),300.0)</f>
        <v>300</v>
      </c>
      <c r="B241" s="31" t="str">
        <f>IFERROR(__xludf.DUMMYFUNCTION("""COMPUTED_VALUE"""),"Pareena Singh")</f>
        <v>Pareena Singh</v>
      </c>
      <c r="C241" s="31" t="str">
        <f>IFERROR(__xludf.DUMMYFUNCTION("""COMPUTED_VALUE"""),"pareena.singh21@gmail.com")</f>
        <v>pareena.singh21@gmail.com</v>
      </c>
      <c r="D241" s="84">
        <f>IFERROR(__xludf.DUMMYFUNCTION("""COMPUTED_VALUE"""),7.838495225E9)</f>
        <v>7838495225</v>
      </c>
      <c r="E241" s="94">
        <f>IFERROR(__xludf.DUMMYFUNCTION("""COMPUTED_VALUE"""),45154.0)</f>
        <v>45154</v>
      </c>
      <c r="F241" s="31"/>
      <c r="G241" s="85"/>
      <c r="H241" s="31"/>
      <c r="I241" s="31" t="str">
        <f>IFERROR(__xludf.DUMMYFUNCTION("""COMPUTED_VALUE"""),"Lead UX Researcher")</f>
        <v>Lead UX Researcher</v>
      </c>
      <c r="J241" s="31"/>
      <c r="K241" s="31"/>
      <c r="L241" s="31"/>
      <c r="M241" s="31"/>
      <c r="N241" s="31"/>
    </row>
    <row r="242">
      <c r="A242" s="31">
        <f>IFERROR(__xludf.DUMMYFUNCTION("""COMPUTED_VALUE"""),301.0)</f>
        <v>301</v>
      </c>
      <c r="B242" s="31" t="str">
        <f>IFERROR(__xludf.DUMMYFUNCTION("""COMPUTED_VALUE"""),"Shikhar Varshney")</f>
        <v>Shikhar Varshney</v>
      </c>
      <c r="C242" s="31" t="str">
        <f>IFERROR(__xludf.DUMMYFUNCTION("""COMPUTED_VALUE""")," shikharvarshney03@gmail.com")</f>
        <v> shikharvarshney03@gmail.com</v>
      </c>
      <c r="D242" s="84">
        <f>IFERROR(__xludf.DUMMYFUNCTION("""COMPUTED_VALUE"""),8.449159038E9)</f>
        <v>8449159038</v>
      </c>
      <c r="E242" s="94">
        <f>IFERROR(__xludf.DUMMYFUNCTION("""COMPUTED_VALUE"""),45170.0)</f>
        <v>45170</v>
      </c>
      <c r="F242" s="31"/>
      <c r="G242" s="85"/>
      <c r="H242" s="31"/>
      <c r="I242" s="31" t="str">
        <f>IFERROR(__xludf.DUMMYFUNCTION("""COMPUTED_VALUE"""),"Market Research  Intern")</f>
        <v>Market Research  Intern</v>
      </c>
      <c r="J242" s="31"/>
      <c r="K242" s="31"/>
      <c r="L242" s="31"/>
      <c r="M242" s="31"/>
      <c r="N242" s="31"/>
    </row>
    <row r="243">
      <c r="A243" s="31">
        <f>IFERROR(__xludf.DUMMYFUNCTION("""COMPUTED_VALUE"""),302.0)</f>
        <v>302</v>
      </c>
      <c r="B243" s="31" t="str">
        <f>IFERROR(__xludf.DUMMYFUNCTION("""COMPUTED_VALUE"""),"Shaurya Upadhyay")</f>
        <v>Shaurya Upadhyay</v>
      </c>
      <c r="C243" s="31" t="str">
        <f>IFERROR(__xludf.DUMMYFUNCTION("""COMPUTED_VALUE"""),"shauryaupadhyay59@gmail.com ")</f>
        <v>shauryaupadhyay59@gmail.com </v>
      </c>
      <c r="D243" s="84">
        <f>IFERROR(__xludf.DUMMYFUNCTION("""COMPUTED_VALUE"""),9.818418781E9)</f>
        <v>9818418781</v>
      </c>
      <c r="E243" s="94">
        <f>IFERROR(__xludf.DUMMYFUNCTION("""COMPUTED_VALUE"""),45173.0)</f>
        <v>45173</v>
      </c>
      <c r="F243" s="31"/>
      <c r="G243" s="85"/>
      <c r="H243" s="31"/>
      <c r="I243" s="31" t="str">
        <f>IFERROR(__xludf.DUMMYFUNCTION("""COMPUTED_VALUE"""),"Security Intern")</f>
        <v>Security Intern</v>
      </c>
      <c r="J243" s="31"/>
      <c r="K243" s="31"/>
      <c r="L243" s="31"/>
      <c r="M243" s="31"/>
      <c r="N243" s="31"/>
    </row>
    <row r="244">
      <c r="A244" s="31">
        <f>IFERROR(__xludf.DUMMYFUNCTION("""COMPUTED_VALUE"""),303.0)</f>
        <v>303</v>
      </c>
      <c r="B244" s="31" t="str">
        <f>IFERROR(__xludf.DUMMYFUNCTION("""COMPUTED_VALUE"""),"Nikunj Aggarwal")</f>
        <v>Nikunj Aggarwal</v>
      </c>
      <c r="C244" s="31" t="str">
        <f>IFERROR(__xludf.DUMMYFUNCTION("""COMPUTED_VALUE"""),"annikunjagg@gmail.com")</f>
        <v>annikunjagg@gmail.com</v>
      </c>
      <c r="D244" s="84">
        <f>IFERROR(__xludf.DUMMYFUNCTION("""COMPUTED_VALUE"""),9.810210616E9)</f>
        <v>9810210616</v>
      </c>
      <c r="E244" s="94">
        <f>IFERROR(__xludf.DUMMYFUNCTION("""COMPUTED_VALUE"""),45174.0)</f>
        <v>45174</v>
      </c>
      <c r="F244" s="31"/>
      <c r="G244" s="85"/>
      <c r="H244" s="31"/>
      <c r="I244" s="31" t="str">
        <f>IFERROR(__xludf.DUMMYFUNCTION("""COMPUTED_VALUE"""),"Software Engineer - Android ")</f>
        <v>Software Engineer - Android </v>
      </c>
      <c r="J244" s="31"/>
      <c r="K244" s="31"/>
      <c r="L244" s="31"/>
      <c r="M244" s="31"/>
      <c r="N244" s="31"/>
    </row>
    <row r="245">
      <c r="A245" s="31">
        <f>IFERROR(__xludf.DUMMYFUNCTION("""COMPUTED_VALUE"""),304.0)</f>
        <v>304</v>
      </c>
      <c r="B245" s="31" t="str">
        <f>IFERROR(__xludf.DUMMYFUNCTION("""COMPUTED_VALUE"""),"Tushar Sharma")</f>
        <v>Tushar Sharma</v>
      </c>
      <c r="C245" s="31" t="str">
        <f>IFERROR(__xludf.DUMMYFUNCTION("""COMPUTED_VALUE"""),"Tushar2419@yahoo.com")</f>
        <v>Tushar2419@yahoo.com</v>
      </c>
      <c r="D245" s="84">
        <f>IFERROR(__xludf.DUMMYFUNCTION("""COMPUTED_VALUE"""),8.851799414E9)</f>
        <v>8851799414</v>
      </c>
      <c r="E245" s="94">
        <f>IFERROR(__xludf.DUMMYFUNCTION("""COMPUTED_VALUE"""),45189.0)</f>
        <v>45189</v>
      </c>
      <c r="F245" s="31"/>
      <c r="G245" s="85"/>
      <c r="H245" s="31"/>
      <c r="I245" s="31" t="str">
        <f>IFERROR(__xludf.DUMMYFUNCTION("""COMPUTED_VALUE"""),"Senior Executive-Finance")</f>
        <v>Senior Executive-Finance</v>
      </c>
      <c r="J245" s="31"/>
      <c r="K245" s="31"/>
      <c r="L245" s="31"/>
      <c r="M245" s="31"/>
      <c r="N245" s="31"/>
    </row>
    <row r="246">
      <c r="A246" s="31">
        <f>IFERROR(__xludf.DUMMYFUNCTION("""COMPUTED_VALUE"""),305.0)</f>
        <v>305</v>
      </c>
      <c r="B246" s="31" t="str">
        <f>IFERROR(__xludf.DUMMYFUNCTION("""COMPUTED_VALUE"""),"Rakesh Kumar")</f>
        <v>Rakesh Kumar</v>
      </c>
      <c r="C246" s="31" t="str">
        <f>IFERROR(__xludf.DUMMYFUNCTION("""COMPUTED_VALUE"""),"rakeshkumarrk35386@gmail.com")</f>
        <v>rakeshkumarrk35386@gmail.com</v>
      </c>
      <c r="D246" s="84">
        <f>IFERROR(__xludf.DUMMYFUNCTION("""COMPUTED_VALUE"""),7.999002836E9)</f>
        <v>7999002836</v>
      </c>
      <c r="E246" s="94">
        <f>IFERROR(__xludf.DUMMYFUNCTION("""COMPUTED_VALUE"""),45189.0)</f>
        <v>45189</v>
      </c>
      <c r="F246" s="31"/>
      <c r="G246" s="85"/>
      <c r="H246" s="31"/>
      <c r="I246" s="31" t="str">
        <f>IFERROR(__xludf.DUMMYFUNCTION("""COMPUTED_VALUE""")," IT Executive")</f>
        <v> IT Executive</v>
      </c>
      <c r="J246" s="31"/>
      <c r="K246" s="31"/>
      <c r="L246" s="31"/>
      <c r="M246" s="31"/>
      <c r="N246" s="31"/>
    </row>
    <row r="247">
      <c r="A247" s="31">
        <f>IFERROR(__xludf.DUMMYFUNCTION("""COMPUTED_VALUE"""),306.0)</f>
        <v>306</v>
      </c>
      <c r="B247" s="31" t="str">
        <f>IFERROR(__xludf.DUMMYFUNCTION("""COMPUTED_VALUE"""),"Ashvani Kumar")</f>
        <v>Ashvani Kumar</v>
      </c>
      <c r="C247" s="31" t="str">
        <f>IFERROR(__xludf.DUMMYFUNCTION("""COMPUTED_VALUE"""),"ashvanikumar180210@gmail.com")</f>
        <v>ashvanikumar180210@gmail.com</v>
      </c>
      <c r="D247" s="84">
        <f>IFERROR(__xludf.DUMMYFUNCTION("""COMPUTED_VALUE"""),9.149230623E9)</f>
        <v>9149230623</v>
      </c>
      <c r="E247" s="94">
        <f>IFERROR(__xludf.DUMMYFUNCTION("""COMPUTED_VALUE"""),45202.0)</f>
        <v>45202</v>
      </c>
      <c r="F247" s="31"/>
      <c r="G247" s="85"/>
      <c r="H247" s="31"/>
      <c r="I247" s="31" t="str">
        <f>IFERROR(__xludf.DUMMYFUNCTION("""COMPUTED_VALUE"""),"Fraud Analyst")</f>
        <v>Fraud Analyst</v>
      </c>
      <c r="J247" s="31"/>
      <c r="K247" s="31"/>
      <c r="L247" s="31"/>
      <c r="M247" s="31"/>
      <c r="N247" s="31"/>
    </row>
    <row r="248">
      <c r="A248" s="31">
        <f>IFERROR(__xludf.DUMMYFUNCTION("""COMPUTED_VALUE"""),307.0)</f>
        <v>307</v>
      </c>
      <c r="B248" s="31" t="str">
        <f>IFERROR(__xludf.DUMMYFUNCTION("""COMPUTED_VALUE"""),"Manmohan Sagar")</f>
        <v>Manmohan Sagar</v>
      </c>
      <c r="C248" s="31" t="str">
        <f>IFERROR(__xludf.DUMMYFUNCTION("""COMPUTED_VALUE"""),"Manmohansagar97@gmail.com")</f>
        <v>Manmohansagar97@gmail.com</v>
      </c>
      <c r="D248" s="84">
        <f>IFERROR(__xludf.DUMMYFUNCTION("""COMPUTED_VALUE"""),8.800739621E9)</f>
        <v>8800739621</v>
      </c>
      <c r="E248" s="94">
        <f>IFERROR(__xludf.DUMMYFUNCTION("""COMPUTED_VALUE"""),45215.0)</f>
        <v>45215</v>
      </c>
      <c r="F248" s="31"/>
      <c r="G248" s="85"/>
      <c r="H248" s="31"/>
      <c r="I248" s="31" t="str">
        <f>IFERROR(__xludf.DUMMYFUNCTION("""COMPUTED_VALUE"""),"Senior Executive- Finance")</f>
        <v>Senior Executive- Finance</v>
      </c>
      <c r="J248" s="31"/>
      <c r="K248" s="31"/>
      <c r="L248" s="31"/>
      <c r="M248" s="31"/>
      <c r="N248" s="31"/>
    </row>
    <row r="249">
      <c r="A249" s="31">
        <f>IFERROR(__xludf.DUMMYFUNCTION("""COMPUTED_VALUE"""),308.0)</f>
        <v>308</v>
      </c>
      <c r="B249" s="31" t="str">
        <f>IFERROR(__xludf.DUMMYFUNCTION("""COMPUTED_VALUE"""),"Amit Singh")</f>
        <v>Amit Singh</v>
      </c>
      <c r="C249" s="31" t="str">
        <f>IFERROR(__xludf.DUMMYFUNCTION("""COMPUTED_VALUE"""),"amitabesit@gmail.com")</f>
        <v>amitabesit@gmail.com</v>
      </c>
      <c r="D249" s="84">
        <f>IFERROR(__xludf.DUMMYFUNCTION("""COMPUTED_VALUE"""),9.711112881E9)</f>
        <v>9711112881</v>
      </c>
      <c r="E249" s="94">
        <f>IFERROR(__xludf.DUMMYFUNCTION("""COMPUTED_VALUE"""),45215.0)</f>
        <v>45215</v>
      </c>
      <c r="F249" s="31"/>
      <c r="G249" s="85"/>
      <c r="H249" s="31"/>
      <c r="I249" s="31" t="str">
        <f>IFERROR(__xludf.DUMMYFUNCTION("""COMPUTED_VALUE"""),"Senior Staff Engineer")</f>
        <v>Senior Staff Engineer</v>
      </c>
      <c r="J249" s="31"/>
      <c r="K249" s="31"/>
      <c r="L249" s="31"/>
      <c r="M249" s="31"/>
      <c r="N249" s="31"/>
    </row>
    <row r="250">
      <c r="A250" s="31">
        <f>IFERROR(__xludf.DUMMYFUNCTION("""COMPUTED_VALUE"""),309.0)</f>
        <v>309</v>
      </c>
      <c r="B250" s="31" t="str">
        <f>IFERROR(__xludf.DUMMYFUNCTION("""COMPUTED_VALUE"""),"Pratik Taltia")</f>
        <v>Pratik Taltia</v>
      </c>
      <c r="C250" s="31" t="str">
        <f>IFERROR(__xludf.DUMMYFUNCTION("""COMPUTED_VALUE"""),"pratiktaltia.a@gmail.com")</f>
        <v>pratiktaltia.a@gmail.com</v>
      </c>
      <c r="D250" s="84">
        <f>IFERROR(__xludf.DUMMYFUNCTION("""COMPUTED_VALUE"""),7.358433457E9)</f>
        <v>7358433457</v>
      </c>
      <c r="E250" s="94">
        <f>IFERROR(__xludf.DUMMYFUNCTION("""COMPUTED_VALUE"""),45217.0)</f>
        <v>45217</v>
      </c>
      <c r="F250" s="31"/>
      <c r="G250" s="85"/>
      <c r="H250" s="31"/>
      <c r="I250" s="31" t="str">
        <f>IFERROR(__xludf.DUMMYFUNCTION("""COMPUTED_VALUE"""),"Product Marketing Executive")</f>
        <v>Product Marketing Executive</v>
      </c>
      <c r="J250" s="31"/>
      <c r="K250" s="31"/>
      <c r="L250" s="31"/>
      <c r="M250" s="31"/>
      <c r="N250" s="31"/>
    </row>
    <row r="251">
      <c r="A251" s="31">
        <f>IFERROR(__xludf.DUMMYFUNCTION("""COMPUTED_VALUE"""),310.0)</f>
        <v>310</v>
      </c>
      <c r="B251" s="31" t="str">
        <f>IFERROR(__xludf.DUMMYFUNCTION("""COMPUTED_VALUE"""),"Sanket Jain")</f>
        <v>Sanket Jain</v>
      </c>
      <c r="C251" s="31" t="str">
        <f>IFERROR(__xludf.DUMMYFUNCTION("""COMPUTED_VALUE"""),"jain.sanket93@gmail.com")</f>
        <v>jain.sanket93@gmail.com</v>
      </c>
      <c r="D251" s="84">
        <f>IFERROR(__xludf.DUMMYFUNCTION("""COMPUTED_VALUE"""),9.818953844E9)</f>
        <v>9818953844</v>
      </c>
      <c r="E251" s="94">
        <f>IFERROR(__xludf.DUMMYFUNCTION("""COMPUTED_VALUE"""),45236.0)</f>
        <v>45236</v>
      </c>
      <c r="F251" s="31"/>
      <c r="G251" s="85"/>
      <c r="H251" s="31"/>
      <c r="I251" s="31" t="str">
        <f>IFERROR(__xludf.DUMMYFUNCTION("""COMPUTED_VALUE"""),"Manager - Strategy")</f>
        <v>Manager - Strategy</v>
      </c>
      <c r="J251" s="31"/>
      <c r="K251" s="31"/>
      <c r="L251" s="31"/>
      <c r="M251" s="31"/>
      <c r="N251" s="31"/>
    </row>
    <row r="252">
      <c r="A252" s="31">
        <f>IFERROR(__xludf.DUMMYFUNCTION("""COMPUTED_VALUE"""),311.0)</f>
        <v>311</v>
      </c>
      <c r="B252" s="31" t="str">
        <f>IFERROR(__xludf.DUMMYFUNCTION("""COMPUTED_VALUE"""),"Sujoy Ghosh")</f>
        <v>Sujoy Ghosh</v>
      </c>
      <c r="C252" s="31" t="str">
        <f>IFERROR(__xludf.DUMMYFUNCTION("""COMPUTED_VALUE"""),"suzoyy@gmail.com")</f>
        <v>suzoyy@gmail.com</v>
      </c>
      <c r="D252" s="84">
        <f>IFERROR(__xludf.DUMMYFUNCTION("""COMPUTED_VALUE"""),9.739922559E9)</f>
        <v>9739922559</v>
      </c>
      <c r="E252" s="94">
        <f>IFERROR(__xludf.DUMMYFUNCTION("""COMPUTED_VALUE"""),45236.0)</f>
        <v>45236</v>
      </c>
      <c r="F252" s="31"/>
      <c r="G252" s="85"/>
      <c r="H252" s="31"/>
      <c r="I252" s="31" t="str">
        <f>IFERROR(__xludf.DUMMYFUNCTION("""COMPUTED_VALUE"""),"Associate Director- Products")</f>
        <v>Associate Director- Products</v>
      </c>
      <c r="J252" s="31"/>
      <c r="K252" s="31"/>
      <c r="L252" s="31"/>
      <c r="M252" s="31"/>
      <c r="N252" s="31"/>
    </row>
    <row r="253">
      <c r="A253" s="31">
        <f>IFERROR(__xludf.DUMMYFUNCTION("""COMPUTED_VALUE"""),312.0)</f>
        <v>312</v>
      </c>
      <c r="B253" s="31" t="str">
        <f>IFERROR(__xludf.DUMMYFUNCTION("""COMPUTED_VALUE"""),"Pradeep Agrawal")</f>
        <v>Pradeep Agrawal</v>
      </c>
      <c r="C253" s="31" t="str">
        <f>IFERROR(__xludf.DUMMYFUNCTION("""COMPUTED_VALUE"""),"pradeepagrawalan1994@gmail.com")</f>
        <v>pradeepagrawalan1994@gmail.com</v>
      </c>
      <c r="D253" s="84">
        <f>IFERROR(__xludf.DUMMYFUNCTION("""COMPUTED_VALUE"""),9.782015101E9)</f>
        <v>9782015101</v>
      </c>
      <c r="E253" s="94">
        <f>IFERROR(__xludf.DUMMYFUNCTION("""COMPUTED_VALUE"""),45237.0)</f>
        <v>45237</v>
      </c>
      <c r="F253" s="31"/>
      <c r="G253" s="85"/>
      <c r="H253" s="31"/>
      <c r="I253" s="31" t="str">
        <f>IFERROR(__xludf.DUMMYFUNCTION("""COMPUTED_VALUE"""),"Lead Data Engineer")</f>
        <v>Lead Data Engineer</v>
      </c>
      <c r="J253" s="31"/>
      <c r="K253" s="31"/>
      <c r="L253" s="31"/>
      <c r="M253" s="31"/>
      <c r="N253" s="31"/>
    </row>
    <row r="254">
      <c r="A254" s="31">
        <f>IFERROR(__xludf.DUMMYFUNCTION("""COMPUTED_VALUE"""),313.0)</f>
        <v>313</v>
      </c>
      <c r="B254" s="31" t="str">
        <f>IFERROR(__xludf.DUMMYFUNCTION("""COMPUTED_VALUE"""),"Shrasti Tomar")</f>
        <v>Shrasti Tomar</v>
      </c>
      <c r="C254" s="31" t="str">
        <f>IFERROR(__xludf.DUMMYFUNCTION("""COMPUTED_VALUE"""),"shrastitomar123@gmail.com")</f>
        <v>shrastitomar123@gmail.com</v>
      </c>
      <c r="D254" s="84">
        <f>IFERROR(__xludf.DUMMYFUNCTION("""COMPUTED_VALUE"""),9.71171279E9)</f>
        <v>9711712790</v>
      </c>
      <c r="E254" s="94">
        <f>IFERROR(__xludf.DUMMYFUNCTION("""COMPUTED_VALUE"""),45246.0)</f>
        <v>45246</v>
      </c>
      <c r="F254" s="31"/>
      <c r="G254" s="85"/>
      <c r="H254" s="31"/>
      <c r="I254" s="31" t="str">
        <f>IFERROR(__xludf.DUMMYFUNCTION("""COMPUTED_VALUE"""),"Data Engineer")</f>
        <v>Data Engineer</v>
      </c>
      <c r="J254" s="31"/>
      <c r="K254" s="31"/>
      <c r="L254" s="31"/>
      <c r="M254" s="31"/>
      <c r="N254" s="31"/>
    </row>
    <row r="255">
      <c r="A255" s="31">
        <f>IFERROR(__xludf.DUMMYFUNCTION("""COMPUTED_VALUE"""),314.0)</f>
        <v>314</v>
      </c>
      <c r="B255" s="31" t="str">
        <f>IFERROR(__xludf.DUMMYFUNCTION("""COMPUTED_VALUE"""),"Prateek Jain")</f>
        <v>Prateek Jain</v>
      </c>
      <c r="C255" s="31" t="str">
        <f>IFERROR(__xludf.DUMMYFUNCTION("""COMPUTED_VALUE"""),"prateekj201@gmail.com")</f>
        <v>prateekj201@gmail.com</v>
      </c>
      <c r="D255" s="84">
        <f>IFERROR(__xludf.DUMMYFUNCTION("""COMPUTED_VALUE"""),9.910763107E9)</f>
        <v>9910763107</v>
      </c>
      <c r="E255" s="94">
        <f>IFERROR(__xludf.DUMMYFUNCTION("""COMPUTED_VALUE"""),45253.0)</f>
        <v>45253</v>
      </c>
      <c r="F255" s="31"/>
      <c r="G255" s="85"/>
      <c r="H255" s="31"/>
      <c r="I255" s="31" t="str">
        <f>IFERROR(__xludf.DUMMYFUNCTION("""COMPUTED_VALUE"""),"Staff Engineer")</f>
        <v>Staff Engineer</v>
      </c>
      <c r="J255" s="31"/>
      <c r="K255" s="31"/>
      <c r="L255" s="31"/>
      <c r="M255" s="31"/>
      <c r="N255" s="31"/>
    </row>
    <row r="256">
      <c r="A256" s="31">
        <f>IFERROR(__xludf.DUMMYFUNCTION("""COMPUTED_VALUE"""),315.0)</f>
        <v>315</v>
      </c>
      <c r="B256" s="31" t="str">
        <f>IFERROR(__xludf.DUMMYFUNCTION("""COMPUTED_VALUE"""),"Satyam Jaiswal")</f>
        <v>Satyam Jaiswal</v>
      </c>
      <c r="C256" s="31" t="str">
        <f>IFERROR(__xludf.DUMMYFUNCTION("""COMPUTED_VALUE"""),"satyamjaiswal8828@gmail.com")</f>
        <v>satyamjaiswal8828@gmail.com</v>
      </c>
      <c r="D256" s="84">
        <f>IFERROR(__xludf.DUMMYFUNCTION("""COMPUTED_VALUE"""),7.318358838E9)</f>
        <v>7318358838</v>
      </c>
      <c r="E256" s="94">
        <f>IFERROR(__xludf.DUMMYFUNCTION("""COMPUTED_VALUE"""),45258.0)</f>
        <v>45258</v>
      </c>
      <c r="F256" s="31"/>
      <c r="G256" s="85"/>
      <c r="H256" s="31"/>
      <c r="I256" s="31"/>
      <c r="J256" s="31"/>
      <c r="K256" s="31"/>
      <c r="L256" s="31"/>
      <c r="M256" s="31"/>
      <c r="N256" s="31"/>
    </row>
    <row r="257">
      <c r="A257" s="31">
        <f>IFERROR(__xludf.DUMMYFUNCTION("""COMPUTED_VALUE"""),316.0)</f>
        <v>316</v>
      </c>
      <c r="B257" s="31" t="str">
        <f>IFERROR(__xludf.DUMMYFUNCTION("""COMPUTED_VALUE"""),"Tushar Rajendra Patil")</f>
        <v>Tushar Rajendra Patil</v>
      </c>
      <c r="C257" s="31" t="str">
        <f>IFERROR(__xludf.DUMMYFUNCTION("""COMPUTED_VALUE"""),"tusharpatil487@gmail.com")</f>
        <v>tusharpatil487@gmail.com</v>
      </c>
      <c r="D257" s="84">
        <f>IFERROR(__xludf.DUMMYFUNCTION("""COMPUTED_VALUE"""),7.97710755E9)</f>
        <v>7977107550</v>
      </c>
      <c r="E257" s="94">
        <f>IFERROR(__xludf.DUMMYFUNCTION("""COMPUTED_VALUE"""),45261.0)</f>
        <v>45261</v>
      </c>
      <c r="F257" s="31"/>
      <c r="G257" s="85"/>
      <c r="H257" s="31"/>
      <c r="I257" s="31" t="str">
        <f>IFERROR(__xludf.DUMMYFUNCTION("""COMPUTED_VALUE"""),"Machine Learning Engineer")</f>
        <v>Machine Learning Engineer</v>
      </c>
      <c r="J257" s="31"/>
      <c r="K257" s="31"/>
      <c r="L257" s="31"/>
      <c r="M257" s="31"/>
      <c r="N257" s="31"/>
    </row>
    <row r="258">
      <c r="A258" s="31">
        <f>IFERROR(__xludf.DUMMYFUNCTION("""COMPUTED_VALUE"""),317.0)</f>
        <v>317</v>
      </c>
      <c r="B258" s="31" t="str">
        <f>IFERROR(__xludf.DUMMYFUNCTION("""COMPUTED_VALUE"""),"Anjali")</f>
        <v>Anjali</v>
      </c>
      <c r="C258" s="31" t="str">
        <f>IFERROR(__xludf.DUMMYFUNCTION("""COMPUTED_VALUE"""),"annirai345@gmail.com")</f>
        <v>annirai345@gmail.com</v>
      </c>
      <c r="D258" s="84">
        <f>IFERROR(__xludf.DUMMYFUNCTION("""COMPUTED_VALUE"""),9.540863058E9)</f>
        <v>9540863058</v>
      </c>
      <c r="E258" s="94">
        <f>IFERROR(__xludf.DUMMYFUNCTION("""COMPUTED_VALUE"""),45266.0)</f>
        <v>45266</v>
      </c>
      <c r="F258" s="31"/>
      <c r="G258" s="85"/>
      <c r="H258" s="31"/>
      <c r="I258" s="31" t="str">
        <f>IFERROR(__xludf.DUMMYFUNCTION("""COMPUTED_VALUE"""),"Quality Auditor-Executive")</f>
        <v>Quality Auditor-Executive</v>
      </c>
      <c r="J258" s="31"/>
      <c r="K258" s="31"/>
      <c r="L258" s="31"/>
      <c r="M258" s="31"/>
      <c r="N258" s="31"/>
    </row>
    <row r="259">
      <c r="A259" s="31">
        <f>IFERROR(__xludf.DUMMYFUNCTION("""COMPUTED_VALUE"""),318.0)</f>
        <v>318</v>
      </c>
      <c r="B259" s="31" t="str">
        <f>IFERROR(__xludf.DUMMYFUNCTION("""COMPUTED_VALUE"""),"Mohit Singh Rathore")</f>
        <v>Mohit Singh Rathore</v>
      </c>
      <c r="C259" s="31" t="str">
        <f>IFERROR(__xludf.DUMMYFUNCTION("""COMPUTED_VALUE"""),"singhrathoremohit@gmail.com")</f>
        <v>singhrathoremohit@gmail.com</v>
      </c>
      <c r="D259" s="84">
        <f>IFERROR(__xludf.DUMMYFUNCTION("""COMPUTED_VALUE"""),7.410851411E9)</f>
        <v>7410851411</v>
      </c>
      <c r="E259" s="94">
        <f>IFERROR(__xludf.DUMMYFUNCTION("""COMPUTED_VALUE"""),45268.0)</f>
        <v>45268</v>
      </c>
      <c r="F259" s="31"/>
      <c r="G259" s="85"/>
      <c r="H259" s="31"/>
      <c r="I259" s="31" t="str">
        <f>IFERROR(__xludf.DUMMYFUNCTION("""COMPUTED_VALUE"""),"Software Engineer")</f>
        <v>Software Engineer</v>
      </c>
      <c r="J259" s="31"/>
      <c r="K259" s="31"/>
      <c r="L259" s="31"/>
      <c r="M259" s="31"/>
      <c r="N259" s="31"/>
    </row>
    <row r="260">
      <c r="A260" s="31">
        <f>IFERROR(__xludf.DUMMYFUNCTION("""COMPUTED_VALUE"""),319.0)</f>
        <v>319</v>
      </c>
      <c r="B260" s="31" t="str">
        <f>IFERROR(__xludf.DUMMYFUNCTION("""COMPUTED_VALUE"""),"Abhishek Goyal")</f>
        <v>Abhishek Goyal</v>
      </c>
      <c r="C260" s="31" t="str">
        <f>IFERROR(__xludf.DUMMYFUNCTION("""COMPUTED_VALUE"""),"goyal.abhishek28@gmail.com")</f>
        <v>goyal.abhishek28@gmail.com</v>
      </c>
      <c r="D260" s="84">
        <f>IFERROR(__xludf.DUMMYFUNCTION("""COMPUTED_VALUE"""),7.974831301E9)</f>
        <v>7974831301</v>
      </c>
      <c r="E260" s="94">
        <f>IFERROR(__xludf.DUMMYFUNCTION("""COMPUTED_VALUE"""),45271.0)</f>
        <v>45271</v>
      </c>
      <c r="F260" s="31"/>
      <c r="G260" s="85"/>
      <c r="H260" s="31"/>
      <c r="I260" s="31" t="str">
        <f>IFERROR(__xludf.DUMMYFUNCTION("""COMPUTED_VALUE"""),"Manager - Strategy")</f>
        <v>Manager - Strategy</v>
      </c>
      <c r="J260" s="31"/>
      <c r="K260" s="31"/>
      <c r="L260" s="31"/>
      <c r="M260" s="31"/>
      <c r="N260" s="31"/>
    </row>
    <row r="261">
      <c r="A261" s="31">
        <f>IFERROR(__xludf.DUMMYFUNCTION("""COMPUTED_VALUE"""),320.0)</f>
        <v>320</v>
      </c>
      <c r="B261" s="31" t="str">
        <f>IFERROR(__xludf.DUMMYFUNCTION("""COMPUTED_VALUE"""),"Gaurav Khanna")</f>
        <v>Gaurav Khanna</v>
      </c>
      <c r="C261" s="31" t="str">
        <f>IFERROR(__xludf.DUMMYFUNCTION("""COMPUTED_VALUE"""),"g29.khanna@yahoo.co.in")</f>
        <v>g29.khanna@yahoo.co.in</v>
      </c>
      <c r="D261" s="84">
        <f>IFERROR(__xludf.DUMMYFUNCTION("""COMPUTED_VALUE"""),8.826268269E9)</f>
        <v>8826268269</v>
      </c>
      <c r="E261" s="94">
        <f>IFERROR(__xludf.DUMMYFUNCTION("""COMPUTED_VALUE"""),45271.0)</f>
        <v>45271</v>
      </c>
      <c r="F261" s="31"/>
      <c r="G261" s="85"/>
      <c r="H261" s="31"/>
      <c r="I261" s="31" t="str">
        <f>IFERROR(__xludf.DUMMYFUNCTION("""COMPUTED_VALUE"""),"AM-Administration")</f>
        <v>AM-Administration</v>
      </c>
      <c r="J261" s="31"/>
      <c r="K261" s="31"/>
      <c r="L261" s="31"/>
      <c r="M261" s="31"/>
      <c r="N261" s="31"/>
    </row>
    <row r="262">
      <c r="A262" s="31">
        <f>IFERROR(__xludf.DUMMYFUNCTION("""COMPUTED_VALUE"""),321.0)</f>
        <v>321</v>
      </c>
      <c r="B262" s="31" t="str">
        <f>IFERROR(__xludf.DUMMYFUNCTION("""COMPUTED_VALUE"""),"Mohit Bakshi")</f>
        <v>Mohit Bakshi</v>
      </c>
      <c r="C262" s="31" t="str">
        <f>IFERROR(__xludf.DUMMYFUNCTION("""COMPUTED_VALUE"""),"mohit19bakshi@gmail.com")</f>
        <v>mohit19bakshi@gmail.com</v>
      </c>
      <c r="D262" s="84">
        <f>IFERROR(__xludf.DUMMYFUNCTION("""COMPUTED_VALUE"""),6.003534136E9)</f>
        <v>6003534136</v>
      </c>
      <c r="E262" s="94">
        <f>IFERROR(__xludf.DUMMYFUNCTION("""COMPUTED_VALUE"""),45271.0)</f>
        <v>45271</v>
      </c>
      <c r="F262" s="31"/>
      <c r="G262" s="85"/>
      <c r="H262" s="31"/>
      <c r="I262" s="31" t="str">
        <f>IFERROR(__xludf.DUMMYFUNCTION("""COMPUTED_VALUE"""),"Software Engineer Trainee")</f>
        <v>Software Engineer Trainee</v>
      </c>
      <c r="J262" s="31"/>
      <c r="K262" s="31"/>
      <c r="L262" s="31"/>
      <c r="M262" s="31"/>
      <c r="N262" s="31"/>
    </row>
    <row r="263">
      <c r="A263" s="31">
        <f>IFERROR(__xludf.DUMMYFUNCTION("""COMPUTED_VALUE"""),322.0)</f>
        <v>322</v>
      </c>
      <c r="B263" s="31" t="str">
        <f>IFERROR(__xludf.DUMMYFUNCTION("""COMPUTED_VALUE"""),"Rajkumar Singh")</f>
        <v>Rajkumar Singh</v>
      </c>
      <c r="C263" s="31" t="str">
        <f>IFERROR(__xludf.DUMMYFUNCTION("""COMPUTED_VALUE"""),"rajdainy@gmail.com")</f>
        <v>rajdainy@gmail.com</v>
      </c>
      <c r="D263" s="84">
        <f>IFERROR(__xludf.DUMMYFUNCTION("""COMPUTED_VALUE"""),8.285299131E9)</f>
        <v>8285299131</v>
      </c>
      <c r="E263" s="94">
        <f>IFERROR(__xludf.DUMMYFUNCTION("""COMPUTED_VALUE"""),45272.0)</f>
        <v>45272</v>
      </c>
      <c r="F263" s="31"/>
      <c r="G263" s="85"/>
      <c r="H263" s="31"/>
      <c r="I263" s="31" t="str">
        <f>IFERROR(__xludf.DUMMYFUNCTION("""COMPUTED_VALUE"""),"Manager- IT Administration")</f>
        <v>Manager- IT Administration</v>
      </c>
      <c r="J263" s="31"/>
      <c r="K263" s="31"/>
      <c r="L263" s="31"/>
      <c r="M263" s="31"/>
      <c r="N263" s="31"/>
    </row>
    <row r="264">
      <c r="A264" s="31">
        <f>IFERROR(__xludf.DUMMYFUNCTION("""COMPUTED_VALUE"""),323.0)</f>
        <v>323</v>
      </c>
      <c r="B264" s="31" t="str">
        <f>IFERROR(__xludf.DUMMYFUNCTION("""COMPUTED_VALUE"""),"Adhip Kushwaha")</f>
        <v>Adhip Kushwaha</v>
      </c>
      <c r="C264" s="31" t="str">
        <f>IFERROR(__xludf.DUMMYFUNCTION("""COMPUTED_VALUE"""),"adhipkushwaha@gmail.com")</f>
        <v>adhipkushwaha@gmail.com</v>
      </c>
      <c r="D264" s="84">
        <f>IFERROR(__xludf.DUMMYFUNCTION("""COMPUTED_VALUE"""),9.899277132E9)</f>
        <v>9899277132</v>
      </c>
      <c r="E264" s="94">
        <f>IFERROR(__xludf.DUMMYFUNCTION("""COMPUTED_VALUE"""),45273.0)</f>
        <v>45273</v>
      </c>
      <c r="F264" s="31"/>
      <c r="G264" s="85"/>
      <c r="H264" s="31"/>
      <c r="I264" s="31" t="str">
        <f>IFERROR(__xludf.DUMMYFUNCTION("""COMPUTED_VALUE"""),"Software Engineer - Android")</f>
        <v>Software Engineer - Android</v>
      </c>
      <c r="J264" s="31"/>
      <c r="K264" s="31"/>
      <c r="L264" s="31"/>
      <c r="M264" s="31"/>
      <c r="N264" s="31"/>
    </row>
    <row r="265">
      <c r="A265" s="31">
        <f>IFERROR(__xludf.DUMMYFUNCTION("""COMPUTED_VALUE"""),324.0)</f>
        <v>324</v>
      </c>
      <c r="B265" s="31" t="str">
        <f>IFERROR(__xludf.DUMMYFUNCTION("""COMPUTED_VALUE"""),"Sucheta Sharma")</f>
        <v>Sucheta Sharma</v>
      </c>
      <c r="C265" s="31" t="str">
        <f>IFERROR(__xludf.DUMMYFUNCTION("""COMPUTED_VALUE""")," sssuchetasharma@gmail.com")</f>
        <v> sssuchetasharma@gmail.com</v>
      </c>
      <c r="D265" s="84">
        <f>IFERROR(__xludf.DUMMYFUNCTION("""COMPUTED_VALUE"""),7.89896444E9)</f>
        <v>7898964440</v>
      </c>
      <c r="E265" s="94">
        <f>IFERROR(__xludf.DUMMYFUNCTION("""COMPUTED_VALUE"""),45275.0)</f>
        <v>45275</v>
      </c>
      <c r="F265" s="31"/>
      <c r="G265" s="85"/>
      <c r="H265" s="31"/>
      <c r="I265" s="31" t="str">
        <f>IFERROR(__xludf.DUMMYFUNCTION("""COMPUTED_VALUE"""),"Manager - Finance")</f>
        <v>Manager - Finance</v>
      </c>
      <c r="J265" s="31"/>
      <c r="K265" s="31"/>
      <c r="L265" s="31"/>
      <c r="M265" s="31"/>
      <c r="N265" s="31"/>
    </row>
    <row r="266">
      <c r="A266" s="31">
        <f>IFERROR(__xludf.DUMMYFUNCTION("""COMPUTED_VALUE"""),325.0)</f>
        <v>325</v>
      </c>
      <c r="B266" s="31" t="str">
        <f>IFERROR(__xludf.DUMMYFUNCTION("""COMPUTED_VALUE"""),"Mohini Bhardwaj")</f>
        <v>Mohini Bhardwaj</v>
      </c>
      <c r="C266" s="31" t="str">
        <f>IFERROR(__xludf.DUMMYFUNCTION("""COMPUTED_VALUE"""),"Bhardwajcm@gmail.com")</f>
        <v>Bhardwajcm@gmail.com</v>
      </c>
      <c r="D266" s="84">
        <f>IFERROR(__xludf.DUMMYFUNCTION("""COMPUTED_VALUE"""),9.6500412E9)</f>
        <v>9650041200</v>
      </c>
      <c r="E266" s="94">
        <f>IFERROR(__xludf.DUMMYFUNCTION("""COMPUTED_VALUE"""),45294.0)</f>
        <v>45294</v>
      </c>
      <c r="F266" s="31"/>
      <c r="G266" s="85"/>
      <c r="H266" s="31"/>
      <c r="I266" s="31" t="str">
        <f>IFERROR(__xludf.DUMMYFUNCTION("""COMPUTED_VALUE"""),"Senior Manager - Customer Experience")</f>
        <v>Senior Manager - Customer Experience</v>
      </c>
      <c r="J266" s="31"/>
      <c r="K266" s="31"/>
      <c r="L266" s="31"/>
      <c r="M266" s="31"/>
      <c r="N266" s="31"/>
    </row>
    <row r="267">
      <c r="A267" s="31">
        <f>IFERROR(__xludf.DUMMYFUNCTION("""COMPUTED_VALUE"""),326.0)</f>
        <v>326</v>
      </c>
      <c r="B267" s="31" t="str">
        <f>IFERROR(__xludf.DUMMYFUNCTION("""COMPUTED_VALUE"""),"Jatin Kinra")</f>
        <v>Jatin Kinra</v>
      </c>
      <c r="C267" s="31" t="str">
        <f>IFERROR(__xludf.DUMMYFUNCTION("""COMPUTED_VALUE"""),"jatin.kinra95@gmail.com""")</f>
        <v>jatin.kinra95@gmail.com"</v>
      </c>
      <c r="D267" s="84">
        <f>IFERROR(__xludf.DUMMYFUNCTION("""COMPUTED_VALUE"""),9.557854494E9)</f>
        <v>9557854494</v>
      </c>
      <c r="E267" s="94">
        <f>IFERROR(__xludf.DUMMYFUNCTION("""COMPUTED_VALUE"""),45294.0)</f>
        <v>45294</v>
      </c>
      <c r="F267" s="31"/>
      <c r="G267" s="85"/>
      <c r="H267" s="31"/>
      <c r="I267" s="31" t="str">
        <f>IFERROR(__xludf.DUMMYFUNCTION("""COMPUTED_VALUE"""),"Senior Software Engineer")</f>
        <v>Senior Software Engineer</v>
      </c>
      <c r="J267" s="31"/>
      <c r="K267" s="31"/>
      <c r="L267" s="31"/>
      <c r="M267" s="31"/>
      <c r="N267" s="31"/>
    </row>
    <row r="268">
      <c r="A268" s="31">
        <f>IFERROR(__xludf.DUMMYFUNCTION("""COMPUTED_VALUE"""),327.0)</f>
        <v>327</v>
      </c>
      <c r="B268" s="31" t="str">
        <f>IFERROR(__xludf.DUMMYFUNCTION("""COMPUTED_VALUE"""),"Kailash ")</f>
        <v>Kailash </v>
      </c>
      <c r="C268" s="31" t="str">
        <f>IFERROR(__xludf.DUMMYFUNCTION("""COMPUTED_VALUE"""),"kailashlalta01@gmail.com")</f>
        <v>kailashlalta01@gmail.com</v>
      </c>
      <c r="D268" s="84">
        <f>IFERROR(__xludf.DUMMYFUNCTION("""COMPUTED_VALUE"""),9.882223818E9)</f>
        <v>9882223818</v>
      </c>
      <c r="E268" s="94">
        <f>IFERROR(__xludf.DUMMYFUNCTION("""COMPUTED_VALUE"""),45299.0)</f>
        <v>45299</v>
      </c>
      <c r="F268" s="31"/>
      <c r="G268" s="85" t="str">
        <f>IFERROR(__xludf.DUMMYFUNCTION("""COMPUTED_VALUE"""),"House number 18th, Gurjivan Vihar, Near dental care implant centre, Dhakoli Zirakpur. 160104
")</f>
        <v>House number 18th, Gurjivan Vihar, Near dental care implant centre, Dhakoli Zirakpur. 160104
</v>
      </c>
      <c r="H268" s="31"/>
      <c r="I268" s="31" t="str">
        <f>IFERROR(__xludf.DUMMYFUNCTION("""COMPUTED_VALUE"""),"Customer Support Executive")</f>
        <v>Customer Support Executive</v>
      </c>
      <c r="J268" s="31"/>
      <c r="K268" s="31"/>
      <c r="L268" s="31"/>
      <c r="M268" s="31"/>
      <c r="N268" s="31"/>
    </row>
    <row r="269">
      <c r="A269" s="31">
        <f>IFERROR(__xludf.DUMMYFUNCTION("""COMPUTED_VALUE"""),328.0)</f>
        <v>328</v>
      </c>
      <c r="B269" s="31" t="str">
        <f>IFERROR(__xludf.DUMMYFUNCTION("""COMPUTED_VALUE"""),"Himanshu Sharma")</f>
        <v>Himanshu Sharma</v>
      </c>
      <c r="C269" s="31" t="str">
        <f>IFERROR(__xludf.DUMMYFUNCTION("""COMPUTED_VALUE"""),"12himanshusharma@gmail.com")</f>
        <v>12himanshusharma@gmail.com</v>
      </c>
      <c r="D269" s="84">
        <f>IFERROR(__xludf.DUMMYFUNCTION("""COMPUTED_VALUE"""),9.65081829E9)</f>
        <v>9650818290</v>
      </c>
      <c r="E269" s="94">
        <f>IFERROR(__xludf.DUMMYFUNCTION("""COMPUTED_VALUE"""),45299.0)</f>
        <v>45299</v>
      </c>
      <c r="F269" s="31"/>
      <c r="G269" s="85"/>
      <c r="H269" s="31"/>
      <c r="I269" s="31" t="str">
        <f>IFERROR(__xludf.DUMMYFUNCTION("""COMPUTED_VALUE"""),"Senioe Associate Graphic Designer")</f>
        <v>Senioe Associate Graphic Designer</v>
      </c>
      <c r="J269" s="31"/>
      <c r="K269" s="31"/>
      <c r="L269" s="31"/>
      <c r="M269" s="31"/>
      <c r="N269" s="31"/>
    </row>
    <row r="270">
      <c r="A270" s="31">
        <f>IFERROR(__xludf.DUMMYFUNCTION("""COMPUTED_VALUE"""),329.0)</f>
        <v>329</v>
      </c>
      <c r="B270" s="31" t="str">
        <f>IFERROR(__xludf.DUMMYFUNCTION("""COMPUTED_VALUE"""),"Satish Chandra")</f>
        <v>Satish Chandra</v>
      </c>
      <c r="C270" s="31" t="str">
        <f>IFERROR(__xludf.DUMMYFUNCTION("""COMPUTED_VALUE"""),"satishck1992@gmail.com")</f>
        <v>satishck1992@gmail.com</v>
      </c>
      <c r="D270" s="84">
        <f>IFERROR(__xludf.DUMMYFUNCTION("""COMPUTED_VALUE"""),9.560488236E9)</f>
        <v>9560488236</v>
      </c>
      <c r="E270" s="94">
        <f>IFERROR(__xludf.DUMMYFUNCTION("""COMPUTED_VALUE"""),45299.0)</f>
        <v>45299</v>
      </c>
      <c r="F270" s="31"/>
      <c r="G270" s="85"/>
      <c r="H270" s="31"/>
      <c r="I270" s="31" t="str">
        <f>IFERROR(__xludf.DUMMYFUNCTION("""COMPUTED_VALUE"""),"Staff Engineer")</f>
        <v>Staff Engineer</v>
      </c>
      <c r="J270" s="31"/>
      <c r="K270" s="31"/>
      <c r="L270" s="31"/>
      <c r="M270" s="31"/>
      <c r="N270" s="31"/>
    </row>
    <row r="271">
      <c r="A271" s="31">
        <f>IFERROR(__xludf.DUMMYFUNCTION("""COMPUTED_VALUE"""),330.0)</f>
        <v>330</v>
      </c>
      <c r="B271" s="31" t="str">
        <f>IFERROR(__xludf.DUMMYFUNCTION("""COMPUTED_VALUE"""),"Mohit Singh ")</f>
        <v>Mohit Singh </v>
      </c>
      <c r="C271" s="31" t="str">
        <f>IFERROR(__xludf.DUMMYFUNCTION("""COMPUTED_VALUE"""),"mohitthearies@gmail.com")</f>
        <v>mohitthearies@gmail.com</v>
      </c>
      <c r="D271" s="84">
        <f>IFERROR(__xludf.DUMMYFUNCTION("""COMPUTED_VALUE"""),9.971796816E9)</f>
        <v>9971796816</v>
      </c>
      <c r="E271" s="94">
        <f>IFERROR(__xludf.DUMMYFUNCTION("""COMPUTED_VALUE"""),45301.0)</f>
        <v>45301</v>
      </c>
      <c r="F271" s="31"/>
      <c r="G271" s="85"/>
      <c r="H271" s="31"/>
      <c r="I271" s="31" t="str">
        <f>IFERROR(__xludf.DUMMYFUNCTION("""COMPUTED_VALUE"""),"SEO Content Writer")</f>
        <v>SEO Content Writer</v>
      </c>
      <c r="J271" s="31"/>
      <c r="K271" s="31"/>
      <c r="L271" s="31"/>
      <c r="M271" s="31"/>
      <c r="N271" s="31"/>
    </row>
    <row r="272">
      <c r="A272" s="31">
        <f>IFERROR(__xludf.DUMMYFUNCTION("""COMPUTED_VALUE"""),331.0)</f>
        <v>331</v>
      </c>
      <c r="B272" s="31" t="str">
        <f>IFERROR(__xludf.DUMMYFUNCTION("""COMPUTED_VALUE"""),"Tarun Talan")</f>
        <v>Tarun Talan</v>
      </c>
      <c r="C272" s="31" t="str">
        <f>IFERROR(__xludf.DUMMYFUNCTION("""COMPUTED_VALUE"""),"tarun.talan007@gmail.com")</f>
        <v>tarun.talan007@gmail.com</v>
      </c>
      <c r="D272" s="84">
        <f>IFERROR(__xludf.DUMMYFUNCTION("""COMPUTED_VALUE"""),8.92990042E9)</f>
        <v>8929900420</v>
      </c>
      <c r="E272" s="94">
        <f>IFERROR(__xludf.DUMMYFUNCTION("""COMPUTED_VALUE"""),45306.0)</f>
        <v>45306</v>
      </c>
      <c r="F272" s="31"/>
      <c r="G272" s="85"/>
      <c r="H272" s="31"/>
      <c r="I272" s="31" t="str">
        <f>IFERROR(__xludf.DUMMYFUNCTION("""COMPUTED_VALUE"""),"Customer Support Executive")</f>
        <v>Customer Support Executive</v>
      </c>
      <c r="J272" s="31"/>
      <c r="K272" s="31"/>
      <c r="L272" s="31"/>
      <c r="M272" s="31"/>
      <c r="N272" s="31"/>
    </row>
    <row r="273">
      <c r="A273" s="31">
        <f>IFERROR(__xludf.DUMMYFUNCTION("""COMPUTED_VALUE"""),332.0)</f>
        <v>332</v>
      </c>
      <c r="B273" s="31" t="str">
        <f>IFERROR(__xludf.DUMMYFUNCTION("""COMPUTED_VALUE""")," Abhishek Mishra")</f>
        <v> Abhishek Mishra</v>
      </c>
      <c r="C273" s="31" t="str">
        <f>IFERROR(__xludf.DUMMYFUNCTION("""COMPUTED_VALUE"""),"abhishekmishram1@gmail.com")</f>
        <v>abhishekmishram1@gmail.com</v>
      </c>
      <c r="D273" s="84">
        <f>IFERROR(__xludf.DUMMYFUNCTION("""COMPUTED_VALUE"""),9.140467339E9)</f>
        <v>9140467339</v>
      </c>
      <c r="E273" s="94">
        <f>IFERROR(__xludf.DUMMYFUNCTION("""COMPUTED_VALUE"""),45308.0)</f>
        <v>45308</v>
      </c>
      <c r="F273" s="31"/>
      <c r="G273" s="85"/>
      <c r="H273" s="31"/>
      <c r="I273" s="31" t="str">
        <f>IFERROR(__xludf.DUMMYFUNCTION("""COMPUTED_VALUE"""),"Senior Fraud Analyst")</f>
        <v>Senior Fraud Analyst</v>
      </c>
      <c r="J273" s="31"/>
      <c r="K273" s="31"/>
      <c r="L273" s="31"/>
      <c r="M273" s="31"/>
      <c r="N273" s="31"/>
    </row>
    <row r="274">
      <c r="A274" s="31">
        <f>IFERROR(__xludf.DUMMYFUNCTION("""COMPUTED_VALUE"""),333.0)</f>
        <v>333</v>
      </c>
      <c r="B274" s="31" t="str">
        <f>IFERROR(__xludf.DUMMYFUNCTION("""COMPUTED_VALUE"""),"Mohit Choudhary")</f>
        <v>Mohit Choudhary</v>
      </c>
      <c r="C274" s="31" t="str">
        <f>IFERROR(__xludf.DUMMYFUNCTION("""COMPUTED_VALUE"""),"choudharymohit1907@gmail.com")</f>
        <v>choudharymohit1907@gmail.com</v>
      </c>
      <c r="D274" s="84">
        <f>IFERROR(__xludf.DUMMYFUNCTION("""COMPUTED_VALUE"""),8.561946709E9)</f>
        <v>8561946709</v>
      </c>
      <c r="E274" s="94">
        <f>IFERROR(__xludf.DUMMYFUNCTION("""COMPUTED_VALUE"""),45309.0)</f>
        <v>45309</v>
      </c>
      <c r="F274" s="31"/>
      <c r="G274" s="85"/>
      <c r="H274" s="31"/>
      <c r="I274" s="31" t="str">
        <f>IFERROR(__xludf.DUMMYFUNCTION("""COMPUTED_VALUE"""),"Senior Data Analyst")</f>
        <v>Senior Data Analyst</v>
      </c>
      <c r="J274" s="31"/>
      <c r="K274" s="31"/>
      <c r="L274" s="31"/>
      <c r="M274" s="31"/>
      <c r="N274" s="31"/>
    </row>
    <row r="275">
      <c r="A275" s="31">
        <f>IFERROR(__xludf.DUMMYFUNCTION("""COMPUTED_VALUE"""),334.0)</f>
        <v>334</v>
      </c>
      <c r="B275" s="31" t="str">
        <f>IFERROR(__xludf.DUMMYFUNCTION("""COMPUTED_VALUE"""),"Anurag Pratap Singh")</f>
        <v>Anurag Pratap Singh</v>
      </c>
      <c r="C275" s="31" t="str">
        <f>IFERROR(__xludf.DUMMYFUNCTION("""COMPUTED_VALUE"""),"singhpratapanurag@gmail.com")</f>
        <v>singhpratapanurag@gmail.com</v>
      </c>
      <c r="D275" s="84">
        <f>IFERROR(__xludf.DUMMYFUNCTION("""COMPUTED_VALUE"""),8.793109048E9)</f>
        <v>8793109048</v>
      </c>
      <c r="E275" s="94">
        <f>IFERROR(__xludf.DUMMYFUNCTION("""COMPUTED_VALUE"""),45313.0)</f>
        <v>45313</v>
      </c>
      <c r="F275" s="31"/>
      <c r="G275" s="85"/>
      <c r="H275" s="31"/>
      <c r="I275" s="31" t="str">
        <f>IFERROR(__xludf.DUMMYFUNCTION("""COMPUTED_VALUE"""),"Senior Associate- Digital Marketing")</f>
        <v>Senior Associate- Digital Marketing</v>
      </c>
      <c r="J275" s="31"/>
      <c r="K275" s="31"/>
      <c r="L275" s="31"/>
      <c r="M275" s="31"/>
      <c r="N275" s="31"/>
    </row>
    <row r="276">
      <c r="A276" s="31">
        <f>IFERROR(__xludf.DUMMYFUNCTION("""COMPUTED_VALUE"""),335.0)</f>
        <v>335</v>
      </c>
      <c r="B276" s="31" t="str">
        <f>IFERROR(__xludf.DUMMYFUNCTION("""COMPUTED_VALUE"""),"Saksham Kochhar")</f>
        <v>Saksham Kochhar</v>
      </c>
      <c r="C276" s="31" t="str">
        <f>IFERROR(__xludf.DUMMYFUNCTION("""COMPUTED_VALUE"""),"21f3002170@ds.study.iitm.ac.in")</f>
        <v>21f3002170@ds.study.iitm.ac.in</v>
      </c>
      <c r="D276" s="84">
        <f>IFERROR(__xludf.DUMMYFUNCTION("""COMPUTED_VALUE"""),9.711333881E9)</f>
        <v>9711333881</v>
      </c>
      <c r="E276" s="94">
        <f>IFERROR(__xludf.DUMMYFUNCTION("""COMPUTED_VALUE"""),45313.0)</f>
        <v>45313</v>
      </c>
      <c r="F276" s="31"/>
      <c r="G276" s="85"/>
      <c r="H276" s="31"/>
      <c r="I276" s="31" t="str">
        <f>IFERROR(__xludf.DUMMYFUNCTION("""COMPUTED_VALUE"""),"Data Science Intern")</f>
        <v>Data Science Intern</v>
      </c>
      <c r="J276" s="31"/>
      <c r="K276" s="31"/>
      <c r="L276" s="31"/>
      <c r="M276" s="31"/>
      <c r="N276" s="31"/>
    </row>
    <row r="277">
      <c r="A277" s="31">
        <f>IFERROR(__xludf.DUMMYFUNCTION("""COMPUTED_VALUE"""),336.0)</f>
        <v>336</v>
      </c>
      <c r="B277" s="31" t="str">
        <f>IFERROR(__xludf.DUMMYFUNCTION("""COMPUTED_VALUE"""),"Pawan Kumar Sarswat")</f>
        <v>Pawan Kumar Sarswat</v>
      </c>
      <c r="C277" s="31" t="str">
        <f>IFERROR(__xludf.DUMMYFUNCTION("""COMPUTED_VALUE"""),"sarswatpwn@gmail.com")</f>
        <v>sarswatpwn@gmail.com</v>
      </c>
      <c r="D277" s="84">
        <f>IFERROR(__xludf.DUMMYFUNCTION("""COMPUTED_VALUE"""),8.107829942E9)</f>
        <v>8107829942</v>
      </c>
      <c r="E277" s="94">
        <f>IFERROR(__xludf.DUMMYFUNCTION("""COMPUTED_VALUE"""),45313.0)</f>
        <v>45313</v>
      </c>
      <c r="F277" s="31"/>
      <c r="G277" s="85"/>
      <c r="H277" s="31"/>
      <c r="I277" s="31" t="str">
        <f>IFERROR(__xludf.DUMMYFUNCTION("""COMPUTED_VALUE"""),"Customer Support Executive")</f>
        <v>Customer Support Executive</v>
      </c>
      <c r="J277" s="31"/>
      <c r="K277" s="31"/>
      <c r="L277" s="31"/>
      <c r="M277" s="31"/>
      <c r="N277" s="31"/>
    </row>
    <row r="278">
      <c r="A278" s="31">
        <f>IFERROR(__xludf.DUMMYFUNCTION("""COMPUTED_VALUE"""),337.0)</f>
        <v>337</v>
      </c>
      <c r="B278" s="31" t="str">
        <f>IFERROR(__xludf.DUMMYFUNCTION("""COMPUTED_VALUE"""),"Shubham Kumar Thakur")</f>
        <v>Shubham Kumar Thakur</v>
      </c>
      <c r="C278" s="31" t="str">
        <f>IFERROR(__xludf.DUMMYFUNCTION("""COMPUTED_VALUE"""),"	shubhamkoilakh@gmail.com")</f>
        <v>	shubhamkoilakh@gmail.com</v>
      </c>
      <c r="D278" s="84">
        <f>IFERROR(__xludf.DUMMYFUNCTION("""COMPUTED_VALUE"""),7.717734659E9)</f>
        <v>7717734659</v>
      </c>
      <c r="E278" s="94">
        <f>IFERROR(__xludf.DUMMYFUNCTION("""COMPUTED_VALUE"""),45313.0)</f>
        <v>45313</v>
      </c>
      <c r="F278" s="31"/>
      <c r="G278" s="85"/>
      <c r="H278" s="31"/>
      <c r="I278" s="31" t="str">
        <f>IFERROR(__xludf.DUMMYFUNCTION("""COMPUTED_VALUE"""),"Executive - Finance")</f>
        <v>Executive - Finance</v>
      </c>
      <c r="J278" s="31"/>
      <c r="K278" s="31"/>
      <c r="L278" s="31"/>
      <c r="M278" s="31"/>
      <c r="N278" s="31"/>
    </row>
    <row r="279">
      <c r="A279" s="31">
        <f>IFERROR(__xludf.DUMMYFUNCTION("""COMPUTED_VALUE"""),338.0)</f>
        <v>338</v>
      </c>
      <c r="B279" s="31" t="str">
        <f>IFERROR(__xludf.DUMMYFUNCTION("""COMPUTED_VALUE"""),"Siddharth Rehani")</f>
        <v>Siddharth Rehani</v>
      </c>
      <c r="C279" s="31" t="str">
        <f>IFERROR(__xludf.DUMMYFUNCTION("""COMPUTED_VALUE"""),"sidd.rehani1272@gmail.com")</f>
        <v>sidd.rehani1272@gmail.com</v>
      </c>
      <c r="D279" s="84">
        <f>IFERROR(__xludf.DUMMYFUNCTION("""COMPUTED_VALUE"""),8.130435875E9)</f>
        <v>8130435875</v>
      </c>
      <c r="E279" s="94">
        <f>IFERROR(__xludf.DUMMYFUNCTION("""COMPUTED_VALUE"""),45313.0)</f>
        <v>45313</v>
      </c>
      <c r="F279" s="31"/>
      <c r="G279" s="85"/>
      <c r="H279" s="31"/>
      <c r="I279" s="31" t="str">
        <f>IFERROR(__xludf.DUMMYFUNCTION("""COMPUTED_VALUE"""),"SEO Executive")</f>
        <v>SEO Executive</v>
      </c>
      <c r="J279" s="31"/>
      <c r="K279" s="31"/>
      <c r="L279" s="31"/>
      <c r="M279" s="31"/>
      <c r="N279" s="31"/>
    </row>
    <row r="280">
      <c r="A280" s="31">
        <f>IFERROR(__xludf.DUMMYFUNCTION("""COMPUTED_VALUE"""),339.0)</f>
        <v>339</v>
      </c>
      <c r="B280" s="31" t="str">
        <f>IFERROR(__xludf.DUMMYFUNCTION("""COMPUTED_VALUE"""),"Anwesha Raj")</f>
        <v>Anwesha Raj</v>
      </c>
      <c r="C280" s="31" t="str">
        <f>IFERROR(__xludf.DUMMYFUNCTION("""COMPUTED_VALUE"""),"anwesha.raj16@gmail.com")</f>
        <v>anwesha.raj16@gmail.com</v>
      </c>
      <c r="D280" s="84">
        <f>IFERROR(__xludf.DUMMYFUNCTION("""COMPUTED_VALUE"""),9.743808027E9)</f>
        <v>9743808027</v>
      </c>
      <c r="E280" s="94">
        <f>IFERROR(__xludf.DUMMYFUNCTION("""COMPUTED_VALUE"""),45315.0)</f>
        <v>45315</v>
      </c>
      <c r="F280" s="31"/>
      <c r="G280" s="85"/>
      <c r="H280" s="31"/>
      <c r="I280" s="31" t="str">
        <f>IFERROR(__xludf.DUMMYFUNCTION("""COMPUTED_VALUE"""),"Product Manager ")</f>
        <v>Product Manager </v>
      </c>
      <c r="J280" s="31"/>
      <c r="K280" s="31"/>
      <c r="L280" s="31"/>
      <c r="M280" s="31"/>
      <c r="N280" s="31"/>
    </row>
    <row r="281">
      <c r="A281" s="31">
        <f>IFERROR(__xludf.DUMMYFUNCTION("""COMPUTED_VALUE"""),340.0)</f>
        <v>340</v>
      </c>
      <c r="B281" s="31" t="str">
        <f>IFERROR(__xludf.DUMMYFUNCTION("""COMPUTED_VALUE"""),"Tushar Mehta")</f>
        <v>Tushar Mehta</v>
      </c>
      <c r="C281" s="31" t="str">
        <f>IFERROR(__xludf.DUMMYFUNCTION("""COMPUTED_VALUE"""),"tushar.mehta466@gmail.com")</f>
        <v>tushar.mehta466@gmail.com</v>
      </c>
      <c r="D281" s="84">
        <f>IFERROR(__xludf.DUMMYFUNCTION("""COMPUTED_VALUE"""),7.986314491E9)</f>
        <v>7986314491</v>
      </c>
      <c r="E281" s="94">
        <f>IFERROR(__xludf.DUMMYFUNCTION("""COMPUTED_VALUE"""),45315.0)</f>
        <v>45315</v>
      </c>
      <c r="F281" s="31"/>
      <c r="G281" s="85"/>
      <c r="H281" s="31"/>
      <c r="I281" s="31" t="str">
        <f>IFERROR(__xludf.DUMMYFUNCTION("""COMPUTED_VALUE"""),"Senior Software Engineer - Android")</f>
        <v>Senior Software Engineer - Android</v>
      </c>
      <c r="J281" s="31"/>
      <c r="K281" s="31"/>
      <c r="L281" s="31"/>
      <c r="M281" s="31"/>
      <c r="N281" s="31"/>
    </row>
    <row r="282">
      <c r="A282" s="31">
        <f>IFERROR(__xludf.DUMMYFUNCTION("""COMPUTED_VALUE"""),341.0)</f>
        <v>341</v>
      </c>
      <c r="B282" s="31" t="str">
        <f>IFERROR(__xludf.DUMMYFUNCTION("""COMPUTED_VALUE"""),"Sumit Chugh")</f>
        <v>Sumit Chugh</v>
      </c>
      <c r="C282" s="31" t="str">
        <f>IFERROR(__xludf.DUMMYFUNCTION("""COMPUTED_VALUE"""),"sumitchugh81@gmail.com")</f>
        <v>sumitchugh81@gmail.com</v>
      </c>
      <c r="D282" s="84">
        <f>IFERROR(__xludf.DUMMYFUNCTION("""COMPUTED_VALUE"""),9.811538749E9)</f>
        <v>9811538749</v>
      </c>
      <c r="E282" s="94">
        <f>IFERROR(__xludf.DUMMYFUNCTION("""COMPUTED_VALUE"""),45316.0)</f>
        <v>45316</v>
      </c>
      <c r="F282" s="31"/>
      <c r="G282" s="85" t="str">
        <f>IFERROR(__xludf.DUMMYFUNCTION("""COMPUTED_VALUE""")," B5/4A, The Hibiscus, Sector 50, Gurgaon, Pincode:- 122018")</f>
        <v> B5/4A, The Hibiscus, Sector 50, Gurgaon, Pincode:- 122018</v>
      </c>
      <c r="H282" s="31"/>
      <c r="I282" s="31" t="str">
        <f>IFERROR(__xludf.DUMMYFUNCTION("""COMPUTED_VALUE"""),"HOF")</f>
        <v>HOF</v>
      </c>
      <c r="J282" s="31"/>
      <c r="K282" s="31"/>
      <c r="L282" s="31"/>
      <c r="M282" s="31"/>
      <c r="N282" s="31"/>
    </row>
    <row r="283">
      <c r="A283" s="31">
        <f>IFERROR(__xludf.DUMMYFUNCTION("""COMPUTED_VALUE"""),342.0)</f>
        <v>342</v>
      </c>
      <c r="B283" s="31" t="str">
        <f>IFERROR(__xludf.DUMMYFUNCTION("""COMPUTED_VALUE"""),"Parth Kumar")</f>
        <v>Parth Kumar</v>
      </c>
      <c r="C283" s="31" t="str">
        <f>IFERROR(__xludf.DUMMYFUNCTION("""COMPUTED_VALUE"""),"Parthkumarofficial@gmail.com")</f>
        <v>Parthkumarofficial@gmail.com</v>
      </c>
      <c r="D283" s="84">
        <f>IFERROR(__xludf.DUMMYFUNCTION("""COMPUTED_VALUE"""),8.899889947E9)</f>
        <v>8899889947</v>
      </c>
      <c r="E283" s="94">
        <f>IFERROR(__xludf.DUMMYFUNCTION("""COMPUTED_VALUE"""),45323.0)</f>
        <v>45323</v>
      </c>
      <c r="F283" s="31"/>
      <c r="G283" s="85"/>
      <c r="H283" s="31"/>
      <c r="I283" s="31" t="str">
        <f>IFERROR(__xludf.DUMMYFUNCTION("""COMPUTED_VALUE"""),"Devops Engineer Trainee")</f>
        <v>Devops Engineer Trainee</v>
      </c>
      <c r="J283" s="31"/>
      <c r="K283" s="31"/>
      <c r="L283" s="31"/>
      <c r="M283" s="31"/>
      <c r="N283" s="31"/>
    </row>
    <row r="284">
      <c r="A284" s="31">
        <f>IFERROR(__xludf.DUMMYFUNCTION("""COMPUTED_VALUE"""),343.0)</f>
        <v>343</v>
      </c>
      <c r="B284" s="31" t="str">
        <f>IFERROR(__xludf.DUMMYFUNCTION("""COMPUTED_VALUE"""),"Rijul Sharma")</f>
        <v>Rijul Sharma</v>
      </c>
      <c r="C284" s="31" t="str">
        <f>IFERROR(__xludf.DUMMYFUNCTION("""COMPUTED_VALUE"""),"rijulsharma25@gmail.com")</f>
        <v>rijulsharma25@gmail.com</v>
      </c>
      <c r="D284" s="84">
        <f>IFERROR(__xludf.DUMMYFUNCTION("""COMPUTED_VALUE"""),8.699972878E9)</f>
        <v>8699972878</v>
      </c>
      <c r="E284" s="94">
        <f>IFERROR(__xludf.DUMMYFUNCTION("""COMPUTED_VALUE"""),45323.0)</f>
        <v>45323</v>
      </c>
      <c r="F284" s="31"/>
      <c r="G284" s="85" t="str">
        <f>IFERROR(__xludf.DUMMYFUNCTION("""COMPUTED_VALUE"""),"NB/283, Laxmipura, Jalandhar, Punjab, 144004")</f>
        <v>NB/283, Laxmipura, Jalandhar, Punjab, 144004</v>
      </c>
      <c r="H284" s="31"/>
      <c r="I284" s="31" t="str">
        <f>IFERROR(__xludf.DUMMYFUNCTION("""COMPUTED_VALUE"""),"Software Engineer- DevOps")</f>
        <v>Software Engineer- DevOps</v>
      </c>
      <c r="J284" s="31"/>
      <c r="K284" s="31"/>
      <c r="L284" s="31"/>
      <c r="M284" s="31"/>
      <c r="N284" s="31"/>
    </row>
    <row r="285">
      <c r="A285" s="31">
        <f>IFERROR(__xludf.DUMMYFUNCTION("""COMPUTED_VALUE"""),344.0)</f>
        <v>344</v>
      </c>
      <c r="B285" s="31" t="str">
        <f>IFERROR(__xludf.DUMMYFUNCTION("""COMPUTED_VALUE"""),"Arya Soni")</f>
        <v>Arya Soni</v>
      </c>
      <c r="C285" s="31" t="str">
        <f>IFERROR(__xludf.DUMMYFUNCTION("""COMPUTED_VALUE"""),"aryasoni98@gmail.com")</f>
        <v>aryasoni98@gmail.com</v>
      </c>
      <c r="D285" s="84">
        <f>IFERROR(__xludf.DUMMYFUNCTION("""COMPUTED_VALUE"""),9.667475014E9)</f>
        <v>9667475014</v>
      </c>
      <c r="E285" s="94">
        <f>IFERROR(__xludf.DUMMYFUNCTION("""COMPUTED_VALUE"""),45323.0)</f>
        <v>45323</v>
      </c>
      <c r="F285" s="31"/>
      <c r="G285" s="85"/>
      <c r="H285" s="31"/>
      <c r="I285" s="31" t="str">
        <f>IFERROR(__xludf.DUMMYFUNCTION("""COMPUTED_VALUE"""),"Software Engineer- DevOps")</f>
        <v>Software Engineer- DevOps</v>
      </c>
      <c r="J285" s="31"/>
      <c r="K285" s="31"/>
      <c r="L285" s="31"/>
      <c r="M285" s="31"/>
      <c r="N285" s="31"/>
    </row>
    <row r="286">
      <c r="A286" s="31">
        <f>IFERROR(__xludf.DUMMYFUNCTION("""COMPUTED_VALUE"""),345.0)</f>
        <v>345</v>
      </c>
      <c r="B286" s="31" t="str">
        <f>IFERROR(__xludf.DUMMYFUNCTION("""COMPUTED_VALUE"""),"Pankaj Garg")</f>
        <v>Pankaj Garg</v>
      </c>
      <c r="C286" s="31" t="str">
        <f>IFERROR(__xludf.DUMMYFUNCTION("""COMPUTED_VALUE"""),"pnkjg264@gmail.com")</f>
        <v>pnkjg264@gmail.com</v>
      </c>
      <c r="D286" s="84">
        <f>IFERROR(__xludf.DUMMYFUNCTION("""COMPUTED_VALUE"""),7.888513264E9)</f>
        <v>7888513264</v>
      </c>
      <c r="E286" s="94">
        <f>IFERROR(__xludf.DUMMYFUNCTION("""COMPUTED_VALUE"""),45323.0)</f>
        <v>45323</v>
      </c>
      <c r="F286" s="31"/>
      <c r="G286" s="85"/>
      <c r="H286" s="31"/>
      <c r="I286" s="31" t="str">
        <f>IFERROR(__xludf.DUMMYFUNCTION("""COMPUTED_VALUE"""),"Senior Data Analyst")</f>
        <v>Senior Data Analyst</v>
      </c>
      <c r="J286" s="31"/>
      <c r="K286" s="31"/>
      <c r="L286" s="31"/>
      <c r="M286" s="31"/>
      <c r="N286" s="31"/>
    </row>
    <row r="287">
      <c r="A287" s="31">
        <f>IFERROR(__xludf.DUMMYFUNCTION("""COMPUTED_VALUE"""),346.0)</f>
        <v>346</v>
      </c>
      <c r="B287" s="31" t="str">
        <f>IFERROR(__xludf.DUMMYFUNCTION("""COMPUTED_VALUE"""),"Kalpana Singh")</f>
        <v>Kalpana Singh</v>
      </c>
      <c r="C287" s="31" t="str">
        <f>IFERROR(__xludf.DUMMYFUNCTION("""COMPUTED_VALUE"""),"kskalpanasingh22@gmail.com")</f>
        <v>kskalpanasingh22@gmail.com</v>
      </c>
      <c r="D287" s="84">
        <f>IFERROR(__xludf.DUMMYFUNCTION("""COMPUTED_VALUE"""),7.983234804E9)</f>
        <v>7983234804</v>
      </c>
      <c r="E287" s="94">
        <f>IFERROR(__xludf.DUMMYFUNCTION("""COMPUTED_VALUE"""),45327.0)</f>
        <v>45327</v>
      </c>
      <c r="F287" s="31"/>
      <c r="G287" s="85"/>
      <c r="H287" s="31"/>
      <c r="I287" s="31" t="str">
        <f>IFERROR(__xludf.DUMMYFUNCTION("""COMPUTED_VALUE"""),"Customer Support Executive")</f>
        <v>Customer Support Executive</v>
      </c>
      <c r="J287" s="31"/>
      <c r="K287" s="31"/>
      <c r="L287" s="31"/>
      <c r="M287" s="31"/>
      <c r="N287" s="31"/>
    </row>
    <row r="288">
      <c r="A288" s="31">
        <f>IFERROR(__xludf.DUMMYFUNCTION("""COMPUTED_VALUE"""),347.0)</f>
        <v>347</v>
      </c>
      <c r="B288" s="31" t="str">
        <f>IFERROR(__xludf.DUMMYFUNCTION("""COMPUTED_VALUE"""),"Saurabh Dandriyal")</f>
        <v>Saurabh Dandriyal</v>
      </c>
      <c r="C288" s="31" t="str">
        <f>IFERROR(__xludf.DUMMYFUNCTION("""COMPUTED_VALUE"""),"dandriyalsaurabh007@gmail.com")</f>
        <v>dandriyalsaurabh007@gmail.com</v>
      </c>
      <c r="D288" s="84">
        <f>IFERROR(__xludf.DUMMYFUNCTION("""COMPUTED_VALUE"""),8.130038575E9)</f>
        <v>8130038575</v>
      </c>
      <c r="E288" s="94">
        <f>IFERROR(__xludf.DUMMYFUNCTION("""COMPUTED_VALUE"""),45327.0)</f>
        <v>45327</v>
      </c>
      <c r="F288" s="31"/>
      <c r="G288" s="85"/>
      <c r="H288" s="31"/>
      <c r="I288" s="31" t="str">
        <f>IFERROR(__xludf.DUMMYFUNCTION("""COMPUTED_VALUE"""),"Senior Executive- Customer Experience")</f>
        <v>Senior Executive- Customer Experience</v>
      </c>
      <c r="J288" s="31"/>
      <c r="K288" s="31"/>
      <c r="L288" s="31"/>
      <c r="M288" s="31"/>
      <c r="N288" s="31"/>
    </row>
    <row r="289">
      <c r="A289" s="31">
        <f>IFERROR(__xludf.DUMMYFUNCTION("""COMPUTED_VALUE"""),348.0)</f>
        <v>348</v>
      </c>
      <c r="B289" s="31" t="str">
        <f>IFERROR(__xludf.DUMMYFUNCTION("""COMPUTED_VALUE"""),"Divyansh Singh")</f>
        <v>Divyansh Singh</v>
      </c>
      <c r="C289" s="75" t="str">
        <f>IFERROR(__xludf.DUMMYFUNCTION("""COMPUTED_VALUE"""),"imdivyansh99@gmail.com")</f>
        <v>imdivyansh99@gmail.com</v>
      </c>
      <c r="D289" s="84">
        <f>IFERROR(__xludf.DUMMYFUNCTION("""COMPUTED_VALUE"""),7.007397536E9)</f>
        <v>7007397536</v>
      </c>
      <c r="E289" s="94">
        <f>IFERROR(__xludf.DUMMYFUNCTION("""COMPUTED_VALUE"""),45327.0)</f>
        <v>45327</v>
      </c>
      <c r="F289" s="31"/>
      <c r="G289" s="85"/>
      <c r="H289" s="31"/>
      <c r="I289" s="31" t="str">
        <f>IFERROR(__xludf.DUMMYFUNCTION("""COMPUTED_VALUE"""),"Software Engineer- DevOps")</f>
        <v>Software Engineer- DevOps</v>
      </c>
      <c r="J289" s="31"/>
      <c r="K289" s="31"/>
      <c r="L289" s="31"/>
      <c r="M289" s="31"/>
      <c r="N289" s="31"/>
    </row>
    <row r="290">
      <c r="A290" s="31">
        <f>IFERROR(__xludf.DUMMYFUNCTION("""COMPUTED_VALUE"""),349.0)</f>
        <v>349</v>
      </c>
      <c r="B290" s="31" t="str">
        <f>IFERROR(__xludf.DUMMYFUNCTION("""COMPUTED_VALUE"""),"Vimal Prajapati")</f>
        <v>Vimal Prajapati</v>
      </c>
      <c r="C290" s="75" t="str">
        <f>IFERROR(__xludf.DUMMYFUNCTION("""COMPUTED_VALUE"""),"vimalcprajapati1995@gmail.com")</f>
        <v>vimalcprajapati1995@gmail.com</v>
      </c>
      <c r="D290" s="84">
        <f>IFERROR(__xludf.DUMMYFUNCTION("""COMPUTED_VALUE"""),9.974477347E9)</f>
        <v>9974477347</v>
      </c>
      <c r="E290" s="94">
        <f>IFERROR(__xludf.DUMMYFUNCTION("""COMPUTED_VALUE"""),45329.0)</f>
        <v>45329</v>
      </c>
      <c r="F290" s="31"/>
      <c r="G290" s="85" t="str">
        <f>IFERROR(__xludf.DUMMYFUNCTION("""COMPUTED_VALUE"""),"Address: B105, silver heights, Hosapalaya, Somasundarapalya, Bengaluru, Karnataka 560068")</f>
        <v>Address: B105, silver heights, Hosapalaya, Somasundarapalya, Bengaluru, Karnataka 560068</v>
      </c>
      <c r="H290" s="31"/>
      <c r="I290" s="31" t="str">
        <f>IFERROR(__xludf.DUMMYFUNCTION("""COMPUTED_VALUE"""),"Lead Data Analyst")</f>
        <v>Lead Data Analyst</v>
      </c>
      <c r="J290" s="31"/>
      <c r="K290" s="31"/>
      <c r="L290" s="31"/>
      <c r="M290" s="31"/>
      <c r="N290" s="31"/>
    </row>
    <row r="291">
      <c r="A291" s="31">
        <f>IFERROR(__xludf.DUMMYFUNCTION("""COMPUTED_VALUE"""),350.0)</f>
        <v>350</v>
      </c>
      <c r="B291" s="31" t="str">
        <f>IFERROR(__xludf.DUMMYFUNCTION("""COMPUTED_VALUE"""),"Himanshu Grover")</f>
        <v>Himanshu Grover</v>
      </c>
      <c r="C291" s="31" t="str">
        <f>IFERROR(__xludf.DUMMYFUNCTION("""COMPUTED_VALUE"""),"groverh99@gmail.com")</f>
        <v>groverh99@gmail.com</v>
      </c>
      <c r="D291" s="84">
        <f>IFERROR(__xludf.DUMMYFUNCTION("""COMPUTED_VALUE"""),9.996867358E9)</f>
        <v>9996867358</v>
      </c>
      <c r="E291" s="94">
        <f>IFERROR(__xludf.DUMMYFUNCTION("""COMPUTED_VALUE"""),45331.0)</f>
        <v>45331</v>
      </c>
      <c r="F291" s="31"/>
      <c r="G291" s="85"/>
      <c r="H291" s="31"/>
      <c r="I291" s="31" t="str">
        <f>IFERROR(__xludf.DUMMYFUNCTION("""COMPUTED_VALUE"""),"Senior Manager - Data Analytics")</f>
        <v>Senior Manager - Data Analytics</v>
      </c>
      <c r="J291" s="31"/>
      <c r="K291" s="31"/>
      <c r="L291" s="31"/>
      <c r="M291" s="31"/>
      <c r="N291" s="31"/>
    </row>
    <row r="292">
      <c r="A292" s="31">
        <f>IFERROR(__xludf.DUMMYFUNCTION("""COMPUTED_VALUE"""),351.0)</f>
        <v>351</v>
      </c>
      <c r="B292" s="31" t="str">
        <f>IFERROR(__xludf.DUMMYFUNCTION("""COMPUTED_VALUE"""),"Mukesh Kumar Maurya")</f>
        <v>Mukesh Kumar Maurya</v>
      </c>
      <c r="C292" s="31" t="str">
        <f>IFERROR(__xludf.DUMMYFUNCTION("""COMPUTED_VALUE"""),"Mukeshkumar6577622@gmail.com ")</f>
        <v>Mukeshkumar6577622@gmail.com </v>
      </c>
      <c r="D292" s="84">
        <f>IFERROR(__xludf.DUMMYFUNCTION("""COMPUTED_VALUE"""),9.559001668E9)</f>
        <v>9559001668</v>
      </c>
      <c r="E292" s="94">
        <f>IFERROR(__xludf.DUMMYFUNCTION("""COMPUTED_VALUE"""),45334.0)</f>
        <v>45334</v>
      </c>
      <c r="F292" s="31"/>
      <c r="G292" s="85"/>
      <c r="H292" s="31"/>
      <c r="I292" s="31" t="str">
        <f>IFERROR(__xludf.DUMMYFUNCTION("""COMPUTED_VALUE"""),"Senior Motion Graphic Designer")</f>
        <v>Senior Motion Graphic Designer</v>
      </c>
      <c r="J292" s="31"/>
      <c r="K292" s="31"/>
      <c r="L292" s="31"/>
      <c r="M292" s="31"/>
      <c r="N292" s="31"/>
    </row>
    <row r="293">
      <c r="A293" s="31">
        <f>IFERROR(__xludf.DUMMYFUNCTION("""COMPUTED_VALUE"""),352.0)</f>
        <v>352</v>
      </c>
      <c r="B293" s="31" t="str">
        <f>IFERROR(__xludf.DUMMYFUNCTION("""COMPUTED_VALUE"""),"Shameek Data")</f>
        <v>Shameek Data</v>
      </c>
      <c r="C293" s="31" t="str">
        <f>IFERROR(__xludf.DUMMYFUNCTION("""COMPUTED_VALUE"""),"p17shameekd@iima.ac.in")</f>
        <v>p17shameekd@iima.ac.in</v>
      </c>
      <c r="D293" s="84">
        <f>IFERROR(__xludf.DUMMYFUNCTION("""COMPUTED_VALUE"""),7.827930396E9)</f>
        <v>7827930396</v>
      </c>
      <c r="E293" s="94">
        <f>IFERROR(__xludf.DUMMYFUNCTION("""COMPUTED_VALUE"""),45334.0)</f>
        <v>45334</v>
      </c>
      <c r="F293" s="31"/>
      <c r="G293" s="85"/>
      <c r="H293" s="31"/>
      <c r="I293" s="31" t="str">
        <f>IFERROR(__xludf.DUMMYFUNCTION("""COMPUTED_VALUE"""),"Manager- Strategy")</f>
        <v>Manager- Strategy</v>
      </c>
      <c r="J293" s="31"/>
      <c r="K293" s="31"/>
      <c r="L293" s="31"/>
      <c r="M293" s="31"/>
      <c r="N293" s="31"/>
    </row>
    <row r="294">
      <c r="A294" s="31">
        <f>IFERROR(__xludf.DUMMYFUNCTION("""COMPUTED_VALUE"""),353.0)</f>
        <v>353</v>
      </c>
      <c r="B294" s="31" t="str">
        <f>IFERROR(__xludf.DUMMYFUNCTION("""COMPUTED_VALUE"""),"Akhil Sukhnani")</f>
        <v>Akhil Sukhnani</v>
      </c>
      <c r="C294" s="31" t="str">
        <f>IFERROR(__xludf.DUMMYFUNCTION("""COMPUTED_VALUE"""),"akhilsukhnani@gmail.com")</f>
        <v>akhilsukhnani@gmail.com</v>
      </c>
      <c r="D294" s="84">
        <f>IFERROR(__xludf.DUMMYFUNCTION("""COMPUTED_VALUE"""),7.877111933E9)</f>
        <v>7877111933</v>
      </c>
      <c r="E294" s="94">
        <f>IFERROR(__xludf.DUMMYFUNCTION("""COMPUTED_VALUE"""),45337.0)</f>
        <v>45337</v>
      </c>
      <c r="F294" s="31"/>
      <c r="G294" s="85"/>
      <c r="H294" s="31"/>
      <c r="I294" s="31" t="str">
        <f>IFERROR(__xludf.DUMMYFUNCTION("""COMPUTED_VALUE"""),"Software Engineer- DevOps")</f>
        <v>Software Engineer- DevOps</v>
      </c>
      <c r="J294" s="31"/>
      <c r="K294" s="31"/>
      <c r="L294" s="31"/>
      <c r="M294" s="31"/>
      <c r="N294" s="31"/>
    </row>
    <row r="295">
      <c r="A295" s="31">
        <f>IFERROR(__xludf.DUMMYFUNCTION("""COMPUTED_VALUE"""),354.0)</f>
        <v>354</v>
      </c>
      <c r="B295" s="31" t="str">
        <f>IFERROR(__xludf.DUMMYFUNCTION("""COMPUTED_VALUE"""),"Kanika Wadhwa")</f>
        <v>Kanika Wadhwa</v>
      </c>
      <c r="C295" s="31" t="str">
        <f>IFERROR(__xludf.DUMMYFUNCTION("""COMPUTED_VALUE"""),"kanikav1993@gmail.com")</f>
        <v>kanikav1993@gmail.com</v>
      </c>
      <c r="D295" s="84">
        <f>IFERROR(__xludf.DUMMYFUNCTION("""COMPUTED_VALUE"""),9.034340484E9)</f>
        <v>9034340484</v>
      </c>
      <c r="E295" s="94">
        <f>IFERROR(__xludf.DUMMYFUNCTION("""COMPUTED_VALUE"""),45341.0)</f>
        <v>45341</v>
      </c>
      <c r="F295" s="31"/>
      <c r="G295" s="85"/>
      <c r="H295" s="31"/>
      <c r="I295" s="31" t="str">
        <f>IFERROR(__xludf.DUMMYFUNCTION("""COMPUTED_VALUE"""),"Senior Executive – Customer Experience")</f>
        <v>Senior Executive – Customer Experience</v>
      </c>
      <c r="J295" s="31"/>
      <c r="K295" s="31"/>
      <c r="L295" s="31"/>
      <c r="M295" s="31"/>
      <c r="N295" s="31"/>
    </row>
    <row r="296">
      <c r="A296" s="31">
        <f>IFERROR(__xludf.DUMMYFUNCTION("""COMPUTED_VALUE"""),355.0)</f>
        <v>355</v>
      </c>
      <c r="B296" s="31" t="str">
        <f>IFERROR(__xludf.DUMMYFUNCTION("""COMPUTED_VALUE"""),"Yakshita Behl")</f>
        <v>Yakshita Behl</v>
      </c>
      <c r="C296" s="31" t="str">
        <f>IFERROR(__xludf.DUMMYFUNCTION("""COMPUTED_VALUE"""),"yakshitabehl2000@gmail.com")</f>
        <v>yakshitabehl2000@gmail.com</v>
      </c>
      <c r="D296" s="84">
        <f>IFERROR(__xludf.DUMMYFUNCTION("""COMPUTED_VALUE"""),9.311560404E9)</f>
        <v>9311560404</v>
      </c>
      <c r="E296" s="94">
        <f>IFERROR(__xludf.DUMMYFUNCTION("""COMPUTED_VALUE"""),45341.0)</f>
        <v>45341</v>
      </c>
      <c r="F296" s="31"/>
      <c r="G296" s="85"/>
      <c r="H296" s="31"/>
      <c r="I296" s="31" t="str">
        <f>IFERROR(__xludf.DUMMYFUNCTION("""COMPUTED_VALUE"""),"Data Analyst")</f>
        <v>Data Analyst</v>
      </c>
      <c r="J296" s="31"/>
      <c r="K296" s="31"/>
      <c r="L296" s="31"/>
      <c r="M296" s="31"/>
      <c r="N296" s="31"/>
    </row>
    <row r="297">
      <c r="A297" s="31">
        <f>IFERROR(__xludf.DUMMYFUNCTION("""COMPUTED_VALUE"""),356.0)</f>
        <v>356</v>
      </c>
      <c r="B297" s="31" t="str">
        <f>IFERROR(__xludf.DUMMYFUNCTION("""COMPUTED_VALUE"""),"Sumit Yadav")</f>
        <v>Sumit Yadav</v>
      </c>
      <c r="C297" s="31" t="str">
        <f>IFERROR(__xludf.DUMMYFUNCTION("""COMPUTED_VALUE"""),"sumit.magus@gmail.com")</f>
        <v>sumit.magus@gmail.com</v>
      </c>
      <c r="D297" s="84">
        <f>IFERROR(__xludf.DUMMYFUNCTION("""COMPUTED_VALUE"""),9.990123068E9)</f>
        <v>9990123068</v>
      </c>
      <c r="E297" s="94">
        <f>IFERROR(__xludf.DUMMYFUNCTION("""COMPUTED_VALUE"""),45341.0)</f>
        <v>45341</v>
      </c>
      <c r="F297" s="31"/>
      <c r="G297" s="85"/>
      <c r="H297" s="31"/>
      <c r="I297" s="31" t="str">
        <f>IFERROR(__xludf.DUMMYFUNCTION("""COMPUTED_VALUE"""),"Head- Customer Relationship Management")</f>
        <v>Head- Customer Relationship Management</v>
      </c>
      <c r="J297" s="31"/>
      <c r="K297" s="31"/>
      <c r="L297" s="31"/>
      <c r="M297" s="31"/>
      <c r="N297" s="31"/>
    </row>
    <row r="298">
      <c r="A298" s="31">
        <f>IFERROR(__xludf.DUMMYFUNCTION("""COMPUTED_VALUE"""),357.0)</f>
        <v>357</v>
      </c>
      <c r="B298" s="31" t="str">
        <f>IFERROR(__xludf.DUMMYFUNCTION("""COMPUTED_VALUE"""),"Vikram Singh Bhadoriya")</f>
        <v>Vikram Singh Bhadoriya</v>
      </c>
      <c r="C298" s="31" t="str">
        <f>IFERROR(__xludf.DUMMYFUNCTION("""COMPUTED_VALUE"""),"	vikramsinghitmuniv@gmail.com")</f>
        <v>	vikramsinghitmuniv@gmail.com</v>
      </c>
      <c r="D298" s="84">
        <f>IFERROR(__xludf.DUMMYFUNCTION("""COMPUTED_VALUE"""),8.448476405E9)</f>
        <v>8448476405</v>
      </c>
      <c r="E298" s="94">
        <f>IFERROR(__xludf.DUMMYFUNCTION("""COMPUTED_VALUE"""),45341.0)</f>
        <v>45341</v>
      </c>
      <c r="F298" s="31"/>
      <c r="G298" s="85"/>
      <c r="H298" s="31"/>
      <c r="I298" s="31" t="str">
        <f>IFERROR(__xludf.DUMMYFUNCTION("""COMPUTED_VALUE"""),"Senior Executive – Customer Experience")</f>
        <v>Senior Executive – Customer Experience</v>
      </c>
      <c r="J298" s="31"/>
      <c r="K298" s="31"/>
      <c r="L298" s="31"/>
      <c r="M298" s="31"/>
      <c r="N298" s="31"/>
    </row>
    <row r="299">
      <c r="A299" s="31">
        <f>IFERROR(__xludf.DUMMYFUNCTION("""COMPUTED_VALUE"""),358.0)</f>
        <v>358</v>
      </c>
      <c r="B299" s="31" t="str">
        <f>IFERROR(__xludf.DUMMYFUNCTION("""COMPUTED_VALUE"""),"Vikas Joshi")</f>
        <v>Vikas Joshi</v>
      </c>
      <c r="C299" s="31" t="str">
        <f>IFERROR(__xludf.DUMMYFUNCTION("""COMPUTED_VALUE"""),"vikasjoshi970@gmail.com")</f>
        <v>vikasjoshi970@gmail.com</v>
      </c>
      <c r="D299" s="84">
        <f>IFERROR(__xludf.DUMMYFUNCTION("""COMPUTED_VALUE"""),7.048938639E9)</f>
        <v>7048938639</v>
      </c>
      <c r="E299" s="94">
        <f>IFERROR(__xludf.DUMMYFUNCTION("""COMPUTED_VALUE"""),45343.0)</f>
        <v>45343</v>
      </c>
      <c r="F299" s="31"/>
      <c r="G299" s="85"/>
      <c r="H299" s="31"/>
      <c r="I299" s="31" t="str">
        <f>IFERROR(__xludf.DUMMYFUNCTION("""COMPUTED_VALUE"""),"Senior Executive – Customer Experience")</f>
        <v>Senior Executive – Customer Experience</v>
      </c>
      <c r="J299" s="31"/>
      <c r="K299" s="31"/>
      <c r="L299" s="31"/>
      <c r="M299" s="31"/>
      <c r="N299" s="31"/>
    </row>
    <row r="300">
      <c r="A300" s="31">
        <f>IFERROR(__xludf.DUMMYFUNCTION("""COMPUTED_VALUE"""),359.0)</f>
        <v>359</v>
      </c>
      <c r="B300" s="31" t="str">
        <f>IFERROR(__xludf.DUMMYFUNCTION("""COMPUTED_VALUE"""),"Anand Keshav")</f>
        <v>Anand Keshav</v>
      </c>
      <c r="C300" s="31" t="str">
        <f>IFERROR(__xludf.DUMMYFUNCTION("""COMPUTED_VALUE"""),"anandkeshav5454@gmail.com")</f>
        <v>anandkeshav5454@gmail.com</v>
      </c>
      <c r="D300" s="84">
        <f>IFERROR(__xludf.DUMMYFUNCTION("""COMPUTED_VALUE"""),9.798729457E9)</f>
        <v>9798729457</v>
      </c>
      <c r="E300" s="94">
        <f>IFERROR(__xludf.DUMMYFUNCTION("""COMPUTED_VALUE"""),45344.0)</f>
        <v>45344</v>
      </c>
      <c r="F300" s="31"/>
      <c r="G300" s="85"/>
      <c r="H300" s="31"/>
      <c r="I300" s="31" t="str">
        <f>IFERROR(__xludf.DUMMYFUNCTION("""COMPUTED_VALUE"""),"Data Science Trainee")</f>
        <v>Data Science Trainee</v>
      </c>
      <c r="J300" s="31"/>
      <c r="K300" s="31"/>
      <c r="L300" s="31"/>
      <c r="M300" s="31"/>
      <c r="N300" s="31"/>
    </row>
    <row r="301">
      <c r="A301" s="31">
        <f>IFERROR(__xludf.DUMMYFUNCTION("""COMPUTED_VALUE"""),360.0)</f>
        <v>360</v>
      </c>
      <c r="B301" s="31" t="str">
        <f>IFERROR(__xludf.DUMMYFUNCTION("""COMPUTED_VALUE"""),"Rajat Garg")</f>
        <v>Rajat Garg</v>
      </c>
      <c r="C301" s="75" t="str">
        <f>IFERROR(__xludf.DUMMYFUNCTION("""COMPUTED_VALUE"""),"rgargrajatgarg@gmail.com")</f>
        <v>rgargrajatgarg@gmail.com</v>
      </c>
      <c r="D301" s="84">
        <f>IFERROR(__xludf.DUMMYFUNCTION("""COMPUTED_VALUE"""),8.209384565E9)</f>
        <v>8209384565</v>
      </c>
      <c r="E301" s="94">
        <f>IFERROR(__xludf.DUMMYFUNCTION("""COMPUTED_VALUE"""),45348.0)</f>
        <v>45348</v>
      </c>
      <c r="F301" s="31"/>
      <c r="G301" s="85"/>
      <c r="H301" s="31"/>
      <c r="I301" s="31" t="str">
        <f>IFERROR(__xludf.DUMMYFUNCTION("""COMPUTED_VALUE"""),"Lead Data Analyst")</f>
        <v>Lead Data Analyst</v>
      </c>
      <c r="J301" s="31"/>
      <c r="K301" s="31"/>
      <c r="L301" s="31"/>
      <c r="M301" s="31"/>
      <c r="N301" s="31"/>
    </row>
    <row r="302">
      <c r="A302" s="31">
        <f>IFERROR(__xludf.DUMMYFUNCTION("""COMPUTED_VALUE"""),361.0)</f>
        <v>361</v>
      </c>
      <c r="B302" s="31" t="str">
        <f>IFERROR(__xludf.DUMMYFUNCTION("""COMPUTED_VALUE"""),"Priya Biswas")</f>
        <v>Priya Biswas</v>
      </c>
      <c r="C302" s="31" t="str">
        <f>IFERROR(__xludf.DUMMYFUNCTION("""COMPUTED_VALUE"""),"priyabiswas2001rita@gmail.com")</f>
        <v>priyabiswas2001rita@gmail.com</v>
      </c>
      <c r="D302" s="84">
        <f>IFERROR(__xludf.DUMMYFUNCTION("""COMPUTED_VALUE"""),8.810294269E9)</f>
        <v>8810294269</v>
      </c>
      <c r="E302" s="94">
        <f>IFERROR(__xludf.DUMMYFUNCTION("""COMPUTED_VALUE"""),45355.0)</f>
        <v>45355</v>
      </c>
      <c r="F302" s="31"/>
      <c r="G302" s="85"/>
      <c r="H302" s="31"/>
      <c r="I302" s="31" t="str">
        <f>IFERROR(__xludf.DUMMYFUNCTION("""COMPUTED_VALUE"""),"Quality Auditor- Executive")</f>
        <v>Quality Auditor- Executive</v>
      </c>
      <c r="J302" s="31"/>
      <c r="K302" s="31"/>
      <c r="L302" s="31"/>
      <c r="M302" s="31"/>
      <c r="N302" s="31"/>
    </row>
    <row r="303">
      <c r="A303" s="31">
        <f>IFERROR(__xludf.DUMMYFUNCTION("""COMPUTED_VALUE"""),362.0)</f>
        <v>362</v>
      </c>
      <c r="B303" s="31" t="str">
        <f>IFERROR(__xludf.DUMMYFUNCTION("""COMPUTED_VALUE"""),"Iqra Islam")</f>
        <v>Iqra Islam</v>
      </c>
      <c r="C303" s="31" t="str">
        <f>IFERROR(__xludf.DUMMYFUNCTION("""COMPUTED_VALUE"""),"	islamiqra999@gmail.com")</f>
        <v>	islamiqra999@gmail.com</v>
      </c>
      <c r="D303" s="84">
        <f>IFERROR(__xludf.DUMMYFUNCTION("""COMPUTED_VALUE"""),9.690255071E9)</f>
        <v>9690255071</v>
      </c>
      <c r="E303" s="94">
        <f>IFERROR(__xludf.DUMMYFUNCTION("""COMPUTED_VALUE"""),45357.0)</f>
        <v>45357</v>
      </c>
      <c r="F303" s="31"/>
      <c r="G303" s="85"/>
      <c r="H303" s="31"/>
      <c r="I303" s="31" t="str">
        <f>IFERROR(__xludf.DUMMYFUNCTION("""COMPUTED_VALUE"""),"Customer Support Executive")</f>
        <v>Customer Support Executive</v>
      </c>
      <c r="J303" s="31"/>
      <c r="K303" s="31"/>
      <c r="L303" s="31"/>
      <c r="M303" s="31"/>
      <c r="N303" s="31"/>
    </row>
    <row r="304">
      <c r="A304" s="31">
        <f>IFERROR(__xludf.DUMMYFUNCTION("""COMPUTED_VALUE"""),363.0)</f>
        <v>363</v>
      </c>
      <c r="B304" s="31" t="str">
        <f>IFERROR(__xludf.DUMMYFUNCTION("""COMPUTED_VALUE"""),"Vasudev Yadav")</f>
        <v>Vasudev Yadav</v>
      </c>
      <c r="C304" s="75" t="str">
        <f>IFERROR(__xludf.DUMMYFUNCTION("""COMPUTED_VALUE"""),"	vasudevyadav304@gmail.com")</f>
        <v>	vasudevyadav304@gmail.com</v>
      </c>
      <c r="D304" s="84">
        <f>IFERROR(__xludf.DUMMYFUNCTION("""COMPUTED_VALUE"""),8.882328557E9)</f>
        <v>8882328557</v>
      </c>
      <c r="E304" s="94">
        <f>IFERROR(__xludf.DUMMYFUNCTION("""COMPUTED_VALUE"""),45357.0)</f>
        <v>45357</v>
      </c>
      <c r="F304" s="31"/>
      <c r="G304" s="85"/>
      <c r="H304" s="31"/>
      <c r="I304" s="31" t="str">
        <f>IFERROR(__xludf.DUMMYFUNCTION("""COMPUTED_VALUE"""),"Customer Support Executive")</f>
        <v>Customer Support Executive</v>
      </c>
      <c r="J304" s="31"/>
      <c r="K304" s="31"/>
      <c r="L304" s="31"/>
      <c r="M304" s="31"/>
      <c r="N304" s="31"/>
    </row>
    <row r="305">
      <c r="A305" s="31">
        <f>IFERROR(__xludf.DUMMYFUNCTION("""COMPUTED_VALUE"""),364.0)</f>
        <v>364</v>
      </c>
      <c r="B305" s="31" t="str">
        <f>IFERROR(__xludf.DUMMYFUNCTION("""COMPUTED_VALUE"""),"Aman")</f>
        <v>Aman</v>
      </c>
      <c r="C305" s="75" t="str">
        <f>IFERROR(__xludf.DUMMYFUNCTION("""COMPUTED_VALUE"""),"amanhans60@gmail.com")</f>
        <v>amanhans60@gmail.com</v>
      </c>
      <c r="D305" s="84">
        <f>IFERROR(__xludf.DUMMYFUNCTION("""COMPUTED_VALUE"""),7.988985535E9)</f>
        <v>7988985535</v>
      </c>
      <c r="E305" s="94">
        <f>IFERROR(__xludf.DUMMYFUNCTION("""COMPUTED_VALUE"""),45357.0)</f>
        <v>45357</v>
      </c>
      <c r="F305" s="31"/>
      <c r="G305" s="85"/>
      <c r="H305" s="31"/>
      <c r="I305" s="31" t="str">
        <f>IFERROR(__xludf.DUMMYFUNCTION("""COMPUTED_VALUE"""),"Quality Assurance Engineer- 1 ")</f>
        <v>Quality Assurance Engineer- 1 </v>
      </c>
      <c r="J305" s="31"/>
      <c r="K305" s="31"/>
      <c r="L305" s="31"/>
      <c r="M305" s="31"/>
      <c r="N305" s="31"/>
    </row>
    <row r="306">
      <c r="A306" s="31">
        <f>IFERROR(__xludf.DUMMYFUNCTION("""COMPUTED_VALUE"""),365.0)</f>
        <v>365</v>
      </c>
      <c r="B306" s="31" t="str">
        <f>IFERROR(__xludf.DUMMYFUNCTION("""COMPUTED_VALUE"""),"Anil Meher")</f>
        <v>Anil Meher</v>
      </c>
      <c r="C306" s="31" t="str">
        <f>IFERROR(__xludf.DUMMYFUNCTION("""COMPUTED_VALUE"""),"anilmeher1995@gmail.com")</f>
        <v>anilmeher1995@gmail.com</v>
      </c>
      <c r="D306" s="84">
        <f>IFERROR(__xludf.DUMMYFUNCTION("""COMPUTED_VALUE"""),9.911013546E9)</f>
        <v>9911013546</v>
      </c>
      <c r="E306" s="94">
        <f>IFERROR(__xludf.DUMMYFUNCTION("""COMPUTED_VALUE"""),45362.0)</f>
        <v>45362</v>
      </c>
      <c r="F306" s="31"/>
      <c r="G306" s="85"/>
      <c r="H306" s="31"/>
      <c r="I306" s="31" t="str">
        <f>IFERROR(__xludf.DUMMYFUNCTION("""COMPUTED_VALUE"""),"Assistant Manager- Finance")</f>
        <v>Assistant Manager- Finance</v>
      </c>
      <c r="J306" s="31"/>
      <c r="K306" s="31"/>
      <c r="L306" s="31"/>
      <c r="M306" s="31"/>
      <c r="N306" s="31"/>
    </row>
    <row r="307">
      <c r="A307" s="31">
        <f>IFERROR(__xludf.DUMMYFUNCTION("""COMPUTED_VALUE"""),366.0)</f>
        <v>366</v>
      </c>
      <c r="B307" s="31" t="str">
        <f>IFERROR(__xludf.DUMMYFUNCTION("""COMPUTED_VALUE"""),"Amit Mohanta")</f>
        <v>Amit Mohanta</v>
      </c>
      <c r="C307" s="31" t="str">
        <f>IFERROR(__xludf.DUMMYFUNCTION("""COMPUTED_VALUE"""),"mohanta27@gmail.com")</f>
        <v>mohanta27@gmail.com</v>
      </c>
      <c r="D307" s="84">
        <f>IFERROR(__xludf.DUMMYFUNCTION("""COMPUTED_VALUE"""),9.97155741E9)</f>
        <v>9971557410</v>
      </c>
      <c r="E307" s="94">
        <f>IFERROR(__xludf.DUMMYFUNCTION("""COMPUTED_VALUE"""),45362.0)</f>
        <v>45362</v>
      </c>
      <c r="F307" s="31"/>
      <c r="G307" s="85"/>
      <c r="H307" s="31"/>
      <c r="I307" s="31" t="str">
        <f>IFERROR(__xludf.DUMMYFUNCTION("""COMPUTED_VALUE"""),"Senior 3D Animator")</f>
        <v>Senior 3D Animator</v>
      </c>
      <c r="J307" s="31"/>
      <c r="K307" s="31"/>
      <c r="L307" s="31"/>
      <c r="M307" s="31"/>
      <c r="N307" s="31"/>
    </row>
    <row r="308">
      <c r="A308" s="31">
        <f>IFERROR(__xludf.DUMMYFUNCTION("""COMPUTED_VALUE"""),367.0)</f>
        <v>367</v>
      </c>
      <c r="B308" s="31" t="str">
        <f>IFERROR(__xludf.DUMMYFUNCTION("""COMPUTED_VALUE"""),"Shiv Kumar")</f>
        <v>Shiv Kumar</v>
      </c>
      <c r="C308" s="31" t="str">
        <f>IFERROR(__xludf.DUMMYFUNCTION("""COMPUTED_VALUE"""),"Shivconiyal@gmail.com")</f>
        <v>Shivconiyal@gmail.com</v>
      </c>
      <c r="D308" s="84">
        <f>IFERROR(__xludf.DUMMYFUNCTION("""COMPUTED_VALUE"""),9.306910581E9)</f>
        <v>9306910581</v>
      </c>
      <c r="E308" s="94">
        <f>IFERROR(__xludf.DUMMYFUNCTION("""COMPUTED_VALUE"""),45364.0)</f>
        <v>45364</v>
      </c>
      <c r="F308" s="31"/>
      <c r="G308" s="85"/>
      <c r="H308" s="31"/>
      <c r="I308" s="31" t="str">
        <f>IFERROR(__xludf.DUMMYFUNCTION("""COMPUTED_VALUE"""),"IT Executive")</f>
        <v>IT Executive</v>
      </c>
      <c r="J308" s="31"/>
      <c r="K308" s="31"/>
      <c r="L308" s="31"/>
      <c r="M308" s="31"/>
      <c r="N308" s="31"/>
    </row>
    <row r="309">
      <c r="A309" s="31">
        <f>IFERROR(__xludf.DUMMYFUNCTION("""COMPUTED_VALUE"""),368.0)</f>
        <v>368</v>
      </c>
      <c r="B309" s="31" t="str">
        <f>IFERROR(__xludf.DUMMYFUNCTION("""COMPUTED_VALUE"""),"Suman Kumar")</f>
        <v>Suman Kumar</v>
      </c>
      <c r="C309" s="31" t="str">
        <f>IFERROR(__xludf.DUMMYFUNCTION("""COMPUTED_VALUE"""),"sumankumar0112@gmail.com")</f>
        <v>sumankumar0112@gmail.com</v>
      </c>
      <c r="D309" s="84">
        <f>IFERROR(__xludf.DUMMYFUNCTION("""COMPUTED_VALUE"""),9.015511336E9)</f>
        <v>9015511336</v>
      </c>
      <c r="E309" s="94">
        <f>IFERROR(__xludf.DUMMYFUNCTION("""COMPUTED_VALUE"""),45363.0)</f>
        <v>45363</v>
      </c>
      <c r="F309" s="31"/>
      <c r="G309" s="85"/>
      <c r="H309" s="31"/>
      <c r="I309" s="31" t="str">
        <f>IFERROR(__xludf.DUMMYFUNCTION("""COMPUTED_VALUE"""),"Senior Executive- Customer Experience")</f>
        <v>Senior Executive- Customer Experience</v>
      </c>
      <c r="J309" s="31"/>
      <c r="K309" s="31"/>
      <c r="L309" s="31"/>
      <c r="M309" s="31"/>
      <c r="N309" s="31"/>
    </row>
    <row r="310">
      <c r="A310" s="31">
        <f>IFERROR(__xludf.DUMMYFUNCTION("""COMPUTED_VALUE"""),369.0)</f>
        <v>369</v>
      </c>
      <c r="B310" s="31" t="str">
        <f>IFERROR(__xludf.DUMMYFUNCTION("""COMPUTED_VALUE"""),"Ankur Agarwal")</f>
        <v>Ankur Agarwal</v>
      </c>
      <c r="C310" s="31" t="str">
        <f>IFERROR(__xludf.DUMMYFUNCTION("""COMPUTED_VALUE"""),"agarwal.ankur1312@gmail.com")</f>
        <v>agarwal.ankur1312@gmail.com</v>
      </c>
      <c r="D310" s="84">
        <f>IFERROR(__xludf.DUMMYFUNCTION("""COMPUTED_VALUE"""),8.800577791E9)</f>
        <v>8800577791</v>
      </c>
      <c r="E310" s="94">
        <f>IFERROR(__xludf.DUMMYFUNCTION("""COMPUTED_VALUE"""),45371.0)</f>
        <v>45371</v>
      </c>
      <c r="F310" s="31"/>
      <c r="G310" s="85"/>
      <c r="H310" s="31"/>
      <c r="I310" s="31" t="str">
        <f>IFERROR(__xludf.DUMMYFUNCTION("""COMPUTED_VALUE"""),"Financial Controller")</f>
        <v>Financial Controller</v>
      </c>
      <c r="J310" s="31"/>
      <c r="K310" s="31"/>
      <c r="L310" s="31"/>
      <c r="M310" s="31"/>
      <c r="N310" s="31"/>
    </row>
    <row r="311">
      <c r="A311" s="31">
        <f>IFERROR(__xludf.DUMMYFUNCTION("""COMPUTED_VALUE"""),370.0)</f>
        <v>370</v>
      </c>
      <c r="B311" s="31" t="str">
        <f>IFERROR(__xludf.DUMMYFUNCTION("""COMPUTED_VALUE"""),"Ankush Gupta")</f>
        <v>Ankush Gupta</v>
      </c>
      <c r="C311" s="31" t="str">
        <f>IFERROR(__xludf.DUMMYFUNCTION("""COMPUTED_VALUE"""),"ankushguptash1997@gmail.com")</f>
        <v>ankushguptash1997@gmail.com</v>
      </c>
      <c r="D311" s="84">
        <f>IFERROR(__xludf.DUMMYFUNCTION("""COMPUTED_VALUE"""),8.559983095E9)</f>
        <v>8559983095</v>
      </c>
      <c r="E311" s="94">
        <f>IFERROR(__xludf.DUMMYFUNCTION("""COMPUTED_VALUE"""),45385.0)</f>
        <v>45385</v>
      </c>
      <c r="F311" s="31"/>
      <c r="G311" s="85"/>
      <c r="H311" s="31"/>
      <c r="I311" s="31" t="str">
        <f>IFERROR(__xludf.DUMMYFUNCTION("""COMPUTED_VALUE"""),"Senior Data Analyst")</f>
        <v>Senior Data Analyst</v>
      </c>
      <c r="J311" s="31"/>
      <c r="K311" s="31"/>
      <c r="L311" s="31"/>
      <c r="M311" s="31"/>
      <c r="N311" s="31"/>
    </row>
    <row r="312">
      <c r="A312" s="31">
        <f>IFERROR(__xludf.DUMMYFUNCTION("""COMPUTED_VALUE"""),371.0)</f>
        <v>371</v>
      </c>
      <c r="B312" s="31" t="str">
        <f>IFERROR(__xludf.DUMMYFUNCTION("""COMPUTED_VALUE"""),"Hemant Dandotiya")</f>
        <v>Hemant Dandotiya</v>
      </c>
      <c r="C312" s="31" t="str">
        <f>IFERROR(__xludf.DUMMYFUNCTION("""COMPUTED_VALUE"""),"hemant.sharma010@gmail.com")</f>
        <v>hemant.sharma010@gmail.com</v>
      </c>
      <c r="D312" s="84" t="str">
        <f>IFERROR(__xludf.DUMMYFUNCTION("""COMPUTED_VALUE"""),"88003 27796")</f>
        <v>88003 27796</v>
      </c>
      <c r="E312" s="94">
        <f>IFERROR(__xludf.DUMMYFUNCTION("""COMPUTED_VALUE"""),45385.0)</f>
        <v>45385</v>
      </c>
      <c r="F312" s="31"/>
      <c r="G312" s="85"/>
      <c r="H312" s="31"/>
      <c r="I312" s="31" t="str">
        <f>IFERROR(__xludf.DUMMYFUNCTION("""COMPUTED_VALUE"""),"Senior 3D Game Artist")</f>
        <v>Senior 3D Game Artist</v>
      </c>
      <c r="J312" s="31"/>
      <c r="K312" s="31"/>
      <c r="L312" s="31"/>
      <c r="M312" s="31"/>
      <c r="N312" s="31"/>
    </row>
    <row r="313">
      <c r="A313" s="31">
        <f>IFERROR(__xludf.DUMMYFUNCTION("""COMPUTED_VALUE"""),372.0)</f>
        <v>372</v>
      </c>
      <c r="B313" s="31" t="str">
        <f>IFERROR(__xludf.DUMMYFUNCTION("""COMPUTED_VALUE"""),"Divya Dhiman")</f>
        <v>Divya Dhiman</v>
      </c>
      <c r="C313" s="31" t="str">
        <f>IFERROR(__xludf.DUMMYFUNCTION("""COMPUTED_VALUE"""),"dd8628083429@gmail.com")</f>
        <v>dd8628083429@gmail.com</v>
      </c>
      <c r="D313" s="84">
        <f>IFERROR(__xludf.DUMMYFUNCTION("""COMPUTED_VALUE"""),7.88910877E9)</f>
        <v>7889108770</v>
      </c>
      <c r="E313" s="94">
        <f>IFERROR(__xludf.DUMMYFUNCTION("""COMPUTED_VALUE"""),45390.0)</f>
        <v>45390</v>
      </c>
      <c r="F313" s="31"/>
      <c r="G313" s="85" t="str">
        <f>IFERROR(__xludf.DUMMYFUNCTION("""COMPUTED_VALUE"""),"House number 1023, Guru nanak enclave, village Daun, Sas nagar Mohali (140301) punjab")</f>
        <v>House number 1023, Guru nanak enclave, village Daun, Sas nagar Mohali (140301) punjab</v>
      </c>
      <c r="H313" s="31"/>
      <c r="I313" s="31" t="str">
        <f>IFERROR(__xludf.DUMMYFUNCTION("""COMPUTED_VALUE"""),"Senior Executive – Customer Experience")</f>
        <v>Senior Executive – Customer Experience</v>
      </c>
      <c r="J313" s="31"/>
      <c r="K313" s="31"/>
      <c r="L313" s="31"/>
      <c r="M313" s="31"/>
      <c r="N313" s="31"/>
    </row>
    <row r="314">
      <c r="A314" s="31">
        <f>IFERROR(__xludf.DUMMYFUNCTION("""COMPUTED_VALUE"""),373.0)</f>
        <v>373</v>
      </c>
      <c r="B314" s="31" t="str">
        <f>IFERROR(__xludf.DUMMYFUNCTION("""COMPUTED_VALUE"""),"Basilnath Samson Masabiel")</f>
        <v>Basilnath Samson Masabiel</v>
      </c>
      <c r="C314" s="31" t="str">
        <f>IFERROR(__xludf.DUMMYFUNCTION("""COMPUTED_VALUE"""),"samsonbasilnath@gmail.com")</f>
        <v>samsonbasilnath@gmail.com</v>
      </c>
      <c r="D314" s="84">
        <f>IFERROR(__xludf.DUMMYFUNCTION("""COMPUTED_VALUE"""),8.867140028E9)</f>
        <v>8867140028</v>
      </c>
      <c r="E314" s="94">
        <f>IFERROR(__xludf.DUMMYFUNCTION("""COMPUTED_VALUE"""),45397.0)</f>
        <v>45397</v>
      </c>
      <c r="F314" s="31"/>
      <c r="G314" s="85"/>
      <c r="H314" s="31"/>
      <c r="I314" s="31" t="str">
        <f>IFERROR(__xludf.DUMMYFUNCTION("""COMPUTED_VALUE"""),"Senior Analyst – Process Excellence")</f>
        <v>Senior Analyst – Process Excellence</v>
      </c>
      <c r="J314" s="31"/>
      <c r="K314" s="31"/>
      <c r="L314" s="31"/>
      <c r="M314" s="31"/>
      <c r="N314" s="31"/>
    </row>
    <row r="315">
      <c r="A315" s="31">
        <f>IFERROR(__xludf.DUMMYFUNCTION("""COMPUTED_VALUE"""),374.0)</f>
        <v>374</v>
      </c>
      <c r="B315" s="31" t="str">
        <f>IFERROR(__xludf.DUMMYFUNCTION("""COMPUTED_VALUE"""),"Pankaj Sharma")</f>
        <v>Pankaj Sharma</v>
      </c>
      <c r="C315" s="31" t="str">
        <f>IFERROR(__xludf.DUMMYFUNCTION("""COMPUTED_VALUE"""),"Pankajjshaarma@outlook.com")</f>
        <v>Pankajjshaarma@outlook.com</v>
      </c>
      <c r="D315" s="84">
        <f>IFERROR(__xludf.DUMMYFUNCTION("""COMPUTED_VALUE"""),7.007976868E9)</f>
        <v>7007976868</v>
      </c>
      <c r="E315" s="94">
        <f>IFERROR(__xludf.DUMMYFUNCTION("""COMPUTED_VALUE"""),45397.0)</f>
        <v>45397</v>
      </c>
      <c r="F315" s="31"/>
      <c r="G315" s="85"/>
      <c r="H315" s="31"/>
      <c r="I315" s="31" t="str">
        <f>IFERROR(__xludf.DUMMYFUNCTION("""COMPUTED_VALUE"""),"Senior Fraud Analyst")</f>
        <v>Senior Fraud Analyst</v>
      </c>
      <c r="J315" s="31"/>
      <c r="K315" s="31"/>
      <c r="L315" s="31"/>
      <c r="M315" s="31"/>
      <c r="N315" s="31"/>
    </row>
    <row r="316">
      <c r="A316" s="31">
        <f>IFERROR(__xludf.DUMMYFUNCTION("""COMPUTED_VALUE"""),375.0)</f>
        <v>375</v>
      </c>
      <c r="B316" s="31" t="str">
        <f>IFERROR(__xludf.DUMMYFUNCTION("""COMPUTED_VALUE"""),"Anurag Dwivedi")</f>
        <v>Anurag Dwivedi</v>
      </c>
      <c r="C316" s="31" t="str">
        <f>IFERROR(__xludf.DUMMYFUNCTION("""COMPUTED_VALUE"""),"anudwivedi31@gmail.com")</f>
        <v>anudwivedi31@gmail.com</v>
      </c>
      <c r="D316" s="84">
        <f>IFERROR(__xludf.DUMMYFUNCTION("""COMPUTED_VALUE"""),9.807225188E9)</f>
        <v>9807225188</v>
      </c>
      <c r="E316" s="94">
        <f>IFERROR(__xludf.DUMMYFUNCTION("""COMPUTED_VALUE"""),45397.0)</f>
        <v>45397</v>
      </c>
      <c r="F316" s="31"/>
      <c r="G316" s="85"/>
      <c r="H316" s="31"/>
      <c r="I316" s="31" t="str">
        <f>IFERROR(__xludf.DUMMYFUNCTION("""COMPUTED_VALUE"""),"Senior Fraud Analyst")</f>
        <v>Senior Fraud Analyst</v>
      </c>
      <c r="J316" s="31"/>
      <c r="K316" s="31"/>
      <c r="L316" s="31"/>
      <c r="M316" s="31"/>
      <c r="N316" s="31"/>
    </row>
    <row r="317">
      <c r="A317" s="31">
        <f>IFERROR(__xludf.DUMMYFUNCTION("""COMPUTED_VALUE"""),378.0)</f>
        <v>378</v>
      </c>
      <c r="B317" s="31" t="str">
        <f>IFERROR(__xludf.DUMMYFUNCTION("""COMPUTED_VALUE"""),"Piyush Maurya")</f>
        <v>Piyush Maurya</v>
      </c>
      <c r="C317" s="31" t="str">
        <f>IFERROR(__xludf.DUMMYFUNCTION("""COMPUTED_VALUE"""),"mauryapiyush2002@gmail.com")</f>
        <v>mauryapiyush2002@gmail.com</v>
      </c>
      <c r="D317" s="84">
        <f>IFERROR(__xludf.DUMMYFUNCTION("""COMPUTED_VALUE"""),9.717439537E9)</f>
        <v>9717439537</v>
      </c>
      <c r="E317" s="94">
        <f>IFERROR(__xludf.DUMMYFUNCTION("""COMPUTED_VALUE"""),45404.0)</f>
        <v>45404</v>
      </c>
      <c r="F317" s="31"/>
      <c r="G317" s="85"/>
      <c r="H317" s="31"/>
      <c r="I317" s="31" t="str">
        <f>IFERROR(__xludf.DUMMYFUNCTION("""COMPUTED_VALUE"""),"SDET Trainee")</f>
        <v>SDET Trainee</v>
      </c>
      <c r="J317" s="31"/>
      <c r="K317" s="31"/>
      <c r="L317" s="31"/>
      <c r="M317" s="31"/>
      <c r="N317" s="31"/>
    </row>
    <row r="318">
      <c r="A318" s="31">
        <f>IFERROR(__xludf.DUMMYFUNCTION("""COMPUTED_VALUE"""),379.0)</f>
        <v>379</v>
      </c>
      <c r="B318" s="31" t="str">
        <f>IFERROR(__xludf.DUMMYFUNCTION("""COMPUTED_VALUE"""),"Gokul Verma")</f>
        <v>Gokul Verma</v>
      </c>
      <c r="C318" s="31" t="str">
        <f>IFERROR(__xludf.DUMMYFUNCTION("""COMPUTED_VALUE"""),"gokulverma1020@gmail.com")</f>
        <v>gokulverma1020@gmail.com</v>
      </c>
      <c r="D318" s="84">
        <f>IFERROR(__xludf.DUMMYFUNCTION("""COMPUTED_VALUE"""),8.677910193E9)</f>
        <v>8677910193</v>
      </c>
      <c r="E318" s="94">
        <f>IFERROR(__xludf.DUMMYFUNCTION("""COMPUTED_VALUE"""),45406.0)</f>
        <v>45406</v>
      </c>
      <c r="F318" s="31"/>
      <c r="G318" s="85"/>
      <c r="H318" s="31"/>
      <c r="I318" s="31" t="str">
        <f>IFERROR(__xludf.DUMMYFUNCTION("""COMPUTED_VALUE"""),"SDET Trainee")</f>
        <v>SDET Trainee</v>
      </c>
      <c r="J318" s="31"/>
      <c r="K318" s="31"/>
      <c r="L318" s="31"/>
      <c r="M318" s="31"/>
      <c r="N318" s="31"/>
    </row>
    <row r="319">
      <c r="A319" s="31">
        <f>IFERROR(__xludf.DUMMYFUNCTION("""COMPUTED_VALUE"""),380.0)</f>
        <v>380</v>
      </c>
      <c r="B319" s="31" t="str">
        <f>IFERROR(__xludf.DUMMYFUNCTION("""COMPUTED_VALUE"""),"Ritvik Sharma")</f>
        <v>Ritvik Sharma</v>
      </c>
      <c r="C319" s="31" t="str">
        <f>IFERROR(__xludf.DUMMYFUNCTION("""COMPUTED_VALUE"""),"iamritviksharma@gmail.com")</f>
        <v>iamritviksharma@gmail.com</v>
      </c>
      <c r="D319" s="84">
        <f>IFERROR(__xludf.DUMMYFUNCTION("""COMPUTED_VALUE"""),9.632919094E9)</f>
        <v>9632919094</v>
      </c>
      <c r="E319" s="94">
        <f>IFERROR(__xludf.DUMMYFUNCTION("""COMPUTED_VALUE"""),45411.0)</f>
        <v>45411</v>
      </c>
      <c r="F319" s="31"/>
      <c r="G319" s="85"/>
      <c r="H319" s="31"/>
      <c r="I319" s="31" t="str">
        <f>IFERROR(__xludf.DUMMYFUNCTION("""COMPUTED_VALUE"""),"Lead- Data Scientist")</f>
        <v>Lead- Data Scientist</v>
      </c>
      <c r="J319" s="31"/>
      <c r="K319" s="31"/>
      <c r="L319" s="31"/>
      <c r="M319" s="31"/>
      <c r="N319" s="31"/>
    </row>
    <row r="320">
      <c r="A320" s="31">
        <f>IFERROR(__xludf.DUMMYFUNCTION("""COMPUTED_VALUE"""),381.0)</f>
        <v>381</v>
      </c>
      <c r="B320" s="31" t="str">
        <f>IFERROR(__xludf.DUMMYFUNCTION("""COMPUTED_VALUE"""),"SDET Intern")</f>
        <v>SDET Intern</v>
      </c>
      <c r="C320" s="31" t="str">
        <f>IFERROR(__xludf.DUMMYFUNCTION("""COMPUTED_VALUE"""),"career.satyamsingh@gmail.com")</f>
        <v>career.satyamsingh@gmail.com</v>
      </c>
      <c r="D320" s="84">
        <f>IFERROR(__xludf.DUMMYFUNCTION("""COMPUTED_VALUE"""),9.528178911E9)</f>
        <v>9528178911</v>
      </c>
      <c r="E320" s="94">
        <f>IFERROR(__xludf.DUMMYFUNCTION("""COMPUTED_VALUE"""),45413.0)</f>
        <v>45413</v>
      </c>
      <c r="F320" s="31"/>
      <c r="G320" s="85"/>
      <c r="H320" s="31"/>
      <c r="I320" s="31" t="str">
        <f>IFERROR(__xludf.DUMMYFUNCTION("""COMPUTED_VALUE"""),"SEO Executive")</f>
        <v>SEO Executive</v>
      </c>
      <c r="J320" s="31"/>
      <c r="K320" s="31"/>
      <c r="L320" s="31"/>
      <c r="M320" s="31"/>
      <c r="N320" s="31"/>
    </row>
    <row r="321">
      <c r="A321" s="31">
        <f>IFERROR(__xludf.DUMMYFUNCTION("""COMPUTED_VALUE"""),382.0)</f>
        <v>382</v>
      </c>
      <c r="B321" s="31" t="str">
        <f>IFERROR(__xludf.DUMMYFUNCTION("""COMPUTED_VALUE"""),"Chaitanya Kapoor")</f>
        <v>Chaitanya Kapoor</v>
      </c>
      <c r="C321" s="31" t="str">
        <f>IFERROR(__xludf.DUMMYFUNCTION("""COMPUTED_VALUE"""),"chaitanya.kapoor@outlook.com")</f>
        <v>chaitanya.kapoor@outlook.com</v>
      </c>
      <c r="D321" s="84">
        <f>IFERROR(__xludf.DUMMYFUNCTION("""COMPUTED_VALUE"""),9.811924922E9)</f>
        <v>9811924922</v>
      </c>
      <c r="E321" s="94">
        <f>IFERROR(__xludf.DUMMYFUNCTION("""COMPUTED_VALUE"""),45418.0)</f>
        <v>45418</v>
      </c>
      <c r="F321" s="31"/>
      <c r="G321" s="85"/>
      <c r="H321" s="31"/>
      <c r="I321" s="31" t="str">
        <f>IFERROR(__xludf.DUMMYFUNCTION("""COMPUTED_VALUE"""),"Lead Data Analyst")</f>
        <v>Lead Data Analyst</v>
      </c>
      <c r="J321" s="31"/>
      <c r="K321" s="31"/>
      <c r="L321" s="31"/>
      <c r="M321" s="31"/>
      <c r="N321" s="31"/>
    </row>
    <row r="322">
      <c r="A322" s="31">
        <f>IFERROR(__xludf.DUMMYFUNCTION("""COMPUTED_VALUE"""),383.0)</f>
        <v>383</v>
      </c>
      <c r="B322" s="31" t="str">
        <f>IFERROR(__xludf.DUMMYFUNCTION("""COMPUTED_VALUE"""),"Utkarsh Vishal ")</f>
        <v>Utkarsh Vishal </v>
      </c>
      <c r="C322" s="31" t="str">
        <f>IFERROR(__xludf.DUMMYFUNCTION("""COMPUTED_VALUE"""),"utkarsh9874@gmail.com")</f>
        <v>utkarsh9874@gmail.com</v>
      </c>
      <c r="D322" s="84">
        <f>IFERROR(__xludf.DUMMYFUNCTION("""COMPUTED_VALUE"""),8.617754783E9)</f>
        <v>8617754783</v>
      </c>
      <c r="E322" s="94">
        <f>IFERROR(__xludf.DUMMYFUNCTION("""COMPUTED_VALUE"""),45418.0)</f>
        <v>45418</v>
      </c>
      <c r="F322" s="31"/>
      <c r="G322" s="85"/>
      <c r="H322" s="31"/>
      <c r="I322" s="31" t="str">
        <f>IFERROR(__xludf.DUMMYFUNCTION("""COMPUTED_VALUE"""),"Senior Data Analyst")</f>
        <v>Senior Data Analyst</v>
      </c>
      <c r="J322" s="31"/>
      <c r="K322" s="31"/>
      <c r="L322" s="31"/>
      <c r="M322" s="31"/>
      <c r="N322" s="31"/>
    </row>
    <row r="323">
      <c r="A323" s="31">
        <f>IFERROR(__xludf.DUMMYFUNCTION("""COMPUTED_VALUE"""),384.0)</f>
        <v>384</v>
      </c>
      <c r="B323" s="31" t="str">
        <f>IFERROR(__xludf.DUMMYFUNCTION("""COMPUTED_VALUE"""),"Kanwar Aditya Singh")</f>
        <v>Kanwar Aditya Singh</v>
      </c>
      <c r="C323" s="31" t="str">
        <f>IFERROR(__xludf.DUMMYFUNCTION("""COMPUTED_VALUE"""),"kanwaradityasingh30@gmail.com")</f>
        <v>kanwaradityasingh30@gmail.com</v>
      </c>
      <c r="D323" s="84">
        <f>IFERROR(__xludf.DUMMYFUNCTION("""COMPUTED_VALUE"""),8.708190168E9)</f>
        <v>8708190168</v>
      </c>
      <c r="E323" s="94">
        <f>IFERROR(__xludf.DUMMYFUNCTION("""COMPUTED_VALUE"""),45421.0)</f>
        <v>45421</v>
      </c>
      <c r="F323" s="31"/>
      <c r="G323" s="85"/>
      <c r="H323" s="31"/>
      <c r="I323" s="31" t="str">
        <f>IFERROR(__xludf.DUMMYFUNCTION("""COMPUTED_VALUE"""),"SDET Trainee")</f>
        <v>SDET Trainee</v>
      </c>
      <c r="J323" s="31"/>
      <c r="K323" s="31"/>
      <c r="L323" s="31"/>
      <c r="M323" s="31"/>
      <c r="N323" s="31"/>
    </row>
    <row r="324">
      <c r="A324" s="31">
        <f>IFERROR(__xludf.DUMMYFUNCTION("""COMPUTED_VALUE"""),385.0)</f>
        <v>385</v>
      </c>
      <c r="B324" s="31" t="str">
        <f>IFERROR(__xludf.DUMMYFUNCTION("""COMPUTED_VALUE"""),"Sanchi Gupta")</f>
        <v>Sanchi Gupta</v>
      </c>
      <c r="C324" s="31" t="str">
        <f>IFERROR(__xludf.DUMMYFUNCTION("""COMPUTED_VALUE"""),"gupta.sanchi2050@gmail.com")</f>
        <v>gupta.sanchi2050@gmail.com</v>
      </c>
      <c r="D324" s="84">
        <f>IFERROR(__xludf.DUMMYFUNCTION("""COMPUTED_VALUE"""),9.871183498E9)</f>
        <v>9871183498</v>
      </c>
      <c r="E324" s="94">
        <f>IFERROR(__xludf.DUMMYFUNCTION("""COMPUTED_VALUE"""),45427.0)</f>
        <v>45427</v>
      </c>
      <c r="F324" s="31"/>
      <c r="G324" s="85"/>
      <c r="H324" s="31"/>
      <c r="I324" s="31" t="str">
        <f>IFERROR(__xludf.DUMMYFUNCTION("""COMPUTED_VALUE"""),"Senior SEO Content Writer")</f>
        <v>Senior SEO Content Writer</v>
      </c>
      <c r="J324" s="31"/>
      <c r="K324" s="31"/>
      <c r="L324" s="31"/>
      <c r="M324" s="31"/>
      <c r="N324" s="31"/>
    </row>
    <row r="325">
      <c r="A325" s="31">
        <f>IFERROR(__xludf.DUMMYFUNCTION("""COMPUTED_VALUE"""),386.0)</f>
        <v>386</v>
      </c>
      <c r="B325" s="31" t="str">
        <f>IFERROR(__xludf.DUMMYFUNCTION("""COMPUTED_VALUE"""),"	Shubham Gupta")</f>
        <v>	Shubham Gupta</v>
      </c>
      <c r="C325" s="31" t="str">
        <f>IFERROR(__xludf.DUMMYFUNCTION("""COMPUTED_VALUE"""),"reachshubham1997@gmail.com")</f>
        <v>reachshubham1997@gmail.com</v>
      </c>
      <c r="D325" s="84">
        <f>IFERROR(__xludf.DUMMYFUNCTION("""COMPUTED_VALUE"""),8.005462446E9)</f>
        <v>8005462446</v>
      </c>
      <c r="E325" s="94">
        <f>IFERROR(__xludf.DUMMYFUNCTION("""COMPUTED_VALUE"""),45432.0)</f>
        <v>45432</v>
      </c>
      <c r="F325" s="31"/>
      <c r="G325" s="85"/>
      <c r="H325" s="31"/>
      <c r="I325" s="31" t="str">
        <f>IFERROR(__xludf.DUMMYFUNCTION("""COMPUTED_VALUE"""),"Senior Data Analyst")</f>
        <v>Senior Data Analyst</v>
      </c>
      <c r="J325" s="31"/>
      <c r="K325" s="31"/>
      <c r="L325" s="31"/>
      <c r="M325" s="31"/>
      <c r="N325" s="31"/>
    </row>
    <row r="326">
      <c r="A326" s="31">
        <f>IFERROR(__xludf.DUMMYFUNCTION("""COMPUTED_VALUE"""),387.0)</f>
        <v>387</v>
      </c>
      <c r="B326" s="31" t="str">
        <f>IFERROR(__xludf.DUMMYFUNCTION("""COMPUTED_VALUE"""),"Nikhil Jain")</f>
        <v>Nikhil Jain</v>
      </c>
      <c r="C326" s="31" t="str">
        <f>IFERROR(__xludf.DUMMYFUNCTION("""COMPUTED_VALUE"""),"nikhil.jain1912@gmail.com")</f>
        <v>nikhil.jain1912@gmail.com</v>
      </c>
      <c r="D326" s="84">
        <f>IFERROR(__xludf.DUMMYFUNCTION("""COMPUTED_VALUE"""),8.950085725E9)</f>
        <v>8950085725</v>
      </c>
      <c r="E326" s="94">
        <f>IFERROR(__xludf.DUMMYFUNCTION("""COMPUTED_VALUE"""),45433.0)</f>
        <v>45433</v>
      </c>
      <c r="F326" s="31"/>
      <c r="G326" s="85"/>
      <c r="H326" s="31"/>
      <c r="I326" s="31" t="str">
        <f>IFERROR(__xludf.DUMMYFUNCTION("""COMPUTED_VALUE"""),"Senior Data Analyst")</f>
        <v>Senior Data Analyst</v>
      </c>
      <c r="J326" s="31"/>
      <c r="K326" s="31"/>
      <c r="L326" s="31"/>
      <c r="M326" s="31"/>
      <c r="N326" s="31"/>
    </row>
    <row r="327">
      <c r="A327" s="31">
        <f>IFERROR(__xludf.DUMMYFUNCTION("""COMPUTED_VALUE"""),388.0)</f>
        <v>388</v>
      </c>
      <c r="B327" s="31" t="str">
        <f>IFERROR(__xludf.DUMMYFUNCTION("""COMPUTED_VALUE"""),"Vivek Sharma")</f>
        <v>Vivek Sharma</v>
      </c>
      <c r="C327" s="31" t="str">
        <f>IFERROR(__xludf.DUMMYFUNCTION("""COMPUTED_VALUE"""),"vivek6923sh@gmail.com ")</f>
        <v>vivek6923sh@gmail.com </v>
      </c>
      <c r="D327" s="84">
        <f>IFERROR(__xludf.DUMMYFUNCTION("""COMPUTED_VALUE"""),9.868956498E9)</f>
        <v>9868956498</v>
      </c>
      <c r="E327" s="94">
        <f>IFERROR(__xludf.DUMMYFUNCTION("""COMPUTED_VALUE"""),45432.0)</f>
        <v>45432</v>
      </c>
      <c r="F327" s="31"/>
      <c r="G327" s="85"/>
      <c r="H327" s="31"/>
      <c r="I327" s="31" t="str">
        <f>IFERROR(__xludf.DUMMYFUNCTION("""COMPUTED_VALUE"""),"Tech lead")</f>
        <v>Tech lead</v>
      </c>
      <c r="J327" s="31"/>
      <c r="K327" s="31"/>
      <c r="L327" s="31"/>
      <c r="M327" s="31"/>
      <c r="N327" s="31"/>
    </row>
    <row r="328">
      <c r="A328" s="31">
        <f>IFERROR(__xludf.DUMMYFUNCTION("""COMPUTED_VALUE"""),389.0)</f>
        <v>389</v>
      </c>
      <c r="B328" s="31" t="str">
        <f>IFERROR(__xludf.DUMMYFUNCTION("""COMPUTED_VALUE"""),"Rajashekhar Nari")</f>
        <v>Rajashekhar Nari</v>
      </c>
      <c r="C328" s="31" t="str">
        <f>IFERROR(__xludf.DUMMYFUNCTION("""COMPUTED_VALUE"""),"rajashekhar1198@gmail.com")</f>
        <v>rajashekhar1198@gmail.com</v>
      </c>
      <c r="D328" s="84">
        <f>IFERROR(__xludf.DUMMYFUNCTION("""COMPUTED_VALUE"""),9.110833865E9)</f>
        <v>9110833865</v>
      </c>
      <c r="E328" s="94">
        <f>IFERROR(__xludf.DUMMYFUNCTION("""COMPUTED_VALUE"""),45432.0)</f>
        <v>45432</v>
      </c>
      <c r="F328" s="31"/>
      <c r="G328" s="85" t="str">
        <f>IFERROR(__xludf.DUMMYFUNCTION("""COMPUTED_VALUE"""),"Flat frf 1 fifth floor, 19,
Shri Krishna apartments
4th Main Rd, NGR Layout, Roopena Agrahara, Bommanahalli, Bengaluru, Karnataka 560068")</f>
        <v>Flat frf 1 fifth floor, 19,
Shri Krishna apartments
4th Main Rd, NGR Layout, Roopena Agrahara, Bommanahalli, Bengaluru, Karnataka 560068</v>
      </c>
      <c r="H328" s="31"/>
      <c r="I328" s="31" t="str">
        <f>IFERROR(__xludf.DUMMYFUNCTION("""COMPUTED_VALUE"""),"Senior Data Engineer")</f>
        <v>Senior Data Engineer</v>
      </c>
      <c r="J328" s="31"/>
      <c r="K328" s="31"/>
      <c r="L328" s="31"/>
      <c r="M328" s="31"/>
      <c r="N328" s="31"/>
    </row>
    <row r="329">
      <c r="A329" s="31">
        <f>IFERROR(__xludf.DUMMYFUNCTION("""COMPUTED_VALUE"""),390.0)</f>
        <v>390</v>
      </c>
      <c r="B329" s="31" t="str">
        <f>IFERROR(__xludf.DUMMYFUNCTION("""COMPUTED_VALUE"""),"Abhishek Gupta")</f>
        <v>Abhishek Gupta</v>
      </c>
      <c r="C329" s="31" t="str">
        <f>IFERROR(__xludf.DUMMYFUNCTION("""COMPUTED_VALUE"""),"abhishekgupta230489@gmail.com")</f>
        <v>abhishekgupta230489@gmail.com</v>
      </c>
      <c r="D329" s="84">
        <f>IFERROR(__xludf.DUMMYFUNCTION("""COMPUTED_VALUE"""),9.999913305E9)</f>
        <v>9999913305</v>
      </c>
      <c r="E329" s="94">
        <f>IFERROR(__xludf.DUMMYFUNCTION("""COMPUTED_VALUE"""),45446.0)</f>
        <v>45446</v>
      </c>
      <c r="F329" s="31"/>
      <c r="G329" s="85"/>
      <c r="H329" s="31"/>
      <c r="I329" s="31" t="str">
        <f>IFERROR(__xludf.DUMMYFUNCTION("""COMPUTED_VALUE"""),"VP- Engineering")</f>
        <v>VP- Engineering</v>
      </c>
      <c r="J329" s="31"/>
      <c r="K329" s="31"/>
      <c r="L329" s="31"/>
      <c r="M329" s="31"/>
      <c r="N329" s="31"/>
    </row>
    <row r="330">
      <c r="A330" s="31">
        <f>IFERROR(__xludf.DUMMYFUNCTION("""COMPUTED_VALUE"""),391.0)</f>
        <v>391</v>
      </c>
      <c r="B330" s="31" t="str">
        <f>IFERROR(__xludf.DUMMYFUNCTION("""COMPUTED_VALUE"""),"Abhishek Kumar")</f>
        <v>Abhishek Kumar</v>
      </c>
      <c r="C330" s="31" t="str">
        <f>IFERROR(__xludf.DUMMYFUNCTION("""COMPUTED_VALUE"""),"	ABHI.MECH446@gmail.com")</f>
        <v>	ABHI.MECH446@gmail.com</v>
      </c>
      <c r="D330" s="84">
        <f>IFERROR(__xludf.DUMMYFUNCTION("""COMPUTED_VALUE"""),9.971740642E9)</f>
        <v>9971740642</v>
      </c>
      <c r="E330" s="94">
        <f>IFERROR(__xludf.DUMMYFUNCTION("""COMPUTED_VALUE"""),45446.0)</f>
        <v>45446</v>
      </c>
      <c r="F330" s="31"/>
      <c r="G330" s="85"/>
      <c r="H330" s="31"/>
      <c r="I330" s="31" t="str">
        <f>IFERROR(__xludf.DUMMYFUNCTION("""COMPUTED_VALUE"""),"Customer Support Executive")</f>
        <v>Customer Support Executive</v>
      </c>
      <c r="J330" s="31"/>
      <c r="K330" s="31"/>
      <c r="L330" s="31"/>
      <c r="M330" s="31"/>
      <c r="N330" s="31"/>
    </row>
    <row r="331">
      <c r="A331" s="31">
        <f>IFERROR(__xludf.DUMMYFUNCTION("""COMPUTED_VALUE"""),392.0)</f>
        <v>392</v>
      </c>
      <c r="B331" s="31" t="str">
        <f>IFERROR(__xludf.DUMMYFUNCTION("""COMPUTED_VALUE"""),"Shivani BIsht")</f>
        <v>Shivani BIsht</v>
      </c>
      <c r="C331" s="31" t="str">
        <f>IFERROR(__xludf.DUMMYFUNCTION("""COMPUTED_VALUE"""),"99.bishtshivani@gmail.com")</f>
        <v>99.bishtshivani@gmail.com</v>
      </c>
      <c r="D331" s="84">
        <f>IFERROR(__xludf.DUMMYFUNCTION("""COMPUTED_VALUE"""),7.982058712E9)</f>
        <v>7982058712</v>
      </c>
      <c r="E331" s="94">
        <f>IFERROR(__xludf.DUMMYFUNCTION("""COMPUTED_VALUE"""),45446.0)</f>
        <v>45446</v>
      </c>
      <c r="F331" s="31"/>
      <c r="G331" s="85"/>
      <c r="H331" s="31"/>
      <c r="I331" s="31" t="str">
        <f>IFERROR(__xludf.DUMMYFUNCTION("""COMPUTED_VALUE"""),"Senior Executive")</f>
        <v>Senior Executive</v>
      </c>
      <c r="J331" s="31"/>
      <c r="K331" s="31"/>
      <c r="L331" s="31"/>
      <c r="M331" s="31"/>
      <c r="N331" s="31"/>
    </row>
    <row r="332">
      <c r="A332" s="31">
        <f>IFERROR(__xludf.DUMMYFUNCTION("""COMPUTED_VALUE"""),393.0)</f>
        <v>393</v>
      </c>
      <c r="B332" s="31" t="str">
        <f>IFERROR(__xludf.DUMMYFUNCTION("""COMPUTED_VALUE"""),"Mrityunjay Kumar")</f>
        <v>Mrityunjay Kumar</v>
      </c>
      <c r="C332" s="31" t="str">
        <f>IFERROR(__xludf.DUMMYFUNCTION("""COMPUTED_VALUE"""),"Mrityunjay1061@gmail.com")</f>
        <v>Mrityunjay1061@gmail.com</v>
      </c>
      <c r="D332" s="84">
        <f>IFERROR(__xludf.DUMMYFUNCTION("""COMPUTED_VALUE"""),7.694966881E9)</f>
        <v>7694966881</v>
      </c>
      <c r="E332" s="94">
        <f>IFERROR(__xludf.DUMMYFUNCTION("""COMPUTED_VALUE"""),45446.0)</f>
        <v>45446</v>
      </c>
      <c r="F332" s="31"/>
      <c r="G332" s="85"/>
      <c r="H332" s="31"/>
      <c r="I332" s="31" t="str">
        <f>IFERROR(__xludf.DUMMYFUNCTION("""COMPUTED_VALUE"""),"AM-Operation and Strategy")</f>
        <v>AM-Operation and Strategy</v>
      </c>
      <c r="J332" s="31"/>
      <c r="K332" s="31"/>
      <c r="L332" s="31"/>
      <c r="M332" s="31"/>
      <c r="N332" s="31"/>
    </row>
    <row r="333">
      <c r="A333" s="31">
        <f>IFERROR(__xludf.DUMMYFUNCTION("""COMPUTED_VALUE"""),394.0)</f>
        <v>394</v>
      </c>
      <c r="B333" s="31" t="str">
        <f>IFERROR(__xludf.DUMMYFUNCTION("""COMPUTED_VALUE"""),"Sidharth Dhiman")</f>
        <v>Sidharth Dhiman</v>
      </c>
      <c r="C333" s="31" t="str">
        <f>IFERROR(__xludf.DUMMYFUNCTION("""COMPUTED_VALUE"""),"sidharthdhimantdi@gmail.com")</f>
        <v>sidharthdhimantdi@gmail.com</v>
      </c>
      <c r="D333" s="84">
        <f>IFERROR(__xludf.DUMMYFUNCTION("""COMPUTED_VALUE"""),9.671258763E9)</f>
        <v>9671258763</v>
      </c>
      <c r="E333" s="94">
        <f>IFERROR(__xludf.DUMMYFUNCTION("""COMPUTED_VALUE"""),45446.0)</f>
        <v>45446</v>
      </c>
      <c r="F333" s="31"/>
      <c r="G333" s="85"/>
      <c r="H333" s="31"/>
      <c r="I333" s="31" t="str">
        <f>IFERROR(__xludf.DUMMYFUNCTION("""COMPUTED_VALUE"""),"Software Engineer")</f>
        <v>Software Engineer</v>
      </c>
      <c r="J333" s="31"/>
      <c r="K333" s="31"/>
      <c r="L333" s="31"/>
      <c r="M333" s="31"/>
      <c r="N333" s="31"/>
    </row>
    <row r="334">
      <c r="A334" s="31">
        <f>IFERROR(__xludf.DUMMYFUNCTION("""COMPUTED_VALUE"""),395.0)</f>
        <v>395</v>
      </c>
      <c r="B334" s="31" t="str">
        <f>IFERROR(__xludf.DUMMYFUNCTION("""COMPUTED_VALUE"""),"Ravi Shankar Jha")</f>
        <v>Ravi Shankar Jha</v>
      </c>
      <c r="C334" s="31" t="str">
        <f>IFERROR(__xludf.DUMMYFUNCTION("""COMPUTED_VALUE"""),"ravi@u.nus.edu")</f>
        <v>ravi@u.nus.edu</v>
      </c>
      <c r="D334" s="84">
        <f>IFERROR(__xludf.DUMMYFUNCTION("""COMPUTED_VALUE"""),9.810499201E9)</f>
        <v>9810499201</v>
      </c>
      <c r="E334" s="94">
        <f>IFERROR(__xludf.DUMMYFUNCTION("""COMPUTED_VALUE"""),45449.0)</f>
        <v>45449</v>
      </c>
      <c r="F334" s="31"/>
      <c r="G334" s="85"/>
      <c r="H334" s="31"/>
      <c r="I334" s="31" t="str">
        <f>IFERROR(__xludf.DUMMYFUNCTION("""COMPUTED_VALUE"""),"Director- Public Policy")</f>
        <v>Director- Public Policy</v>
      </c>
      <c r="J334" s="31"/>
      <c r="K334" s="31"/>
      <c r="L334" s="31"/>
      <c r="M334" s="31"/>
      <c r="N334" s="31"/>
    </row>
    <row r="335">
      <c r="A335" s="31">
        <f>IFERROR(__xludf.DUMMYFUNCTION("""COMPUTED_VALUE"""),396.0)</f>
        <v>396</v>
      </c>
      <c r="B335" s="31" t="str">
        <f>IFERROR(__xludf.DUMMYFUNCTION("""COMPUTED_VALUE"""),"Rahul Satija")</f>
        <v>Rahul Satija</v>
      </c>
      <c r="C335" s="31" t="str">
        <f>IFERROR(__xludf.DUMMYFUNCTION("""COMPUTED_VALUE"""),"rahulsatija251990@gmail.com")</f>
        <v>rahulsatija251990@gmail.com</v>
      </c>
      <c r="D335" s="84">
        <f>IFERROR(__xludf.DUMMYFUNCTION("""COMPUTED_VALUE"""),9.873976976E9)</f>
        <v>9873976976</v>
      </c>
      <c r="E335" s="94">
        <f>IFERROR(__xludf.DUMMYFUNCTION("""COMPUTED_VALUE"""),45453.0)</f>
        <v>45453</v>
      </c>
      <c r="F335" s="31"/>
      <c r="G335" s="85"/>
      <c r="H335" s="31"/>
      <c r="I335" s="31" t="str">
        <f>IFERROR(__xludf.DUMMYFUNCTION("""COMPUTED_VALUE"""),"Associate Director - Taxation")</f>
        <v>Associate Director - Taxation</v>
      </c>
      <c r="J335" s="31"/>
      <c r="K335" s="31"/>
      <c r="L335" s="31"/>
      <c r="M335" s="31"/>
      <c r="N335" s="31"/>
    </row>
    <row r="336">
      <c r="A336" s="31">
        <f>IFERROR(__xludf.DUMMYFUNCTION("""COMPUTED_VALUE"""),397.0)</f>
        <v>397</v>
      </c>
      <c r="B336" s="31" t="str">
        <f>IFERROR(__xludf.DUMMYFUNCTION("""COMPUTED_VALUE"""),"Richa Sharma")</f>
        <v>Richa Sharma</v>
      </c>
      <c r="C336" s="31" t="str">
        <f>IFERROR(__xludf.DUMMYFUNCTION("""COMPUTED_VALUE"""),"richasharma.7@outlook.com")</f>
        <v>richasharma.7@outlook.com</v>
      </c>
      <c r="D336" s="84">
        <f>IFERROR(__xludf.DUMMYFUNCTION("""COMPUTED_VALUE"""),9.650926072E9)</f>
        <v>9650926072</v>
      </c>
      <c r="E336" s="94">
        <f>IFERROR(__xludf.DUMMYFUNCTION("""COMPUTED_VALUE"""),45453.0)</f>
        <v>45453</v>
      </c>
      <c r="F336" s="31"/>
      <c r="G336" s="85"/>
      <c r="H336" s="31"/>
      <c r="I336" s="31" t="str">
        <f>IFERROR(__xludf.DUMMYFUNCTION("""COMPUTED_VALUE"""),"Manager - HRBP")</f>
        <v>Manager - HRBP</v>
      </c>
      <c r="J336" s="31"/>
      <c r="K336" s="31"/>
      <c r="L336" s="31"/>
      <c r="M336" s="31"/>
      <c r="N336" s="31"/>
    </row>
    <row r="337">
      <c r="A337" s="31">
        <f>IFERROR(__xludf.DUMMYFUNCTION("""COMPUTED_VALUE"""),398.0)</f>
        <v>398</v>
      </c>
      <c r="B337" s="31" t="str">
        <f>IFERROR(__xludf.DUMMYFUNCTION("""COMPUTED_VALUE"""),"Pallavi Singh")</f>
        <v>Pallavi Singh</v>
      </c>
      <c r="C337" s="31" t="str">
        <f>IFERROR(__xludf.DUMMYFUNCTION("""COMPUTED_VALUE"""),"pallavi.sin02@gmail.com ")</f>
        <v>pallavi.sin02@gmail.com </v>
      </c>
      <c r="D337" s="84">
        <f>IFERROR(__xludf.DUMMYFUNCTION("""COMPUTED_VALUE"""),9.582878511E9)</f>
        <v>9582878511</v>
      </c>
      <c r="E337" s="94">
        <f>IFERROR(__xludf.DUMMYFUNCTION("""COMPUTED_VALUE"""),45453.0)</f>
        <v>45453</v>
      </c>
      <c r="F337" s="31"/>
      <c r="G337" s="85"/>
      <c r="H337" s="31"/>
      <c r="I337" s="31" t="str">
        <f>IFERROR(__xludf.DUMMYFUNCTION("""COMPUTED_VALUE"""),"Lead Data Analyst")</f>
        <v>Lead Data Analyst</v>
      </c>
      <c r="J337" s="31"/>
      <c r="K337" s="31"/>
      <c r="L337" s="31"/>
      <c r="M337" s="31"/>
      <c r="N337" s="31"/>
    </row>
    <row r="338">
      <c r="A338" s="31">
        <f>IFERROR(__xludf.DUMMYFUNCTION("""COMPUTED_VALUE"""),399.0)</f>
        <v>399</v>
      </c>
      <c r="B338" s="31" t="str">
        <f>IFERROR(__xludf.DUMMYFUNCTION("""COMPUTED_VALUE"""),"Gitika")</f>
        <v>Gitika</v>
      </c>
      <c r="C338" s="31" t="str">
        <f>IFERROR(__xludf.DUMMYFUNCTION("""COMPUTED_VALUE"""),"	palgitika749@gmail.com")</f>
        <v>	palgitika749@gmail.com</v>
      </c>
      <c r="D338" s="84">
        <f>IFERROR(__xludf.DUMMYFUNCTION("""COMPUTED_VALUE"""),9.084193275E9)</f>
        <v>9084193275</v>
      </c>
      <c r="E338" s="94">
        <f>IFERROR(__xludf.DUMMYFUNCTION("""COMPUTED_VALUE"""),45455.0)</f>
        <v>45455</v>
      </c>
      <c r="F338" s="31"/>
      <c r="G338" s="85"/>
      <c r="H338" s="31"/>
      <c r="I338" s="31" t="str">
        <f>IFERROR(__xludf.DUMMYFUNCTION("""COMPUTED_VALUE"""),"Customer Support Executive")</f>
        <v>Customer Support Executive</v>
      </c>
      <c r="J338" s="31"/>
      <c r="K338" s="31"/>
      <c r="L338" s="31"/>
      <c r="M338" s="31"/>
      <c r="N338" s="31"/>
    </row>
    <row r="339">
      <c r="A339" s="31">
        <f>IFERROR(__xludf.DUMMYFUNCTION("""COMPUTED_VALUE"""),400.0)</f>
        <v>400</v>
      </c>
      <c r="B339" s="31" t="str">
        <f>IFERROR(__xludf.DUMMYFUNCTION("""COMPUTED_VALUE"""),"Samarth Udasin")</f>
        <v>Samarth Udasin</v>
      </c>
      <c r="C339" s="31" t="str">
        <f>IFERROR(__xludf.DUMMYFUNCTION("""COMPUTED_VALUE"""),"samarthudasin@gmail.com")</f>
        <v>samarthudasin@gmail.com</v>
      </c>
      <c r="D339" s="84">
        <f>IFERROR(__xludf.DUMMYFUNCTION("""COMPUTED_VALUE"""),8.989605103E9)</f>
        <v>8989605103</v>
      </c>
      <c r="E339" s="94">
        <f>IFERROR(__xludf.DUMMYFUNCTION("""COMPUTED_VALUE"""),45455.0)</f>
        <v>45455</v>
      </c>
      <c r="F339" s="31"/>
      <c r="G339" s="85"/>
      <c r="H339" s="31"/>
      <c r="I339" s="31" t="str">
        <f>IFERROR(__xludf.DUMMYFUNCTION("""COMPUTED_VALUE"""),"Legal Trainee")</f>
        <v>Legal Trainee</v>
      </c>
      <c r="J339" s="31"/>
      <c r="K339" s="31"/>
      <c r="L339" s="31"/>
      <c r="M339" s="31"/>
      <c r="N339" s="31"/>
    </row>
    <row r="340">
      <c r="A340" s="31">
        <f>IFERROR(__xludf.DUMMYFUNCTION("""COMPUTED_VALUE"""),401.0)</f>
        <v>401</v>
      </c>
      <c r="B340" s="31" t="str">
        <f>IFERROR(__xludf.DUMMYFUNCTION("""COMPUTED_VALUE"""),"Abhishek Bisht")</f>
        <v>Abhishek Bisht</v>
      </c>
      <c r="C340" s="31" t="str">
        <f>IFERROR(__xludf.DUMMYFUNCTION("""COMPUTED_VALUE"""),"abhishek.bisht.21@gmail.com")</f>
        <v>abhishek.bisht.21@gmail.com</v>
      </c>
      <c r="D340" s="84">
        <f>IFERROR(__xludf.DUMMYFUNCTION("""COMPUTED_VALUE"""),9.354439217E9)</f>
        <v>9354439217</v>
      </c>
      <c r="E340" s="94">
        <f>IFERROR(__xludf.DUMMYFUNCTION("""COMPUTED_VALUE"""),45455.0)</f>
        <v>45455</v>
      </c>
      <c r="F340" s="31"/>
      <c r="G340" s="85"/>
      <c r="H340" s="31"/>
      <c r="I340" s="31" t="str">
        <f>IFERROR(__xludf.DUMMYFUNCTION("""COMPUTED_VALUE"""),"Software Development Engineer in Test")</f>
        <v>Software Development Engineer in Test</v>
      </c>
      <c r="J340" s="31"/>
      <c r="K340" s="31"/>
      <c r="L340" s="31"/>
      <c r="M340" s="31"/>
      <c r="N340" s="31"/>
    </row>
    <row r="341">
      <c r="A341" s="31">
        <f>IFERROR(__xludf.DUMMYFUNCTION("""COMPUTED_VALUE"""),402.0)</f>
        <v>402</v>
      </c>
      <c r="B341" s="31" t="str">
        <f>IFERROR(__xludf.DUMMYFUNCTION("""COMPUTED_VALUE"""),"Anita Rane")</f>
        <v>Anita Rane</v>
      </c>
      <c r="C341" s="75" t="str">
        <f>IFERROR(__xludf.DUMMYFUNCTION("""COMPUTED_VALUE"""),"anitarane5@gmail.com")</f>
        <v>anitarane5@gmail.com</v>
      </c>
      <c r="D341" s="84">
        <f>IFERROR(__xludf.DUMMYFUNCTION("""COMPUTED_VALUE"""),9.886676891E9)</f>
        <v>9886676891</v>
      </c>
      <c r="E341" s="94">
        <f>IFERROR(__xludf.DUMMYFUNCTION("""COMPUTED_VALUE"""),45457.0)</f>
        <v>45457</v>
      </c>
      <c r="F341" s="31"/>
      <c r="G341" s="85" t="str">
        <f>IFERROR(__xludf.DUMMYFUNCTION("""COMPUTED_VALUE"""),"SR Homes, 3rd floor, 202, 1st Main, A block, Vinayak Nagar, Konena Agrahara, Bengaluru, Karnataka")</f>
        <v>SR Homes, 3rd floor, 202, 1st Main, A block, Vinayak Nagar, Konena Agrahara, Bengaluru, Karnataka</v>
      </c>
      <c r="H341" s="31"/>
      <c r="I341" s="31" t="str">
        <f>IFERROR(__xludf.DUMMYFUNCTION("""COMPUTED_VALUE"""),"Creative Director")</f>
        <v>Creative Director</v>
      </c>
      <c r="J341" s="31"/>
      <c r="K341" s="31"/>
      <c r="L341" s="31"/>
      <c r="M341" s="31"/>
      <c r="N341" s="31"/>
    </row>
    <row r="342">
      <c r="A342" s="31">
        <f>IFERROR(__xludf.DUMMYFUNCTION("""COMPUTED_VALUE"""),403.0)</f>
        <v>403</v>
      </c>
      <c r="B342" s="31" t="str">
        <f>IFERROR(__xludf.DUMMYFUNCTION("""COMPUTED_VALUE"""),"Nishant Tripathi")</f>
        <v>Nishant Tripathi</v>
      </c>
      <c r="C342" s="75" t="str">
        <f>IFERROR(__xludf.DUMMYFUNCTION("""COMPUTED_VALUE"""),"nishant20@iitk.ac.in")</f>
        <v>nishant20@iitk.ac.in</v>
      </c>
      <c r="D342" s="84">
        <f>IFERROR(__xludf.DUMMYFUNCTION("""COMPUTED_VALUE"""),8.433195473E9)</f>
        <v>8433195473</v>
      </c>
      <c r="E342" s="94">
        <f>IFERROR(__xludf.DUMMYFUNCTION("""COMPUTED_VALUE"""),45460.0)</f>
        <v>45460</v>
      </c>
      <c r="F342" s="31"/>
      <c r="G342" s="85"/>
      <c r="H342" s="31"/>
      <c r="I342" s="31" t="str">
        <f>IFERROR(__xludf.DUMMYFUNCTION("""COMPUTED_VALUE"""),"Executive- Founder's Office")</f>
        <v>Executive- Founder's Office</v>
      </c>
      <c r="J342" s="31"/>
      <c r="K342" s="31"/>
      <c r="L342" s="31"/>
      <c r="M342" s="31"/>
      <c r="N342" s="31"/>
    </row>
    <row r="343">
      <c r="A343" s="31">
        <f>IFERROR(__xludf.DUMMYFUNCTION("""COMPUTED_VALUE"""),404.0)</f>
        <v>404</v>
      </c>
      <c r="B343" s="31" t="str">
        <f>IFERROR(__xludf.DUMMYFUNCTION("""COMPUTED_VALUE"""),"Aditi Khanna")</f>
        <v>Aditi Khanna</v>
      </c>
      <c r="C343" s="75" t="str">
        <f>IFERROR(__xludf.DUMMYFUNCTION("""COMPUTED_VALUE"""),"khannaaditi405@gmail.com")</f>
        <v>khannaaditi405@gmail.com</v>
      </c>
      <c r="D343" s="84">
        <f>IFERROR(__xludf.DUMMYFUNCTION("""COMPUTED_VALUE"""),8.287549188E9)</f>
        <v>8287549188</v>
      </c>
      <c r="E343" s="94">
        <f>IFERROR(__xludf.DUMMYFUNCTION("""COMPUTED_VALUE"""),45460.0)</f>
        <v>45460</v>
      </c>
      <c r="F343" s="31"/>
      <c r="G343" s="85"/>
      <c r="H343" s="31"/>
      <c r="I343" s="31" t="str">
        <f>IFERROR(__xludf.DUMMYFUNCTION("""COMPUTED_VALUE"""),"Executive- Founder's Office")</f>
        <v>Executive- Founder's Office</v>
      </c>
      <c r="J343" s="31"/>
      <c r="K343" s="31"/>
      <c r="L343" s="31"/>
      <c r="M343" s="31"/>
      <c r="N343" s="31"/>
    </row>
    <row r="344">
      <c r="A344" s="31">
        <f>IFERROR(__xludf.DUMMYFUNCTION("""COMPUTED_VALUE"""),405.0)</f>
        <v>405</v>
      </c>
      <c r="B344" s="31" t="str">
        <f>IFERROR(__xludf.DUMMYFUNCTION("""COMPUTED_VALUE"""),"Gautam Malhotra")</f>
        <v>Gautam Malhotra</v>
      </c>
      <c r="C344" s="31" t="str">
        <f>IFERROR(__xludf.DUMMYFUNCTION("""COMPUTED_VALUE"""),"malhotragautam3000@gmail.com")</f>
        <v>malhotragautam3000@gmail.com</v>
      </c>
      <c r="D344" s="84">
        <f>IFERROR(__xludf.DUMMYFUNCTION("""COMPUTED_VALUE"""),9.311492333E9)</f>
        <v>9311492333</v>
      </c>
      <c r="E344" s="94">
        <f>IFERROR(__xludf.DUMMYFUNCTION("""COMPUTED_VALUE"""),45461.0)</f>
        <v>45461</v>
      </c>
      <c r="F344" s="31"/>
      <c r="G344" s="85"/>
      <c r="H344" s="31"/>
      <c r="I344" s="31" t="str">
        <f>IFERROR(__xludf.DUMMYFUNCTION("""COMPUTED_VALUE"""),"Machine Learning Trainee")</f>
        <v>Machine Learning Trainee</v>
      </c>
      <c r="J344" s="31"/>
      <c r="K344" s="31"/>
      <c r="L344" s="31"/>
      <c r="M344" s="31"/>
      <c r="N344" s="31"/>
    </row>
    <row r="345">
      <c r="A345" s="31">
        <f>IFERROR(__xludf.DUMMYFUNCTION("""COMPUTED_VALUE"""),406.0)</f>
        <v>406</v>
      </c>
      <c r="B345" s="31" t="str">
        <f>IFERROR(__xludf.DUMMYFUNCTION("""COMPUTED_VALUE"""),"Soumya Manna")</f>
        <v>Soumya Manna</v>
      </c>
      <c r="C345" s="31" t="str">
        <f>IFERROR(__xludf.DUMMYFUNCTION("""COMPUTED_VALUE"""),"	sm323265@gmail.com")</f>
        <v>	sm323265@gmail.com</v>
      </c>
      <c r="D345" s="84">
        <f>IFERROR(__xludf.DUMMYFUNCTION("""COMPUTED_VALUE"""),9.038772181E9)</f>
        <v>9038772181</v>
      </c>
      <c r="E345" s="94">
        <f>IFERROR(__xludf.DUMMYFUNCTION("""COMPUTED_VALUE"""),45462.0)</f>
        <v>45462</v>
      </c>
      <c r="F345" s="31"/>
      <c r="G345" s="85"/>
      <c r="H345" s="31"/>
      <c r="I345" s="31" t="str">
        <f>IFERROR(__xludf.DUMMYFUNCTION("""COMPUTED_VALUE"""),"Senior Software Engineer")</f>
        <v>Senior Software Engineer</v>
      </c>
      <c r="J345" s="31"/>
      <c r="K345" s="31"/>
      <c r="L345" s="31"/>
      <c r="M345" s="31"/>
      <c r="N345" s="31"/>
    </row>
    <row r="346">
      <c r="A346" s="31">
        <f>IFERROR(__xludf.DUMMYFUNCTION("""COMPUTED_VALUE"""),407.0)</f>
        <v>407</v>
      </c>
      <c r="B346" s="31" t="str">
        <f>IFERROR(__xludf.DUMMYFUNCTION("""COMPUTED_VALUE"""),"Janvi")</f>
        <v>Janvi</v>
      </c>
      <c r="C346" s="31" t="str">
        <f>IFERROR(__xludf.DUMMYFUNCTION("""COMPUTED_VALUE"""),"janvirajpoot255@gmail.com")</f>
        <v>janvirajpoot255@gmail.com</v>
      </c>
      <c r="D346" s="84">
        <f>IFERROR(__xludf.DUMMYFUNCTION("""COMPUTED_VALUE"""),7.678410421E9)</f>
        <v>7678410421</v>
      </c>
      <c r="E346" s="94">
        <f>IFERROR(__xludf.DUMMYFUNCTION("""COMPUTED_VALUE"""),45462.0)</f>
        <v>45462</v>
      </c>
      <c r="F346" s="31"/>
      <c r="G346" s="85"/>
      <c r="H346" s="31"/>
      <c r="I346" s="31" t="str">
        <f>IFERROR(__xludf.DUMMYFUNCTION("""COMPUTED_VALUE"""),"Customer Support Executive")</f>
        <v>Customer Support Executive</v>
      </c>
      <c r="J346" s="31"/>
      <c r="K346" s="31"/>
      <c r="L346" s="31"/>
      <c r="M346" s="31"/>
      <c r="N346" s="31"/>
    </row>
    <row r="347">
      <c r="A347" s="31">
        <f>IFERROR(__xludf.DUMMYFUNCTION("""COMPUTED_VALUE"""),408.0)</f>
        <v>408</v>
      </c>
      <c r="B347" s="31" t="str">
        <f>IFERROR(__xludf.DUMMYFUNCTION("""COMPUTED_VALUE"""),"Aditya Marda")</f>
        <v>Aditya Marda</v>
      </c>
      <c r="C347" s="31" t="str">
        <f>IFERROR(__xludf.DUMMYFUNCTION("""COMPUTED_VALUE"""),"adityamarda1@gmail.com")</f>
        <v>adityamarda1@gmail.com</v>
      </c>
      <c r="D347" s="84">
        <f>IFERROR(__xludf.DUMMYFUNCTION("""COMPUTED_VALUE"""),7.875901304E9)</f>
        <v>7875901304</v>
      </c>
      <c r="E347" s="94">
        <f>IFERROR(__xludf.DUMMYFUNCTION("""COMPUTED_VALUE"""),45467.0)</f>
        <v>45467</v>
      </c>
      <c r="F347" s="31"/>
      <c r="G347" s="85"/>
      <c r="H347" s="31"/>
      <c r="I347" s="31" t="str">
        <f>IFERROR(__xludf.DUMMYFUNCTION("""COMPUTED_VALUE"""),"Senior Associate-Digital Marketing")</f>
        <v>Senior Associate-Digital Marketing</v>
      </c>
      <c r="J347" s="31"/>
      <c r="K347" s="31"/>
      <c r="L347" s="31"/>
      <c r="M347" s="31"/>
      <c r="N347" s="31"/>
    </row>
    <row r="348">
      <c r="A348" s="31">
        <f>IFERROR(__xludf.DUMMYFUNCTION("""COMPUTED_VALUE"""),409.0)</f>
        <v>409</v>
      </c>
      <c r="B348" s="31" t="str">
        <f>IFERROR(__xludf.DUMMYFUNCTION("""COMPUTED_VALUE"""),"Gaurav Malhotra")</f>
        <v>Gaurav Malhotra</v>
      </c>
      <c r="C348" s="31" t="str">
        <f>IFERROR(__xludf.DUMMYFUNCTION("""COMPUTED_VALUE"""),"Gauravmalhotra096@gmail.com ")</f>
        <v>Gauravmalhotra096@gmail.com </v>
      </c>
      <c r="D348" s="84">
        <f>IFERROR(__xludf.DUMMYFUNCTION("""COMPUTED_VALUE"""),9.650616176E9)</f>
        <v>9650616176</v>
      </c>
      <c r="E348" s="94">
        <f>IFERROR(__xludf.DUMMYFUNCTION("""COMPUTED_VALUE"""),45467.0)</f>
        <v>45467</v>
      </c>
      <c r="F348" s="31"/>
      <c r="G348" s="85"/>
      <c r="H348" s="31"/>
      <c r="I348" s="31" t="str">
        <f>IFERROR(__xludf.DUMMYFUNCTION("""COMPUTED_VALUE"""),"Senior Executive-Customer Experience")</f>
        <v>Senior Executive-Customer Experience</v>
      </c>
      <c r="J348" s="31"/>
      <c r="K348" s="31"/>
      <c r="L348" s="31"/>
      <c r="M348" s="31"/>
      <c r="N348" s="31"/>
    </row>
    <row r="349">
      <c r="A349" s="31">
        <f>IFERROR(__xludf.DUMMYFUNCTION("""COMPUTED_VALUE"""),410.0)</f>
        <v>410</v>
      </c>
      <c r="B349" s="31" t="str">
        <f>IFERROR(__xludf.DUMMYFUNCTION("""COMPUTED_VALUE"""),"Garima Prakash")</f>
        <v>Garima Prakash</v>
      </c>
      <c r="C349" s="31" t="str">
        <f>IFERROR(__xludf.DUMMYFUNCTION("""COMPUTED_VALUE"""),"garima.prakash93@gmail.com")</f>
        <v>garima.prakash93@gmail.com</v>
      </c>
      <c r="D349" s="84">
        <f>IFERROR(__xludf.DUMMYFUNCTION("""COMPUTED_VALUE"""),8.009780728E9)</f>
        <v>8009780728</v>
      </c>
      <c r="E349" s="94">
        <f>IFERROR(__xludf.DUMMYFUNCTION("""COMPUTED_VALUE"""),45469.0)</f>
        <v>45469</v>
      </c>
      <c r="F349" s="31"/>
      <c r="G349" s="85"/>
      <c r="H349" s="31"/>
      <c r="I349" s="31" t="str">
        <f>IFERROR(__xludf.DUMMYFUNCTION("""COMPUTED_VALUE"""),"Manager- Public Policy")</f>
        <v>Manager- Public Policy</v>
      </c>
      <c r="J349" s="31"/>
      <c r="K349" s="31"/>
      <c r="L349" s="31"/>
      <c r="M349" s="31"/>
      <c r="N349" s="31"/>
    </row>
    <row r="350">
      <c r="A350" s="31">
        <f>IFERROR(__xludf.DUMMYFUNCTION("""COMPUTED_VALUE"""),411.0)</f>
        <v>411</v>
      </c>
      <c r="B350" s="31" t="str">
        <f>IFERROR(__xludf.DUMMYFUNCTION("""COMPUTED_VALUE"""),"Piyush Patel")</f>
        <v>Piyush Patel</v>
      </c>
      <c r="C350" s="31" t="str">
        <f>IFERROR(__xludf.DUMMYFUNCTION("""COMPUTED_VALUE"""),"piyushpatel0319@gmail.com")</f>
        <v>piyushpatel0319@gmail.com</v>
      </c>
      <c r="D350" s="84">
        <f>IFERROR(__xludf.DUMMYFUNCTION("""COMPUTED_VALUE"""),7.0858521E9)</f>
        <v>7085852100</v>
      </c>
      <c r="E350" s="94">
        <f>IFERROR(__xludf.DUMMYFUNCTION("""COMPUTED_VALUE"""),45474.0)</f>
        <v>45474</v>
      </c>
      <c r="F350" s="31"/>
      <c r="G350" s="85" t="str">
        <f>IFERROR(__xludf.DUMMYFUNCTION("""COMPUTED_VALUE"""),"Tower 2 Flat 18E South City, 375 Prince Anwar Shah Road, Kolkata - 700068
West Bengal")</f>
        <v>Tower 2 Flat 18E South City, 375 Prince Anwar Shah Road, Kolkata - 700068
West Bengal</v>
      </c>
      <c r="H350" s="31"/>
      <c r="I350" s="31"/>
      <c r="J350" s="31"/>
      <c r="K350" s="31"/>
      <c r="L350" s="31"/>
      <c r="M350" s="31"/>
      <c r="N350" s="31"/>
    </row>
    <row r="351">
      <c r="A351" s="31">
        <f>IFERROR(__xludf.DUMMYFUNCTION("""COMPUTED_VALUE"""),412.0)</f>
        <v>412</v>
      </c>
      <c r="B351" s="31" t="str">
        <f>IFERROR(__xludf.DUMMYFUNCTION("""COMPUTED_VALUE"""),"Abhishek Prasad")</f>
        <v>Abhishek Prasad</v>
      </c>
      <c r="C351" s="75" t="str">
        <f>IFERROR(__xludf.DUMMYFUNCTION("""COMPUTED_VALUE"""),"prasadabhishek0123@gmail.com ")</f>
        <v>prasadabhishek0123@gmail.com </v>
      </c>
      <c r="D351" s="84">
        <f>IFERROR(__xludf.DUMMYFUNCTION("""COMPUTED_VALUE"""),8.092541196E9)</f>
        <v>8092541196</v>
      </c>
      <c r="E351" s="94">
        <f>IFERROR(__xludf.DUMMYFUNCTION("""COMPUTED_VALUE"""),45474.0)</f>
        <v>45474</v>
      </c>
      <c r="F351" s="31"/>
      <c r="G351" s="85"/>
      <c r="H351" s="31"/>
      <c r="I351" s="31" t="str">
        <f>IFERROR(__xludf.DUMMYFUNCTION("""COMPUTED_VALUE"""),"QA Executive")</f>
        <v>QA Executive</v>
      </c>
      <c r="J351" s="31"/>
      <c r="K351" s="31"/>
      <c r="L351" s="31"/>
      <c r="M351" s="31"/>
      <c r="N351" s="31"/>
    </row>
    <row r="352">
      <c r="A352" s="31">
        <f>IFERROR(__xludf.DUMMYFUNCTION("""COMPUTED_VALUE"""),413.0)</f>
        <v>413</v>
      </c>
      <c r="B352" s="31" t="str">
        <f>IFERROR(__xludf.DUMMYFUNCTION("""COMPUTED_VALUE"""),"Kunal Garg")</f>
        <v>Kunal Garg</v>
      </c>
      <c r="C352" s="75" t="str">
        <f>IFERROR(__xludf.DUMMYFUNCTION("""COMPUTED_VALUE"""),"kunalgarg1213@gmail.com")</f>
        <v>kunalgarg1213@gmail.com</v>
      </c>
      <c r="D352" s="84">
        <f>IFERROR(__xludf.DUMMYFUNCTION("""COMPUTED_VALUE"""),7.637833889E9)</f>
        <v>7637833889</v>
      </c>
      <c r="E352" s="94">
        <f>IFERROR(__xludf.DUMMYFUNCTION("""COMPUTED_VALUE"""),45474.0)</f>
        <v>45474</v>
      </c>
      <c r="F352" s="31"/>
      <c r="G352" s="85"/>
      <c r="H352" s="31"/>
      <c r="I352" s="31" t="str">
        <f>IFERROR(__xludf.DUMMYFUNCTION("""COMPUTED_VALUE"""),"Software Engineer")</f>
        <v>Software Engineer</v>
      </c>
      <c r="J352" s="31"/>
      <c r="K352" s="31"/>
      <c r="L352" s="31"/>
      <c r="M352" s="31"/>
      <c r="N352" s="31"/>
    </row>
    <row r="353">
      <c r="A353" s="31">
        <f>IFERROR(__xludf.DUMMYFUNCTION("""COMPUTED_VALUE"""),415.0)</f>
        <v>415</v>
      </c>
      <c r="B353" s="31" t="str">
        <f>IFERROR(__xludf.DUMMYFUNCTION("""COMPUTED_VALUE"""),"Munnu Kumar")</f>
        <v>Munnu Kumar</v>
      </c>
      <c r="C353" s="75" t="str">
        <f>IFERROR(__xludf.DUMMYFUNCTION("""COMPUTED_VALUE"""),"munnu.kumar37@gmail.com")</f>
        <v>munnu.kumar37@gmail.com</v>
      </c>
      <c r="D353" s="84">
        <f>IFERROR(__xludf.DUMMYFUNCTION("""COMPUTED_VALUE"""),8.860517784E9)</f>
        <v>8860517784</v>
      </c>
      <c r="E353" s="94">
        <f>IFERROR(__xludf.DUMMYFUNCTION("""COMPUTED_VALUE"""),45474.0)</f>
        <v>45474</v>
      </c>
      <c r="F353" s="31"/>
      <c r="G353" s="85"/>
      <c r="H353" s="31"/>
      <c r="I353" s="31" t="str">
        <f>IFERROR(__xludf.DUMMYFUNCTION("""COMPUTED_VALUE"""),"Software Development Engineer 3")</f>
        <v>Software Development Engineer 3</v>
      </c>
      <c r="J353" s="31"/>
      <c r="K353" s="31"/>
      <c r="L353" s="31"/>
      <c r="M353" s="31"/>
      <c r="N353" s="31"/>
    </row>
    <row r="354">
      <c r="A354" s="31">
        <f>IFERROR(__xludf.DUMMYFUNCTION("""COMPUTED_VALUE"""),416.0)</f>
        <v>416</v>
      </c>
      <c r="B354" s="31" t="str">
        <f>IFERROR(__xludf.DUMMYFUNCTION("""COMPUTED_VALUE"""),"Khushboo Chopra")</f>
        <v>Khushboo Chopra</v>
      </c>
      <c r="C354" s="75" t="str">
        <f>IFERROR(__xludf.DUMMYFUNCTION("""COMPUTED_VALUE"""),"khushboochopra17@gmail.com")</f>
        <v>khushboochopra17@gmail.com</v>
      </c>
      <c r="D354" s="84">
        <f>IFERROR(__xludf.DUMMYFUNCTION("""COMPUTED_VALUE"""),8.287202288E9)</f>
        <v>8287202288</v>
      </c>
      <c r="E354" s="94">
        <f>IFERROR(__xludf.DUMMYFUNCTION("""COMPUTED_VALUE"""),45474.0)</f>
        <v>45474</v>
      </c>
      <c r="F354" s="31"/>
      <c r="G354" s="85"/>
      <c r="H354" s="31"/>
      <c r="I354" s="31" t="str">
        <f>IFERROR(__xludf.DUMMYFUNCTION("""COMPUTED_VALUE"""),"Senior Manager – Brand Marketing")</f>
        <v>Senior Manager – Brand Marketing</v>
      </c>
      <c r="J354" s="31"/>
      <c r="K354" s="31"/>
      <c r="L354" s="31"/>
      <c r="M354" s="31"/>
      <c r="N354" s="31"/>
    </row>
    <row r="355">
      <c r="A355" s="31">
        <f>IFERROR(__xludf.DUMMYFUNCTION("""COMPUTED_VALUE"""),417.0)</f>
        <v>417</v>
      </c>
      <c r="B355" s="31" t="str">
        <f>IFERROR(__xludf.DUMMYFUNCTION("""COMPUTED_VALUE"""),"Arsalan Abbasi")</f>
        <v>Arsalan Abbasi</v>
      </c>
      <c r="C355" s="75" t="str">
        <f>IFERROR(__xludf.DUMMYFUNCTION("""COMPUTED_VALUE"""),"abbasiarsalan33@gmail.com")</f>
        <v>abbasiarsalan33@gmail.com</v>
      </c>
      <c r="D355" s="84">
        <f>IFERROR(__xludf.DUMMYFUNCTION("""COMPUTED_VALUE"""),8.423978787E9)</f>
        <v>8423978787</v>
      </c>
      <c r="E355" s="94">
        <f>IFERROR(__xludf.DUMMYFUNCTION("""COMPUTED_VALUE"""),45474.0)</f>
        <v>45474</v>
      </c>
      <c r="F355" s="31"/>
      <c r="G355" s="85"/>
      <c r="H355" s="31"/>
      <c r="I355" s="31" t="str">
        <f>IFERROR(__xludf.DUMMYFUNCTION("""COMPUTED_VALUE"""),"Associate- Digital Marketing")</f>
        <v>Associate- Digital Marketing</v>
      </c>
      <c r="J355" s="31"/>
      <c r="K355" s="31"/>
      <c r="L355" s="31"/>
      <c r="M355" s="31"/>
      <c r="N355" s="31"/>
    </row>
    <row r="356">
      <c r="A356" s="31">
        <f>IFERROR(__xludf.DUMMYFUNCTION("""COMPUTED_VALUE"""),418.0)</f>
        <v>418</v>
      </c>
      <c r="B356" s="31" t="str">
        <f>IFERROR(__xludf.DUMMYFUNCTION("""COMPUTED_VALUE"""),"Ashmita")</f>
        <v>Ashmita</v>
      </c>
      <c r="C356" s="31" t="str">
        <f>IFERROR(__xludf.DUMMYFUNCTION("""COMPUTED_VALUE"""),"Ashmita.in@gmail.com")</f>
        <v>Ashmita.in@gmail.com</v>
      </c>
      <c r="D356" s="84">
        <f>IFERROR(__xludf.DUMMYFUNCTION("""COMPUTED_VALUE"""),8.95005336E9)</f>
        <v>8950053360</v>
      </c>
      <c r="E356" s="94">
        <f>IFERROR(__xludf.DUMMYFUNCTION("""COMPUTED_VALUE"""),45474.0)</f>
        <v>45474</v>
      </c>
      <c r="F356" s="31"/>
      <c r="G356" s="85"/>
      <c r="H356" s="31"/>
      <c r="I356" s="31" t="str">
        <f>IFERROR(__xludf.DUMMYFUNCTION("""COMPUTED_VALUE"""),"Legal Trainee")</f>
        <v>Legal Trainee</v>
      </c>
      <c r="J356" s="31"/>
      <c r="K356" s="31"/>
      <c r="L356" s="31"/>
      <c r="M356" s="31"/>
      <c r="N356" s="31"/>
    </row>
    <row r="357">
      <c r="A357" s="31">
        <f>IFERROR(__xludf.DUMMYFUNCTION("""COMPUTED_VALUE"""),419.0)</f>
        <v>419</v>
      </c>
      <c r="B357" s="31" t="str">
        <f>IFERROR(__xludf.DUMMYFUNCTION("""COMPUTED_VALUE"""),"Aditya Marda")</f>
        <v>Aditya Marda</v>
      </c>
      <c r="C357" s="75" t="str">
        <f>IFERROR(__xludf.DUMMYFUNCTION("""COMPUTED_VALUE"""),"adityamarda1@gmail.com")</f>
        <v>adityamarda1@gmail.com</v>
      </c>
      <c r="D357" s="84">
        <f>IFERROR(__xludf.DUMMYFUNCTION("""COMPUTED_VALUE"""),7.875901304E9)</f>
        <v>7875901304</v>
      </c>
      <c r="E357" s="94">
        <f>IFERROR(__xludf.DUMMYFUNCTION("""COMPUTED_VALUE"""),45467.0)</f>
        <v>45467</v>
      </c>
      <c r="F357" s="31"/>
      <c r="G357" s="85"/>
      <c r="H357" s="31"/>
      <c r="I357" s="31" t="str">
        <f>IFERROR(__xludf.DUMMYFUNCTION("""COMPUTED_VALUE"""),"Senior Associate-Digital Marketing")</f>
        <v>Senior Associate-Digital Marketing</v>
      </c>
      <c r="J357" s="31"/>
      <c r="K357" s="31"/>
      <c r="L357" s="31"/>
      <c r="M357" s="31"/>
      <c r="N357" s="31"/>
    </row>
    <row r="358">
      <c r="A358" s="31">
        <f>IFERROR(__xludf.DUMMYFUNCTION("""COMPUTED_VALUE"""),420.0)</f>
        <v>420</v>
      </c>
      <c r="B358" s="31" t="str">
        <f>IFERROR(__xludf.DUMMYFUNCTION("""COMPUTED_VALUE"""),"Hritik Raj")</f>
        <v>Hritik Raj</v>
      </c>
      <c r="C358" s="31" t="str">
        <f>IFERROR(__xludf.DUMMYFUNCTION("""COMPUTED_VALUE"""),"rhritik22@gmail.com")</f>
        <v>rhritik22@gmail.com</v>
      </c>
      <c r="D358" s="84">
        <f>IFERROR(__xludf.DUMMYFUNCTION("""COMPUTED_VALUE"""),9.289365686E9)</f>
        <v>9289365686</v>
      </c>
      <c r="E358" s="94">
        <f>IFERROR(__xludf.DUMMYFUNCTION("""COMPUTED_VALUE"""),45474.0)</f>
        <v>45474</v>
      </c>
      <c r="F358" s="31"/>
      <c r="G358" s="85"/>
      <c r="H358" s="31"/>
      <c r="I358" s="31" t="str">
        <f>IFERROR(__xludf.DUMMYFUNCTION("""COMPUTED_VALUE"""),"Software Engineer Trainee")</f>
        <v>Software Engineer Trainee</v>
      </c>
      <c r="J358" s="31"/>
      <c r="K358" s="31"/>
      <c r="L358" s="31"/>
      <c r="M358" s="31"/>
      <c r="N358" s="31"/>
    </row>
    <row r="359">
      <c r="A359" s="31">
        <f>IFERROR(__xludf.DUMMYFUNCTION("""COMPUTED_VALUE"""),421.0)</f>
        <v>421</v>
      </c>
      <c r="B359" s="31" t="str">
        <f>IFERROR(__xludf.DUMMYFUNCTION("""COMPUTED_VALUE"""),"Hemail Askary")</f>
        <v>Hemail Askary</v>
      </c>
      <c r="C359" s="31" t="str">
        <f>IFERROR(__xludf.DUMMYFUNCTION("""COMPUTED_VALUE"""),"askaryhemail@gmail.com")</f>
        <v>askaryhemail@gmail.com</v>
      </c>
      <c r="D359" s="84">
        <f>IFERROR(__xludf.DUMMYFUNCTION("""COMPUTED_VALUE"""),8.279847104E9)</f>
        <v>8279847104</v>
      </c>
      <c r="E359" s="94">
        <f>IFERROR(__xludf.DUMMYFUNCTION("""COMPUTED_VALUE"""),45477.0)</f>
        <v>45477</v>
      </c>
      <c r="F359" s="31"/>
      <c r="G359" s="85"/>
      <c r="H359" s="31"/>
      <c r="I359" s="31" t="str">
        <f>IFERROR(__xludf.DUMMYFUNCTION("""COMPUTED_VALUE"""),"Lead Data Analyst")</f>
        <v>Lead Data Analyst</v>
      </c>
      <c r="J359" s="31"/>
      <c r="K359" s="31"/>
      <c r="L359" s="31"/>
      <c r="M359" s="31"/>
      <c r="N359" s="31"/>
    </row>
    <row r="360">
      <c r="A360" s="31">
        <f>IFERROR(__xludf.DUMMYFUNCTION("""COMPUTED_VALUE"""),422.0)</f>
        <v>422</v>
      </c>
      <c r="B360" s="31" t="str">
        <f>IFERROR(__xludf.DUMMYFUNCTION("""COMPUTED_VALUE"""),"Yuvam Parmar")</f>
        <v>Yuvam Parmar</v>
      </c>
      <c r="C360" s="31" t="str">
        <f>IFERROR(__xludf.DUMMYFUNCTION("""COMPUTED_VALUE"""),"parmaryuvam27@gmail.com")</f>
        <v>parmaryuvam27@gmail.com</v>
      </c>
      <c r="D360" s="84">
        <f>IFERROR(__xludf.DUMMYFUNCTION("""COMPUTED_VALUE"""),9.818826113E9)</f>
        <v>9818826113</v>
      </c>
      <c r="E360" s="94">
        <f>IFERROR(__xludf.DUMMYFUNCTION("""COMPUTED_VALUE"""),45481.0)</f>
        <v>45481</v>
      </c>
      <c r="F360" s="31"/>
      <c r="G360" s="85"/>
      <c r="H360" s="31"/>
      <c r="I360" s="31" t="str">
        <f>IFERROR(__xludf.DUMMYFUNCTION("""COMPUTED_VALUE"""),"Lead Game Designer")</f>
        <v>Lead Game Designer</v>
      </c>
      <c r="J360" s="31"/>
      <c r="K360" s="31"/>
      <c r="L360" s="31"/>
      <c r="M360" s="31"/>
      <c r="N360" s="31"/>
    </row>
    <row r="361">
      <c r="A361" s="31">
        <f>IFERROR(__xludf.DUMMYFUNCTION("""COMPUTED_VALUE"""),423.0)</f>
        <v>423</v>
      </c>
      <c r="B361" s="31" t="str">
        <f>IFERROR(__xludf.DUMMYFUNCTION("""COMPUTED_VALUE"""),"Ayush Gupta")</f>
        <v>Ayush Gupta</v>
      </c>
      <c r="C361" s="31" t="str">
        <f>IFERROR(__xludf.DUMMYFUNCTION("""COMPUTED_VALUE"""),"ayushguptaair1@gmail.com ")</f>
        <v>ayushguptaair1@gmail.com </v>
      </c>
      <c r="D361" s="84">
        <f>IFERROR(__xludf.DUMMYFUNCTION("""COMPUTED_VALUE"""),6.386582895E9)</f>
        <v>6386582895</v>
      </c>
      <c r="E361" s="94">
        <f>IFERROR(__xludf.DUMMYFUNCTION("""COMPUTED_VALUE"""),45481.0)</f>
        <v>45481</v>
      </c>
      <c r="F361" s="31"/>
      <c r="G361" s="85"/>
      <c r="H361" s="31"/>
      <c r="I361" s="31" t="str">
        <f>IFERROR(__xludf.DUMMYFUNCTION("""COMPUTED_VALUE"""),"Software Engineer")</f>
        <v>Software Engineer</v>
      </c>
      <c r="J361" s="31"/>
      <c r="K361" s="31"/>
      <c r="L361" s="31"/>
      <c r="M361" s="31"/>
      <c r="N361" s="31"/>
    </row>
    <row r="362">
      <c r="A362" s="31">
        <f>IFERROR(__xludf.DUMMYFUNCTION("""COMPUTED_VALUE"""),425.0)</f>
        <v>425</v>
      </c>
      <c r="B362" s="31" t="str">
        <f>IFERROR(__xludf.DUMMYFUNCTION("""COMPUTED_VALUE"""),"Abhishek Singh")</f>
        <v>Abhishek Singh</v>
      </c>
      <c r="C362" s="31" t="str">
        <f>IFERROR(__xludf.DUMMYFUNCTION("""COMPUTED_VALUE"""),"singhabhi1005@gmail.com")</f>
        <v>singhabhi1005@gmail.com</v>
      </c>
      <c r="D362" s="84">
        <f>IFERROR(__xludf.DUMMYFUNCTION("""COMPUTED_VALUE"""),8.13086658E9)</f>
        <v>8130866580</v>
      </c>
      <c r="E362" s="94">
        <f>IFERROR(__xludf.DUMMYFUNCTION("""COMPUTED_VALUE"""),45481.0)</f>
        <v>45481</v>
      </c>
      <c r="F362" s="31"/>
      <c r="G362" s="85"/>
      <c r="H362" s="31"/>
      <c r="I362" s="31" t="str">
        <f>IFERROR(__xludf.DUMMYFUNCTION("""COMPUTED_VALUE"""),"Senior Fraud Analyst")</f>
        <v>Senior Fraud Analyst</v>
      </c>
      <c r="J362" s="31"/>
      <c r="K362" s="31"/>
      <c r="L362" s="31"/>
      <c r="M362" s="31"/>
      <c r="N362" s="31"/>
    </row>
    <row r="363">
      <c r="A363" s="31">
        <f>IFERROR(__xludf.DUMMYFUNCTION("""COMPUTED_VALUE"""),426.0)</f>
        <v>426</v>
      </c>
      <c r="B363" s="31" t="str">
        <f>IFERROR(__xludf.DUMMYFUNCTION("""COMPUTED_VALUE"""),"Bharti Rani")</f>
        <v>Bharti Rani</v>
      </c>
      <c r="C363" s="31" t="str">
        <f>IFERROR(__xludf.DUMMYFUNCTION("""COMPUTED_VALUE"""),"	bhartikania91@gmail.com")</f>
        <v>	bhartikania91@gmail.com</v>
      </c>
      <c r="D363" s="84">
        <f>IFERROR(__xludf.DUMMYFUNCTION("""COMPUTED_VALUE"""),9.729712568E9)</f>
        <v>9729712568</v>
      </c>
      <c r="E363" s="94">
        <f>IFERROR(__xludf.DUMMYFUNCTION("""COMPUTED_VALUE"""),45481.0)</f>
        <v>45481</v>
      </c>
      <c r="F363" s="31"/>
      <c r="G363" s="85"/>
      <c r="H363" s="31"/>
      <c r="I363" s="31" t="str">
        <f>IFERROR(__xludf.DUMMYFUNCTION("""COMPUTED_VALUE"""),"Senior Fraud Analyst")</f>
        <v>Senior Fraud Analyst</v>
      </c>
      <c r="J363" s="31"/>
      <c r="K363" s="31"/>
      <c r="L363" s="31"/>
      <c r="M363" s="31"/>
      <c r="N363" s="31"/>
    </row>
    <row r="364">
      <c r="A364" s="31">
        <f>IFERROR(__xludf.DUMMYFUNCTION("""COMPUTED_VALUE"""),427.0)</f>
        <v>427</v>
      </c>
      <c r="B364" s="31" t="str">
        <f>IFERROR(__xludf.DUMMYFUNCTION("""COMPUTED_VALUE"""),"Harshit Makhija")</f>
        <v>Harshit Makhija</v>
      </c>
      <c r="C364" s="31" t="str">
        <f>IFERROR(__xludf.DUMMYFUNCTION("""COMPUTED_VALUE"""),"harshitmakhija12042001@gmail.com")</f>
        <v>harshitmakhija12042001@gmail.com</v>
      </c>
      <c r="D364" s="84">
        <f>IFERROR(__xludf.DUMMYFUNCTION("""COMPUTED_VALUE"""),7.999645052E9)</f>
        <v>7999645052</v>
      </c>
      <c r="E364" s="94">
        <f>IFERROR(__xludf.DUMMYFUNCTION("""COMPUTED_VALUE"""),45481.0)</f>
        <v>45481</v>
      </c>
      <c r="F364" s="31"/>
      <c r="G364" s="85"/>
      <c r="H364" s="31"/>
      <c r="I364" s="31" t="str">
        <f>IFERROR(__xludf.DUMMYFUNCTION("""COMPUTED_VALUE"""),"Software Engineer")</f>
        <v>Software Engineer</v>
      </c>
      <c r="J364" s="31"/>
      <c r="K364" s="31"/>
      <c r="L364" s="31"/>
      <c r="M364" s="31"/>
      <c r="N364" s="31"/>
    </row>
    <row r="365">
      <c r="A365" s="31">
        <f>IFERROR(__xludf.DUMMYFUNCTION("""COMPUTED_VALUE"""),428.0)</f>
        <v>428</v>
      </c>
      <c r="B365" s="31" t="str">
        <f>IFERROR(__xludf.DUMMYFUNCTION("""COMPUTED_VALUE"""),"Parth Jindal")</f>
        <v>Parth Jindal</v>
      </c>
      <c r="C365" s="31" t="str">
        <f>IFERROR(__xludf.DUMMYFUNCTION("""COMPUTED_VALUE"""),"parthjindl@gmail.com")</f>
        <v>parthjindl@gmail.com</v>
      </c>
      <c r="D365" s="84">
        <f>IFERROR(__xludf.DUMMYFUNCTION("""COMPUTED_VALUE"""),9.811315182E9)</f>
        <v>9811315182</v>
      </c>
      <c r="E365" s="94">
        <f>IFERROR(__xludf.DUMMYFUNCTION("""COMPUTED_VALUE"""),45481.0)</f>
        <v>45481</v>
      </c>
      <c r="F365" s="31"/>
      <c r="G365" s="85"/>
      <c r="H365" s="31"/>
      <c r="I365" s="31" t="str">
        <f>IFERROR(__xludf.DUMMYFUNCTION("""COMPUTED_VALUE"""),"Software Engineer")</f>
        <v>Software Engineer</v>
      </c>
      <c r="J365" s="31"/>
      <c r="K365" s="31"/>
      <c r="L365" s="31"/>
      <c r="M365" s="31"/>
      <c r="N365" s="31"/>
    </row>
    <row r="366">
      <c r="A366" s="31">
        <f>IFERROR(__xludf.DUMMYFUNCTION("""COMPUTED_VALUE"""),429.0)</f>
        <v>429</v>
      </c>
      <c r="B366" s="31" t="str">
        <f>IFERROR(__xludf.DUMMYFUNCTION("""COMPUTED_VALUE"""),"Arpit Rathore")</f>
        <v>Arpit Rathore</v>
      </c>
      <c r="C366" s="31" t="str">
        <f>IFERROR(__xludf.DUMMYFUNCTION("""COMPUTED_VALUE"""),"arpit282@gmail.com")</f>
        <v>arpit282@gmail.com</v>
      </c>
      <c r="D366" s="84">
        <f>IFERROR(__xludf.DUMMYFUNCTION("""COMPUTED_VALUE"""),8.188883E9)</f>
        <v>8188883000</v>
      </c>
      <c r="E366" s="94">
        <f>IFERROR(__xludf.DUMMYFUNCTION("""COMPUTED_VALUE"""),45481.0)</f>
        <v>45481</v>
      </c>
      <c r="F366" s="31"/>
      <c r="G366" s="85"/>
      <c r="H366" s="31"/>
      <c r="I366" s="31" t="str">
        <f>IFERROR(__xludf.DUMMYFUNCTION("""COMPUTED_VALUE"""),"QA Executive")</f>
        <v>QA Executive</v>
      </c>
      <c r="J366" s="31"/>
      <c r="K366" s="31"/>
      <c r="L366" s="31"/>
      <c r="M366" s="31"/>
      <c r="N366" s="31"/>
    </row>
    <row r="367">
      <c r="A367" s="31">
        <f>IFERROR(__xludf.DUMMYFUNCTION("""COMPUTED_VALUE"""),430.0)</f>
        <v>430</v>
      </c>
      <c r="B367" s="31" t="str">
        <f>IFERROR(__xludf.DUMMYFUNCTION("""COMPUTED_VALUE"""),"Punit Kumar Sharma")</f>
        <v>Punit Kumar Sharma</v>
      </c>
      <c r="C367" s="31" t="str">
        <f>IFERROR(__xludf.DUMMYFUNCTION("""COMPUTED_VALUE"""),"punit.s448@gmail.com")</f>
        <v>punit.s448@gmail.com</v>
      </c>
      <c r="D367" s="84">
        <f>IFERROR(__xludf.DUMMYFUNCTION("""COMPUTED_VALUE"""),8.053217448E9)</f>
        <v>8053217448</v>
      </c>
      <c r="E367" s="94">
        <f>IFERROR(__xludf.DUMMYFUNCTION("""COMPUTED_VALUE"""),45481.0)</f>
        <v>45481</v>
      </c>
      <c r="F367" s="31"/>
      <c r="G367" s="85"/>
      <c r="H367" s="31"/>
      <c r="I367" s="31" t="str">
        <f>IFERROR(__xludf.DUMMYFUNCTION("""COMPUTED_VALUE"""),"AM-FP&amp;A")</f>
        <v>AM-FP&amp;A</v>
      </c>
      <c r="J367" s="31"/>
      <c r="K367" s="31"/>
      <c r="L367" s="31"/>
      <c r="M367" s="31"/>
      <c r="N367" s="31"/>
    </row>
    <row r="368">
      <c r="A368" s="31">
        <f>IFERROR(__xludf.DUMMYFUNCTION("""COMPUTED_VALUE"""),431.0)</f>
        <v>431</v>
      </c>
      <c r="B368" s="31" t="str">
        <f>IFERROR(__xludf.DUMMYFUNCTION("""COMPUTED_VALUE"""),"Ankur Sharma")</f>
        <v>Ankur Sharma</v>
      </c>
      <c r="C368" s="31" t="str">
        <f>IFERROR(__xludf.DUMMYFUNCTION("""COMPUTED_VALUE"""),"anvashishth20@gmail.com")</f>
        <v>anvashishth20@gmail.com</v>
      </c>
      <c r="D368" s="84">
        <f>IFERROR(__xludf.DUMMYFUNCTION("""COMPUTED_VALUE"""),8.448133543E9)</f>
        <v>8448133543</v>
      </c>
      <c r="E368" s="94">
        <f>IFERROR(__xludf.DUMMYFUNCTION("""COMPUTED_VALUE"""),45481.0)</f>
        <v>45481</v>
      </c>
      <c r="F368" s="31"/>
      <c r="G368" s="85"/>
      <c r="H368" s="31"/>
      <c r="I368" s="31" t="str">
        <f>IFERROR(__xludf.DUMMYFUNCTION("""COMPUTED_VALUE"""),"Associate- Legal")</f>
        <v>Associate- Legal</v>
      </c>
      <c r="J368" s="31"/>
      <c r="K368" s="31"/>
      <c r="L368" s="31"/>
      <c r="M368" s="31"/>
      <c r="N368" s="31"/>
    </row>
    <row r="369">
      <c r="A369" s="31">
        <f>IFERROR(__xludf.DUMMYFUNCTION("""COMPUTED_VALUE"""),432.0)</f>
        <v>432</v>
      </c>
      <c r="B369" s="31" t="str">
        <f>IFERROR(__xludf.DUMMYFUNCTION("""COMPUTED_VALUE"""),"Hritik Wadhwa")</f>
        <v>Hritik Wadhwa</v>
      </c>
      <c r="C369" s="31" t="str">
        <f>IFERROR(__xludf.DUMMYFUNCTION("""COMPUTED_VALUE"""),"akkywadhwa@gmail.com")</f>
        <v>akkywadhwa@gmail.com</v>
      </c>
      <c r="D369" s="84">
        <f>IFERROR(__xludf.DUMMYFUNCTION("""COMPUTED_VALUE"""),8.053834588E9)</f>
        <v>8053834588</v>
      </c>
      <c r="E369" s="94">
        <f>IFERROR(__xludf.DUMMYFUNCTION("""COMPUTED_VALUE"""),45483.0)</f>
        <v>45483</v>
      </c>
      <c r="F369" s="31"/>
      <c r="G369" s="85"/>
      <c r="H369" s="31"/>
      <c r="I369" s="31" t="str">
        <f>IFERROR(__xludf.DUMMYFUNCTION("""COMPUTED_VALUE"""),"Senior Software Engineer")</f>
        <v>Senior Software Engineer</v>
      </c>
      <c r="J369" s="31"/>
      <c r="K369" s="31"/>
      <c r="L369" s="31"/>
      <c r="M369" s="31"/>
      <c r="N369" s="31"/>
    </row>
    <row r="370">
      <c r="A370" s="31">
        <f>IFERROR(__xludf.DUMMYFUNCTION("""COMPUTED_VALUE"""),433.0)</f>
        <v>433</v>
      </c>
      <c r="B370" s="31" t="str">
        <f>IFERROR(__xludf.DUMMYFUNCTION("""COMPUTED_VALUE"""),"Aashi Mangal")</f>
        <v>Aashi Mangal</v>
      </c>
      <c r="C370" s="31" t="str">
        <f>IFERROR(__xludf.DUMMYFUNCTION("""COMPUTED_VALUE"""),"aashimangal4614@gmail.com")</f>
        <v>aashimangal4614@gmail.com</v>
      </c>
      <c r="D370" s="84">
        <f>IFERROR(__xludf.DUMMYFUNCTION("""COMPUTED_VALUE"""),9.5494214E9)</f>
        <v>9549421400</v>
      </c>
      <c r="E370" s="94">
        <f>IFERROR(__xludf.DUMMYFUNCTION("""COMPUTED_VALUE"""),45488.0)</f>
        <v>45488</v>
      </c>
      <c r="F370" s="31"/>
      <c r="G370" s="85"/>
      <c r="H370" s="31"/>
      <c r="I370" s="31" t="str">
        <f>IFERROR(__xludf.DUMMYFUNCTION("""COMPUTED_VALUE"""),"Software Engineer")</f>
        <v>Software Engineer</v>
      </c>
      <c r="J370" s="31"/>
      <c r="K370" s="31"/>
      <c r="L370" s="31"/>
      <c r="M370" s="31"/>
      <c r="N370" s="31"/>
    </row>
    <row r="371">
      <c r="A371" s="31">
        <f>IFERROR(__xludf.DUMMYFUNCTION("""COMPUTED_VALUE"""),434.0)</f>
        <v>434</v>
      </c>
      <c r="B371" s="31" t="str">
        <f>IFERROR(__xludf.DUMMYFUNCTION("""COMPUTED_VALUE"""),"Ankur Kumar")</f>
        <v>Ankur Kumar</v>
      </c>
      <c r="C371" s="31" t="str">
        <f>IFERROR(__xludf.DUMMYFUNCTION("""COMPUTED_VALUE"""),"kumarankur245@gmail.com")</f>
        <v>kumarankur245@gmail.com</v>
      </c>
      <c r="D371" s="84">
        <f>IFERROR(__xludf.DUMMYFUNCTION("""COMPUTED_VALUE"""),9.599171867E9)</f>
        <v>9599171867</v>
      </c>
      <c r="E371" s="94">
        <f>IFERROR(__xludf.DUMMYFUNCTION("""COMPUTED_VALUE"""),45488.0)</f>
        <v>45488</v>
      </c>
      <c r="F371" s="31"/>
      <c r="G371" s="85"/>
      <c r="H371" s="31"/>
      <c r="I371" s="31" t="str">
        <f>IFERROR(__xludf.DUMMYFUNCTION("""COMPUTED_VALUE"""),"CSA")</f>
        <v>CSA</v>
      </c>
      <c r="J371" s="31"/>
      <c r="K371" s="31"/>
      <c r="L371" s="31"/>
      <c r="M371" s="31"/>
      <c r="N371" s="31"/>
    </row>
    <row r="372">
      <c r="A372" s="31">
        <f>IFERROR(__xludf.DUMMYFUNCTION("""COMPUTED_VALUE"""),435.0)</f>
        <v>435</v>
      </c>
      <c r="B372" s="31" t="str">
        <f>IFERROR(__xludf.DUMMYFUNCTION("""COMPUTED_VALUE"""),"Ayan")</f>
        <v>Ayan</v>
      </c>
      <c r="C372" s="31" t="str">
        <f>IFERROR(__xludf.DUMMYFUNCTION("""COMPUTED_VALUE"""),"pathanayan233@gmail.com")</f>
        <v>pathanayan233@gmail.com</v>
      </c>
      <c r="D372" s="84">
        <f>IFERROR(__xludf.DUMMYFUNCTION("""COMPUTED_VALUE"""),6.399881057E9)</f>
        <v>6399881057</v>
      </c>
      <c r="E372" s="94">
        <f>IFERROR(__xludf.DUMMYFUNCTION("""COMPUTED_VALUE"""),45488.0)</f>
        <v>45488</v>
      </c>
      <c r="F372" s="31"/>
      <c r="G372" s="85"/>
      <c r="H372" s="31"/>
      <c r="I372" s="31" t="str">
        <f>IFERROR(__xludf.DUMMYFUNCTION("""COMPUTED_VALUE"""),"CSA")</f>
        <v>CSA</v>
      </c>
      <c r="J372" s="31"/>
      <c r="K372" s="31"/>
      <c r="L372" s="31"/>
      <c r="M372" s="31"/>
      <c r="N372" s="31"/>
    </row>
    <row r="373">
      <c r="A373" s="31">
        <f>IFERROR(__xludf.DUMMYFUNCTION("""COMPUTED_VALUE"""),436.0)</f>
        <v>436</v>
      </c>
      <c r="B373" s="31" t="str">
        <f>IFERROR(__xludf.DUMMYFUNCTION("""COMPUTED_VALUE"""),"Danish")</f>
        <v>Danish</v>
      </c>
      <c r="C373" s="31" t="str">
        <f>IFERROR(__xludf.DUMMYFUNCTION("""COMPUTED_VALUE"""),"danishazaa555@gmail.com")</f>
        <v>danishazaa555@gmail.com</v>
      </c>
      <c r="D373" s="84">
        <f>IFERROR(__xludf.DUMMYFUNCTION("""COMPUTED_VALUE"""),7.505163974E9)</f>
        <v>7505163974</v>
      </c>
      <c r="E373" s="94">
        <f>IFERROR(__xludf.DUMMYFUNCTION("""COMPUTED_VALUE"""),45488.0)</f>
        <v>45488</v>
      </c>
      <c r="F373" s="31"/>
      <c r="G373" s="85"/>
      <c r="H373" s="31"/>
      <c r="I373" s="31" t="str">
        <f>IFERROR(__xludf.DUMMYFUNCTION("""COMPUTED_VALUE"""),"CSA")</f>
        <v>CSA</v>
      </c>
      <c r="J373" s="31"/>
      <c r="K373" s="31"/>
      <c r="L373" s="31"/>
      <c r="M373" s="31"/>
      <c r="N373" s="31"/>
    </row>
    <row r="374">
      <c r="A374" s="31">
        <f>IFERROR(__xludf.DUMMYFUNCTION("""COMPUTED_VALUE"""),437.0)</f>
        <v>437</v>
      </c>
      <c r="B374" s="31" t="str">
        <f>IFERROR(__xludf.DUMMYFUNCTION("""COMPUTED_VALUE"""),"Dev Tewatia")</f>
        <v>Dev Tewatia</v>
      </c>
      <c r="C374" s="31" t="str">
        <f>IFERROR(__xludf.DUMMYFUNCTION("""COMPUTED_VALUE"""),"tewatiad616@GMAIL.COM")</f>
        <v>tewatiad616@GMAIL.COM</v>
      </c>
      <c r="D374" s="84">
        <f>IFERROR(__xludf.DUMMYFUNCTION("""COMPUTED_VALUE"""),7.289050097E9)</f>
        <v>7289050097</v>
      </c>
      <c r="E374" s="94">
        <f>IFERROR(__xludf.DUMMYFUNCTION("""COMPUTED_VALUE"""),45488.0)</f>
        <v>45488</v>
      </c>
      <c r="F374" s="31"/>
      <c r="G374" s="85"/>
      <c r="H374" s="31"/>
      <c r="I374" s="31" t="str">
        <f>IFERROR(__xludf.DUMMYFUNCTION("""COMPUTED_VALUE"""),"CSA")</f>
        <v>CSA</v>
      </c>
      <c r="J374" s="31"/>
      <c r="K374" s="31"/>
      <c r="L374" s="31"/>
      <c r="M374" s="31"/>
      <c r="N374" s="31"/>
    </row>
    <row r="375">
      <c r="A375" s="31">
        <f>IFERROR(__xludf.DUMMYFUNCTION("""COMPUTED_VALUE"""),438.0)</f>
        <v>438</v>
      </c>
      <c r="B375" s="31" t="str">
        <f>IFERROR(__xludf.DUMMYFUNCTION("""COMPUTED_VALUE"""),"Harsh Thaplyal")</f>
        <v>Harsh Thaplyal</v>
      </c>
      <c r="C375" s="31" t="str">
        <f>IFERROR(__xludf.DUMMYFUNCTION("""COMPUTED_VALUE"""),"hthaplyal@gmail.com")</f>
        <v>hthaplyal@gmail.com</v>
      </c>
      <c r="D375" s="84">
        <f>IFERROR(__xludf.DUMMYFUNCTION("""COMPUTED_VALUE"""),9.990483291E9)</f>
        <v>9990483291</v>
      </c>
      <c r="E375" s="94">
        <f>IFERROR(__xludf.DUMMYFUNCTION("""COMPUTED_VALUE"""),45488.0)</f>
        <v>45488</v>
      </c>
      <c r="F375" s="31"/>
      <c r="G375" s="85"/>
      <c r="H375" s="31"/>
      <c r="I375" s="31" t="str">
        <f>IFERROR(__xludf.DUMMYFUNCTION("""COMPUTED_VALUE"""),"CSA")</f>
        <v>CSA</v>
      </c>
      <c r="J375" s="31"/>
      <c r="K375" s="31"/>
      <c r="L375" s="31"/>
      <c r="M375" s="31"/>
      <c r="N375" s="31"/>
    </row>
    <row r="376">
      <c r="A376" s="31">
        <f>IFERROR(__xludf.DUMMYFUNCTION("""COMPUTED_VALUE"""),439.0)</f>
        <v>439</v>
      </c>
      <c r="B376" s="31" t="str">
        <f>IFERROR(__xludf.DUMMYFUNCTION("""COMPUTED_VALUE"""),"Jaidev")</f>
        <v>Jaidev</v>
      </c>
      <c r="C376" s="31" t="str">
        <f>IFERROR(__xludf.DUMMYFUNCTION("""COMPUTED_VALUE"""),"jaidevchauhan011@gmail.com")</f>
        <v>jaidevchauhan011@gmail.com</v>
      </c>
      <c r="D376" s="84">
        <f>IFERROR(__xludf.DUMMYFUNCTION("""COMPUTED_VALUE"""),8.700076096E9)</f>
        <v>8700076096</v>
      </c>
      <c r="E376" s="94">
        <f>IFERROR(__xludf.DUMMYFUNCTION("""COMPUTED_VALUE"""),45488.0)</f>
        <v>45488</v>
      </c>
      <c r="F376" s="31"/>
      <c r="G376" s="85"/>
      <c r="H376" s="31"/>
      <c r="I376" s="31" t="str">
        <f>IFERROR(__xludf.DUMMYFUNCTION("""COMPUTED_VALUE"""),"CSA")</f>
        <v>CSA</v>
      </c>
      <c r="J376" s="31"/>
      <c r="K376" s="31"/>
      <c r="L376" s="31"/>
      <c r="M376" s="31"/>
      <c r="N376" s="31"/>
    </row>
    <row r="377">
      <c r="A377" s="31">
        <f>IFERROR(__xludf.DUMMYFUNCTION("""COMPUTED_VALUE"""),440.0)</f>
        <v>440</v>
      </c>
      <c r="B377" s="31" t="str">
        <f>IFERROR(__xludf.DUMMYFUNCTION("""COMPUTED_VALUE"""),"Khushboo")</f>
        <v>Khushboo</v>
      </c>
      <c r="C377" s="31" t="str">
        <f>IFERROR(__xludf.DUMMYFUNCTION("""COMPUTED_VALUE"""),"khushbookushwah08@gmail.com")</f>
        <v>khushbookushwah08@gmail.com</v>
      </c>
      <c r="D377" s="84">
        <f>IFERROR(__xludf.DUMMYFUNCTION("""COMPUTED_VALUE"""),8.860788831E9)</f>
        <v>8860788831</v>
      </c>
      <c r="E377" s="94">
        <f>IFERROR(__xludf.DUMMYFUNCTION("""COMPUTED_VALUE"""),45488.0)</f>
        <v>45488</v>
      </c>
      <c r="F377" s="31"/>
      <c r="G377" s="85"/>
      <c r="H377" s="31"/>
      <c r="I377" s="31" t="str">
        <f>IFERROR(__xludf.DUMMYFUNCTION("""COMPUTED_VALUE"""),"CSA")</f>
        <v>CSA</v>
      </c>
      <c r="J377" s="31"/>
      <c r="K377" s="31"/>
      <c r="L377" s="31"/>
      <c r="M377" s="31"/>
      <c r="N377" s="31"/>
    </row>
    <row r="378">
      <c r="A378" s="31">
        <f>IFERROR(__xludf.DUMMYFUNCTION("""COMPUTED_VALUE"""),442.0)</f>
        <v>442</v>
      </c>
      <c r="B378" s="31" t="str">
        <f>IFERROR(__xludf.DUMMYFUNCTION("""COMPUTED_VALUE"""),"Nitin Kumar")</f>
        <v>Nitin Kumar</v>
      </c>
      <c r="C378" s="31" t="str">
        <f>IFERROR(__xludf.DUMMYFUNCTION("""COMPUTED_VALUE"""),"itsnitinkumar05@gmail.com")</f>
        <v>itsnitinkumar05@gmail.com</v>
      </c>
      <c r="D378" s="84">
        <f>IFERROR(__xludf.DUMMYFUNCTION("""COMPUTED_VALUE"""),7.217714255E9)</f>
        <v>7217714255</v>
      </c>
      <c r="E378" s="94">
        <f>IFERROR(__xludf.DUMMYFUNCTION("""COMPUTED_VALUE"""),45488.0)</f>
        <v>45488</v>
      </c>
      <c r="F378" s="31"/>
      <c r="G378" s="85"/>
      <c r="H378" s="31"/>
      <c r="I378" s="31" t="str">
        <f>IFERROR(__xludf.DUMMYFUNCTION("""COMPUTED_VALUE"""),"CSA")</f>
        <v>CSA</v>
      </c>
      <c r="J378" s="31"/>
      <c r="K378" s="31"/>
      <c r="L378" s="31"/>
      <c r="M378" s="31"/>
      <c r="N378" s="31"/>
    </row>
    <row r="379">
      <c r="A379" s="31">
        <f>IFERROR(__xludf.DUMMYFUNCTION("""COMPUTED_VALUE"""),443.0)</f>
        <v>443</v>
      </c>
      <c r="B379" s="31" t="str">
        <f>IFERROR(__xludf.DUMMYFUNCTION("""COMPUTED_VALUE"""),"Prashant Singh")</f>
        <v>Prashant Singh</v>
      </c>
      <c r="C379" s="31" t="str">
        <f>IFERROR(__xludf.DUMMYFUNCTION("""COMPUTED_VALUE"""),"prashantsingh40312@gmail.com")</f>
        <v>prashantsingh40312@gmail.com</v>
      </c>
      <c r="D379" s="84">
        <f>IFERROR(__xludf.DUMMYFUNCTION("""COMPUTED_VALUE"""),7.388502013E9)</f>
        <v>7388502013</v>
      </c>
      <c r="E379" s="94">
        <f>IFERROR(__xludf.DUMMYFUNCTION("""COMPUTED_VALUE"""),45488.0)</f>
        <v>45488</v>
      </c>
      <c r="F379" s="31"/>
      <c r="G379" s="85"/>
      <c r="H379" s="31"/>
      <c r="I379" s="31" t="str">
        <f>IFERROR(__xludf.DUMMYFUNCTION("""COMPUTED_VALUE"""),"CSA")</f>
        <v>CSA</v>
      </c>
      <c r="J379" s="31"/>
      <c r="K379" s="31"/>
      <c r="L379" s="31"/>
      <c r="M379" s="31"/>
      <c r="N379" s="31"/>
    </row>
    <row r="380">
      <c r="A380" s="31">
        <f>IFERROR(__xludf.DUMMYFUNCTION("""COMPUTED_VALUE"""),444.0)</f>
        <v>444</v>
      </c>
      <c r="B380" s="31" t="str">
        <f>IFERROR(__xludf.DUMMYFUNCTION("""COMPUTED_VALUE"""),"Rahil choudhary")</f>
        <v>Rahil choudhary</v>
      </c>
      <c r="C380" s="31" t="str">
        <f>IFERROR(__xludf.DUMMYFUNCTION("""COMPUTED_VALUE"""),"RAHILCHOUDHARY50@GMAIL.COM")</f>
        <v>RAHILCHOUDHARY50@GMAIL.COM</v>
      </c>
      <c r="D380" s="84">
        <f>IFERROR(__xludf.DUMMYFUNCTION("""COMPUTED_VALUE"""),9.310815667E9)</f>
        <v>9310815667</v>
      </c>
      <c r="E380" s="94">
        <f>IFERROR(__xludf.DUMMYFUNCTION("""COMPUTED_VALUE"""),45488.0)</f>
        <v>45488</v>
      </c>
      <c r="F380" s="31"/>
      <c r="G380" s="85"/>
      <c r="H380" s="31"/>
      <c r="I380" s="31" t="str">
        <f>IFERROR(__xludf.DUMMYFUNCTION("""COMPUTED_VALUE"""),"CSA")</f>
        <v>CSA</v>
      </c>
      <c r="J380" s="31"/>
      <c r="K380" s="31"/>
      <c r="L380" s="31"/>
      <c r="M380" s="31"/>
      <c r="N380" s="31"/>
    </row>
    <row r="381">
      <c r="A381" s="31">
        <f>IFERROR(__xludf.DUMMYFUNCTION("""COMPUTED_VALUE"""),445.0)</f>
        <v>445</v>
      </c>
      <c r="B381" s="31" t="str">
        <f>IFERROR(__xludf.DUMMYFUNCTION("""COMPUTED_VALUE"""),"S. Umar Khan")</f>
        <v>S. Umar Khan</v>
      </c>
      <c r="C381" s="31" t="str">
        <f>IFERROR(__xludf.DUMMYFUNCTION("""COMPUTED_VALUE"""),"khanjeffry@gmail.com ")</f>
        <v>khanjeffry@gmail.com </v>
      </c>
      <c r="D381" s="84">
        <f>IFERROR(__xludf.DUMMYFUNCTION("""COMPUTED_VALUE"""),7.900755805E9)</f>
        <v>7900755805</v>
      </c>
      <c r="E381" s="94">
        <f>IFERROR(__xludf.DUMMYFUNCTION("""COMPUTED_VALUE"""),45488.0)</f>
        <v>45488</v>
      </c>
      <c r="F381" s="31"/>
      <c r="G381" s="85"/>
      <c r="H381" s="31"/>
      <c r="I381" s="31" t="str">
        <f>IFERROR(__xludf.DUMMYFUNCTION("""COMPUTED_VALUE"""),"CSA")</f>
        <v>CSA</v>
      </c>
      <c r="J381" s="31"/>
      <c r="K381" s="31"/>
      <c r="L381" s="31"/>
      <c r="M381" s="31"/>
      <c r="N381" s="31"/>
    </row>
    <row r="382">
      <c r="A382" s="31">
        <f>IFERROR(__xludf.DUMMYFUNCTION("""COMPUTED_VALUE"""),449.0)</f>
        <v>449</v>
      </c>
      <c r="B382" s="31" t="str">
        <f>IFERROR(__xludf.DUMMYFUNCTION("""COMPUTED_VALUE"""),"Shivam Sharma")</f>
        <v>Shivam Sharma</v>
      </c>
      <c r="C382" s="75" t="str">
        <f>IFERROR(__xludf.DUMMYFUNCTION("""COMPUTED_VALUE"""),"shivam9sharma9@gmail.com")</f>
        <v>shivam9sharma9@gmail.com</v>
      </c>
      <c r="D382" s="84">
        <f>IFERROR(__xludf.DUMMYFUNCTION("""COMPUTED_VALUE"""),9.8784189E9)</f>
        <v>9878418900</v>
      </c>
      <c r="E382" s="94">
        <f>IFERROR(__xludf.DUMMYFUNCTION("""COMPUTED_VALUE"""),45490.0)</f>
        <v>45490</v>
      </c>
      <c r="F382" s="31"/>
      <c r="G382" s="85"/>
      <c r="H382" s="31"/>
      <c r="I382" s="31" t="str">
        <f>IFERROR(__xludf.DUMMYFUNCTION("""COMPUTED_VALUE"""),"Assistant Manager - talent Acquisition")</f>
        <v>Assistant Manager - talent Acquisition</v>
      </c>
      <c r="J382" s="31"/>
      <c r="K382" s="31"/>
      <c r="L382" s="31"/>
      <c r="M382" s="31"/>
      <c r="N382" s="31"/>
    </row>
    <row r="383">
      <c r="A383" s="31">
        <f>IFERROR(__xludf.DUMMYFUNCTION("""COMPUTED_VALUE"""),450.0)</f>
        <v>450</v>
      </c>
      <c r="B383" s="31" t="str">
        <f>IFERROR(__xludf.DUMMYFUNCTION("""COMPUTED_VALUE"""),"Shyam Sunder Verma")</f>
        <v>Shyam Sunder Verma</v>
      </c>
      <c r="C383" s="31" t="str">
        <f>IFERROR(__xludf.DUMMYFUNCTION("""COMPUTED_VALUE"""),"shyams1677@yahoo.co.in")</f>
        <v>shyams1677@yahoo.co.in</v>
      </c>
      <c r="D383" s="84">
        <f>IFERROR(__xludf.DUMMYFUNCTION("""COMPUTED_VALUE"""),8.860582418E9)</f>
        <v>8860582418</v>
      </c>
      <c r="E383" s="94">
        <f>IFERROR(__xludf.DUMMYFUNCTION("""COMPUTED_VALUE"""),45491.0)</f>
        <v>45491</v>
      </c>
      <c r="F383" s="31"/>
      <c r="G383" s="85"/>
      <c r="H383" s="31"/>
      <c r="I383" s="31" t="str">
        <f>IFERROR(__xludf.DUMMYFUNCTION("""COMPUTED_VALUE"""),"Personal Assistant")</f>
        <v>Personal Assistant</v>
      </c>
      <c r="J383" s="31"/>
      <c r="K383" s="31"/>
      <c r="L383" s="31"/>
      <c r="M383" s="31"/>
      <c r="N383" s="31"/>
    </row>
    <row r="384">
      <c r="A384" s="31">
        <f>IFERROR(__xludf.DUMMYFUNCTION("""COMPUTED_VALUE"""),451.0)</f>
        <v>451</v>
      </c>
      <c r="B384" s="31" t="str">
        <f>IFERROR(__xludf.DUMMYFUNCTION("""COMPUTED_VALUE"""),"Sakshi Pathak")</f>
        <v>Sakshi Pathak</v>
      </c>
      <c r="C384" s="31" t="str">
        <f>IFERROR(__xludf.DUMMYFUNCTION("""COMPUTED_VALUE"""),"sakshipathak763@gmail.com")</f>
        <v>sakshipathak763@gmail.com</v>
      </c>
      <c r="D384" s="84">
        <f>IFERROR(__xludf.DUMMYFUNCTION("""COMPUTED_VALUE"""),7.755063324E9)</f>
        <v>7755063324</v>
      </c>
      <c r="E384" s="94">
        <f>IFERROR(__xludf.DUMMYFUNCTION("""COMPUTED_VALUE"""),45495.0)</f>
        <v>45495</v>
      </c>
      <c r="F384" s="31"/>
      <c r="G384" s="85"/>
      <c r="H384" s="31"/>
      <c r="I384" s="31" t="str">
        <f>IFERROR(__xludf.DUMMYFUNCTION("""COMPUTED_VALUE"""),"Customer Support Executive")</f>
        <v>Customer Support Executive</v>
      </c>
      <c r="J384" s="31"/>
      <c r="K384" s="31"/>
      <c r="L384" s="31"/>
      <c r="M384" s="31"/>
      <c r="N384" s="31"/>
    </row>
    <row r="385">
      <c r="A385" s="31">
        <f>IFERROR(__xludf.DUMMYFUNCTION("""COMPUTED_VALUE"""),452.0)</f>
        <v>452</v>
      </c>
      <c r="B385" s="31" t="str">
        <f>IFERROR(__xludf.DUMMYFUNCTION("""COMPUTED_VALUE"""),"Meenu Bharti")</f>
        <v>Meenu Bharti</v>
      </c>
      <c r="C385" s="31" t="str">
        <f>IFERROR(__xludf.DUMMYFUNCTION("""COMPUTED_VALUE"""),"meenubharti2006@gmail.com")</f>
        <v>meenubharti2006@gmail.com</v>
      </c>
      <c r="D385" s="84">
        <f>IFERROR(__xludf.DUMMYFUNCTION("""COMPUTED_VALUE"""),9.810359527E9)</f>
        <v>9810359527</v>
      </c>
      <c r="E385" s="94">
        <f>IFERROR(__xludf.DUMMYFUNCTION("""COMPUTED_VALUE"""),45495.0)</f>
        <v>45495</v>
      </c>
      <c r="F385" s="31"/>
      <c r="G385" s="85"/>
      <c r="H385" s="31"/>
      <c r="I385" s="31" t="str">
        <f>IFERROR(__xludf.DUMMYFUNCTION("""COMPUTED_VALUE"""),"Assistant Manager - HRBP")</f>
        <v>Assistant Manager - HRBP</v>
      </c>
      <c r="J385" s="31"/>
      <c r="K385" s="31"/>
      <c r="L385" s="31"/>
      <c r="M385" s="31"/>
      <c r="N385" s="31"/>
    </row>
    <row r="386">
      <c r="A386" s="31">
        <f>IFERROR(__xludf.DUMMYFUNCTION("""COMPUTED_VALUE"""),453.0)</f>
        <v>453</v>
      </c>
      <c r="B386" s="31" t="str">
        <f>IFERROR(__xludf.DUMMYFUNCTION("""COMPUTED_VALUE"""),"Vivek Choudhary")</f>
        <v>Vivek Choudhary</v>
      </c>
      <c r="C386" s="31" t="str">
        <f>IFERROR(__xludf.DUMMYFUNCTION("""COMPUTED_VALUE"""),"cvivek07@gmail.com")</f>
        <v>cvivek07@gmail.com</v>
      </c>
      <c r="D386" s="84">
        <f>IFERROR(__xludf.DUMMYFUNCTION("""COMPUTED_VALUE"""),7.418706276E9)</f>
        <v>7418706276</v>
      </c>
      <c r="E386" s="94">
        <f>IFERROR(__xludf.DUMMYFUNCTION("""COMPUTED_VALUE"""),45498.0)</f>
        <v>45498</v>
      </c>
      <c r="F386" s="31"/>
      <c r="G386" s="85"/>
      <c r="H386" s="31"/>
      <c r="I386" s="31" t="str">
        <f>IFERROR(__xludf.DUMMYFUNCTION("""COMPUTED_VALUE"""),"Senior Software Engineer - Android")</f>
        <v>Senior Software Engineer - Android</v>
      </c>
      <c r="J386" s="31"/>
      <c r="K386" s="31"/>
      <c r="L386" s="31"/>
      <c r="M386" s="31"/>
      <c r="N386" s="31"/>
    </row>
    <row r="387">
      <c r="A387" s="31">
        <f>IFERROR(__xludf.DUMMYFUNCTION("""COMPUTED_VALUE"""),454.0)</f>
        <v>454</v>
      </c>
      <c r="B387" s="31" t="str">
        <f>IFERROR(__xludf.DUMMYFUNCTION("""COMPUTED_VALUE"""),"Vishal Kumar Saw")</f>
        <v>Vishal Kumar Saw</v>
      </c>
      <c r="C387" s="31" t="str">
        <f>IFERROR(__xludf.DUMMYFUNCTION("""COMPUTED_VALUE"""),"vishalkrsaw2001@gmail.com")</f>
        <v>vishalkrsaw2001@gmail.com</v>
      </c>
      <c r="D387" s="84">
        <f>IFERROR(__xludf.DUMMYFUNCTION("""COMPUTED_VALUE"""),6.289555082E9)</f>
        <v>6289555082</v>
      </c>
      <c r="E387" s="94">
        <f>IFERROR(__xludf.DUMMYFUNCTION("""COMPUTED_VALUE"""),45497.0)</f>
        <v>45497</v>
      </c>
      <c r="F387" s="31"/>
      <c r="G387" s="85"/>
      <c r="H387" s="31"/>
      <c r="I387" s="31" t="str">
        <f>IFERROR(__xludf.DUMMYFUNCTION("""COMPUTED_VALUE"""),"Software Engineer")</f>
        <v>Software Engineer</v>
      </c>
      <c r="J387" s="31"/>
      <c r="K387" s="31"/>
      <c r="L387" s="31"/>
      <c r="M387" s="31"/>
      <c r="N387" s="31"/>
    </row>
    <row r="388">
      <c r="A388" s="31">
        <f>IFERROR(__xludf.DUMMYFUNCTION("""COMPUTED_VALUE"""),455.0)</f>
        <v>455</v>
      </c>
      <c r="B388" s="31" t="str">
        <f>IFERROR(__xludf.DUMMYFUNCTION("""COMPUTED_VALUE"""),"Ayush Dabas")</f>
        <v>Ayush Dabas</v>
      </c>
      <c r="C388" s="31" t="str">
        <f>IFERROR(__xludf.DUMMYFUNCTION("""COMPUTED_VALUE"""),"	ayush.workk07@gmail.com")</f>
        <v>	ayush.workk07@gmail.com</v>
      </c>
      <c r="D388" s="84">
        <f>IFERROR(__xludf.DUMMYFUNCTION("""COMPUTED_VALUE"""),7.838898841E9)</f>
        <v>7838898841</v>
      </c>
      <c r="E388" s="94">
        <f>IFERROR(__xludf.DUMMYFUNCTION("""COMPUTED_VALUE"""),45497.0)</f>
        <v>45497</v>
      </c>
      <c r="F388" s="31"/>
      <c r="G388" s="85"/>
      <c r="H388" s="31"/>
      <c r="I388" s="31" t="str">
        <f>IFERROR(__xludf.DUMMYFUNCTION("""COMPUTED_VALUE"""),"Software Engineer Trainee")</f>
        <v>Software Engineer Trainee</v>
      </c>
      <c r="J388" s="31"/>
      <c r="K388" s="31"/>
      <c r="L388" s="31"/>
      <c r="M388" s="31"/>
      <c r="N388" s="31"/>
    </row>
    <row r="389">
      <c r="A389" s="31">
        <f>IFERROR(__xludf.DUMMYFUNCTION("""COMPUTED_VALUE"""),456.0)</f>
        <v>456</v>
      </c>
      <c r="B389" s="31" t="str">
        <f>IFERROR(__xludf.DUMMYFUNCTION("""COMPUTED_VALUE"""),"Saurabh Singh Yadav")</f>
        <v>Saurabh Singh Yadav</v>
      </c>
      <c r="C389" s="31" t="str">
        <f>IFERROR(__xludf.DUMMYFUNCTION("""COMPUTED_VALUE"""),"saurabh.16j@gmail.com")</f>
        <v>saurabh.16j@gmail.com</v>
      </c>
      <c r="D389" s="84">
        <f>IFERROR(__xludf.DUMMYFUNCTION("""COMPUTED_VALUE"""),7.052945461E9)</f>
        <v>7052945461</v>
      </c>
      <c r="E389" s="94">
        <f>IFERROR(__xludf.DUMMYFUNCTION("""COMPUTED_VALUE"""),45497.0)</f>
        <v>45497</v>
      </c>
      <c r="F389" s="31"/>
      <c r="G389" s="85"/>
      <c r="H389" s="31"/>
      <c r="I389" s="31" t="str">
        <f>IFERROR(__xludf.DUMMYFUNCTION("""COMPUTED_VALUE"""),"Software Engineer")</f>
        <v>Software Engineer</v>
      </c>
      <c r="J389" s="31"/>
      <c r="K389" s="31"/>
      <c r="L389" s="31"/>
      <c r="M389" s="31"/>
      <c r="N389" s="31"/>
    </row>
    <row r="390">
      <c r="A390" s="31">
        <f>IFERROR(__xludf.DUMMYFUNCTION("""COMPUTED_VALUE"""),457.0)</f>
        <v>457</v>
      </c>
      <c r="B390" s="31" t="str">
        <f>IFERROR(__xludf.DUMMYFUNCTION("""COMPUTED_VALUE"""),"Mukul Chaudhary")</f>
        <v>Mukul Chaudhary</v>
      </c>
      <c r="C390" s="31" t="str">
        <f>IFERROR(__xludf.DUMMYFUNCTION("""COMPUTED_VALUE"""),"mukulchaudhary0905@gmail.com")</f>
        <v>mukulchaudhary0905@gmail.com</v>
      </c>
      <c r="D390" s="84">
        <f>IFERROR(__xludf.DUMMYFUNCTION("""COMPUTED_VALUE"""),9.899913996E9)</f>
        <v>9899913996</v>
      </c>
      <c r="E390" s="94">
        <f>IFERROR(__xludf.DUMMYFUNCTION("""COMPUTED_VALUE"""),45505.0)</f>
        <v>45505</v>
      </c>
      <c r="F390" s="31"/>
      <c r="G390" s="85"/>
      <c r="H390" s="31"/>
      <c r="I390" s="31" t="str">
        <f>IFERROR(__xludf.DUMMYFUNCTION("""COMPUTED_VALUE"""),"Senior Motion Graphic Designer")</f>
        <v>Senior Motion Graphic Designer</v>
      </c>
      <c r="J390" s="31"/>
      <c r="K390" s="31"/>
      <c r="L390" s="31"/>
      <c r="M390" s="31"/>
      <c r="N390" s="31"/>
    </row>
    <row r="391">
      <c r="A391" s="31">
        <f>IFERROR(__xludf.DUMMYFUNCTION("""COMPUTED_VALUE"""),458.0)</f>
        <v>458</v>
      </c>
      <c r="B391" s="31" t="str">
        <f>IFERROR(__xludf.DUMMYFUNCTION("""COMPUTED_VALUE"""),"Amroj Pal Singh Sandhu")</f>
        <v>Amroj Pal Singh Sandhu</v>
      </c>
      <c r="C391" s="31" t="str">
        <f>IFERROR(__xludf.DUMMYFUNCTION("""COMPUTED_VALUE"""),"amrojpalsinghs@gmail.com")</f>
        <v>amrojpalsinghs@gmail.com</v>
      </c>
      <c r="D391" s="84">
        <f>IFERROR(__xludf.DUMMYFUNCTION("""COMPUTED_VALUE"""),8.238384322E9)</f>
        <v>8238384322</v>
      </c>
      <c r="E391" s="94">
        <f>IFERROR(__xludf.DUMMYFUNCTION("""COMPUTED_VALUE"""),45505.0)</f>
        <v>45505</v>
      </c>
      <c r="F391" s="31"/>
      <c r="G391" s="85"/>
      <c r="H391" s="31"/>
      <c r="I391" s="31" t="str">
        <f>IFERROR(__xludf.DUMMYFUNCTION("""COMPUTED_VALUE"""),"Engineering Manager")</f>
        <v>Engineering Manager</v>
      </c>
      <c r="J391" s="31"/>
      <c r="K391" s="31"/>
      <c r="L391" s="31"/>
      <c r="M391" s="31"/>
      <c r="N391" s="31"/>
    </row>
    <row r="392">
      <c r="A392" s="31">
        <f>IFERROR(__xludf.DUMMYFUNCTION("""COMPUTED_VALUE"""),459.0)</f>
        <v>459</v>
      </c>
      <c r="B392" s="31" t="str">
        <f>IFERROR(__xludf.DUMMYFUNCTION("""COMPUTED_VALUE"""),"Rupam Das")</f>
        <v>Rupam Das</v>
      </c>
      <c r="C392" s="31" t="str">
        <f>IFERROR(__xludf.DUMMYFUNCTION("""COMPUTED_VALUE"""),"rupamdas766@gmail.com ")</f>
        <v>rupamdas766@gmail.com </v>
      </c>
      <c r="D392" s="84">
        <f>IFERROR(__xludf.DUMMYFUNCTION("""COMPUTED_VALUE"""),9.911885682E9)</f>
        <v>9911885682</v>
      </c>
      <c r="E392" s="94">
        <f>IFERROR(__xludf.DUMMYFUNCTION("""COMPUTED_VALUE"""),45505.0)</f>
        <v>45505</v>
      </c>
      <c r="F392" s="31"/>
      <c r="G392" s="85"/>
      <c r="H392" s="31"/>
      <c r="I392" s="31" t="str">
        <f>IFERROR(__xludf.DUMMYFUNCTION("""COMPUTED_VALUE"""),"Product Marketing Executive")</f>
        <v>Product Marketing Executive</v>
      </c>
      <c r="J392" s="31"/>
      <c r="K392" s="31"/>
      <c r="L392" s="31"/>
      <c r="M392" s="31"/>
      <c r="N392" s="31"/>
    </row>
    <row r="393">
      <c r="A393" s="31">
        <f>IFERROR(__xludf.DUMMYFUNCTION("""COMPUTED_VALUE"""),460.0)</f>
        <v>460</v>
      </c>
      <c r="B393" s="31" t="str">
        <f>IFERROR(__xludf.DUMMYFUNCTION("""COMPUTED_VALUE"""),"Gulshan Varshney")</f>
        <v>Gulshan Varshney</v>
      </c>
      <c r="C393" s="31" t="str">
        <f>IFERROR(__xludf.DUMMYFUNCTION("""COMPUTED_VALUE"""),"gulshanvarshney02@gmail.com")</f>
        <v>gulshanvarshney02@gmail.com</v>
      </c>
      <c r="D393" s="84">
        <f>IFERROR(__xludf.DUMMYFUNCTION("""COMPUTED_VALUE"""),7.599336262E9)</f>
        <v>7599336262</v>
      </c>
      <c r="E393" s="94">
        <f>IFERROR(__xludf.DUMMYFUNCTION("""COMPUTED_VALUE"""),45509.0)</f>
        <v>45509</v>
      </c>
      <c r="F393" s="31"/>
      <c r="G393" s="85"/>
      <c r="H393" s="31"/>
      <c r="I393" s="31" t="str">
        <f>IFERROR(__xludf.DUMMYFUNCTION("""COMPUTED_VALUE"""),"Contractual - Test Yantra")</f>
        <v>Contractual - Test Yantra</v>
      </c>
      <c r="J393" s="31"/>
      <c r="K393" s="31"/>
      <c r="L393" s="31"/>
      <c r="M393" s="31"/>
      <c r="N393" s="31"/>
    </row>
    <row r="394">
      <c r="A394" s="31">
        <f>IFERROR(__xludf.DUMMYFUNCTION("""COMPUTED_VALUE"""),461.0)</f>
        <v>461</v>
      </c>
      <c r="B394" s="31" t="str">
        <f>IFERROR(__xludf.DUMMYFUNCTION("""COMPUTED_VALUE"""),"Mayank Kakkar")</f>
        <v>Mayank Kakkar</v>
      </c>
      <c r="C394" s="31" t="str">
        <f>IFERROR(__xludf.DUMMYFUNCTION("""COMPUTED_VALUE"""),"kakkarmayank2001@gmail.com")</f>
        <v>kakkarmayank2001@gmail.com</v>
      </c>
      <c r="D394" s="84">
        <f>IFERROR(__xludf.DUMMYFUNCTION("""COMPUTED_VALUE"""),9.557725692E9)</f>
        <v>9557725692</v>
      </c>
      <c r="E394" s="94">
        <f>IFERROR(__xludf.DUMMYFUNCTION("""COMPUTED_VALUE"""),45509.0)</f>
        <v>45509</v>
      </c>
      <c r="F394" s="31"/>
      <c r="G394" s="85"/>
      <c r="H394" s="31"/>
      <c r="I394" s="31" t="str">
        <f>IFERROR(__xludf.DUMMYFUNCTION("""COMPUTED_VALUE"""),"Software Engineer Trainee")</f>
        <v>Software Engineer Trainee</v>
      </c>
      <c r="J394" s="31"/>
      <c r="K394" s="31"/>
      <c r="L394" s="31"/>
      <c r="M394" s="31"/>
      <c r="N394" s="31"/>
    </row>
    <row r="395">
      <c r="A395" s="31">
        <f>IFERROR(__xludf.DUMMYFUNCTION("""COMPUTED_VALUE"""),462.0)</f>
        <v>462</v>
      </c>
      <c r="B395" s="31" t="str">
        <f>IFERROR(__xludf.DUMMYFUNCTION("""COMPUTED_VALUE"""),"Shashank Gupta")</f>
        <v>Shashank Gupta</v>
      </c>
      <c r="C395" s="31" t="str">
        <f>IFERROR(__xludf.DUMMYFUNCTION("""COMPUTED_VALUE"""),"shashankg2015@email.iimcal.ac.in")</f>
        <v>shashankg2015@email.iimcal.ac.in</v>
      </c>
      <c r="D395" s="84">
        <f>IFERROR(__xludf.DUMMYFUNCTION("""COMPUTED_VALUE"""),8.584062327E9)</f>
        <v>8584062327</v>
      </c>
      <c r="E395" s="94">
        <f>IFERROR(__xludf.DUMMYFUNCTION("""COMPUTED_VALUE"""),45509.0)</f>
        <v>45509</v>
      </c>
      <c r="F395" s="31"/>
      <c r="G395" s="85"/>
      <c r="H395" s="31"/>
      <c r="I395" s="31" t="str">
        <f>IFERROR(__xludf.DUMMYFUNCTION("""COMPUTED_VALUE"""),"Associate Director- Business Finance ")</f>
        <v>Associate Director- Business Finance </v>
      </c>
      <c r="J395" s="31"/>
      <c r="K395" s="31"/>
      <c r="L395" s="31"/>
      <c r="M395" s="31"/>
      <c r="N395" s="31"/>
    </row>
    <row r="396">
      <c r="A396" s="31">
        <f>IFERROR(__xludf.DUMMYFUNCTION("""COMPUTED_VALUE"""),463.0)</f>
        <v>463</v>
      </c>
      <c r="B396" s="31" t="str">
        <f>IFERROR(__xludf.DUMMYFUNCTION("""COMPUTED_VALUE"""),"Soumyadip Deb")</f>
        <v>Soumyadip Deb</v>
      </c>
      <c r="C396" s="31" t="str">
        <f>IFERROR(__xludf.DUMMYFUNCTION("""COMPUTED_VALUE"""),"debsoumyadip@gmail.com ")</f>
        <v>debsoumyadip@gmail.com </v>
      </c>
      <c r="D396" s="84">
        <f>IFERROR(__xludf.DUMMYFUNCTION("""COMPUTED_VALUE"""),8.910112645E9)</f>
        <v>8910112645</v>
      </c>
      <c r="E396" s="94">
        <f>IFERROR(__xludf.DUMMYFUNCTION("""COMPUTED_VALUE"""),45509.0)</f>
        <v>45509</v>
      </c>
      <c r="F396" s="31"/>
      <c r="G396" s="85"/>
      <c r="H396" s="31"/>
      <c r="I396" s="31" t="str">
        <f>IFERROR(__xludf.DUMMYFUNCTION("""COMPUTED_VALUE""")," Senior Data Analyst")</f>
        <v> Senior Data Analyst</v>
      </c>
      <c r="J396" s="31"/>
      <c r="K396" s="31"/>
      <c r="L396" s="31"/>
      <c r="M396" s="31"/>
      <c r="N396" s="31"/>
    </row>
    <row r="397">
      <c r="A397" s="31">
        <f>IFERROR(__xludf.DUMMYFUNCTION("""COMPUTED_VALUE"""),464.0)</f>
        <v>464</v>
      </c>
      <c r="B397" s="31" t="str">
        <f>IFERROR(__xludf.DUMMYFUNCTION("""COMPUTED_VALUE"""),"Shreya Pandey")</f>
        <v>Shreya Pandey</v>
      </c>
      <c r="C397" s="31" t="str">
        <f>IFERROR(__xludf.DUMMYFUNCTION("""COMPUTED_VALUE"""),"pandeyshrey121@gmail.com")</f>
        <v>pandeyshrey121@gmail.com</v>
      </c>
      <c r="D397" s="84">
        <f>IFERROR(__xludf.DUMMYFUNCTION("""COMPUTED_VALUE"""),9.520464896E9)</f>
        <v>9520464896</v>
      </c>
      <c r="E397" s="94">
        <f>IFERROR(__xludf.DUMMYFUNCTION("""COMPUTED_VALUE"""),45511.0)</f>
        <v>45511</v>
      </c>
      <c r="F397" s="31"/>
      <c r="G397" s="85"/>
      <c r="H397" s="31"/>
      <c r="I397" s="31" t="str">
        <f>IFERROR(__xludf.DUMMYFUNCTION("""COMPUTED_VALUE"""),"Relationship Manager (CRM)")</f>
        <v>Relationship Manager (CRM)</v>
      </c>
      <c r="J397" s="31"/>
      <c r="K397" s="31"/>
      <c r="L397" s="31"/>
      <c r="M397" s="31"/>
      <c r="N397" s="31"/>
    </row>
    <row r="398">
      <c r="A398" s="31">
        <f>IFERROR(__xludf.DUMMYFUNCTION("""COMPUTED_VALUE"""),465.0)</f>
        <v>465</v>
      </c>
      <c r="B398" s="31" t="str">
        <f>IFERROR(__xludf.DUMMYFUNCTION("""COMPUTED_VALUE"""),"Prakash Vedavyas Acharya")</f>
        <v>Prakash Vedavyas Acharya</v>
      </c>
      <c r="C398" s="31" t="str">
        <f>IFERROR(__xludf.DUMMYFUNCTION("""COMPUTED_VALUE"""),"praks1983@gmail.com")</f>
        <v>praks1983@gmail.com</v>
      </c>
      <c r="D398" s="84">
        <f>IFERROR(__xludf.DUMMYFUNCTION("""COMPUTED_VALUE"""),9.89279148E9)</f>
        <v>9892791480</v>
      </c>
      <c r="E398" s="94">
        <f>IFERROR(__xludf.DUMMYFUNCTION("""COMPUTED_VALUE"""),45511.0)</f>
        <v>45511</v>
      </c>
      <c r="F398" s="31"/>
      <c r="G398" s="85"/>
      <c r="H398" s="31"/>
      <c r="I398" s="31" t="str">
        <f>IFERROR(__xludf.DUMMYFUNCTION("""COMPUTED_VALUE"""),"Associate Director- Digital Marketing")</f>
        <v>Associate Director- Digital Marketing</v>
      </c>
      <c r="J398" s="31"/>
      <c r="K398" s="31"/>
      <c r="L398" s="31"/>
      <c r="M398" s="31"/>
      <c r="N398" s="31"/>
    </row>
    <row r="399">
      <c r="A399" s="31">
        <f>IFERROR(__xludf.DUMMYFUNCTION("""COMPUTED_VALUE"""),467.0)</f>
        <v>467</v>
      </c>
      <c r="B399" s="31" t="str">
        <f>IFERROR(__xludf.DUMMYFUNCTION("""COMPUTED_VALUE"""),"Rishabh Bhatia")</f>
        <v>Rishabh Bhatia</v>
      </c>
      <c r="C399" s="31" t="str">
        <f>IFERROR(__xludf.DUMMYFUNCTION("""COMPUTED_VALUE"""),"        irishabh96@gmail.com")</f>
        <v>        irishabh96@gmail.com</v>
      </c>
      <c r="D399" s="84">
        <f>IFERROR(__xludf.DUMMYFUNCTION("""COMPUTED_VALUE"""),9.999893268E9)</f>
        <v>9999893268</v>
      </c>
      <c r="E399" s="94">
        <f>IFERROR(__xludf.DUMMYFUNCTION("""COMPUTED_VALUE"""),45516.0)</f>
        <v>45516</v>
      </c>
      <c r="F399" s="31"/>
      <c r="G399" s="85"/>
      <c r="H399" s="31"/>
      <c r="I399" s="31" t="str">
        <f>IFERROR(__xludf.DUMMYFUNCTION("""COMPUTED_VALUE"""),"Senior Software Engineer")</f>
        <v>Senior Software Engineer</v>
      </c>
      <c r="J399" s="31"/>
      <c r="K399" s="31"/>
      <c r="L399" s="31"/>
      <c r="M399" s="31"/>
      <c r="N399" s="31"/>
    </row>
    <row r="400">
      <c r="A400" s="31">
        <f>IFERROR(__xludf.DUMMYFUNCTION("""COMPUTED_VALUE"""),468.0)</f>
        <v>468</v>
      </c>
      <c r="B400" s="31" t="str">
        <f>IFERROR(__xludf.DUMMYFUNCTION("""COMPUTED_VALUE"""),"Rajan Jayaswal")</f>
        <v>Rajan Jayaswal</v>
      </c>
      <c r="C400" s="31" t="str">
        <f>IFERROR(__xludf.DUMMYFUNCTION("""COMPUTED_VALUE"""),"response2rajan@gmail.com ")</f>
        <v>response2rajan@gmail.com </v>
      </c>
      <c r="D400" s="84">
        <f>IFERROR(__xludf.DUMMYFUNCTION("""COMPUTED_VALUE"""),8.805937549E9)</f>
        <v>8805937549</v>
      </c>
      <c r="E400" s="94">
        <f>IFERROR(__xludf.DUMMYFUNCTION("""COMPUTED_VALUE"""),45518.0)</f>
        <v>45518</v>
      </c>
      <c r="F400" s="31"/>
      <c r="G400" s="85"/>
      <c r="H400" s="31"/>
      <c r="I400" s="31" t="str">
        <f>IFERROR(__xludf.DUMMYFUNCTION("""COMPUTED_VALUE"""),"Senior Hindi UX Content Writer")</f>
        <v>Senior Hindi UX Content Writer</v>
      </c>
      <c r="J400" s="31"/>
      <c r="K400" s="31"/>
      <c r="L400" s="31"/>
      <c r="M400" s="31"/>
      <c r="N400" s="31"/>
    </row>
    <row r="401">
      <c r="A401" s="31">
        <f>IFERROR(__xludf.DUMMYFUNCTION("""COMPUTED_VALUE"""),469.0)</f>
        <v>469</v>
      </c>
      <c r="B401" s="31" t="str">
        <f>IFERROR(__xludf.DUMMYFUNCTION("""COMPUTED_VALUE"""),"Suryanshu Shekhar")</f>
        <v>Suryanshu Shekhar</v>
      </c>
      <c r="C401" s="86" t="str">
        <f>IFERROR(__xludf.DUMMYFUNCTION("""COMPUTED_VALUE"""),"suryanshu.30sep@gmail.com")</f>
        <v>suryanshu.30sep@gmail.com</v>
      </c>
      <c r="D401" s="84">
        <f>IFERROR(__xludf.DUMMYFUNCTION("""COMPUTED_VALUE"""),8.05079524E9)</f>
        <v>8050795240</v>
      </c>
      <c r="E401" s="94">
        <f>IFERROR(__xludf.DUMMYFUNCTION("""COMPUTED_VALUE"""),45525.0)</f>
        <v>45525</v>
      </c>
      <c r="F401" s="31"/>
      <c r="G401" s="85" t="str">
        <f>IFERROR(__xludf.DUMMYFUNCTION("""COMPUTED_VALUE"""),"Flat:202, Supreme Sankalpa,
1st cross,Opposite La Casa, Kasavanahalli,
Bengaluru:560035")</f>
        <v>Flat:202, Supreme Sankalpa,
1st cross,Opposite La Casa, Kasavanahalli,
Bengaluru:560035</v>
      </c>
      <c r="H401" s="31"/>
      <c r="I401" s="31" t="str">
        <f>IFERROR(__xludf.DUMMYFUNCTION("""COMPUTED_VALUE"""),"Manager Data Analyst")</f>
        <v>Manager Data Analyst</v>
      </c>
      <c r="J401" s="31"/>
      <c r="K401" s="31"/>
      <c r="L401" s="31"/>
      <c r="M401" s="31"/>
      <c r="N401" s="31"/>
    </row>
    <row r="402">
      <c r="A402" s="31">
        <f>IFERROR(__xludf.DUMMYFUNCTION("""COMPUTED_VALUE"""),470.0)</f>
        <v>470</v>
      </c>
      <c r="B402" s="31" t="str">
        <f>IFERROR(__xludf.DUMMYFUNCTION("""COMPUTED_VALUE"""),"Md Neyaz")</f>
        <v>Md Neyaz</v>
      </c>
      <c r="C402" s="31" t="str">
        <f>IFERROR(__xludf.DUMMYFUNCTION("""COMPUTED_VALUE"""),"zayen.demha001@gmail.com")</f>
        <v>zayen.demha001@gmail.com</v>
      </c>
      <c r="D402" s="84">
        <f>IFERROR(__xludf.DUMMYFUNCTION("""COMPUTED_VALUE"""),9.163044287E9)</f>
        <v>9163044287</v>
      </c>
      <c r="E402" s="94">
        <f>IFERROR(__xludf.DUMMYFUNCTION("""COMPUTED_VALUE"""),45526.0)</f>
        <v>45526</v>
      </c>
      <c r="F402" s="31"/>
      <c r="G402" s="85"/>
      <c r="H402" s="31"/>
      <c r="I402" s="31" t="str">
        <f>IFERROR(__xludf.DUMMYFUNCTION("""COMPUTED_VALUE"""),"Contractual - Test Yantra")</f>
        <v>Contractual - Test Yantra</v>
      </c>
      <c r="J402" s="31"/>
      <c r="K402" s="31"/>
      <c r="L402" s="31"/>
      <c r="M402" s="31"/>
      <c r="N402" s="31"/>
    </row>
    <row r="403">
      <c r="A403" s="31">
        <f>IFERROR(__xludf.DUMMYFUNCTION("""COMPUTED_VALUE"""),471.0)</f>
        <v>471</v>
      </c>
      <c r="B403" s="31" t="str">
        <f>IFERROR(__xludf.DUMMYFUNCTION("""COMPUTED_VALUE"""),"Anushka Murgudkar")</f>
        <v>Anushka Murgudkar</v>
      </c>
      <c r="C403" s="31" t="str">
        <f>IFERROR(__xludf.DUMMYFUNCTION("""COMPUTED_VALUE"""),"anushkamurgudkar@gmail.com")</f>
        <v>anushkamurgudkar@gmail.com</v>
      </c>
      <c r="D403" s="84">
        <f>IFERROR(__xludf.DUMMYFUNCTION("""COMPUTED_VALUE"""),7.066363194E9)</f>
        <v>7066363194</v>
      </c>
      <c r="E403" s="94">
        <f>IFERROR(__xludf.DUMMYFUNCTION("""COMPUTED_VALUE"""),45526.0)</f>
        <v>45526</v>
      </c>
      <c r="F403" s="31"/>
      <c r="G403" s="85"/>
      <c r="H403" s="31"/>
      <c r="I403" s="31" t="str">
        <f>IFERROR(__xludf.DUMMYFUNCTION("""COMPUTED_VALUE"""),"Contractual - Test Yantra")</f>
        <v>Contractual - Test Yantra</v>
      </c>
      <c r="J403" s="31"/>
      <c r="K403" s="31"/>
      <c r="L403" s="31"/>
      <c r="M403" s="31"/>
      <c r="N403" s="31"/>
    </row>
    <row r="404">
      <c r="A404" s="31">
        <f>IFERROR(__xludf.DUMMYFUNCTION("""COMPUTED_VALUE"""),472.0)</f>
        <v>472</v>
      </c>
      <c r="B404" s="31" t="str">
        <f>IFERROR(__xludf.DUMMYFUNCTION("""COMPUTED_VALUE"""),"Amrit Anand")</f>
        <v>Amrit Anand</v>
      </c>
      <c r="C404" s="31" t="str">
        <f>IFERROR(__xludf.DUMMYFUNCTION("""COMPUTED_VALUE"""),"amrit.in@gmail.com")</f>
        <v>amrit.in@gmail.com</v>
      </c>
      <c r="D404" s="84">
        <f>IFERROR(__xludf.DUMMYFUNCTION("""COMPUTED_VALUE"""),9.958001195E9)</f>
        <v>9958001195</v>
      </c>
      <c r="E404" s="94">
        <f>IFERROR(__xludf.DUMMYFUNCTION("""COMPUTED_VALUE"""),45525.0)</f>
        <v>45525</v>
      </c>
      <c r="F404" s="31"/>
      <c r="G404" s="85"/>
      <c r="H404" s="31"/>
      <c r="I404" s="31" t="str">
        <f>IFERROR(__xludf.DUMMYFUNCTION("""COMPUTED_VALUE"""),"Associate Director- Communications")</f>
        <v>Associate Director- Communications</v>
      </c>
      <c r="J404" s="31"/>
      <c r="K404" s="31"/>
      <c r="L404" s="31"/>
      <c r="M404" s="31"/>
      <c r="N404" s="31"/>
    </row>
    <row r="405">
      <c r="A405" s="31">
        <f>IFERROR(__xludf.DUMMYFUNCTION("""COMPUTED_VALUE"""),473.0)</f>
        <v>473</v>
      </c>
      <c r="B405" s="31" t="str">
        <f>IFERROR(__xludf.DUMMYFUNCTION("""COMPUTED_VALUE"""),"Yash  Oberoi")</f>
        <v>Yash  Oberoi</v>
      </c>
      <c r="C405" s="31" t="str">
        <f>IFERROR(__xludf.DUMMYFUNCTION("""COMPUTED_VALUE"""),"yashuoberoi@gmail.com")</f>
        <v>yashuoberoi@gmail.com</v>
      </c>
      <c r="D405" s="84">
        <f>IFERROR(__xludf.DUMMYFUNCTION("""COMPUTED_VALUE"""),9.821754606E9)</f>
        <v>9821754606</v>
      </c>
      <c r="E405" s="94">
        <f>IFERROR(__xludf.DUMMYFUNCTION("""COMPUTED_VALUE"""),45525.0)</f>
        <v>45525</v>
      </c>
      <c r="F405" s="31"/>
      <c r="G405" s="85"/>
      <c r="H405" s="31"/>
      <c r="I405" s="31" t="str">
        <f>IFERROR(__xludf.DUMMYFUNCTION("""COMPUTED_VALUE"""),"PR Executive")</f>
        <v>PR Executive</v>
      </c>
      <c r="J405" s="31"/>
      <c r="K405" s="31"/>
      <c r="L405" s="31"/>
      <c r="M405" s="31"/>
      <c r="N405" s="31"/>
    </row>
    <row r="406">
      <c r="A406" s="31">
        <f>IFERROR(__xludf.DUMMYFUNCTION("""COMPUTED_VALUE"""),474.0)</f>
        <v>474</v>
      </c>
      <c r="B406" s="31" t="str">
        <f>IFERROR(__xludf.DUMMYFUNCTION("""COMPUTED_VALUE"""),"Himanshu Nagpal")</f>
        <v>Himanshu Nagpal</v>
      </c>
      <c r="C406" s="31" t="str">
        <f>IFERROR(__xludf.DUMMYFUNCTION("""COMPUTED_VALUE"""),"hinagpal8901@gmail.com")</f>
        <v>hinagpal8901@gmail.com</v>
      </c>
      <c r="D406" s="84">
        <f>IFERROR(__xludf.DUMMYFUNCTION("""COMPUTED_VALUE"""),8.684033537E9)</f>
        <v>8684033537</v>
      </c>
      <c r="E406" s="94">
        <f>IFERROR(__xludf.DUMMYFUNCTION("""COMPUTED_VALUE"""),45525.0)</f>
        <v>45525</v>
      </c>
      <c r="F406" s="31"/>
      <c r="G406" s="85"/>
      <c r="H406" s="31"/>
      <c r="I406" s="31" t="str">
        <f>IFERROR(__xludf.DUMMYFUNCTION("""COMPUTED_VALUE"""),"Relationship Manager (CRM)")</f>
        <v>Relationship Manager (CRM)</v>
      </c>
      <c r="J406" s="31"/>
      <c r="K406" s="31"/>
      <c r="L406" s="31"/>
      <c r="M406" s="31"/>
      <c r="N406" s="31"/>
    </row>
    <row r="407">
      <c r="A407" s="31">
        <f>IFERROR(__xludf.DUMMYFUNCTION("""COMPUTED_VALUE"""),475.0)</f>
        <v>475</v>
      </c>
      <c r="B407" s="31" t="str">
        <f>IFERROR(__xludf.DUMMYFUNCTION("""COMPUTED_VALUE"""),"Mehul Shah")</f>
        <v>Mehul Shah</v>
      </c>
      <c r="C407" s="31" t="str">
        <f>IFERROR(__xludf.DUMMYFUNCTION("""COMPUTED_VALUE"""),"kits.mehulshah@gmail.com")</f>
        <v>kits.mehulshah@gmail.com</v>
      </c>
      <c r="D407" s="84">
        <f>IFERROR(__xludf.DUMMYFUNCTION("""COMPUTED_VALUE"""),9.920968101E9)</f>
        <v>9920968101</v>
      </c>
      <c r="E407" s="94">
        <f>IFERROR(__xludf.DUMMYFUNCTION("""COMPUTED_VALUE"""),45525.0)</f>
        <v>45525</v>
      </c>
      <c r="F407" s="31"/>
      <c r="G407" s="85"/>
      <c r="H407" s="31"/>
      <c r="I407" s="31" t="str">
        <f>IFERROR(__xludf.DUMMYFUNCTION("""COMPUTED_VALUE"""),"SEO AND ASO Lead")</f>
        <v>SEO AND ASO Lead</v>
      </c>
      <c r="J407" s="31"/>
      <c r="K407" s="31"/>
      <c r="L407" s="31"/>
      <c r="M407" s="31"/>
      <c r="N407" s="31"/>
    </row>
    <row r="408">
      <c r="A408" s="31">
        <f>IFERROR(__xludf.DUMMYFUNCTION("""COMPUTED_VALUE"""),476.0)</f>
        <v>476</v>
      </c>
      <c r="B408" s="31" t="str">
        <f>IFERROR(__xludf.DUMMYFUNCTION("""COMPUTED_VALUE"""),"Anish ")</f>
        <v>Anish </v>
      </c>
      <c r="C408" s="31" t="str">
        <f>IFERROR(__xludf.DUMMYFUNCTION("""COMPUTED_VALUE"""),"anishchoudharyofficial@gmail.com")</f>
        <v>anishchoudharyofficial@gmail.com</v>
      </c>
      <c r="D408" s="84">
        <f>IFERROR(__xludf.DUMMYFUNCTION("""COMPUTED_VALUE"""),8.252113477E9)</f>
        <v>8252113477</v>
      </c>
      <c r="E408" s="94">
        <f>IFERROR(__xludf.DUMMYFUNCTION("""COMPUTED_VALUE"""),45531.0)</f>
        <v>45531</v>
      </c>
      <c r="F408" s="31"/>
      <c r="G408" s="85"/>
      <c r="H408" s="31"/>
      <c r="I408" s="31" t="str">
        <f>IFERROR(__xludf.DUMMYFUNCTION("""COMPUTED_VALUE"""),"Contractual - Gainss")</f>
        <v>Contractual - Gainss</v>
      </c>
      <c r="J408" s="31"/>
      <c r="K408" s="31"/>
      <c r="L408" s="31"/>
      <c r="M408" s="31"/>
      <c r="N408" s="31"/>
    </row>
    <row r="409">
      <c r="A409" s="31">
        <f>IFERROR(__xludf.DUMMYFUNCTION("""COMPUTED_VALUE"""),478.0)</f>
        <v>478</v>
      </c>
      <c r="B409" s="31" t="str">
        <f>IFERROR(__xludf.DUMMYFUNCTION("""COMPUTED_VALUE"""),"Dipankar Jha")</f>
        <v>Dipankar Jha</v>
      </c>
      <c r="C409" s="31" t="str">
        <f>IFERROR(__xludf.DUMMYFUNCTION("""COMPUTED_VALUE"""),"dipankarjha00@gmail.com")</f>
        <v>dipankarjha00@gmail.com</v>
      </c>
      <c r="D409" s="84">
        <f>IFERROR(__xludf.DUMMYFUNCTION("""COMPUTED_VALUE"""),9.525416997E9)</f>
        <v>9525416997</v>
      </c>
      <c r="E409" s="94">
        <f>IFERROR(__xludf.DUMMYFUNCTION("""COMPUTED_VALUE"""),45537.0)</f>
        <v>45537</v>
      </c>
      <c r="F409" s="31"/>
      <c r="G409" s="85"/>
      <c r="H409" s="31"/>
      <c r="I409" s="31" t="str">
        <f>IFERROR(__xludf.DUMMYFUNCTION("""COMPUTED_VALUE"""),"Executive- Finance")</f>
        <v>Executive- Finance</v>
      </c>
      <c r="J409" s="31"/>
      <c r="K409" s="31"/>
      <c r="L409" s="31"/>
      <c r="M409" s="31"/>
      <c r="N409" s="31"/>
    </row>
    <row r="410">
      <c r="A410" s="31">
        <f>IFERROR(__xludf.DUMMYFUNCTION("""COMPUTED_VALUE"""),479.0)</f>
        <v>479</v>
      </c>
      <c r="B410" s="31" t="str">
        <f>IFERROR(__xludf.DUMMYFUNCTION("""COMPUTED_VALUE"""),"Vipul Gupta")</f>
        <v>Vipul Gupta</v>
      </c>
      <c r="C410" s="31" t="str">
        <f>IFERROR(__xludf.DUMMYFUNCTION("""COMPUTED_VALUE"""),"vipul31gupta@gmail.com ")</f>
        <v>vipul31gupta@gmail.com </v>
      </c>
      <c r="D410" s="84">
        <f>IFERROR(__xludf.DUMMYFUNCTION("""COMPUTED_VALUE"""),8.284807025E9)</f>
        <v>8284807025</v>
      </c>
      <c r="E410" s="94">
        <f>IFERROR(__xludf.DUMMYFUNCTION("""COMPUTED_VALUE"""),45537.0)</f>
        <v>45537</v>
      </c>
      <c r="F410" s="31"/>
      <c r="G410" s="85"/>
      <c r="H410" s="31"/>
      <c r="I410" s="31" t="str">
        <f>IFERROR(__xludf.DUMMYFUNCTION("""COMPUTED_VALUE"""),"SDET Lead")</f>
        <v>SDET Lead</v>
      </c>
      <c r="J410" s="31"/>
      <c r="K410" s="31"/>
      <c r="L410" s="31"/>
      <c r="M410" s="31"/>
      <c r="N410" s="31"/>
    </row>
    <row r="411">
      <c r="A411" s="31">
        <f>IFERROR(__xludf.DUMMYFUNCTION("""COMPUTED_VALUE"""),480.0)</f>
        <v>480</v>
      </c>
      <c r="B411" s="31" t="str">
        <f>IFERROR(__xludf.DUMMYFUNCTION("""COMPUTED_VALUE"""),"Suraj Arora")</f>
        <v>Suraj Arora</v>
      </c>
      <c r="C411" s="31" t="str">
        <f>IFERROR(__xludf.DUMMYFUNCTION("""COMPUTED_VALUE""")," architectsurajarora@gmail.com")</f>
        <v> architectsurajarora@gmail.com</v>
      </c>
      <c r="D411" s="84">
        <f>IFERROR(__xludf.DUMMYFUNCTION("""COMPUTED_VALUE"""),7.982092568E9)</f>
        <v>7982092568</v>
      </c>
      <c r="E411" s="94">
        <f>IFERROR(__xludf.DUMMYFUNCTION("""COMPUTED_VALUE"""),45537.0)</f>
        <v>45537</v>
      </c>
      <c r="F411" s="31"/>
      <c r="G411" s="85"/>
      <c r="H411" s="31"/>
      <c r="I411" s="31" t="str">
        <f>IFERROR(__xludf.DUMMYFUNCTION("""COMPUTED_VALUE"""),"Senior Product Designer")</f>
        <v>Senior Product Designer</v>
      </c>
      <c r="J411" s="31"/>
      <c r="K411" s="31"/>
      <c r="L411" s="31"/>
      <c r="M411" s="31"/>
      <c r="N411" s="31"/>
    </row>
    <row r="412">
      <c r="A412" s="31">
        <f>IFERROR(__xludf.DUMMYFUNCTION("""COMPUTED_VALUE"""),481.0)</f>
        <v>481</v>
      </c>
      <c r="B412" s="31" t="str">
        <f>IFERROR(__xludf.DUMMYFUNCTION("""COMPUTED_VALUE"""),"Ajay Surendra Yadav")</f>
        <v>Ajay Surendra Yadav</v>
      </c>
      <c r="C412" s="31"/>
      <c r="D412" s="84"/>
      <c r="E412" s="94">
        <f>IFERROR(__xludf.DUMMYFUNCTION("""COMPUTED_VALUE"""),45537.0)</f>
        <v>45537</v>
      </c>
      <c r="F412" s="31"/>
      <c r="G412" s="85"/>
      <c r="H412" s="31"/>
      <c r="I412" s="31" t="str">
        <f>IFERROR(__xludf.DUMMYFUNCTION("""COMPUTED_VALUE"""),"Contractual - Test Yantra")</f>
        <v>Contractual - Test Yantra</v>
      </c>
      <c r="J412" s="31"/>
      <c r="K412" s="31"/>
      <c r="L412" s="31"/>
      <c r="M412" s="31"/>
      <c r="N412" s="31"/>
    </row>
    <row r="413">
      <c r="A413" s="31">
        <f>IFERROR(__xludf.DUMMYFUNCTION("""COMPUTED_VALUE"""),482.0)</f>
        <v>482</v>
      </c>
      <c r="B413" s="31" t="str">
        <f>IFERROR(__xludf.DUMMYFUNCTION("""COMPUTED_VALUE"""),"Prakhar Gupta  ")</f>
        <v>Prakhar Gupta  </v>
      </c>
      <c r="C413" s="31" t="str">
        <f>IFERROR(__xludf.DUMMYFUNCTION("""COMPUTED_VALUE"""),"Varshneyprakhar281@gmail.com")</f>
        <v>Varshneyprakhar281@gmail.com</v>
      </c>
      <c r="D413" s="84">
        <f>IFERROR(__xludf.DUMMYFUNCTION("""COMPUTED_VALUE"""),9.81189823E9)</f>
        <v>9811898230</v>
      </c>
      <c r="E413" s="94">
        <f>IFERROR(__xludf.DUMMYFUNCTION("""COMPUTED_VALUE"""),45537.0)</f>
        <v>45537</v>
      </c>
      <c r="F413" s="31"/>
      <c r="G413" s="85"/>
      <c r="H413" s="31"/>
      <c r="I413" s="31" t="str">
        <f>IFERROR(__xludf.DUMMYFUNCTION("""COMPUTED_VALUE"""),"Relationship Manager")</f>
        <v>Relationship Manager</v>
      </c>
      <c r="J413" s="31"/>
      <c r="K413" s="31"/>
      <c r="L413" s="31"/>
      <c r="M413" s="31"/>
      <c r="N413" s="31"/>
    </row>
    <row r="414">
      <c r="A414" s="31">
        <f>IFERROR(__xludf.DUMMYFUNCTION("""COMPUTED_VALUE"""),483.0)</f>
        <v>483</v>
      </c>
      <c r="B414" s="31" t="str">
        <f>IFERROR(__xludf.DUMMYFUNCTION("""COMPUTED_VALUE"""),"Geeta Joshi")</f>
        <v>Geeta Joshi</v>
      </c>
      <c r="C414" s="31" t="str">
        <f>IFERROR(__xludf.DUMMYFUNCTION("""COMPUTED_VALUE"""),"jgeeta384@gmail.com")</f>
        <v>jgeeta384@gmail.com</v>
      </c>
      <c r="D414" s="84">
        <f>IFERROR(__xludf.DUMMYFUNCTION("""COMPUTED_VALUE"""),8.860810316E9)</f>
        <v>8860810316</v>
      </c>
      <c r="E414" s="94">
        <f>IFERROR(__xludf.DUMMYFUNCTION("""COMPUTED_VALUE"""),45537.0)</f>
        <v>45537</v>
      </c>
      <c r="F414" s="31"/>
      <c r="G414" s="85"/>
      <c r="H414" s="31"/>
      <c r="I414" s="31" t="str">
        <f>IFERROR(__xludf.DUMMYFUNCTION("""COMPUTED_VALUE"""),"Relationship Manager")</f>
        <v>Relationship Manager</v>
      </c>
      <c r="J414" s="31"/>
      <c r="K414" s="31"/>
      <c r="L414" s="31"/>
      <c r="M414" s="31"/>
      <c r="N414" s="31"/>
    </row>
    <row r="415">
      <c r="A415" s="31">
        <f>IFERROR(__xludf.DUMMYFUNCTION("""COMPUTED_VALUE"""),484.0)</f>
        <v>484</v>
      </c>
      <c r="B415" s="31" t="str">
        <f>IFERROR(__xludf.DUMMYFUNCTION("""COMPUTED_VALUE"""),"Rohit Sahni")</f>
        <v>Rohit Sahni</v>
      </c>
      <c r="C415" s="31" t="str">
        <f>IFERROR(__xludf.DUMMYFUNCTION("""COMPUTED_VALUE"""),"rohitsahni105@gmail.com")</f>
        <v>rohitsahni105@gmail.com</v>
      </c>
      <c r="D415" s="84">
        <f>IFERROR(__xludf.DUMMYFUNCTION("""COMPUTED_VALUE"""),9.711929192E9)</f>
        <v>9711929192</v>
      </c>
      <c r="E415" s="94">
        <f>IFERROR(__xludf.DUMMYFUNCTION("""COMPUTED_VALUE"""),45537.0)</f>
        <v>45537</v>
      </c>
      <c r="F415" s="31"/>
      <c r="G415" s="85"/>
      <c r="H415" s="31"/>
      <c r="I415" s="31" t="str">
        <f>IFERROR(__xludf.DUMMYFUNCTION("""COMPUTED_VALUE"""),"Relationship Manager")</f>
        <v>Relationship Manager</v>
      </c>
      <c r="J415" s="31"/>
      <c r="K415" s="31"/>
      <c r="L415" s="31"/>
      <c r="M415" s="31"/>
      <c r="N415" s="31"/>
    </row>
    <row r="416">
      <c r="A416" s="31">
        <f>IFERROR(__xludf.DUMMYFUNCTION("""COMPUTED_VALUE"""),485.0)</f>
        <v>485</v>
      </c>
      <c r="B416" s="31" t="str">
        <f>IFERROR(__xludf.DUMMYFUNCTION("""COMPUTED_VALUE"""),"Khushboo ")</f>
        <v>Khushboo </v>
      </c>
      <c r="C416" s="31" t="str">
        <f>IFERROR(__xludf.DUMMYFUNCTION("""COMPUTED_VALUE"""),"khush490009@gmail.com")</f>
        <v>khush490009@gmail.com</v>
      </c>
      <c r="D416" s="84">
        <f>IFERROR(__xludf.DUMMYFUNCTION("""COMPUTED_VALUE"""),9.711692049E9)</f>
        <v>9711692049</v>
      </c>
      <c r="E416" s="94">
        <f>IFERROR(__xludf.DUMMYFUNCTION("""COMPUTED_VALUE"""),45537.0)</f>
        <v>45537</v>
      </c>
      <c r="F416" s="31"/>
      <c r="G416" s="85"/>
      <c r="H416" s="31"/>
      <c r="I416" s="31" t="str">
        <f>IFERROR(__xludf.DUMMYFUNCTION("""COMPUTED_VALUE"""),"Relationship Manager")</f>
        <v>Relationship Manager</v>
      </c>
      <c r="J416" s="31"/>
      <c r="K416" s="31"/>
      <c r="L416" s="31"/>
      <c r="M416" s="31"/>
      <c r="N416" s="31"/>
    </row>
    <row r="417">
      <c r="A417" s="31">
        <f>IFERROR(__xludf.DUMMYFUNCTION("""COMPUTED_VALUE"""),486.0)</f>
        <v>486</v>
      </c>
      <c r="B417" s="31" t="str">
        <f>IFERROR(__xludf.DUMMYFUNCTION("""COMPUTED_VALUE"""),"Lucky Singh")</f>
        <v>Lucky Singh</v>
      </c>
      <c r="C417" s="31" t="str">
        <f>IFERROR(__xludf.DUMMYFUNCTION("""COMPUTED_VALUE"""),"lucky.singh.12092000@gmail.com")</f>
        <v>lucky.singh.12092000@gmail.com</v>
      </c>
      <c r="D417" s="84">
        <f>IFERROR(__xludf.DUMMYFUNCTION("""COMPUTED_VALUE"""),8.447583101E9)</f>
        <v>8447583101</v>
      </c>
      <c r="E417" s="94">
        <f>IFERROR(__xludf.DUMMYFUNCTION("""COMPUTED_VALUE"""),45539.0)</f>
        <v>45539</v>
      </c>
      <c r="F417" s="31"/>
      <c r="G417" s="85"/>
      <c r="H417" s="31"/>
      <c r="I417" s="31" t="str">
        <f>IFERROR(__xludf.DUMMYFUNCTION("""COMPUTED_VALUE"""),"Software Engineer")</f>
        <v>Software Engineer</v>
      </c>
      <c r="J417" s="31"/>
      <c r="K417" s="31"/>
      <c r="L417" s="31"/>
      <c r="M417" s="31"/>
      <c r="N417" s="31"/>
    </row>
    <row r="418">
      <c r="A418" s="31">
        <f>IFERROR(__xludf.DUMMYFUNCTION("""COMPUTED_VALUE"""),487.0)</f>
        <v>487</v>
      </c>
      <c r="B418" s="31" t="str">
        <f>IFERROR(__xludf.DUMMYFUNCTION("""COMPUTED_VALUE"""),"Amarjeet Yadav")</f>
        <v>Amarjeet Yadav</v>
      </c>
      <c r="C418" s="31" t="str">
        <f>IFERROR(__xludf.DUMMYFUNCTION("""COMPUTED_VALUE"""),"amarjeet12a@gmail.com ")</f>
        <v>amarjeet12a@gmail.com </v>
      </c>
      <c r="D418" s="84">
        <f>IFERROR(__xludf.DUMMYFUNCTION("""COMPUTED_VALUE"""),7.999230378E9)</f>
        <v>7999230378</v>
      </c>
      <c r="E418" s="94">
        <f>IFERROR(__xludf.DUMMYFUNCTION("""COMPUTED_VALUE"""),45541.0)</f>
        <v>45541</v>
      </c>
      <c r="F418" s="31"/>
      <c r="G418" s="85"/>
      <c r="H418" s="31"/>
      <c r="I418" s="31" t="str">
        <f>IFERROR(__xludf.DUMMYFUNCTION("""COMPUTED_VALUE"""),"Senior Software Engineer")</f>
        <v>Senior Software Engineer</v>
      </c>
      <c r="J418" s="31"/>
      <c r="K418" s="31"/>
      <c r="L418" s="31"/>
      <c r="M418" s="31"/>
      <c r="N418" s="31"/>
    </row>
    <row r="419">
      <c r="A419" s="31">
        <f>IFERROR(__xludf.DUMMYFUNCTION("""COMPUTED_VALUE"""),488.0)</f>
        <v>488</v>
      </c>
      <c r="B419" s="31" t="str">
        <f>IFERROR(__xludf.DUMMYFUNCTION("""COMPUTED_VALUE"""),"Sahil Singh")</f>
        <v>Sahil Singh</v>
      </c>
      <c r="C419" s="31" t="str">
        <f>IFERROR(__xludf.DUMMYFUNCTION("""COMPUTED_VALUE"""),"sahil.singh@innovationm.com")</f>
        <v>sahil.singh@innovationm.com</v>
      </c>
      <c r="D419" s="84">
        <f>IFERROR(__xludf.DUMMYFUNCTION("""COMPUTED_VALUE"""),6.392219639E9)</f>
        <v>6392219639</v>
      </c>
      <c r="E419" s="94">
        <f>IFERROR(__xludf.DUMMYFUNCTION("""COMPUTED_VALUE"""),45545.0)</f>
        <v>45545</v>
      </c>
      <c r="F419" s="31"/>
      <c r="G419" s="85"/>
      <c r="H419" s="31"/>
      <c r="I419" s="31" t="str">
        <f>IFERROR(__xludf.DUMMYFUNCTION("""COMPUTED_VALUE"""),"Contractual - Innovationm")</f>
        <v>Contractual - Innovationm</v>
      </c>
      <c r="J419" s="31"/>
      <c r="K419" s="31"/>
      <c r="L419" s="31"/>
      <c r="M419" s="31"/>
      <c r="N419" s="31"/>
    </row>
    <row r="420">
      <c r="A420" s="31">
        <f>IFERROR(__xludf.DUMMYFUNCTION("""COMPUTED_VALUE"""),489.0)</f>
        <v>489</v>
      </c>
      <c r="B420" s="31" t="str">
        <f>IFERROR(__xludf.DUMMYFUNCTION("""COMPUTED_VALUE"""),"Shivam jain")</f>
        <v>Shivam jain</v>
      </c>
      <c r="C420" s="31"/>
      <c r="D420" s="84"/>
      <c r="E420" s="94">
        <f>IFERROR(__xludf.DUMMYFUNCTION("""COMPUTED_VALUE"""),45545.0)</f>
        <v>45545</v>
      </c>
      <c r="F420" s="31"/>
      <c r="G420" s="85"/>
      <c r="H420" s="31"/>
      <c r="I420" s="31" t="str">
        <f>IFERROR(__xludf.DUMMYFUNCTION("""COMPUTED_VALUE"""),"Contractual - Innovationm")</f>
        <v>Contractual - Innovationm</v>
      </c>
      <c r="J420" s="31"/>
      <c r="K420" s="31"/>
      <c r="L420" s="31"/>
      <c r="M420" s="31"/>
      <c r="N420" s="31"/>
    </row>
    <row r="421">
      <c r="A421" s="31">
        <f>IFERROR(__xludf.DUMMYFUNCTION("""COMPUTED_VALUE"""),490.0)</f>
        <v>490</v>
      </c>
      <c r="B421" s="31" t="str">
        <f>IFERROR(__xludf.DUMMYFUNCTION("""COMPUTED_VALUE"""),"Vivek Soni")</f>
        <v>Vivek Soni</v>
      </c>
      <c r="C421" s="31" t="str">
        <f>IFERROR(__xludf.DUMMYFUNCTION("""COMPUTED_VALUE"""),"sonivivek87@gmail.com")</f>
        <v>sonivivek87@gmail.com</v>
      </c>
      <c r="D421" s="84">
        <f>IFERROR(__xludf.DUMMYFUNCTION("""COMPUTED_VALUE"""),9.575372486E9)</f>
        <v>9575372486</v>
      </c>
      <c r="E421" s="94">
        <f>IFERROR(__xludf.DUMMYFUNCTION("""COMPUTED_VALUE"""),45546.0)</f>
        <v>45546</v>
      </c>
      <c r="F421" s="31"/>
      <c r="G421" s="85"/>
      <c r="H421" s="31"/>
      <c r="I421" s="31" t="str">
        <f>IFERROR(__xludf.DUMMYFUNCTION("""COMPUTED_VALUE"""),"Contractual - Test Yantra")</f>
        <v>Contractual - Test Yantra</v>
      </c>
      <c r="J421" s="31"/>
      <c r="K421" s="31"/>
      <c r="L421" s="31"/>
      <c r="M421" s="31"/>
      <c r="N421" s="31"/>
    </row>
    <row r="422">
      <c r="A422" s="31">
        <f>IFERROR(__xludf.DUMMYFUNCTION("""COMPUTED_VALUE"""),491.0)</f>
        <v>491</v>
      </c>
      <c r="B422" s="31" t="str">
        <f>IFERROR(__xludf.DUMMYFUNCTION("""COMPUTED_VALUE"""),"Shivani Patil")</f>
        <v>Shivani Patil</v>
      </c>
      <c r="C422" s="31" t="str">
        <f>IFERROR(__xludf.DUMMYFUNCTION("""COMPUTED_VALUE"""),"sspatilkhakanar@gmail.com")</f>
        <v>sspatilkhakanar@gmail.com</v>
      </c>
      <c r="D422" s="84">
        <f>IFERROR(__xludf.DUMMYFUNCTION("""COMPUTED_VALUE"""),9.109678463E9)</f>
        <v>9109678463</v>
      </c>
      <c r="E422" s="94">
        <f>IFERROR(__xludf.DUMMYFUNCTION("""COMPUTED_VALUE"""),45546.0)</f>
        <v>45546</v>
      </c>
      <c r="F422" s="31"/>
      <c r="G422" s="85"/>
      <c r="H422" s="31"/>
      <c r="I422" s="31" t="str">
        <f>IFERROR(__xludf.DUMMYFUNCTION("""COMPUTED_VALUE"""),"Contractual - Test Yantra")</f>
        <v>Contractual - Test Yantra</v>
      </c>
      <c r="J422" s="31"/>
      <c r="K422" s="31"/>
      <c r="L422" s="31"/>
      <c r="M422" s="31"/>
      <c r="N422" s="31"/>
    </row>
    <row r="423">
      <c r="A423" s="31">
        <f>IFERROR(__xludf.DUMMYFUNCTION("""COMPUTED_VALUE"""),492.0)</f>
        <v>492</v>
      </c>
      <c r="B423" s="31" t="str">
        <f>IFERROR(__xludf.DUMMYFUNCTION("""COMPUTED_VALUE"""),"Harsh Mehta")</f>
        <v>Harsh Mehta</v>
      </c>
      <c r="C423" s="31" t="str">
        <f>IFERROR(__xludf.DUMMYFUNCTION("""COMPUTED_VALUE"""),"harsh.A1030488@jindalx.com")</f>
        <v>harsh.A1030488@jindalx.com</v>
      </c>
      <c r="D423" s="84">
        <f>IFERROR(__xludf.DUMMYFUNCTION("""COMPUTED_VALUE"""),9.310753386E9)</f>
        <v>9310753386</v>
      </c>
      <c r="E423" s="94">
        <f>IFERROR(__xludf.DUMMYFUNCTION("""COMPUTED_VALUE"""),45545.0)</f>
        <v>45545</v>
      </c>
      <c r="F423" s="31"/>
      <c r="G423" s="85"/>
      <c r="H423" s="31"/>
      <c r="I423" s="31"/>
      <c r="J423" s="31"/>
      <c r="K423" s="31"/>
      <c r="L423" s="31"/>
      <c r="M423" s="31"/>
      <c r="N423" s="31"/>
    </row>
    <row r="424">
      <c r="A424" s="31">
        <f>IFERROR(__xludf.DUMMYFUNCTION("""COMPUTED_VALUE"""),493.0)</f>
        <v>493</v>
      </c>
      <c r="B424" s="31" t="str">
        <f>IFERROR(__xludf.DUMMYFUNCTION("""COMPUTED_VALUE"""),"Karan Pal Sunkariya")</f>
        <v>Karan Pal Sunkariya</v>
      </c>
      <c r="C424" s="31" t="str">
        <f>IFERROR(__xludf.DUMMYFUNCTION("""COMPUTED_VALUE"""),"karanpalsunkariya@gmail.com")</f>
        <v>karanpalsunkariya@gmail.com</v>
      </c>
      <c r="D424" s="84">
        <f>IFERROR(__xludf.DUMMYFUNCTION("""COMPUTED_VALUE"""),9.456386177E9)</f>
        <v>9456386177</v>
      </c>
      <c r="E424" s="94">
        <f>IFERROR(__xludf.DUMMYFUNCTION("""COMPUTED_VALUE"""),45547.0)</f>
        <v>45547</v>
      </c>
      <c r="F424" s="31"/>
      <c r="G424" s="85"/>
      <c r="H424" s="31"/>
      <c r="I424" s="31" t="str">
        <f>IFERROR(__xludf.DUMMYFUNCTION("""COMPUTED_VALUE"""),"Technical Lead")</f>
        <v>Technical Lead</v>
      </c>
      <c r="J424" s="31"/>
      <c r="K424" s="31"/>
      <c r="L424" s="31"/>
      <c r="M424" s="31"/>
      <c r="N424" s="31"/>
    </row>
    <row r="425">
      <c r="A425" s="31">
        <f>IFERROR(__xludf.DUMMYFUNCTION("""COMPUTED_VALUE"""),494.0)</f>
        <v>494</v>
      </c>
      <c r="B425" s="31" t="str">
        <f>IFERROR(__xludf.DUMMYFUNCTION("""COMPUTED_VALUE"""),"Nikhil Kumar")</f>
        <v>Nikhil Kumar</v>
      </c>
      <c r="C425" s="31" t="str">
        <f>IFERROR(__xludf.DUMMYFUNCTION("""COMPUTED_VALUE"""),"nikek097@gmail.com")</f>
        <v>nikek097@gmail.com</v>
      </c>
      <c r="D425" s="84">
        <f>IFERROR(__xludf.DUMMYFUNCTION("""COMPUTED_VALUE"""),9.760157837E9)</f>
        <v>9760157837</v>
      </c>
      <c r="E425" s="94">
        <f>IFERROR(__xludf.DUMMYFUNCTION("""COMPUTED_VALUE"""),45551.0)</f>
        <v>45551</v>
      </c>
      <c r="F425" s="31"/>
      <c r="G425" s="85"/>
      <c r="H425" s="31"/>
      <c r="I425" s="31" t="str">
        <f>IFERROR(__xludf.DUMMYFUNCTION("""COMPUTED_VALUE"""),"Relationship Manager (Crm)")</f>
        <v>Relationship Manager (Crm)</v>
      </c>
      <c r="J425" s="31"/>
      <c r="K425" s="31"/>
      <c r="L425" s="31"/>
      <c r="M425" s="31"/>
      <c r="N425" s="31"/>
    </row>
    <row r="426">
      <c r="A426" s="31">
        <f>IFERROR(__xludf.DUMMYFUNCTION("""COMPUTED_VALUE"""),495.0)</f>
        <v>495</v>
      </c>
      <c r="B426" s="31" t="str">
        <f>IFERROR(__xludf.DUMMYFUNCTION("""COMPUTED_VALUE"""),"Sparsh Monday")</f>
        <v>Sparsh Monday</v>
      </c>
      <c r="C426" s="31" t="str">
        <f>IFERROR(__xludf.DUMMYFUNCTION("""COMPUTED_VALUE"""),"sparshpandey221@gmail.com")</f>
        <v>sparshpandey221@gmail.com</v>
      </c>
      <c r="D426" s="84">
        <f>IFERROR(__xludf.DUMMYFUNCTION("""COMPUTED_VALUE"""),9.958147698E9)</f>
        <v>9958147698</v>
      </c>
      <c r="E426" s="94">
        <f>IFERROR(__xludf.DUMMYFUNCTION("""COMPUTED_VALUE"""),45551.0)</f>
        <v>45551</v>
      </c>
      <c r="F426" s="31"/>
      <c r="G426" s="85"/>
      <c r="H426" s="31"/>
      <c r="I426" s="31" t="str">
        <f>IFERROR(__xludf.DUMMYFUNCTION("""COMPUTED_VALUE"""),"Senior SDET")</f>
        <v>Senior SDET</v>
      </c>
      <c r="J426" s="31"/>
      <c r="K426" s="31"/>
      <c r="L426" s="31"/>
      <c r="M426" s="31"/>
      <c r="N426" s="31"/>
    </row>
    <row r="427">
      <c r="A427" s="31">
        <f>IFERROR(__xludf.DUMMYFUNCTION("""COMPUTED_VALUE"""),496.0)</f>
        <v>496</v>
      </c>
      <c r="B427" s="31" t="str">
        <f>IFERROR(__xludf.DUMMYFUNCTION("""COMPUTED_VALUE"""),"Ankit Wadhwa")</f>
        <v>Ankit Wadhwa</v>
      </c>
      <c r="C427" s="31" t="str">
        <f>IFERROR(__xludf.DUMMYFUNCTION("""COMPUTED_VALUE"""),"ankitwadhwa@outlook.in ")</f>
        <v>ankitwadhwa@outlook.in </v>
      </c>
      <c r="D427" s="84">
        <f>IFERROR(__xludf.DUMMYFUNCTION("""COMPUTED_VALUE"""),9.910747374E9)</f>
        <v>9910747374</v>
      </c>
      <c r="E427" s="94">
        <f>IFERROR(__xludf.DUMMYFUNCTION("""COMPUTED_VALUE"""),45551.0)</f>
        <v>45551</v>
      </c>
      <c r="F427" s="31"/>
      <c r="G427" s="85"/>
      <c r="H427" s="31"/>
      <c r="I427" s="31" t="str">
        <f>IFERROR(__xludf.DUMMYFUNCTION("""COMPUTED_VALUE"""),"Manager-Taxation
")</f>
        <v>Manager-Taxation
</v>
      </c>
      <c r="J427" s="31"/>
      <c r="K427" s="31"/>
      <c r="L427" s="31"/>
      <c r="M427" s="31"/>
      <c r="N427" s="31"/>
    </row>
    <row r="428">
      <c r="A428" s="31">
        <f>IFERROR(__xludf.DUMMYFUNCTION("""COMPUTED_VALUE"""),497.0)</f>
        <v>497</v>
      </c>
      <c r="B428" s="31" t="str">
        <f>IFERROR(__xludf.DUMMYFUNCTION("""COMPUTED_VALUE"""),"Priyansh Barya")</f>
        <v>Priyansh Barya</v>
      </c>
      <c r="C428" s="31" t="str">
        <f>IFERROR(__xludf.DUMMYFUNCTION("""COMPUTED_VALUE"""),"priyanshbarya@gmail.com ")</f>
        <v>priyanshbarya@gmail.com </v>
      </c>
      <c r="D428" s="84">
        <f>IFERROR(__xludf.DUMMYFUNCTION("""COMPUTED_VALUE"""),7.024496742E9)</f>
        <v>7024496742</v>
      </c>
      <c r="E428" s="94">
        <f>IFERROR(__xludf.DUMMYFUNCTION("""COMPUTED_VALUE"""),45551.0)</f>
        <v>45551</v>
      </c>
      <c r="F428" s="31"/>
      <c r="G428" s="85"/>
      <c r="H428" s="31"/>
      <c r="I428" s="31" t="str">
        <f>IFERROR(__xludf.DUMMYFUNCTION("""COMPUTED_VALUE"""),"Software Engineer")</f>
        <v>Software Engineer</v>
      </c>
      <c r="J428" s="31"/>
      <c r="K428" s="31"/>
      <c r="L428" s="31"/>
      <c r="M428" s="31"/>
      <c r="N428" s="31"/>
    </row>
    <row r="429">
      <c r="A429" s="31">
        <f>IFERROR(__xludf.DUMMYFUNCTION("""COMPUTED_VALUE"""),498.0)</f>
        <v>498</v>
      </c>
      <c r="B429" s="31" t="str">
        <f>IFERROR(__xludf.DUMMYFUNCTION("""COMPUTED_VALUE"""),"Attar Kaur")</f>
        <v>Attar Kaur</v>
      </c>
      <c r="C429" s="31" t="str">
        <f>IFERROR(__xludf.DUMMYFUNCTION("""COMPUTED_VALUE"""),"attarkaur349@gmail.com")</f>
        <v>attarkaur349@gmail.com</v>
      </c>
      <c r="D429" s="84">
        <f>IFERROR(__xludf.DUMMYFUNCTION("""COMPUTED_VALUE"""),8.826282286E9)</f>
        <v>8826282286</v>
      </c>
      <c r="E429" s="94">
        <f>IFERROR(__xludf.DUMMYFUNCTION("""COMPUTED_VALUE"""),45553.0)</f>
        <v>45553</v>
      </c>
      <c r="F429" s="31"/>
      <c r="G429" s="85"/>
      <c r="H429" s="31"/>
      <c r="I429" s="31" t="str">
        <f>IFERROR(__xludf.DUMMYFUNCTION("""COMPUTED_VALUE"""),"Relationship Manager (Crm)")</f>
        <v>Relationship Manager (Crm)</v>
      </c>
      <c r="J429" s="31"/>
      <c r="K429" s="31"/>
      <c r="L429" s="31"/>
      <c r="M429" s="31"/>
      <c r="N429" s="31"/>
    </row>
    <row r="430">
      <c r="A430" s="31">
        <f>IFERROR(__xludf.DUMMYFUNCTION("""COMPUTED_VALUE"""),499.0)</f>
        <v>499</v>
      </c>
      <c r="B430" s="31" t="str">
        <f>IFERROR(__xludf.DUMMYFUNCTION("""COMPUTED_VALUE"""),"Aviral Rastogi")</f>
        <v>Aviral Rastogi</v>
      </c>
      <c r="C430" s="31" t="str">
        <f>IFERROR(__xludf.DUMMYFUNCTION("""COMPUTED_VALUE"""),"aviralrastogi213@gmail.com")</f>
        <v>aviralrastogi213@gmail.com</v>
      </c>
      <c r="D430" s="84">
        <f>IFERROR(__xludf.DUMMYFUNCTION("""COMPUTED_VALUE"""),7.991388397E9)</f>
        <v>7991388397</v>
      </c>
      <c r="E430" s="96">
        <f>IFERROR(__xludf.DUMMYFUNCTION("""COMPUTED_VALUE"""),45558.0)</f>
        <v>45558</v>
      </c>
      <c r="F430" s="31"/>
      <c r="G430" s="85"/>
      <c r="H430" s="31"/>
      <c r="I430" s="31" t="str">
        <f>IFERROR(__xludf.DUMMYFUNCTION("""COMPUTED_VALUE"""),"Motion Graphic Designer")</f>
        <v>Motion Graphic Designer</v>
      </c>
      <c r="J430" s="31"/>
      <c r="K430" s="31"/>
      <c r="L430" s="31"/>
      <c r="M430" s="31"/>
      <c r="N430" s="31"/>
    </row>
    <row r="431">
      <c r="A431" s="31">
        <f>IFERROR(__xludf.DUMMYFUNCTION("""COMPUTED_VALUE"""),500.0)</f>
        <v>500</v>
      </c>
      <c r="B431" s="31" t="str">
        <f>IFERROR(__xludf.DUMMYFUNCTION("""COMPUTED_VALUE"""),"Ranu Gupta ")</f>
        <v>Ranu Gupta </v>
      </c>
      <c r="C431" s="31" t="str">
        <f>IFERROR(__xludf.DUMMYFUNCTION("""COMPUTED_VALUE"""),"ranugpt26@gmail.com")</f>
        <v>ranugpt26@gmail.com</v>
      </c>
      <c r="D431" s="84">
        <f>IFERROR(__xludf.DUMMYFUNCTION("""COMPUTED_VALUE"""),8.800398661E9)</f>
        <v>8800398661</v>
      </c>
      <c r="E431" s="96">
        <f>IFERROR(__xludf.DUMMYFUNCTION("""COMPUTED_VALUE"""),45558.0)</f>
        <v>45558</v>
      </c>
      <c r="F431" s="31"/>
      <c r="G431" s="85"/>
      <c r="H431" s="31"/>
      <c r="I431" s="31" t="str">
        <f>IFERROR(__xludf.DUMMYFUNCTION("""COMPUTED_VALUE"""),"Senior Product Manager")</f>
        <v>Senior Product Manager</v>
      </c>
      <c r="J431" s="31"/>
      <c r="K431" s="31"/>
      <c r="L431" s="31"/>
      <c r="M431" s="31"/>
      <c r="N431" s="31"/>
    </row>
    <row r="432">
      <c r="A432" s="31">
        <f>IFERROR(__xludf.DUMMYFUNCTION("""COMPUTED_VALUE"""),501.0)</f>
        <v>501</v>
      </c>
      <c r="B432" s="31" t="str">
        <f>IFERROR(__xludf.DUMMYFUNCTION("""COMPUTED_VALUE"""),"Sakshi Makkar")</f>
        <v>Sakshi Makkar</v>
      </c>
      <c r="C432" s="31" t="str">
        <f>IFERROR(__xludf.DUMMYFUNCTION("""COMPUTED_VALUE"""),"saakshiemakkar@gmail.com")</f>
        <v>saakshiemakkar@gmail.com</v>
      </c>
      <c r="D432" s="84"/>
      <c r="E432" s="96">
        <f>IFERROR(__xludf.DUMMYFUNCTION("""COMPUTED_VALUE"""),45558.0)</f>
        <v>45558</v>
      </c>
      <c r="F432" s="31"/>
      <c r="G432" s="85"/>
      <c r="H432" s="31"/>
      <c r="I432" s="31" t="str">
        <f>IFERROR(__xludf.DUMMYFUNCTION("""COMPUTED_VALUE"""),"Associate Director- Product Management")</f>
        <v>Associate Director- Product Management</v>
      </c>
      <c r="J432" s="31"/>
      <c r="K432" s="31"/>
      <c r="L432" s="31"/>
      <c r="M432" s="31"/>
      <c r="N432" s="31"/>
    </row>
    <row r="433">
      <c r="A433" s="31">
        <f>IFERROR(__xludf.DUMMYFUNCTION("""COMPUTED_VALUE"""),502.0)</f>
        <v>502</v>
      </c>
      <c r="B433" s="31" t="str">
        <f>IFERROR(__xludf.DUMMYFUNCTION("""COMPUTED_VALUE"""),"Sunil Yadav")</f>
        <v>Sunil Yadav</v>
      </c>
      <c r="C433" s="31" t="str">
        <f>IFERROR(__xludf.DUMMYFUNCTION("""COMPUTED_VALUE"""),"yadav97sunil@gmail.com")</f>
        <v>yadav97sunil@gmail.com</v>
      </c>
      <c r="D433" s="84">
        <f>IFERROR(__xludf.DUMMYFUNCTION("""COMPUTED_VALUE"""),6.375357488E9)</f>
        <v>6375357488</v>
      </c>
      <c r="E433" s="96">
        <f>IFERROR(__xludf.DUMMYFUNCTION("""COMPUTED_VALUE"""),45558.0)</f>
        <v>45558</v>
      </c>
      <c r="F433" s="31"/>
      <c r="G433" s="85"/>
      <c r="H433" s="31"/>
      <c r="I433" s="31" t="str">
        <f>IFERROR(__xludf.DUMMYFUNCTION("""COMPUTED_VALUE"""),"Senior Software Engineer")</f>
        <v>Senior Software Engineer</v>
      </c>
      <c r="J433" s="31"/>
      <c r="K433" s="31"/>
      <c r="L433" s="31"/>
      <c r="M433" s="31"/>
      <c r="N433" s="31"/>
    </row>
    <row r="434">
      <c r="A434" s="31">
        <f>IFERROR(__xludf.DUMMYFUNCTION("""COMPUTED_VALUE"""),503.0)</f>
        <v>503</v>
      </c>
      <c r="B434" s="31" t="str">
        <f>IFERROR(__xludf.DUMMYFUNCTION("""COMPUTED_VALUE"""),"Aryan Gupta")</f>
        <v>Aryan Gupta</v>
      </c>
      <c r="C434" s="31" t="str">
        <f>IFERROR(__xludf.DUMMYFUNCTION("""COMPUTED_VALUE"""),"guptaaryan1010@gmail.com")</f>
        <v>guptaaryan1010@gmail.com</v>
      </c>
      <c r="D434" s="84">
        <f>IFERROR(__xludf.DUMMYFUNCTION("""COMPUTED_VALUE"""),8.877178428E9)</f>
        <v>8877178428</v>
      </c>
      <c r="E434" s="96">
        <f>IFERROR(__xludf.DUMMYFUNCTION("""COMPUTED_VALUE"""),45558.0)</f>
        <v>45558</v>
      </c>
      <c r="F434" s="31"/>
      <c r="G434" s="85"/>
      <c r="H434" s="31"/>
      <c r="I434" s="31" t="str">
        <f>IFERROR(__xludf.DUMMYFUNCTION("""COMPUTED_VALUE"""),"Machine Learning Trainee")</f>
        <v>Machine Learning Trainee</v>
      </c>
      <c r="J434" s="31"/>
      <c r="K434" s="31"/>
      <c r="L434" s="31"/>
      <c r="M434" s="31"/>
      <c r="N434" s="31"/>
    </row>
    <row r="435">
      <c r="A435" s="31">
        <f>IFERROR(__xludf.DUMMYFUNCTION("""COMPUTED_VALUE"""),504.0)</f>
        <v>504</v>
      </c>
      <c r="B435" s="31" t="str">
        <f>IFERROR(__xludf.DUMMYFUNCTION("""COMPUTED_VALUE"""),"Nidhi kumari")</f>
        <v>Nidhi kumari</v>
      </c>
      <c r="C435" s="31" t="str">
        <f>IFERROR(__xludf.DUMMYFUNCTION("""COMPUTED_VALUE"""),"nidhi.kumari@innovationm.com")</f>
        <v>nidhi.kumari@innovationm.com</v>
      </c>
      <c r="D435" s="84">
        <f>IFERROR(__xludf.DUMMYFUNCTION("""COMPUTED_VALUE"""),8.810641185E9)</f>
        <v>8810641185</v>
      </c>
      <c r="E435" s="96">
        <f>IFERROR(__xludf.DUMMYFUNCTION("""COMPUTED_VALUE"""),45558.0)</f>
        <v>45558</v>
      </c>
      <c r="F435" s="31"/>
      <c r="G435" s="85"/>
      <c r="H435" s="31"/>
      <c r="I435" s="31" t="str">
        <f>IFERROR(__xludf.DUMMYFUNCTION("""COMPUTED_VALUE"""),"Contractual - InnovationM")</f>
        <v>Contractual - InnovationM</v>
      </c>
      <c r="J435" s="31"/>
      <c r="K435" s="31"/>
      <c r="L435" s="31"/>
      <c r="M435" s="31"/>
      <c r="N435" s="31"/>
    </row>
    <row r="436">
      <c r="A436" s="31">
        <f>IFERROR(__xludf.DUMMYFUNCTION("""COMPUTED_VALUE"""),505.0)</f>
        <v>505</v>
      </c>
      <c r="B436" s="31" t="str">
        <f>IFERROR(__xludf.DUMMYFUNCTION("""COMPUTED_VALUE"""),"Biswajit Dey")</f>
        <v>Biswajit Dey</v>
      </c>
      <c r="C436" s="97" t="str">
        <f>IFERROR(__xludf.DUMMYFUNCTION("""COMPUTED_VALUE"""),"bdofficial703@gmail.com")</f>
        <v>bdofficial703@gmail.com</v>
      </c>
      <c r="D436" s="84">
        <f>IFERROR(__xludf.DUMMYFUNCTION("""COMPUTED_VALUE"""),9.920370131E9)</f>
        <v>9920370131</v>
      </c>
      <c r="E436" s="96">
        <f>IFERROR(__xludf.DUMMYFUNCTION("""COMPUTED_VALUE"""),45558.0)</f>
        <v>45558</v>
      </c>
      <c r="F436" s="31"/>
      <c r="G436" s="85" t="str">
        <f>IFERROR(__xludf.DUMMYFUNCTION("""COMPUTED_VALUE"""),"191/2 Jakkasandra, 1st main. Opposite Richard bright school . Bangalore, Karnataka 560034")</f>
        <v>191/2 Jakkasandra, 1st main. Opposite Richard bright school . Bangalore, Karnataka 560034</v>
      </c>
      <c r="H436" s="31"/>
      <c r="I436" s="31" t="str">
        <f>IFERROR(__xludf.DUMMYFUNCTION("""COMPUTED_VALUE"""),"Community Growth Manager")</f>
        <v>Community Growth Manager</v>
      </c>
      <c r="J436" s="31"/>
      <c r="K436" s="31"/>
      <c r="L436" s="31"/>
      <c r="M436" s="31"/>
      <c r="N436" s="31"/>
    </row>
    <row r="437">
      <c r="A437" s="31">
        <f>IFERROR(__xludf.DUMMYFUNCTION("""COMPUTED_VALUE"""),506.0)</f>
        <v>506</v>
      </c>
      <c r="B437" s="31" t="str">
        <f>IFERROR(__xludf.DUMMYFUNCTION("""COMPUTED_VALUE"""),"Shridhar Sharma")</f>
        <v>Shridhar Sharma</v>
      </c>
      <c r="C437" s="31" t="str">
        <f>IFERROR(__xludf.DUMMYFUNCTION("""COMPUTED_VALUE"""),"itsshridharsharma@gmail.com")</f>
        <v>itsshridharsharma@gmail.com</v>
      </c>
      <c r="D437" s="84">
        <f>IFERROR(__xludf.DUMMYFUNCTION("""COMPUTED_VALUE"""),7.045800526E9)</f>
        <v>7045800526</v>
      </c>
      <c r="E437" s="98">
        <f>IFERROR(__xludf.DUMMYFUNCTION("""COMPUTED_VALUE"""),45559.0)</f>
        <v>45559</v>
      </c>
      <c r="F437" s="31"/>
      <c r="G437" s="85"/>
      <c r="H437" s="31"/>
      <c r="I437" s="31" t="str">
        <f>IFERROR(__xludf.DUMMYFUNCTION("""COMPUTED_VALUE"""),"Senior Data Analyst")</f>
        <v>Senior Data Analyst</v>
      </c>
      <c r="J437" s="31"/>
      <c r="K437" s="31"/>
      <c r="L437" s="31"/>
      <c r="M437" s="31"/>
      <c r="N437" s="31"/>
    </row>
    <row r="438">
      <c r="A438" s="31">
        <f>IFERROR(__xludf.DUMMYFUNCTION("""COMPUTED_VALUE"""),507.0)</f>
        <v>507</v>
      </c>
      <c r="B438" s="31" t="str">
        <f>IFERROR(__xludf.DUMMYFUNCTION("""COMPUTED_VALUE"""),"Vipin Kumar")</f>
        <v>Vipin Kumar</v>
      </c>
      <c r="C438" s="31" t="str">
        <f>IFERROR(__xludf.DUMMYFUNCTION("""COMPUTED_VALUE"""),"vk169527@gmail.com")</f>
        <v>vk169527@gmail.com</v>
      </c>
      <c r="D438" s="84">
        <f>IFERROR(__xludf.DUMMYFUNCTION("""COMPUTED_VALUE"""),8.750877322E9)</f>
        <v>8750877322</v>
      </c>
      <c r="E438" s="98">
        <f>IFERROR(__xludf.DUMMYFUNCTION("""COMPUTED_VALUE"""),45560.0)</f>
        <v>45560</v>
      </c>
      <c r="F438" s="31"/>
      <c r="G438" s="85"/>
      <c r="H438" s="31"/>
      <c r="I438" s="31" t="str">
        <f>IFERROR(__xludf.DUMMYFUNCTION("""COMPUTED_VALUE"""),"Associate-Talent Acquisition")</f>
        <v>Associate-Talent Acquisition</v>
      </c>
      <c r="J438" s="31"/>
      <c r="K438" s="31"/>
      <c r="L438" s="31"/>
      <c r="M438" s="31"/>
      <c r="N438" s="31"/>
    </row>
    <row r="439">
      <c r="A439" s="31">
        <f>IFERROR(__xludf.DUMMYFUNCTION("""COMPUTED_VALUE"""),508.0)</f>
        <v>508</v>
      </c>
      <c r="B439" s="31" t="str">
        <f>IFERROR(__xludf.DUMMYFUNCTION("""COMPUTED_VALUE"""),"Aman Patni")</f>
        <v>Aman Patni</v>
      </c>
      <c r="C439" s="31" t="str">
        <f>IFERROR(__xludf.DUMMYFUNCTION("""COMPUTED_VALUE"""),"amanpatni004@gmail.com ")</f>
        <v>amanpatni004@gmail.com </v>
      </c>
      <c r="D439" s="84">
        <f>IFERROR(__xludf.DUMMYFUNCTION("""COMPUTED_VALUE"""),9.811200851E9)</f>
        <v>9811200851</v>
      </c>
      <c r="E439" s="98">
        <f>IFERROR(__xludf.DUMMYFUNCTION("""COMPUTED_VALUE"""),45560.0)</f>
        <v>45560</v>
      </c>
      <c r="F439" s="31"/>
      <c r="G439" s="85"/>
      <c r="H439" s="31"/>
      <c r="I439" s="31" t="str">
        <f>IFERROR(__xludf.DUMMYFUNCTION("""COMPUTED_VALUE"""),"Manager-Finance")</f>
        <v>Manager-Finance</v>
      </c>
      <c r="J439" s="31"/>
      <c r="K439" s="31"/>
      <c r="L439" s="31"/>
      <c r="M439" s="31"/>
      <c r="N439" s="31"/>
    </row>
    <row r="440">
      <c r="A440" s="31">
        <f>IFERROR(__xludf.DUMMYFUNCTION("""COMPUTED_VALUE"""),509.0)</f>
        <v>509</v>
      </c>
      <c r="B440" s="31" t="str">
        <f>IFERROR(__xludf.DUMMYFUNCTION("""COMPUTED_VALUE"""),"Sourabh Kumar")</f>
        <v>Sourabh Kumar</v>
      </c>
      <c r="C440" s="31" t="str">
        <f>IFERROR(__xludf.DUMMYFUNCTION("""COMPUTED_VALUE"""),"sk462209@gmail.com")</f>
        <v>sk462209@gmail.com</v>
      </c>
      <c r="D440" s="84">
        <f>IFERROR(__xludf.DUMMYFUNCTION("""COMPUTED_VALUE"""),7.905173066E9)</f>
        <v>7905173066</v>
      </c>
      <c r="E440" s="98">
        <f>IFERROR(__xludf.DUMMYFUNCTION("""COMPUTED_VALUE"""),45560.0)</f>
        <v>45560</v>
      </c>
      <c r="F440" s="31"/>
      <c r="G440" s="85"/>
      <c r="H440" s="31"/>
      <c r="I440" s="31" t="str">
        <f>IFERROR(__xludf.DUMMYFUNCTION("""COMPUTED_VALUE"""),"Software Engineer")</f>
        <v>Software Engineer</v>
      </c>
      <c r="J440" s="31"/>
      <c r="K440" s="31"/>
      <c r="L440" s="31"/>
      <c r="M440" s="31"/>
      <c r="N440" s="31"/>
    </row>
    <row r="441">
      <c r="A441" s="31">
        <f>IFERROR(__xludf.DUMMYFUNCTION("""COMPUTED_VALUE"""),510.0)</f>
        <v>510</v>
      </c>
      <c r="B441" s="31" t="str">
        <f>IFERROR(__xludf.DUMMYFUNCTION("""COMPUTED_VALUE"""),"Siddharth Saurav")</f>
        <v>Siddharth Saurav</v>
      </c>
      <c r="C441" s="31" t="str">
        <f>IFERROR(__xludf.DUMMYFUNCTION("""COMPUTED_VALUE"""),"siddharthsaurav15@gmail.com |")</f>
        <v>siddharthsaurav15@gmail.com |</v>
      </c>
      <c r="D441" s="84">
        <f>IFERROR(__xludf.DUMMYFUNCTION("""COMPUTED_VALUE"""),7.90334425E9)</f>
        <v>7903344250</v>
      </c>
      <c r="E441" s="98">
        <f>IFERROR(__xludf.DUMMYFUNCTION("""COMPUTED_VALUE"""),45568.0)</f>
        <v>45568</v>
      </c>
      <c r="F441" s="31"/>
      <c r="G441" s="85"/>
      <c r="H441" s="31"/>
      <c r="I441" s="31" t="str">
        <f>IFERROR(__xludf.DUMMYFUNCTION("""COMPUTED_VALUE"""),"Software Engineer")</f>
        <v>Software Engineer</v>
      </c>
      <c r="J441" s="31"/>
      <c r="K441" s="31"/>
      <c r="L441" s="31"/>
      <c r="M441" s="31"/>
      <c r="N441" s="31"/>
    </row>
    <row r="442">
      <c r="A442" s="31">
        <f>IFERROR(__xludf.DUMMYFUNCTION("""COMPUTED_VALUE"""),511.0)</f>
        <v>511</v>
      </c>
      <c r="B442" s="31" t="str">
        <f>IFERROR(__xludf.DUMMYFUNCTION("""COMPUTED_VALUE"""),"Ravi Kumar")</f>
        <v>Ravi Kumar</v>
      </c>
      <c r="C442" s="31" t="str">
        <f>IFERROR(__xludf.DUMMYFUNCTION("""COMPUTED_VALUE"""),"ravikumar.work.new@gmail.com")</f>
        <v>ravikumar.work.new@gmail.com</v>
      </c>
      <c r="D442" s="84">
        <f>IFERROR(__xludf.DUMMYFUNCTION("""COMPUTED_VALUE"""),9.798061393E9)</f>
        <v>9798061393</v>
      </c>
      <c r="E442" s="98">
        <f>IFERROR(__xludf.DUMMYFUNCTION("""COMPUTED_VALUE"""),45568.0)</f>
        <v>45568</v>
      </c>
      <c r="F442" s="31"/>
      <c r="G442" s="85"/>
      <c r="H442" s="31"/>
      <c r="I442" s="31" t="str">
        <f>IFERROR(__xludf.DUMMYFUNCTION("""COMPUTED_VALUE"""),"Software Engineer")</f>
        <v>Software Engineer</v>
      </c>
      <c r="J442" s="31"/>
      <c r="K442" s="31"/>
      <c r="L442" s="31"/>
      <c r="M442" s="31"/>
      <c r="N442" s="31"/>
    </row>
    <row r="443">
      <c r="A443" s="31">
        <f>IFERROR(__xludf.DUMMYFUNCTION("""COMPUTED_VALUE"""),512.0)</f>
        <v>512</v>
      </c>
      <c r="B443" s="31" t="str">
        <f>IFERROR(__xludf.DUMMYFUNCTION("""COMPUTED_VALUE"""),"Saravana Kumar")</f>
        <v>Saravana Kumar</v>
      </c>
      <c r="C443" s="31" t="str">
        <f>IFERROR(__xludf.DUMMYFUNCTION("""COMPUTED_VALUE"""),"saravanakumarvenugopal@outlook.com")</f>
        <v>saravanakumarvenugopal@outlook.com</v>
      </c>
      <c r="D443" s="84">
        <f>IFERROR(__xludf.DUMMYFUNCTION("""COMPUTED_VALUE"""),6.383872742E9)</f>
        <v>6383872742</v>
      </c>
      <c r="E443" s="98">
        <f>IFERROR(__xludf.DUMMYFUNCTION("""COMPUTED_VALUE"""),45568.0)</f>
        <v>45568</v>
      </c>
      <c r="F443" s="31"/>
      <c r="G443" s="85"/>
      <c r="H443" s="31"/>
      <c r="I443" s="31" t="str">
        <f>IFERROR(__xludf.DUMMYFUNCTION("""COMPUTED_VALUE"""),"Associate Product Manager")</f>
        <v>Associate Product Manager</v>
      </c>
      <c r="J443" s="31"/>
      <c r="K443" s="31"/>
      <c r="L443" s="31"/>
      <c r="M443" s="31"/>
      <c r="N443" s="31"/>
    </row>
    <row r="444">
      <c r="A444" s="31">
        <f>IFERROR(__xludf.DUMMYFUNCTION("""COMPUTED_VALUE"""),513.0)</f>
        <v>513</v>
      </c>
      <c r="B444" s="31" t="str">
        <f>IFERROR(__xludf.DUMMYFUNCTION("""COMPUTED_VALUE"""),"Twinkle Bhati")</f>
        <v>Twinkle Bhati</v>
      </c>
      <c r="C444" s="31" t="str">
        <f>IFERROR(__xludf.DUMMYFUNCTION("""COMPUTED_VALUE"""),"twinklebbhati@gmail.com
")</f>
        <v>twinklebbhati@gmail.com
</v>
      </c>
      <c r="D444" s="84">
        <f>IFERROR(__xludf.DUMMYFUNCTION("""COMPUTED_VALUE"""),7.7409448E9)</f>
        <v>7740944800</v>
      </c>
      <c r="E444" s="98">
        <f>IFERROR(__xludf.DUMMYFUNCTION("""COMPUTED_VALUE"""),45572.0)</f>
        <v>45572</v>
      </c>
      <c r="F444" s="31"/>
      <c r="G444" s="85"/>
      <c r="H444" s="31"/>
      <c r="I444" s="31" t="str">
        <f>IFERROR(__xludf.DUMMYFUNCTION("""COMPUTED_VALUE"""),"Analyst-Finance")</f>
        <v>Analyst-Finance</v>
      </c>
      <c r="J444" s="31"/>
      <c r="K444" s="31"/>
      <c r="L444" s="31"/>
      <c r="M444" s="31"/>
      <c r="N444" s="31"/>
    </row>
    <row r="445">
      <c r="A445" s="31">
        <f>IFERROR(__xludf.DUMMYFUNCTION("""COMPUTED_VALUE"""),514.0)</f>
        <v>514</v>
      </c>
      <c r="B445" s="31" t="str">
        <f>IFERROR(__xludf.DUMMYFUNCTION("""COMPUTED_VALUE"""),"Arshad iqbal")</f>
        <v>Arshad iqbal</v>
      </c>
      <c r="C445" s="31" t="str">
        <f>IFERROR(__xludf.DUMMYFUNCTION("""COMPUTED_VALUE"""),"arshadiqbal129@gmail.com")</f>
        <v>arshadiqbal129@gmail.com</v>
      </c>
      <c r="D445" s="84">
        <f>IFERROR(__xludf.DUMMYFUNCTION("""COMPUTED_VALUE"""),9.00354813E9)</f>
        <v>9003548130</v>
      </c>
      <c r="E445" s="98">
        <f>IFERROR(__xludf.DUMMYFUNCTION("""COMPUTED_VALUE"""),45572.0)</f>
        <v>45572</v>
      </c>
      <c r="F445" s="31"/>
      <c r="G445" s="85"/>
      <c r="H445" s="31"/>
      <c r="I445" s="31" t="str">
        <f>IFERROR(__xludf.DUMMYFUNCTION("""COMPUTED_VALUE"""),"Associate- Digital Marketing")</f>
        <v>Associate- Digital Marketing</v>
      </c>
      <c r="J445" s="31"/>
      <c r="K445" s="31"/>
      <c r="L445" s="31"/>
      <c r="M445" s="31"/>
      <c r="N445" s="31"/>
    </row>
    <row r="446">
      <c r="A446" s="31">
        <f>IFERROR(__xludf.DUMMYFUNCTION("""COMPUTED_VALUE"""),515.0)</f>
        <v>515</v>
      </c>
      <c r="B446" s="31" t="str">
        <f>IFERROR(__xludf.DUMMYFUNCTION("""COMPUTED_VALUE"""),"Ashwani Kumar Raja")</f>
        <v>Ashwani Kumar Raja</v>
      </c>
      <c r="C446" s="31" t="str">
        <f>IFERROR(__xludf.DUMMYFUNCTION("""COMPUTED_VALUE"""),"ashwani.ic19@nsut.ac.in")</f>
        <v>ashwani.ic19@nsut.ac.in</v>
      </c>
      <c r="D446" s="84">
        <f>IFERROR(__xludf.DUMMYFUNCTION("""COMPUTED_VALUE"""),7.982233588E9)</f>
        <v>7982233588</v>
      </c>
      <c r="E446" s="98">
        <f>IFERROR(__xludf.DUMMYFUNCTION("""COMPUTED_VALUE"""),45572.0)</f>
        <v>45572</v>
      </c>
      <c r="F446" s="31"/>
      <c r="G446" s="85"/>
      <c r="H446" s="31"/>
      <c r="I446" s="31" t="str">
        <f>IFERROR(__xludf.DUMMYFUNCTION("""COMPUTED_VALUE"""),"DevOps Trainee")</f>
        <v>DevOps Trainee</v>
      </c>
      <c r="J446" s="31"/>
      <c r="K446" s="31"/>
      <c r="L446" s="31"/>
      <c r="M446" s="31"/>
      <c r="N446" s="31"/>
    </row>
    <row r="447">
      <c r="A447" s="31">
        <f>IFERROR(__xludf.DUMMYFUNCTION("""COMPUTED_VALUE"""),516.0)</f>
        <v>516</v>
      </c>
      <c r="B447" s="31" t="str">
        <f>IFERROR(__xludf.DUMMYFUNCTION("""COMPUTED_VALUE"""),"Yash Anand")</f>
        <v>Yash Anand</v>
      </c>
      <c r="C447" s="31" t="str">
        <f>IFERROR(__xludf.DUMMYFUNCTION("""COMPUTED_VALUE"""),"  yashanand1000@gmail.com")</f>
        <v>  yashanand1000@gmail.com</v>
      </c>
      <c r="D447" s="84">
        <f>IFERROR(__xludf.DUMMYFUNCTION("""COMPUTED_VALUE"""),8.210602123E9)</f>
        <v>8210602123</v>
      </c>
      <c r="E447" s="98">
        <f>IFERROR(__xludf.DUMMYFUNCTION("""COMPUTED_VALUE"""),45574.0)</f>
        <v>45574</v>
      </c>
      <c r="F447" s="31"/>
      <c r="G447" s="85"/>
      <c r="H447" s="31"/>
      <c r="I447" s="31" t="str">
        <f>IFERROR(__xludf.DUMMYFUNCTION("""COMPUTED_VALUE"""),"Full Stack Trainee")</f>
        <v>Full Stack Trainee</v>
      </c>
      <c r="J447" s="31"/>
      <c r="K447" s="31"/>
      <c r="L447" s="31"/>
      <c r="M447" s="31"/>
      <c r="N447" s="31"/>
    </row>
    <row r="448">
      <c r="A448" s="31">
        <f>IFERROR(__xludf.DUMMYFUNCTION("""COMPUTED_VALUE"""),517.0)</f>
        <v>517</v>
      </c>
      <c r="B448" s="31" t="str">
        <f>IFERROR(__xludf.DUMMYFUNCTION("""COMPUTED_VALUE"""),"Simran Mukhia")</f>
        <v>Simran Mukhia</v>
      </c>
      <c r="C448" s="31" t="str">
        <f>IFERROR(__xludf.DUMMYFUNCTION("""COMPUTED_VALUE"""),"	simranmukhia20@gmail.com")</f>
        <v>	simranmukhia20@gmail.com</v>
      </c>
      <c r="D448" s="84">
        <f>IFERROR(__xludf.DUMMYFUNCTION("""COMPUTED_VALUE"""),8.130535376E9)</f>
        <v>8130535376</v>
      </c>
      <c r="E448" s="98">
        <f>IFERROR(__xludf.DUMMYFUNCTION("""COMPUTED_VALUE"""),45574.0)</f>
        <v>45574</v>
      </c>
      <c r="F448" s="31"/>
      <c r="G448" s="85"/>
      <c r="H448" s="31"/>
      <c r="I448" s="31" t="str">
        <f>IFERROR(__xludf.DUMMYFUNCTION("""COMPUTED_VALUE"""),"Relationship Manager - CRM")</f>
        <v>Relationship Manager - CRM</v>
      </c>
      <c r="J448" s="31"/>
      <c r="K448" s="31"/>
      <c r="L448" s="31"/>
      <c r="M448" s="31"/>
      <c r="N448" s="31"/>
    </row>
    <row r="449">
      <c r="A449" s="31">
        <f>IFERROR(__xludf.DUMMYFUNCTION("""COMPUTED_VALUE"""),518.0)</f>
        <v>518</v>
      </c>
      <c r="B449" s="31" t="str">
        <f>IFERROR(__xludf.DUMMYFUNCTION("""COMPUTED_VALUE"""),"Shambhavi Khare")</f>
        <v>Shambhavi Khare</v>
      </c>
      <c r="C449" s="31" t="str">
        <f>IFERROR(__xludf.DUMMYFUNCTION("""COMPUTED_VALUE"""),"shambhavikhare.mahak@gmail.com")</f>
        <v>shambhavikhare.mahak@gmail.com</v>
      </c>
      <c r="D449" s="84">
        <f>IFERROR(__xludf.DUMMYFUNCTION("""COMPUTED_VALUE"""),9.625035201E9)</f>
        <v>9625035201</v>
      </c>
      <c r="E449" s="98">
        <f>IFERROR(__xludf.DUMMYFUNCTION("""COMPUTED_VALUE"""),45581.0)</f>
        <v>45581</v>
      </c>
      <c r="F449" s="31"/>
      <c r="G449" s="85"/>
      <c r="H449" s="31"/>
      <c r="I449" s="31" t="str">
        <f>IFERROR(__xludf.DUMMYFUNCTION("""COMPUTED_VALUE"""),"Software Engineer")</f>
        <v>Software Engineer</v>
      </c>
      <c r="J449" s="31"/>
      <c r="K449" s="31"/>
      <c r="L449" s="31"/>
      <c r="M449" s="31"/>
      <c r="N449" s="31"/>
    </row>
    <row r="450">
      <c r="A450" s="31">
        <f>IFERROR(__xludf.DUMMYFUNCTION("""COMPUTED_VALUE"""),519.0)</f>
        <v>519</v>
      </c>
      <c r="B450" s="31" t="str">
        <f>IFERROR(__xludf.DUMMYFUNCTION("""COMPUTED_VALUE"""),"Shivam Sharma")</f>
        <v>Shivam Sharma</v>
      </c>
      <c r="C450" s="31" t="str">
        <f>IFERROR(__xludf.DUMMYFUNCTION("""COMPUTED_VALUE""")," shivamrvitcs@gmail.com")</f>
        <v> shivamrvitcs@gmail.com</v>
      </c>
      <c r="D450" s="84">
        <f>IFERROR(__xludf.DUMMYFUNCTION("""COMPUTED_VALUE"""),8.979486153E9)</f>
        <v>8979486153</v>
      </c>
      <c r="E450" s="98">
        <f>IFERROR(__xludf.DUMMYFUNCTION("""COMPUTED_VALUE"""),45581.0)</f>
        <v>45581</v>
      </c>
      <c r="F450" s="31"/>
      <c r="G450" s="85"/>
      <c r="H450" s="31"/>
      <c r="I450" s="31" t="str">
        <f>IFERROR(__xludf.DUMMYFUNCTION("""COMPUTED_VALUE"""),"Technical Lead")</f>
        <v>Technical Lead</v>
      </c>
      <c r="J450" s="31"/>
      <c r="K450" s="31"/>
      <c r="L450" s="31"/>
      <c r="M450" s="31"/>
      <c r="N450" s="31"/>
    </row>
    <row r="451">
      <c r="A451" s="31">
        <f>IFERROR(__xludf.DUMMYFUNCTION("""COMPUTED_VALUE"""),520.0)</f>
        <v>520</v>
      </c>
      <c r="B451" s="31" t="str">
        <f>IFERROR(__xludf.DUMMYFUNCTION("""COMPUTED_VALUE"""),"G.T. Thomas Phillippe")</f>
        <v>G.T. Thomas Phillippe</v>
      </c>
      <c r="C451" s="31" t="str">
        <f>IFERROR(__xludf.DUMMYFUNCTION("""COMPUTED_VALUE"""),"thomas.phillippe@gmail.com")</f>
        <v>thomas.phillippe@gmail.com</v>
      </c>
      <c r="D451" s="84">
        <f>IFERROR(__xludf.DUMMYFUNCTION("""COMPUTED_VALUE"""),9.310103192E9)</f>
        <v>9310103192</v>
      </c>
      <c r="E451" s="98">
        <f>IFERROR(__xludf.DUMMYFUNCTION("""COMPUTED_VALUE"""),45580.0)</f>
        <v>45580</v>
      </c>
      <c r="F451" s="31"/>
      <c r="G451" s="85"/>
      <c r="H451" s="31"/>
      <c r="I451" s="31" t="str">
        <f>IFERROR(__xludf.DUMMYFUNCTION("""COMPUTED_VALUE"""),"General Counsel (CXO level)")</f>
        <v>General Counsel (CXO level)</v>
      </c>
      <c r="J451" s="31"/>
      <c r="K451" s="31"/>
      <c r="L451" s="31"/>
      <c r="M451" s="31"/>
      <c r="N451" s="31"/>
    </row>
    <row r="452">
      <c r="A452" s="31">
        <f>IFERROR(__xludf.DUMMYFUNCTION("""COMPUTED_VALUE"""),521.0)</f>
        <v>521</v>
      </c>
      <c r="B452" s="31" t="str">
        <f>IFERROR(__xludf.DUMMYFUNCTION("""COMPUTED_VALUE"""),"Bishan Bhadra")</f>
        <v>Bishan Bhadra</v>
      </c>
      <c r="C452" s="31" t="str">
        <f>IFERROR(__xludf.DUMMYFUNCTION("""COMPUTED_VALUE"""),"bishanbhadra@gmail.com")</f>
        <v>bishanbhadra@gmail.com</v>
      </c>
      <c r="D452" s="84" t="str">
        <f>IFERROR(__xludf.DUMMYFUNCTION("""COMPUTED_VALUE"""),"89611 01770")</f>
        <v>89611 01770</v>
      </c>
      <c r="E452" s="98">
        <f>IFERROR(__xludf.DUMMYFUNCTION("""COMPUTED_VALUE"""),45583.0)</f>
        <v>45583</v>
      </c>
      <c r="F452" s="31"/>
      <c r="G452" s="85"/>
      <c r="H452" s="31"/>
      <c r="I452" s="31" t="str">
        <f>IFERROR(__xludf.DUMMYFUNCTION("""COMPUTED_VALUE"""),"Manager- Data Analytics")</f>
        <v>Manager- Data Analytics</v>
      </c>
      <c r="J452" s="31"/>
      <c r="K452" s="31"/>
      <c r="L452" s="31"/>
      <c r="M452" s="31"/>
      <c r="N452" s="31"/>
    </row>
    <row r="453">
      <c r="A453" s="31">
        <f>IFERROR(__xludf.DUMMYFUNCTION("""COMPUTED_VALUE"""),522.0)</f>
        <v>522</v>
      </c>
      <c r="B453" s="31" t="str">
        <f>IFERROR(__xludf.DUMMYFUNCTION("""COMPUTED_VALUE"""),"Vivek Walecha")</f>
        <v>Vivek Walecha</v>
      </c>
      <c r="C453" s="31" t="str">
        <f>IFERROR(__xludf.DUMMYFUNCTION("""COMPUTED_VALUE"""),"vivekkumarwalecha@gmail.com")</f>
        <v>vivekkumarwalecha@gmail.com</v>
      </c>
      <c r="D453" s="84">
        <f>IFERROR(__xludf.DUMMYFUNCTION("""COMPUTED_VALUE"""),9.810201859E9)</f>
        <v>9810201859</v>
      </c>
      <c r="E453" s="98">
        <f>IFERROR(__xludf.DUMMYFUNCTION("""COMPUTED_VALUE"""),45583.0)</f>
        <v>45583</v>
      </c>
      <c r="F453" s="31"/>
      <c r="G453" s="85"/>
      <c r="H453" s="31"/>
      <c r="I453" s="31" t="str">
        <f>IFERROR(__xludf.DUMMYFUNCTION("""COMPUTED_VALUE"""),"Engineering Manager")</f>
        <v>Engineering Manager</v>
      </c>
      <c r="J453" s="31"/>
      <c r="K453" s="31"/>
      <c r="L453" s="31"/>
      <c r="M453" s="31"/>
      <c r="N453" s="31"/>
    </row>
    <row r="454">
      <c r="A454" s="31">
        <f>IFERROR(__xludf.DUMMYFUNCTION("""COMPUTED_VALUE"""),523.0)</f>
        <v>523</v>
      </c>
      <c r="B454" s="31" t="str">
        <f>IFERROR(__xludf.DUMMYFUNCTION("""COMPUTED_VALUE"""),"Sanjeev Bhardwaj")</f>
        <v>Sanjeev Bhardwaj</v>
      </c>
      <c r="C454" s="31" t="str">
        <f>IFERROR(__xludf.DUMMYFUNCTION("""COMPUTED_VALUE"""),"sanjeevbhardwaj022@gmail.com")</f>
        <v>sanjeevbhardwaj022@gmail.com</v>
      </c>
      <c r="D454" s="84">
        <f>IFERROR(__xludf.DUMMYFUNCTION("""COMPUTED_VALUE"""),9.81118899E9)</f>
        <v>9811188990</v>
      </c>
      <c r="E454" s="98">
        <f>IFERROR(__xludf.DUMMYFUNCTION("""COMPUTED_VALUE"""),45586.0)</f>
        <v>45586</v>
      </c>
      <c r="F454" s="31"/>
      <c r="G454" s="85"/>
      <c r="H454" s="31"/>
      <c r="I454" s="31" t="str">
        <f>IFERROR(__xludf.DUMMYFUNCTION("""COMPUTED_VALUE"""),"Relationship Manager")</f>
        <v>Relationship Manager</v>
      </c>
      <c r="J454" s="31"/>
      <c r="K454" s="31"/>
      <c r="L454" s="31"/>
      <c r="M454" s="31"/>
      <c r="N454" s="31"/>
    </row>
    <row r="455">
      <c r="A455" s="31">
        <f>IFERROR(__xludf.DUMMYFUNCTION("""COMPUTED_VALUE"""),524.0)</f>
        <v>524</v>
      </c>
      <c r="B455" s="31" t="str">
        <f>IFERROR(__xludf.DUMMYFUNCTION("""COMPUTED_VALUE"""),"Divang Singh")</f>
        <v>Divang Singh</v>
      </c>
      <c r="C455" s="31" t="str">
        <f>IFERROR(__xludf.DUMMYFUNCTION("""COMPUTED_VALUE"""),"divangsingh2002@gmail.com")</f>
        <v>divangsingh2002@gmail.com</v>
      </c>
      <c r="D455" s="84">
        <f>IFERROR(__xludf.DUMMYFUNCTION("""COMPUTED_VALUE"""),8.28747296E9)</f>
        <v>8287472960</v>
      </c>
      <c r="E455" s="98">
        <f>IFERROR(__xludf.DUMMYFUNCTION("""COMPUTED_VALUE"""),45586.0)</f>
        <v>45586</v>
      </c>
      <c r="F455" s="31"/>
      <c r="G455" s="85"/>
      <c r="H455" s="31"/>
      <c r="I455" s="31" t="str">
        <f>IFERROR(__xludf.DUMMYFUNCTION("""COMPUTED_VALUE"""),"Relationship Manager")</f>
        <v>Relationship Manager</v>
      </c>
      <c r="J455" s="31"/>
      <c r="K455" s="31"/>
      <c r="L455" s="31"/>
      <c r="M455" s="31"/>
      <c r="N455" s="31"/>
    </row>
    <row r="456">
      <c r="A456" s="31">
        <f>IFERROR(__xludf.DUMMYFUNCTION("""COMPUTED_VALUE"""),525.0)</f>
        <v>525</v>
      </c>
      <c r="B456" s="31" t="str">
        <f>IFERROR(__xludf.DUMMYFUNCTION("""COMPUTED_VALUE"""),"Yash Lamba")</f>
        <v>Yash Lamba</v>
      </c>
      <c r="C456" s="31" t="str">
        <f>IFERROR(__xludf.DUMMYFUNCTION("""COMPUTED_VALUE"""),"adv.yash.lamba@gmail.com")</f>
        <v>adv.yash.lamba@gmail.com</v>
      </c>
      <c r="D456" s="84">
        <f>IFERROR(__xludf.DUMMYFUNCTION("""COMPUTED_VALUE"""),8.383040401E9)</f>
        <v>8383040401</v>
      </c>
      <c r="E456" s="98">
        <f>IFERROR(__xludf.DUMMYFUNCTION("""COMPUTED_VALUE"""),45587.0)</f>
        <v>45587</v>
      </c>
      <c r="F456" s="31"/>
      <c r="G456" s="85"/>
      <c r="H456" s="31"/>
      <c r="I456" s="31" t="str">
        <f>IFERROR(__xludf.DUMMYFUNCTION("""COMPUTED_VALUE"""),"Senior Executive-HR Operation")</f>
        <v>Senior Executive-HR Operation</v>
      </c>
      <c r="J456" s="31"/>
      <c r="K456" s="31"/>
      <c r="L456" s="31"/>
      <c r="M456" s="31"/>
      <c r="N456" s="31"/>
    </row>
    <row r="457">
      <c r="A457" s="31">
        <f>IFERROR(__xludf.DUMMYFUNCTION("""COMPUTED_VALUE"""),526.0)</f>
        <v>526</v>
      </c>
      <c r="B457" s="31" t="str">
        <f>IFERROR(__xludf.DUMMYFUNCTION("""COMPUTED_VALUE"""),"Suvam Debata ")</f>
        <v>Suvam Debata </v>
      </c>
      <c r="C457" s="31" t="str">
        <f>IFERROR(__xludf.DUMMYFUNCTION("""COMPUTED_VALUE"""),"suvam01@gmail.com")</f>
        <v>suvam01@gmail.com</v>
      </c>
      <c r="D457" s="84">
        <f>IFERROR(__xludf.DUMMYFUNCTION("""COMPUTED_VALUE"""),9.040127075E9)</f>
        <v>9040127075</v>
      </c>
      <c r="E457" s="98">
        <f>IFERROR(__xludf.DUMMYFUNCTION("""COMPUTED_VALUE"""),45587.0)</f>
        <v>45587</v>
      </c>
      <c r="F457" s="31"/>
      <c r="G457" s="85"/>
      <c r="H457" s="31"/>
      <c r="I457" s="31" t="str">
        <f>IFERROR(__xludf.DUMMYFUNCTION("""COMPUTED_VALUE"""),"Contractual - Test Yantra")</f>
        <v>Contractual - Test Yantra</v>
      </c>
      <c r="J457" s="31"/>
      <c r="K457" s="31"/>
      <c r="L457" s="31"/>
      <c r="M457" s="31"/>
      <c r="N457" s="31"/>
    </row>
    <row r="458">
      <c r="A458" s="31">
        <f>IFERROR(__xludf.DUMMYFUNCTION("""COMPUTED_VALUE"""),527.0)</f>
        <v>527</v>
      </c>
      <c r="B458" s="31" t="str">
        <f>IFERROR(__xludf.DUMMYFUNCTION("""COMPUTED_VALUE"""),"Saumya Ranjan Behera")</f>
        <v>Saumya Ranjan Behera</v>
      </c>
      <c r="C458" s="31" t="str">
        <f>IFERROR(__xludf.DUMMYFUNCTION("""COMPUTED_VALUE"""),"saumya06july@gmail.com")</f>
        <v>saumya06july@gmail.com</v>
      </c>
      <c r="D458" s="84">
        <f>IFERROR(__xludf.DUMMYFUNCTION("""COMPUTED_VALUE"""),8.20891427E9)</f>
        <v>8208914270</v>
      </c>
      <c r="E458" s="98">
        <f>IFERROR(__xludf.DUMMYFUNCTION("""COMPUTED_VALUE"""),45587.0)</f>
        <v>45587</v>
      </c>
      <c r="F458" s="31"/>
      <c r="G458" s="85"/>
      <c r="H458" s="31"/>
      <c r="I458" s="31" t="str">
        <f>IFERROR(__xludf.DUMMYFUNCTION("""COMPUTED_VALUE"""),"Contractual - Test Yantra")</f>
        <v>Contractual - Test Yantra</v>
      </c>
      <c r="J458" s="31"/>
      <c r="K458" s="31"/>
      <c r="L458" s="31"/>
      <c r="M458" s="31"/>
      <c r="N458" s="31"/>
    </row>
    <row r="459">
      <c r="A459" s="31">
        <f>IFERROR(__xludf.DUMMYFUNCTION("""COMPUTED_VALUE"""),528.0)</f>
        <v>528</v>
      </c>
      <c r="B459" s="31" t="str">
        <f>IFERROR(__xludf.DUMMYFUNCTION("""COMPUTED_VALUE"""),"Himanshu Thakur")</f>
        <v>Himanshu Thakur</v>
      </c>
      <c r="C459" s="31" t="str">
        <f>IFERROR(__xludf.DUMMYFUNCTION("""COMPUTED_VALUE"""),"himanshuthakur19@gmail.com")</f>
        <v>himanshuthakur19@gmail.com</v>
      </c>
      <c r="D459" s="84">
        <f>IFERROR(__xludf.DUMMYFUNCTION("""COMPUTED_VALUE"""),8.285712264E9)</f>
        <v>8285712264</v>
      </c>
      <c r="E459" s="98">
        <f>IFERROR(__xludf.DUMMYFUNCTION("""COMPUTED_VALUE"""),45588.0)</f>
        <v>45588</v>
      </c>
      <c r="F459" s="31"/>
      <c r="G459" s="85"/>
      <c r="H459" s="31"/>
      <c r="I459" s="31" t="str">
        <f>IFERROR(__xludf.DUMMYFUNCTION("""COMPUTED_VALUE"""),"Senior Motion Graphic Designer")</f>
        <v>Senior Motion Graphic Designer</v>
      </c>
      <c r="J459" s="31"/>
      <c r="K459" s="31"/>
      <c r="L459" s="31"/>
      <c r="M459" s="31"/>
      <c r="N459" s="31"/>
    </row>
    <row r="460">
      <c r="A460" s="31">
        <f>IFERROR(__xludf.DUMMYFUNCTION("""COMPUTED_VALUE"""),529.0)</f>
        <v>529</v>
      </c>
      <c r="B460" s="31" t="str">
        <f>IFERROR(__xludf.DUMMYFUNCTION("""COMPUTED_VALUE"""),"Lokesh Gawande")</f>
        <v>Lokesh Gawande</v>
      </c>
      <c r="C460" s="31" t="str">
        <f>IFERROR(__xludf.DUMMYFUNCTION("""COMPUTED_VALUE"""),"gawandelokesh21@gmail.com")</f>
        <v>gawandelokesh21@gmail.com</v>
      </c>
      <c r="D460" s="84">
        <f>IFERROR(__xludf.DUMMYFUNCTION("""COMPUTED_VALUE"""),8.827467326E9)</f>
        <v>8827467326</v>
      </c>
      <c r="E460" s="98">
        <f>IFERROR(__xludf.DUMMYFUNCTION("""COMPUTED_VALUE"""),45587.0)</f>
        <v>45587</v>
      </c>
      <c r="F460" s="31"/>
      <c r="G460" s="85"/>
      <c r="H460" s="31"/>
      <c r="I460" s="31" t="str">
        <f>IFERROR(__xludf.DUMMYFUNCTION("""COMPUTED_VALUE"""),"Software Development Engineer in Test")</f>
        <v>Software Development Engineer in Test</v>
      </c>
      <c r="J460" s="31"/>
      <c r="K460" s="31"/>
      <c r="L460" s="31"/>
      <c r="M460" s="31"/>
      <c r="N460" s="31"/>
    </row>
    <row r="461">
      <c r="A461" s="31">
        <f>IFERROR(__xludf.DUMMYFUNCTION("""COMPUTED_VALUE"""),530.0)</f>
        <v>530</v>
      </c>
      <c r="B461" s="31" t="str">
        <f>IFERROR(__xludf.DUMMYFUNCTION("""COMPUTED_VALUE"""),"Armaan Nayyar")</f>
        <v>Armaan Nayyar</v>
      </c>
      <c r="C461" s="31" t="str">
        <f>IFERROR(__xludf.DUMMYFUNCTION("""COMPUTED_VALUE"""),"armaan040902@gmail.com")</f>
        <v>armaan040902@gmail.com</v>
      </c>
      <c r="D461" s="84">
        <f>IFERROR(__xludf.DUMMYFUNCTION("""COMPUTED_VALUE"""),9.177727198E9)</f>
        <v>9177727198</v>
      </c>
      <c r="E461" s="98">
        <f>IFERROR(__xludf.DUMMYFUNCTION("""COMPUTED_VALUE"""),45587.0)</f>
        <v>45587</v>
      </c>
      <c r="F461" s="31"/>
      <c r="G461" s="85"/>
      <c r="H461" s="31"/>
      <c r="I461" s="31" t="str">
        <f>IFERROR(__xludf.DUMMYFUNCTION("""COMPUTED_VALUE"""),"Software Development Engineer in Test")</f>
        <v>Software Development Engineer in Test</v>
      </c>
      <c r="J461" s="31"/>
      <c r="K461" s="31"/>
      <c r="L461" s="31"/>
      <c r="M461" s="31"/>
      <c r="N461" s="31"/>
    </row>
    <row r="462">
      <c r="A462" s="31">
        <f>IFERROR(__xludf.DUMMYFUNCTION("""COMPUTED_VALUE"""),531.0)</f>
        <v>531</v>
      </c>
      <c r="B462" s="31" t="str">
        <f>IFERROR(__xludf.DUMMYFUNCTION("""COMPUTED_VALUE"""),"Sanchit Mittal")</f>
        <v>Sanchit Mittal</v>
      </c>
      <c r="C462" s="31" t="str">
        <f>IFERROR(__xludf.DUMMYFUNCTION("""COMPUTED_VALUE"""),"sanchitmittal555@gmail.com")</f>
        <v>sanchitmittal555@gmail.com</v>
      </c>
      <c r="D462" s="84">
        <f>IFERROR(__xludf.DUMMYFUNCTION("""COMPUTED_VALUE"""),9.555096925E9)</f>
        <v>9555096925</v>
      </c>
      <c r="E462" s="98">
        <f>IFERROR(__xludf.DUMMYFUNCTION("""COMPUTED_VALUE"""),45588.0)</f>
        <v>45588</v>
      </c>
      <c r="F462" s="31"/>
      <c r="G462" s="85"/>
      <c r="H462" s="31"/>
      <c r="I462" s="31" t="str">
        <f>IFERROR(__xludf.DUMMYFUNCTION("""COMPUTED_VALUE"""),"Senior Data Analyst")</f>
        <v>Senior Data Analyst</v>
      </c>
      <c r="J462" s="31"/>
      <c r="K462" s="31"/>
      <c r="L462" s="31"/>
      <c r="M462" s="31"/>
      <c r="N462" s="31"/>
    </row>
    <row r="463">
      <c r="A463" s="31">
        <f>IFERROR(__xludf.DUMMYFUNCTION("""COMPUTED_VALUE"""),532.0)</f>
        <v>532</v>
      </c>
      <c r="B463" s="31" t="str">
        <f>IFERROR(__xludf.DUMMYFUNCTION("""COMPUTED_VALUE"""),"Pratham Arora")</f>
        <v>Pratham Arora</v>
      </c>
      <c r="C463" s="31"/>
      <c r="D463" s="84">
        <f>IFERROR(__xludf.DUMMYFUNCTION("""COMPUTED_VALUE"""),7.827253005E9)</f>
        <v>7827253005</v>
      </c>
      <c r="E463" s="98">
        <f>IFERROR(__xludf.DUMMYFUNCTION("""COMPUTED_VALUE"""),45572.0)</f>
        <v>45572</v>
      </c>
      <c r="F463" s="31"/>
      <c r="G463" s="85"/>
      <c r="H463" s="31"/>
      <c r="I463" s="31" t="str">
        <f>IFERROR(__xludf.DUMMYFUNCTION("""COMPUTED_VALUE"""),"CRM")</f>
        <v>CRM</v>
      </c>
      <c r="J463" s="31"/>
      <c r="K463" s="31"/>
      <c r="L463" s="31"/>
      <c r="M463" s="31"/>
      <c r="N463" s="31"/>
    </row>
    <row r="464">
      <c r="A464" s="31">
        <f>IFERROR(__xludf.DUMMYFUNCTION("""COMPUTED_VALUE"""),533.0)</f>
        <v>533</v>
      </c>
      <c r="B464" s="31" t="str">
        <f>IFERROR(__xludf.DUMMYFUNCTION("""COMPUTED_VALUE"""),"Zaid Anwar")</f>
        <v>Zaid Anwar</v>
      </c>
      <c r="C464" s="31"/>
      <c r="D464" s="84">
        <f>IFERROR(__xludf.DUMMYFUNCTION("""COMPUTED_VALUE"""),8.449461332E9)</f>
        <v>8449461332</v>
      </c>
      <c r="E464" s="98">
        <f>IFERROR(__xludf.DUMMYFUNCTION("""COMPUTED_VALUE"""),45572.0)</f>
        <v>45572</v>
      </c>
      <c r="F464" s="31"/>
      <c r="G464" s="85"/>
      <c r="H464" s="31"/>
      <c r="I464" s="31" t="str">
        <f>IFERROR(__xludf.DUMMYFUNCTION("""COMPUTED_VALUE"""),"CRM")</f>
        <v>CRM</v>
      </c>
      <c r="J464" s="31"/>
      <c r="K464" s="31"/>
      <c r="L464" s="31"/>
      <c r="M464" s="31"/>
      <c r="N464" s="31"/>
    </row>
    <row r="465">
      <c r="A465" s="31">
        <f>IFERROR(__xludf.DUMMYFUNCTION("""COMPUTED_VALUE"""),534.0)</f>
        <v>534</v>
      </c>
      <c r="B465" s="31" t="str">
        <f>IFERROR(__xludf.DUMMYFUNCTION("""COMPUTED_VALUE"""),"Taufique Khan")</f>
        <v>Taufique Khan</v>
      </c>
      <c r="C465" s="31"/>
      <c r="D465" s="84">
        <f>IFERROR(__xludf.DUMMYFUNCTION("""COMPUTED_VALUE"""),9.153936132E9)</f>
        <v>9153936132</v>
      </c>
      <c r="E465" s="98">
        <f>IFERROR(__xludf.DUMMYFUNCTION("""COMPUTED_VALUE"""),45572.0)</f>
        <v>45572</v>
      </c>
      <c r="F465" s="31"/>
      <c r="G465" s="85"/>
      <c r="H465" s="31"/>
      <c r="I465" s="31" t="str">
        <f>IFERROR(__xludf.DUMMYFUNCTION("""COMPUTED_VALUE"""),"CRM")</f>
        <v>CRM</v>
      </c>
      <c r="J465" s="31"/>
      <c r="K465" s="31"/>
      <c r="L465" s="31"/>
      <c r="M465" s="31"/>
      <c r="N465" s="31"/>
    </row>
    <row r="466">
      <c r="A466" s="31">
        <f>IFERROR(__xludf.DUMMYFUNCTION("""COMPUTED_VALUE"""),535.0)</f>
        <v>535</v>
      </c>
      <c r="B466" s="31" t="str">
        <f>IFERROR(__xludf.DUMMYFUNCTION("""COMPUTED_VALUE"""),"Reema")</f>
        <v>Reema</v>
      </c>
      <c r="C466" s="31" t="str">
        <f>IFERROR(__xludf.DUMMYFUNCTION("""COMPUTED_VALUE"""),"	reema.gupta217376@gmail.com")</f>
        <v>	reema.gupta217376@gmail.com</v>
      </c>
      <c r="D466" s="84">
        <f>IFERROR(__xludf.DUMMYFUNCTION("""COMPUTED_VALUE"""),8.287111593E9)</f>
        <v>8287111593</v>
      </c>
      <c r="E466" s="98">
        <f>IFERROR(__xludf.DUMMYFUNCTION("""COMPUTED_VALUE"""),45600.0)</f>
        <v>45600</v>
      </c>
      <c r="F466" s="31"/>
      <c r="G466" s="85"/>
      <c r="H466" s="31"/>
      <c r="I466" s="31" t="str">
        <f>IFERROR(__xludf.DUMMYFUNCTION("""COMPUTED_VALUE"""),"Fraud Analyst")</f>
        <v>Fraud Analyst</v>
      </c>
      <c r="J466" s="31"/>
      <c r="K466" s="31"/>
      <c r="L466" s="31"/>
      <c r="M466" s="31"/>
      <c r="N466" s="31"/>
    </row>
    <row r="467">
      <c r="A467" s="31">
        <f>IFERROR(__xludf.DUMMYFUNCTION("""COMPUTED_VALUE"""),536.0)</f>
        <v>536</v>
      </c>
      <c r="B467" s="31" t="str">
        <f>IFERROR(__xludf.DUMMYFUNCTION("""COMPUTED_VALUE"""),"Ashu Salmani")</f>
        <v>Ashu Salmani</v>
      </c>
      <c r="C467" s="31" t="str">
        <f>IFERROR(__xludf.DUMMYFUNCTION("""COMPUTED_VALUE"""),"ashusalmani334@gmail.com")</f>
        <v>ashusalmani334@gmail.com</v>
      </c>
      <c r="D467" s="84">
        <f>IFERROR(__xludf.DUMMYFUNCTION("""COMPUTED_VALUE"""),9.205808284E9)</f>
        <v>9205808284</v>
      </c>
      <c r="E467" s="98">
        <f>IFERROR(__xludf.DUMMYFUNCTION("""COMPUTED_VALUE"""),45600.0)</f>
        <v>45600</v>
      </c>
      <c r="F467" s="31"/>
      <c r="G467" s="85"/>
      <c r="H467" s="31"/>
      <c r="I467" s="31" t="str">
        <f>IFERROR(__xludf.DUMMYFUNCTION("""COMPUTED_VALUE"""),"Fraud Analyst")</f>
        <v>Fraud Analyst</v>
      </c>
      <c r="J467" s="31"/>
      <c r="K467" s="31"/>
      <c r="L467" s="31"/>
      <c r="M467" s="31"/>
      <c r="N467" s="31"/>
    </row>
    <row r="468">
      <c r="A468" s="31">
        <f>IFERROR(__xludf.DUMMYFUNCTION("""COMPUTED_VALUE"""),537.0)</f>
        <v>537</v>
      </c>
      <c r="B468" s="31" t="str">
        <f>IFERROR(__xludf.DUMMYFUNCTION("""COMPUTED_VALUE"""),"Rahul Prasad Suman")</f>
        <v>Rahul Prasad Suman</v>
      </c>
      <c r="C468" s="31" t="str">
        <f>IFERROR(__xludf.DUMMYFUNCTION("""COMPUTED_VALUE"""),"rahulprasadsuman7311@gmail.com")</f>
        <v>rahulprasadsuman7311@gmail.com</v>
      </c>
      <c r="D468" s="84">
        <f>IFERROR(__xludf.DUMMYFUNCTION("""COMPUTED_VALUE"""),7.532923636E9)</f>
        <v>7532923636</v>
      </c>
      <c r="E468" s="98">
        <f>IFERROR(__xludf.DUMMYFUNCTION("""COMPUTED_VALUE"""),45600.0)</f>
        <v>45600</v>
      </c>
      <c r="F468" s="31"/>
      <c r="G468" s="85"/>
      <c r="H468" s="31"/>
      <c r="I468" s="31" t="str">
        <f>IFERROR(__xludf.DUMMYFUNCTION("""COMPUTED_VALUE"""),"Assistant Manager- IT")</f>
        <v>Assistant Manager- IT</v>
      </c>
      <c r="J468" s="31"/>
      <c r="K468" s="31"/>
      <c r="L468" s="31"/>
      <c r="M468" s="31"/>
      <c r="N468" s="31"/>
    </row>
    <row r="469">
      <c r="A469" s="31">
        <f>IFERROR(__xludf.DUMMYFUNCTION("""COMPUTED_VALUE"""),538.0)</f>
        <v>538</v>
      </c>
      <c r="B469" s="31" t="str">
        <f>IFERROR(__xludf.DUMMYFUNCTION("""COMPUTED_VALUE"""),"Manjot Juyal")</f>
        <v>Manjot Juyal</v>
      </c>
      <c r="C469" s="31" t="str">
        <f>IFERROR(__xludf.DUMMYFUNCTION("""COMPUTED_VALUE"""),"Bawa.Manjot@Gmail.com")</f>
        <v>Bawa.Manjot@Gmail.com</v>
      </c>
      <c r="D469" s="84">
        <f>IFERROR(__xludf.DUMMYFUNCTION("""COMPUTED_VALUE"""),8.130096788E9)</f>
        <v>8130096788</v>
      </c>
      <c r="E469" s="98">
        <f>IFERROR(__xludf.DUMMYFUNCTION("""COMPUTED_VALUE"""),45600.0)</f>
        <v>45600</v>
      </c>
      <c r="F469" s="31"/>
      <c r="G469" s="85"/>
      <c r="H469" s="31"/>
      <c r="I469" s="31" t="str">
        <f>IFERROR(__xludf.DUMMYFUNCTION("""COMPUTED_VALUE"""),"Associate Director- Brand Marketing")</f>
        <v>Associate Director- Brand Marketing</v>
      </c>
      <c r="J469" s="31"/>
      <c r="K469" s="31"/>
      <c r="L469" s="31"/>
      <c r="M469" s="31"/>
      <c r="N469" s="31"/>
    </row>
    <row r="470">
      <c r="A470" s="31">
        <f>IFERROR(__xludf.DUMMYFUNCTION("""COMPUTED_VALUE"""),539.0)</f>
        <v>539</v>
      </c>
      <c r="B470" s="31" t="str">
        <f>IFERROR(__xludf.DUMMYFUNCTION("""COMPUTED_VALUE"""),"Sameer Singh")</f>
        <v>Sameer Singh</v>
      </c>
      <c r="C470" s="31" t="str">
        <f>IFERROR(__xludf.DUMMYFUNCTION("""COMPUTED_VALUE"""),"sameerbisht2315@gmail.com ")</f>
        <v>sameerbisht2315@gmail.com </v>
      </c>
      <c r="D470" s="84">
        <f>IFERROR(__xludf.DUMMYFUNCTION("""COMPUTED_VALUE"""),9.877368129E9)</f>
        <v>9877368129</v>
      </c>
      <c r="E470" s="98">
        <f>IFERROR(__xludf.DUMMYFUNCTION("""COMPUTED_VALUE"""),45600.0)</f>
        <v>45600</v>
      </c>
      <c r="F470" s="31"/>
      <c r="G470" s="85"/>
      <c r="H470" s="31"/>
      <c r="I470" s="31" t="str">
        <f>IFERROR(__xludf.DUMMYFUNCTION("""COMPUTED_VALUE"""),"Software Engineer")</f>
        <v>Software Engineer</v>
      </c>
      <c r="J470" s="31"/>
      <c r="K470" s="31"/>
      <c r="L470" s="31"/>
      <c r="M470" s="31"/>
      <c r="N470" s="31"/>
    </row>
    <row r="471">
      <c r="A471" s="31">
        <f>IFERROR(__xludf.DUMMYFUNCTION("""COMPUTED_VALUE"""),540.0)</f>
        <v>540</v>
      </c>
      <c r="B471" s="31" t="str">
        <f>IFERROR(__xludf.DUMMYFUNCTION("""COMPUTED_VALUE"""),"Shivam ")</f>
        <v>Shivam </v>
      </c>
      <c r="C471" s="31" t="str">
        <f>IFERROR(__xludf.DUMMYFUNCTION("""COMPUTED_VALUE"""),"11shivam00@gmail.com")</f>
        <v>11shivam00@gmail.com</v>
      </c>
      <c r="D471" s="84">
        <f>IFERROR(__xludf.DUMMYFUNCTION("""COMPUTED_VALUE"""),7.701891644E9)</f>
        <v>7701891644</v>
      </c>
      <c r="E471" s="98">
        <f>IFERROR(__xludf.DUMMYFUNCTION("""COMPUTED_VALUE"""),45600.0)</f>
        <v>45600</v>
      </c>
      <c r="F471" s="31"/>
      <c r="G471" s="85"/>
      <c r="H471" s="31"/>
      <c r="I471" s="31" t="str">
        <f>IFERROR(__xludf.DUMMYFUNCTION("""COMPUTED_VALUE"""),"Software Engineer")</f>
        <v>Software Engineer</v>
      </c>
      <c r="J471" s="31"/>
      <c r="K471" s="31"/>
      <c r="L471" s="31"/>
      <c r="M471" s="31"/>
      <c r="N471" s="31"/>
    </row>
    <row r="472">
      <c r="A472" s="31">
        <f>IFERROR(__xludf.DUMMYFUNCTION("""COMPUTED_VALUE"""),541.0)</f>
        <v>541</v>
      </c>
      <c r="B472" s="31" t="str">
        <f>IFERROR(__xludf.DUMMYFUNCTION("""COMPUTED_VALUE"""),"Srijan Bhageria")</f>
        <v>Srijan Bhageria</v>
      </c>
      <c r="C472" s="31" t="str">
        <f>IFERROR(__xludf.DUMMYFUNCTION("""COMPUTED_VALUE"""),"bhageria.srijan@gmail.com ")</f>
        <v>bhageria.srijan@gmail.com </v>
      </c>
      <c r="D472" s="84">
        <f>IFERROR(__xludf.DUMMYFUNCTION("""COMPUTED_VALUE"""),7.050421216E9)</f>
        <v>7050421216</v>
      </c>
      <c r="E472" s="98">
        <f>IFERROR(__xludf.DUMMYFUNCTION("""COMPUTED_VALUE"""),45603.0)</f>
        <v>45603</v>
      </c>
      <c r="F472" s="31"/>
      <c r="G472" s="85"/>
      <c r="H472" s="31"/>
      <c r="I472" s="31" t="str">
        <f>IFERROR(__xludf.DUMMYFUNCTION("""COMPUTED_VALUE"""),"Software Development Engineer in Test Trainee")</f>
        <v>Software Development Engineer in Test Trainee</v>
      </c>
      <c r="J472" s="31"/>
      <c r="K472" s="31"/>
      <c r="L472" s="31"/>
      <c r="M472" s="31"/>
      <c r="N472" s="31"/>
    </row>
    <row r="473">
      <c r="A473" s="31">
        <f>IFERROR(__xludf.DUMMYFUNCTION("""COMPUTED_VALUE"""),542.0)</f>
        <v>542</v>
      </c>
      <c r="B473" s="31" t="str">
        <f>IFERROR(__xludf.DUMMYFUNCTION("""COMPUTED_VALUE"""),"Rahul Yadav")</f>
        <v>Rahul Yadav</v>
      </c>
      <c r="C473" s="31" t="str">
        <f>IFERROR(__xludf.DUMMYFUNCTION("""COMPUTED_VALUE"""),"rahul.yadav@innovationm.com")</f>
        <v>rahul.yadav@innovationm.com</v>
      </c>
      <c r="D473" s="84">
        <f>IFERROR(__xludf.DUMMYFUNCTION("""COMPUTED_VALUE"""),6.306875871E9)</f>
        <v>6306875871</v>
      </c>
      <c r="E473" s="98">
        <f>IFERROR(__xludf.DUMMYFUNCTION("""COMPUTED_VALUE"""),45603.0)</f>
        <v>45603</v>
      </c>
      <c r="F473" s="31"/>
      <c r="G473" s="85"/>
      <c r="H473" s="31"/>
      <c r="I473" s="31" t="str">
        <f>IFERROR(__xludf.DUMMYFUNCTION("""COMPUTED_VALUE"""),"Contractual Employee: Anshul's team ")</f>
        <v>Contractual Employee: Anshul's team </v>
      </c>
      <c r="J473" s="31"/>
      <c r="K473" s="31"/>
      <c r="L473" s="31"/>
      <c r="M473" s="31"/>
      <c r="N473" s="31"/>
    </row>
    <row r="474">
      <c r="A474" s="31">
        <f>IFERROR(__xludf.DUMMYFUNCTION("""COMPUTED_VALUE"""),543.0)</f>
        <v>543</v>
      </c>
      <c r="B474" s="31" t="str">
        <f>IFERROR(__xludf.DUMMYFUNCTION("""COMPUTED_VALUE"""),"Sushil Patel")</f>
        <v>Sushil Patel</v>
      </c>
      <c r="C474" s="31" t="str">
        <f>IFERROR(__xludf.DUMMYFUNCTION("""COMPUTED_VALUE"""),"sushil.patel73@gmail.com")</f>
        <v>sushil.patel73@gmail.com</v>
      </c>
      <c r="D474" s="84"/>
      <c r="E474" s="98">
        <f>IFERROR(__xludf.DUMMYFUNCTION("""COMPUTED_VALUE"""),45607.0)</f>
        <v>45607</v>
      </c>
      <c r="F474" s="31"/>
      <c r="G474" s="85"/>
      <c r="H474" s="31"/>
      <c r="I474" s="31" t="str">
        <f>IFERROR(__xludf.DUMMYFUNCTION("""COMPUTED_VALUE"""),"AD - HRBP")</f>
        <v>AD - HRBP</v>
      </c>
      <c r="J474" s="31"/>
      <c r="K474" s="31"/>
      <c r="L474" s="31"/>
      <c r="M474" s="31"/>
      <c r="N474" s="31"/>
    </row>
    <row r="475">
      <c r="A475" s="31">
        <f>IFERROR(__xludf.DUMMYFUNCTION("""COMPUTED_VALUE"""),544.0)</f>
        <v>544</v>
      </c>
      <c r="B475" s="31" t="str">
        <f>IFERROR(__xludf.DUMMYFUNCTION("""COMPUTED_VALUE"""),"Prakhar Srivastava")</f>
        <v>Prakhar Srivastava</v>
      </c>
      <c r="C475" s="31" t="str">
        <f>IFERROR(__xludf.DUMMYFUNCTION("""COMPUTED_VALUE"""),"prakharps2107@gmail.com")</f>
        <v>prakharps2107@gmail.com</v>
      </c>
      <c r="D475" s="84">
        <f>IFERROR(__xludf.DUMMYFUNCTION("""COMPUTED_VALUE"""),9.958029663E9)</f>
        <v>9958029663</v>
      </c>
      <c r="E475" s="98">
        <f>IFERROR(__xludf.DUMMYFUNCTION("""COMPUTED_VALUE"""),45607.0)</f>
        <v>45607</v>
      </c>
      <c r="F475" s="31"/>
      <c r="G475" s="85"/>
      <c r="H475" s="31"/>
      <c r="I475" s="31" t="str">
        <f>IFERROR(__xludf.DUMMYFUNCTION("""COMPUTED_VALUE"""),"Software Engineer Trainee")</f>
        <v>Software Engineer Trainee</v>
      </c>
      <c r="J475" s="31"/>
      <c r="K475" s="31"/>
      <c r="L475" s="31"/>
      <c r="M475" s="31"/>
      <c r="N475" s="31"/>
    </row>
    <row r="476">
      <c r="A476" s="31">
        <f>IFERROR(__xludf.DUMMYFUNCTION("""COMPUTED_VALUE"""),545.0)</f>
        <v>545</v>
      </c>
      <c r="B476" s="31" t="str">
        <f>IFERROR(__xludf.DUMMYFUNCTION("""COMPUTED_VALUE"""),"Pankaj Rana")</f>
        <v>Pankaj Rana</v>
      </c>
      <c r="C476" s="31" t="str">
        <f>IFERROR(__xludf.DUMMYFUNCTION("""COMPUTED_VALUE"""),"pankaj.rana@programming.com")</f>
        <v>pankaj.rana@programming.com</v>
      </c>
      <c r="D476" s="84">
        <f>IFERROR(__xludf.DUMMYFUNCTION("""COMPUTED_VALUE"""),8.44561176E9)</f>
        <v>8445611760</v>
      </c>
      <c r="E476" s="98">
        <f>IFERROR(__xludf.DUMMYFUNCTION("""COMPUTED_VALUE"""),45607.0)</f>
        <v>45607</v>
      </c>
      <c r="F476" s="31"/>
      <c r="G476" s="85"/>
      <c r="H476" s="31"/>
      <c r="I476" s="31" t="str">
        <f>IFERROR(__xludf.DUMMYFUNCTION("""COMPUTED_VALUE"""),"Contractual Employee: Anshul's team ")</f>
        <v>Contractual Employee: Anshul's team </v>
      </c>
      <c r="J476" s="31"/>
      <c r="K476" s="31"/>
      <c r="L476" s="31"/>
      <c r="M476" s="31"/>
      <c r="N476" s="31"/>
    </row>
    <row r="477">
      <c r="A477" s="31">
        <f>IFERROR(__xludf.DUMMYFUNCTION("""COMPUTED_VALUE"""),546.0)</f>
        <v>546</v>
      </c>
      <c r="B477" s="31" t="str">
        <f>IFERROR(__xludf.DUMMYFUNCTION("""COMPUTED_VALUE"""),"Abhiroop Hora")</f>
        <v>Abhiroop Hora</v>
      </c>
      <c r="C477" s="31" t="str">
        <f>IFERROR(__xludf.DUMMYFUNCTION("""COMPUTED_VALUE"""),"hora.abhiroop@gmail.com")</f>
        <v>hora.abhiroop@gmail.com</v>
      </c>
      <c r="D477" s="84">
        <f>IFERROR(__xludf.DUMMYFUNCTION("""COMPUTED_VALUE"""),9.079301949E9)</f>
        <v>9079301949</v>
      </c>
      <c r="E477" s="98">
        <f>IFERROR(__xludf.DUMMYFUNCTION("""COMPUTED_VALUE"""),45607.0)</f>
        <v>45607</v>
      </c>
      <c r="F477" s="31"/>
      <c r="G477" s="85"/>
      <c r="H477" s="31"/>
      <c r="I477" s="31" t="str">
        <f>IFERROR(__xludf.DUMMYFUNCTION("""COMPUTED_VALUE"""),"Software Development Engineer in Test")</f>
        <v>Software Development Engineer in Test</v>
      </c>
      <c r="J477" s="31"/>
      <c r="K477" s="31"/>
      <c r="L477" s="31"/>
      <c r="M477" s="31"/>
      <c r="N477" s="31"/>
    </row>
    <row r="478">
      <c r="A478" s="31">
        <f>IFERROR(__xludf.DUMMYFUNCTION("""COMPUTED_VALUE"""),547.0)</f>
        <v>547</v>
      </c>
      <c r="B478" s="31" t="str">
        <f>IFERROR(__xludf.DUMMYFUNCTION("""COMPUTED_VALUE"""),"Shubham")</f>
        <v>Shubham</v>
      </c>
      <c r="C478" s="31" t="str">
        <f>IFERROR(__xludf.DUMMYFUNCTION("""COMPUTED_VALUE"""),"shubhamkhosla2013@gmail.com")</f>
        <v>shubhamkhosla2013@gmail.com</v>
      </c>
      <c r="D478" s="84">
        <f>IFERROR(__xludf.DUMMYFUNCTION("""COMPUTED_VALUE"""),8.660252883E9)</f>
        <v>8660252883</v>
      </c>
      <c r="E478" s="98">
        <f>IFERROR(__xludf.DUMMYFUNCTION("""COMPUTED_VALUE"""),45608.0)</f>
        <v>45608</v>
      </c>
      <c r="F478" s="31"/>
      <c r="G478" s="85"/>
      <c r="H478" s="31"/>
      <c r="I478" s="31" t="str">
        <f>IFERROR(__xludf.DUMMYFUNCTION("""COMPUTED_VALUE"""),"Contractual Employee: Sahil's team")</f>
        <v>Contractual Employee: Sahil's team</v>
      </c>
      <c r="J478" s="31"/>
      <c r="K478" s="31"/>
      <c r="L478" s="31"/>
      <c r="M478" s="31"/>
      <c r="N478" s="31"/>
    </row>
    <row r="479">
      <c r="A479" s="31">
        <f>IFERROR(__xludf.DUMMYFUNCTION("""COMPUTED_VALUE"""),548.0)</f>
        <v>548</v>
      </c>
      <c r="B479" s="31" t="str">
        <f>IFERROR(__xludf.DUMMYFUNCTION("""COMPUTED_VALUE"""),"Prashant Pundir")</f>
        <v>Prashant Pundir</v>
      </c>
      <c r="C479" s="31" t="str">
        <f>IFERROR(__xludf.DUMMYFUNCTION("""COMPUTED_VALUE"""),"pundirprashant545@gmail.com")</f>
        <v>pundirprashant545@gmail.com</v>
      </c>
      <c r="D479" s="84">
        <f>IFERROR(__xludf.DUMMYFUNCTION("""COMPUTED_VALUE"""),7.252089545E9)</f>
        <v>7252089545</v>
      </c>
      <c r="E479" s="98">
        <f>IFERROR(__xludf.DUMMYFUNCTION("""COMPUTED_VALUE"""),45609.0)</f>
        <v>45609</v>
      </c>
      <c r="F479" s="31"/>
      <c r="G479" s="85"/>
      <c r="H479" s="31"/>
      <c r="I479" s="31" t="str">
        <f>IFERROR(__xludf.DUMMYFUNCTION("""COMPUTED_VALUE"""),"Software Development Engineer in Test")</f>
        <v>Software Development Engineer in Test</v>
      </c>
      <c r="J479" s="31"/>
      <c r="K479" s="31"/>
      <c r="L479" s="31"/>
      <c r="M479" s="31"/>
      <c r="N479" s="31"/>
    </row>
    <row r="480">
      <c r="A480" s="31">
        <f>IFERROR(__xludf.DUMMYFUNCTION("""COMPUTED_VALUE"""),549.0)</f>
        <v>549</v>
      </c>
      <c r="B480" s="31" t="str">
        <f>IFERROR(__xludf.DUMMYFUNCTION("""COMPUTED_VALUE"""),"Rajat Saurav")</f>
        <v>Rajat Saurav</v>
      </c>
      <c r="C480" s="31" t="str">
        <f>IFERROR(__xludf.DUMMYFUNCTION("""COMPUTED_VALUE"""),"rajatsaurav79@gmail.com")</f>
        <v>rajatsaurav79@gmail.com</v>
      </c>
      <c r="D480" s="84">
        <f>IFERROR(__xludf.DUMMYFUNCTION("""COMPUTED_VALUE"""),9.304075831E9)</f>
        <v>9304075831</v>
      </c>
      <c r="E480" s="98">
        <f>IFERROR(__xludf.DUMMYFUNCTION("""COMPUTED_VALUE"""),45616.0)</f>
        <v>45616</v>
      </c>
      <c r="F480" s="31"/>
      <c r="G480" s="85"/>
      <c r="H480" s="31"/>
      <c r="I480" s="31" t="str">
        <f>IFERROR(__xludf.DUMMYFUNCTION("""COMPUTED_VALUE"""),"Senior Data Analyst")</f>
        <v>Senior Data Analyst</v>
      </c>
      <c r="J480" s="31"/>
      <c r="K480" s="31"/>
      <c r="L480" s="31"/>
      <c r="M480" s="31"/>
      <c r="N480" s="31"/>
    </row>
    <row r="481">
      <c r="A481" s="31">
        <f>IFERROR(__xludf.DUMMYFUNCTION("""COMPUTED_VALUE"""),550.0)</f>
        <v>550</v>
      </c>
      <c r="B481" s="31" t="str">
        <f>IFERROR(__xludf.DUMMYFUNCTION("""COMPUTED_VALUE"""),"Supriya Chauhan")</f>
        <v>Supriya Chauhan</v>
      </c>
      <c r="C481" s="31" t="str">
        <f>IFERROR(__xludf.DUMMYFUNCTION("""COMPUTED_VALUE"""),"tomailsupriya@gmail.com.")</f>
        <v>tomailsupriya@gmail.com.</v>
      </c>
      <c r="D481" s="84">
        <f>IFERROR(__xludf.DUMMYFUNCTION("""COMPUTED_VALUE"""),9.690275262E9)</f>
        <v>9690275262</v>
      </c>
      <c r="E481" s="98">
        <f>IFERROR(__xludf.DUMMYFUNCTION("""COMPUTED_VALUE"""),45628.0)</f>
        <v>45628</v>
      </c>
      <c r="F481" s="31"/>
      <c r="G481" s="85"/>
      <c r="H481" s="31"/>
      <c r="I481" s="31" t="str">
        <f>IFERROR(__xludf.DUMMYFUNCTION("""COMPUTED_VALUE"""),"Database Administrator")</f>
        <v>Database Administrator</v>
      </c>
      <c r="J481" s="31"/>
      <c r="K481" s="31"/>
      <c r="L481" s="31"/>
      <c r="M481" s="31"/>
      <c r="N481" s="31"/>
    </row>
    <row r="482">
      <c r="A482" s="31">
        <f>IFERROR(__xludf.DUMMYFUNCTION("""COMPUTED_VALUE"""),551.0)</f>
        <v>551</v>
      </c>
      <c r="B482" s="31" t="str">
        <f>IFERROR(__xludf.DUMMYFUNCTION("""COMPUTED_VALUE"""),"Robin Achankunju")</f>
        <v>Robin Achankunju</v>
      </c>
      <c r="C482" s="31" t="str">
        <f>IFERROR(__xludf.DUMMYFUNCTION("""COMPUTED_VALUE"""),"robinjc2000@gmail.com")</f>
        <v>robinjc2000@gmail.com</v>
      </c>
      <c r="D482" s="84">
        <f>IFERROR(__xludf.DUMMYFUNCTION("""COMPUTED_VALUE"""),9.71812169E9)</f>
        <v>9718121690</v>
      </c>
      <c r="E482" s="98">
        <f>IFERROR(__xludf.DUMMYFUNCTION("""COMPUTED_VALUE"""),45628.0)</f>
        <v>45628</v>
      </c>
      <c r="F482" s="31"/>
      <c r="G482" s="85"/>
      <c r="H482" s="31"/>
      <c r="I482" s="31" t="str">
        <f>IFERROR(__xludf.DUMMYFUNCTION("""COMPUTED_VALUE"""),"Relationship Manager")</f>
        <v>Relationship Manager</v>
      </c>
      <c r="J482" s="31"/>
      <c r="K482" s="31"/>
      <c r="L482" s="31"/>
      <c r="M482" s="31"/>
      <c r="N482" s="31"/>
    </row>
    <row r="483">
      <c r="A483" s="31">
        <f>IFERROR(__xludf.DUMMYFUNCTION("""COMPUTED_VALUE"""),552.0)</f>
        <v>552</v>
      </c>
      <c r="B483" s="31" t="str">
        <f>IFERROR(__xludf.DUMMYFUNCTION("""COMPUTED_VALUE"""),"Ishpreet Singh")</f>
        <v>Ishpreet Singh</v>
      </c>
      <c r="C483" s="31" t="str">
        <f>IFERROR(__xludf.DUMMYFUNCTION("""COMPUTED_VALUE"""),"ishpreet.singh8800@gmail.com")</f>
        <v>ishpreet.singh8800@gmail.com</v>
      </c>
      <c r="D483" s="84">
        <f>IFERROR(__xludf.DUMMYFUNCTION("""COMPUTED_VALUE"""),8.44796537E8)</f>
        <v>844796537</v>
      </c>
      <c r="E483" s="98">
        <f>IFERROR(__xludf.DUMMYFUNCTION("""COMPUTED_VALUE"""),45628.0)</f>
        <v>45628</v>
      </c>
      <c r="F483" s="31"/>
      <c r="G483" s="85"/>
      <c r="H483" s="31"/>
      <c r="I483" s="31" t="str">
        <f>IFERROR(__xludf.DUMMYFUNCTION("""COMPUTED_VALUE"""),"Relationship Manager")</f>
        <v>Relationship Manager</v>
      </c>
      <c r="J483" s="31"/>
      <c r="K483" s="31"/>
      <c r="L483" s="31"/>
      <c r="M483" s="31"/>
      <c r="N483" s="31"/>
    </row>
    <row r="484">
      <c r="A484" s="31">
        <f>IFERROR(__xludf.DUMMYFUNCTION("""COMPUTED_VALUE"""),553.0)</f>
        <v>553</v>
      </c>
      <c r="B484" s="31" t="str">
        <f>IFERROR(__xludf.DUMMYFUNCTION("""COMPUTED_VALUE"""),"Neha Sharma")</f>
        <v>Neha Sharma</v>
      </c>
      <c r="C484" s="31" t="str">
        <f>IFERROR(__xludf.DUMMYFUNCTION("""COMPUTED_VALUE"""),"neha.sharma@programming.com")</f>
        <v>neha.sharma@programming.com</v>
      </c>
      <c r="D484" s="84">
        <f>IFERROR(__xludf.DUMMYFUNCTION("""COMPUTED_VALUE"""),9.981074915E9)</f>
        <v>9981074915</v>
      </c>
      <c r="E484" s="98">
        <f>IFERROR(__xludf.DUMMYFUNCTION("""COMPUTED_VALUE"""),45628.0)</f>
        <v>45628</v>
      </c>
      <c r="F484" s="31"/>
      <c r="G484" s="85"/>
      <c r="H484" s="31"/>
      <c r="I484" s="31" t="str">
        <f>IFERROR(__xludf.DUMMYFUNCTION("""COMPUTED_VALUE"""),"Replacement of Pankaj Rana for 2 weeks; contractual")</f>
        <v>Replacement of Pankaj Rana for 2 weeks; contractual</v>
      </c>
      <c r="J484" s="31"/>
      <c r="K484" s="31"/>
      <c r="L484" s="31"/>
      <c r="M484" s="31"/>
      <c r="N484" s="31"/>
    </row>
    <row r="485">
      <c r="A485" s="31">
        <f>IFERROR(__xludf.DUMMYFUNCTION("""COMPUTED_VALUE"""),554.0)</f>
        <v>554</v>
      </c>
      <c r="B485" s="31" t="str">
        <f>IFERROR(__xludf.DUMMYFUNCTION("""COMPUTED_VALUE"""),"Sameer")</f>
        <v>Sameer</v>
      </c>
      <c r="C485" s="86" t="str">
        <f>IFERROR(__xludf.DUMMYFUNCTION("""COMPUTED_VALUE"""),"sameer.amaan75@gmail.com")</f>
        <v>sameer.amaan75@gmail.com</v>
      </c>
      <c r="D485" s="84">
        <f>IFERROR(__xludf.DUMMYFUNCTION("""COMPUTED_VALUE"""),9.310542891E9)</f>
        <v>9310542891</v>
      </c>
      <c r="E485" s="99">
        <f>IFERROR(__xludf.DUMMYFUNCTION("""COMPUTED_VALUE"""),45628.0)</f>
        <v>45628</v>
      </c>
      <c r="F485" s="31"/>
      <c r="G485" s="85"/>
      <c r="H485" s="31"/>
      <c r="I485" s="31" t="str">
        <f>IFERROR(__xludf.DUMMYFUNCTION("""COMPUTED_VALUE"""),"CSE, RebootXP")</f>
        <v>CSE, RebootXP</v>
      </c>
      <c r="J485" s="31"/>
      <c r="K485" s="31"/>
      <c r="L485" s="31"/>
      <c r="M485" s="31"/>
      <c r="N485" s="31"/>
    </row>
    <row r="486">
      <c r="A486" s="31">
        <f>IFERROR(__xludf.DUMMYFUNCTION("""COMPUTED_VALUE"""),555.0)</f>
        <v>555</v>
      </c>
      <c r="B486" s="31" t="str">
        <f>IFERROR(__xludf.DUMMYFUNCTION("""COMPUTED_VALUE"""),"Aditya Kumar Chaubey")</f>
        <v>Aditya Kumar Chaubey</v>
      </c>
      <c r="C486" s="86" t="str">
        <f>IFERROR(__xludf.DUMMYFUNCTION("""COMPUTED_VALUE"""),"ac2845537@gmail.com")</f>
        <v>ac2845537@gmail.com</v>
      </c>
      <c r="D486" s="84">
        <f>IFERROR(__xludf.DUMMYFUNCTION("""COMPUTED_VALUE"""),9.28956186E9)</f>
        <v>9289561860</v>
      </c>
      <c r="E486" s="99">
        <f>IFERROR(__xludf.DUMMYFUNCTION("""COMPUTED_VALUE"""),45628.0)</f>
        <v>45628</v>
      </c>
      <c r="F486" s="31"/>
      <c r="G486" s="85"/>
      <c r="H486" s="31"/>
      <c r="I486" s="31" t="str">
        <f>IFERROR(__xludf.DUMMYFUNCTION("""COMPUTED_VALUE"""),"CSE, RebootXP")</f>
        <v>CSE, RebootXP</v>
      </c>
      <c r="J486" s="31"/>
      <c r="K486" s="31"/>
      <c r="L486" s="31"/>
      <c r="M486" s="31"/>
      <c r="N486" s="31"/>
    </row>
    <row r="487">
      <c r="A487" s="31">
        <f>IFERROR(__xludf.DUMMYFUNCTION("""COMPUTED_VALUE"""),556.0)</f>
        <v>556</v>
      </c>
      <c r="B487" s="31" t="str">
        <f>IFERROR(__xludf.DUMMYFUNCTION("""COMPUTED_VALUE"""),"Dev Gupta")</f>
        <v>Dev Gupta</v>
      </c>
      <c r="C487" s="86" t="str">
        <f>IFERROR(__xludf.DUMMYFUNCTION("""COMPUTED_VALUE"""),"devwork260802@gmail.com")</f>
        <v>devwork260802@gmail.com</v>
      </c>
      <c r="D487" s="84">
        <f>IFERROR(__xludf.DUMMYFUNCTION("""COMPUTED_VALUE"""),9.315797146E9)</f>
        <v>9315797146</v>
      </c>
      <c r="E487" s="99">
        <f>IFERROR(__xludf.DUMMYFUNCTION("""COMPUTED_VALUE"""),45628.0)</f>
        <v>45628</v>
      </c>
      <c r="F487" s="31"/>
      <c r="G487" s="85"/>
      <c r="H487" s="31"/>
      <c r="I487" s="31" t="str">
        <f>IFERROR(__xludf.DUMMYFUNCTION("""COMPUTED_VALUE"""),"CSE, RebootXP")</f>
        <v>CSE, RebootXP</v>
      </c>
      <c r="J487" s="31"/>
      <c r="K487" s="31"/>
      <c r="L487" s="31"/>
      <c r="M487" s="31"/>
      <c r="N487" s="31"/>
    </row>
    <row r="488">
      <c r="A488" s="31">
        <f>IFERROR(__xludf.DUMMYFUNCTION("""COMPUTED_VALUE"""),557.0)</f>
        <v>557</v>
      </c>
      <c r="B488" s="31" t="str">
        <f>IFERROR(__xludf.DUMMYFUNCTION("""COMPUTED_VALUE"""),"Ritik Kumar")</f>
        <v>Ritik Kumar</v>
      </c>
      <c r="C488" s="86" t="str">
        <f>IFERROR(__xludf.DUMMYFUNCTION("""COMPUTED_VALUE"""),"ritik9105487762@gmail.com")</f>
        <v>ritik9105487762@gmail.com</v>
      </c>
      <c r="D488" s="84">
        <f>IFERROR(__xludf.DUMMYFUNCTION("""COMPUTED_VALUE"""),8.17174044E9)</f>
        <v>8171740440</v>
      </c>
      <c r="E488" s="99">
        <f>IFERROR(__xludf.DUMMYFUNCTION("""COMPUTED_VALUE"""),45628.0)</f>
        <v>45628</v>
      </c>
      <c r="F488" s="31"/>
      <c r="G488" s="85"/>
      <c r="H488" s="31"/>
      <c r="I488" s="31" t="str">
        <f>IFERROR(__xludf.DUMMYFUNCTION("""COMPUTED_VALUE"""),"CSE, RebootXP")</f>
        <v>CSE, RebootXP</v>
      </c>
      <c r="J488" s="31"/>
      <c r="K488" s="31"/>
      <c r="L488" s="31"/>
      <c r="M488" s="31"/>
      <c r="N488" s="31"/>
    </row>
    <row r="489">
      <c r="A489" s="31">
        <f>IFERROR(__xludf.DUMMYFUNCTION("""COMPUTED_VALUE"""),558.0)</f>
        <v>558</v>
      </c>
      <c r="B489" s="31" t="str">
        <f>IFERROR(__xludf.DUMMYFUNCTION("""COMPUTED_VALUE"""),"Md Sohel")</f>
        <v>Md Sohel</v>
      </c>
      <c r="C489" s="86" t="str">
        <f>IFERROR(__xludf.DUMMYFUNCTION("""COMPUTED_VALUE"""),"sahidafreediji@gmail.com")</f>
        <v>sahidafreediji@gmail.com</v>
      </c>
      <c r="D489" s="84">
        <f>IFERROR(__xludf.DUMMYFUNCTION("""COMPUTED_VALUE"""),9.310660731E9)</f>
        <v>9310660731</v>
      </c>
      <c r="E489" s="99">
        <f>IFERROR(__xludf.DUMMYFUNCTION("""COMPUTED_VALUE"""),45628.0)</f>
        <v>45628</v>
      </c>
      <c r="F489" s="31"/>
      <c r="G489" s="85"/>
      <c r="H489" s="31"/>
      <c r="I489" s="31" t="str">
        <f>IFERROR(__xludf.DUMMYFUNCTION("""COMPUTED_VALUE"""),"CSE, RebootXP")</f>
        <v>CSE, RebootXP</v>
      </c>
      <c r="J489" s="31"/>
      <c r="K489" s="31"/>
      <c r="L489" s="31"/>
      <c r="M489" s="31"/>
      <c r="N489" s="31"/>
    </row>
    <row r="490">
      <c r="A490" s="31">
        <f>IFERROR(__xludf.DUMMYFUNCTION("""COMPUTED_VALUE"""),559.0)</f>
        <v>559</v>
      </c>
      <c r="B490" s="31" t="str">
        <f>IFERROR(__xludf.DUMMYFUNCTION("""COMPUTED_VALUE"""),"Lalit")</f>
        <v>Lalit</v>
      </c>
      <c r="C490" s="86" t="str">
        <f>IFERROR(__xludf.DUMMYFUNCTION("""COMPUTED_VALUE"""),"lalitjadli6666@gmail.com")</f>
        <v>lalitjadli6666@gmail.com</v>
      </c>
      <c r="D490" s="84">
        <f>IFERROR(__xludf.DUMMYFUNCTION("""COMPUTED_VALUE"""),7.836826766E9)</f>
        <v>7836826766</v>
      </c>
      <c r="E490" s="99">
        <f>IFERROR(__xludf.DUMMYFUNCTION("""COMPUTED_VALUE"""),45628.0)</f>
        <v>45628</v>
      </c>
      <c r="F490" s="31"/>
      <c r="G490" s="85"/>
      <c r="H490" s="31"/>
      <c r="I490" s="31" t="str">
        <f>IFERROR(__xludf.DUMMYFUNCTION("""COMPUTED_VALUE"""),"CSE, RebootXP")</f>
        <v>CSE, RebootXP</v>
      </c>
      <c r="J490" s="31"/>
      <c r="K490" s="31"/>
      <c r="L490" s="31"/>
      <c r="M490" s="31"/>
      <c r="N490" s="31"/>
    </row>
    <row r="491">
      <c r="A491" s="31">
        <f>IFERROR(__xludf.DUMMYFUNCTION("""COMPUTED_VALUE"""),560.0)</f>
        <v>560</v>
      </c>
      <c r="B491" s="31" t="str">
        <f>IFERROR(__xludf.DUMMYFUNCTION("""COMPUTED_VALUE"""),"Harsh Mehta")</f>
        <v>Harsh Mehta</v>
      </c>
      <c r="C491" s="86" t="str">
        <f>IFERROR(__xludf.DUMMYFUNCTION("""COMPUTED_VALUE"""),"mehtaharsh049@gmail.com")</f>
        <v>mehtaharsh049@gmail.com</v>
      </c>
      <c r="D491" s="84">
        <f>IFERROR(__xludf.DUMMYFUNCTION("""COMPUTED_VALUE"""),9.310753386E9)</f>
        <v>9310753386</v>
      </c>
      <c r="E491" s="99">
        <f>IFERROR(__xludf.DUMMYFUNCTION("""COMPUTED_VALUE"""),45628.0)</f>
        <v>45628</v>
      </c>
      <c r="F491" s="31"/>
      <c r="G491" s="85"/>
      <c r="H491" s="31"/>
      <c r="I491" s="31" t="str">
        <f>IFERROR(__xludf.DUMMYFUNCTION("""COMPUTED_VALUE"""),"Team Leader, RebootXP")</f>
        <v>Team Leader, RebootXP</v>
      </c>
      <c r="J491" s="31"/>
      <c r="K491" s="31"/>
      <c r="L491" s="31"/>
      <c r="M491" s="31"/>
      <c r="N491" s="31"/>
    </row>
    <row r="492">
      <c r="A492" s="31">
        <f>IFERROR(__xludf.DUMMYFUNCTION("""COMPUTED_VALUE"""),561.0)</f>
        <v>561</v>
      </c>
      <c r="B492" s="31" t="str">
        <f>IFERROR(__xludf.DUMMYFUNCTION("""COMPUTED_VALUE"""),"Anuradha Sharma")</f>
        <v>Anuradha Sharma</v>
      </c>
      <c r="C492" s="86" t="str">
        <f>IFERROR(__xludf.DUMMYFUNCTION("""COMPUTED_VALUE"""),"anusharm999@gmail.com")</f>
        <v>anusharm999@gmail.com</v>
      </c>
      <c r="D492" s="84">
        <f>IFERROR(__xludf.DUMMYFUNCTION("""COMPUTED_VALUE"""),8.527369139E9)</f>
        <v>8527369139</v>
      </c>
      <c r="E492" s="99">
        <f>IFERROR(__xludf.DUMMYFUNCTION("""COMPUTED_VALUE"""),45628.0)</f>
        <v>45628</v>
      </c>
      <c r="F492" s="31"/>
      <c r="G492" s="85"/>
      <c r="H492" s="31"/>
      <c r="I492" s="31" t="str">
        <f>IFERROR(__xludf.DUMMYFUNCTION("""COMPUTED_VALUE"""),"CSE, RebootXP")</f>
        <v>CSE, RebootXP</v>
      </c>
      <c r="J492" s="31"/>
      <c r="K492" s="31"/>
      <c r="L492" s="31"/>
      <c r="M492" s="31"/>
      <c r="N492" s="31"/>
    </row>
    <row r="493">
      <c r="A493" s="31">
        <f>IFERROR(__xludf.DUMMYFUNCTION("""COMPUTED_VALUE"""),562.0)</f>
        <v>562</v>
      </c>
      <c r="B493" s="31" t="str">
        <f>IFERROR(__xludf.DUMMYFUNCTION("""COMPUTED_VALUE"""),"Simran")</f>
        <v>Simran</v>
      </c>
      <c r="C493" s="86" t="str">
        <f>IFERROR(__xludf.DUMMYFUNCTION("""COMPUTED_VALUE"""),"vermasimmi1402@gmail.com")</f>
        <v>vermasimmi1402@gmail.com</v>
      </c>
      <c r="D493" s="84">
        <f>IFERROR(__xludf.DUMMYFUNCTION("""COMPUTED_VALUE"""),9.891408209E9)</f>
        <v>9891408209</v>
      </c>
      <c r="E493" s="99">
        <f>IFERROR(__xludf.DUMMYFUNCTION("""COMPUTED_VALUE"""),45628.0)</f>
        <v>45628</v>
      </c>
      <c r="F493" s="31"/>
      <c r="G493" s="85"/>
      <c r="H493" s="31"/>
      <c r="I493" s="31" t="str">
        <f>IFERROR(__xludf.DUMMYFUNCTION("""COMPUTED_VALUE"""),"CSE, RebootXP")</f>
        <v>CSE, RebootXP</v>
      </c>
      <c r="J493" s="31"/>
      <c r="K493" s="31"/>
      <c r="L493" s="31"/>
      <c r="M493" s="31"/>
      <c r="N493" s="31"/>
    </row>
    <row r="494">
      <c r="A494" s="31">
        <f>IFERROR(__xludf.DUMMYFUNCTION("""COMPUTED_VALUE"""),563.0)</f>
        <v>563</v>
      </c>
      <c r="B494" s="31" t="str">
        <f>IFERROR(__xludf.DUMMYFUNCTION("""COMPUTED_VALUE"""),"Bhanu Pratap")</f>
        <v>Bhanu Pratap</v>
      </c>
      <c r="C494" s="86" t="str">
        <f>IFERROR(__xludf.DUMMYFUNCTION("""COMPUTED_VALUE"""),"bhanusangat94@gmail.com")</f>
        <v>bhanusangat94@gmail.com</v>
      </c>
      <c r="D494" s="84">
        <f>IFERROR(__xludf.DUMMYFUNCTION("""COMPUTED_VALUE"""),9.582028236E9)</f>
        <v>9582028236</v>
      </c>
      <c r="E494" s="99">
        <f>IFERROR(__xludf.DUMMYFUNCTION("""COMPUTED_VALUE"""),45628.0)</f>
        <v>45628</v>
      </c>
      <c r="F494" s="31"/>
      <c r="G494" s="85"/>
      <c r="H494" s="31"/>
      <c r="I494" s="31" t="str">
        <f>IFERROR(__xludf.DUMMYFUNCTION("""COMPUTED_VALUE"""),"CSE, RebootXP")</f>
        <v>CSE, RebootXP</v>
      </c>
      <c r="J494" s="31"/>
      <c r="K494" s="31"/>
      <c r="L494" s="31"/>
      <c r="M494" s="31"/>
      <c r="N494" s="31"/>
    </row>
    <row r="495">
      <c r="A495" s="31">
        <f>IFERROR(__xludf.DUMMYFUNCTION("""COMPUTED_VALUE"""),564.0)</f>
        <v>564</v>
      </c>
      <c r="B495" s="31" t="str">
        <f>IFERROR(__xludf.DUMMYFUNCTION("""COMPUTED_VALUE"""),"Pooja")</f>
        <v>Pooja</v>
      </c>
      <c r="C495" s="86" t="str">
        <f>IFERROR(__xludf.DUMMYFUNCTION("""COMPUTED_VALUE"""),"poojakumari985439@gmail.com")</f>
        <v>poojakumari985439@gmail.com</v>
      </c>
      <c r="D495" s="84">
        <f>IFERROR(__xludf.DUMMYFUNCTION("""COMPUTED_VALUE"""),8.750601508E9)</f>
        <v>8750601508</v>
      </c>
      <c r="E495" s="99">
        <f>IFERROR(__xludf.DUMMYFUNCTION("""COMPUTED_VALUE"""),45628.0)</f>
        <v>45628</v>
      </c>
      <c r="F495" s="31"/>
      <c r="G495" s="85"/>
      <c r="H495" s="31"/>
      <c r="I495" s="31" t="str">
        <f>IFERROR(__xludf.DUMMYFUNCTION("""COMPUTED_VALUE"""),"CSE, RebootXP")</f>
        <v>CSE, RebootXP</v>
      </c>
      <c r="J495" s="31"/>
      <c r="K495" s="31"/>
      <c r="L495" s="31"/>
      <c r="M495" s="31"/>
      <c r="N495" s="31"/>
    </row>
    <row r="496">
      <c r="A496" s="31">
        <f>IFERROR(__xludf.DUMMYFUNCTION("""COMPUTED_VALUE"""),565.0)</f>
        <v>565</v>
      </c>
      <c r="B496" s="31" t="str">
        <f>IFERROR(__xludf.DUMMYFUNCTION("""COMPUTED_VALUE"""),"Rahul Saini")</f>
        <v>Rahul Saini</v>
      </c>
      <c r="C496" s="31" t="str">
        <f>IFERROR(__xludf.DUMMYFUNCTION("""COMPUTED_VALUE"""),"rsthakur271@gmail.com")</f>
        <v>rsthakur271@gmail.com</v>
      </c>
      <c r="D496" s="84">
        <f>IFERROR(__xludf.DUMMYFUNCTION("""COMPUTED_VALUE"""),9.716916992E9)</f>
        <v>9716916992</v>
      </c>
      <c r="E496" s="99">
        <f>IFERROR(__xludf.DUMMYFUNCTION("""COMPUTED_VALUE"""),45630.0)</f>
        <v>45630</v>
      </c>
      <c r="F496" s="31"/>
      <c r="G496" s="85"/>
      <c r="H496" s="31"/>
      <c r="I496" s="31" t="str">
        <f>IFERROR(__xludf.DUMMYFUNCTION("""COMPUTED_VALUE"""),"Senior Executive-Quality Auditor")</f>
        <v>Senior Executive-Quality Auditor</v>
      </c>
      <c r="J496" s="31"/>
      <c r="K496" s="31"/>
      <c r="L496" s="31"/>
      <c r="M496" s="31"/>
      <c r="N496" s="31"/>
    </row>
    <row r="497">
      <c r="A497" s="31">
        <f>IFERROR(__xludf.DUMMYFUNCTION("""COMPUTED_VALUE"""),566.0)</f>
        <v>566</v>
      </c>
      <c r="B497" s="31" t="str">
        <f>IFERROR(__xludf.DUMMYFUNCTION("""COMPUTED_VALUE"""),"Ravneet Kaur")</f>
        <v>Ravneet Kaur</v>
      </c>
      <c r="C497" s="31" t="str">
        <f>IFERROR(__xludf.DUMMYFUNCTION("""COMPUTED_VALUE"""),"kaur.neet0805@gmail.com")</f>
        <v>kaur.neet0805@gmail.com</v>
      </c>
      <c r="D497" s="84">
        <f>IFERROR(__xludf.DUMMYFUNCTION("""COMPUTED_VALUE"""),7.82791179E9)</f>
        <v>7827911790</v>
      </c>
      <c r="E497" s="99">
        <f>IFERROR(__xludf.DUMMYFUNCTION("""COMPUTED_VALUE"""),45630.0)</f>
        <v>45630</v>
      </c>
      <c r="F497" s="31"/>
      <c r="G497" s="85"/>
      <c r="H497" s="31"/>
      <c r="I497" s="31" t="str">
        <f>IFERROR(__xludf.DUMMYFUNCTION("""COMPUTED_VALUE"""),"Executive-Quality Auditor")</f>
        <v>Executive-Quality Auditor</v>
      </c>
      <c r="J497" s="31"/>
      <c r="K497" s="31"/>
      <c r="L497" s="31"/>
      <c r="M497" s="31"/>
      <c r="N497" s="31"/>
    </row>
    <row r="498">
      <c r="A498" s="31">
        <f>IFERROR(__xludf.DUMMYFUNCTION("""COMPUTED_VALUE"""),567.0)</f>
        <v>567</v>
      </c>
      <c r="B498" s="31" t="str">
        <f>IFERROR(__xludf.DUMMYFUNCTION("""COMPUTED_VALUE"""),"Rahul Shivani")</f>
        <v>Rahul Shivani</v>
      </c>
      <c r="C498" s="31" t="str">
        <f>IFERROR(__xludf.DUMMYFUNCTION("""COMPUTED_VALUE"""),"er.rahulshivani@gmail.com")</f>
        <v>er.rahulshivani@gmail.com</v>
      </c>
      <c r="D498" s="84">
        <f>IFERROR(__xludf.DUMMYFUNCTION("""COMPUTED_VALUE"""),8.126857914E9)</f>
        <v>8126857914</v>
      </c>
      <c r="E498" s="99">
        <f>IFERROR(__xludf.DUMMYFUNCTION("""COMPUTED_VALUE"""),45635.0)</f>
        <v>45635</v>
      </c>
      <c r="F498" s="31"/>
      <c r="G498" s="85"/>
      <c r="H498" s="31"/>
      <c r="I498" s="31" t="str">
        <f>IFERROR(__xludf.DUMMYFUNCTION("""COMPUTED_VALUE"""),"Senior Machine Learning Engineer")</f>
        <v>Senior Machine Learning Engineer</v>
      </c>
      <c r="J498" s="31"/>
      <c r="K498" s="31"/>
      <c r="L498" s="31"/>
      <c r="M498" s="31"/>
      <c r="N498" s="31"/>
    </row>
    <row r="499">
      <c r="A499" s="31">
        <f>IFERROR(__xludf.DUMMYFUNCTION("""COMPUTED_VALUE"""),568.0)</f>
        <v>568</v>
      </c>
      <c r="B499" s="31" t="str">
        <f>IFERROR(__xludf.DUMMYFUNCTION("""COMPUTED_VALUE"""),"Mohd Nadeem Ansari")</f>
        <v>Mohd Nadeem Ansari</v>
      </c>
      <c r="C499" s="31" t="str">
        <f>IFERROR(__xludf.DUMMYFUNCTION("""COMPUTED_VALUE"""),"nadeem7379563325@gmail.com ")</f>
        <v>nadeem7379563325@gmail.com </v>
      </c>
      <c r="D499" s="84">
        <f>IFERROR(__xludf.DUMMYFUNCTION("""COMPUTED_VALUE"""),7.379563325E9)</f>
        <v>7379563325</v>
      </c>
      <c r="E499" s="99">
        <f>IFERROR(__xludf.DUMMYFUNCTION("""COMPUTED_VALUE"""),45635.0)</f>
        <v>45635</v>
      </c>
      <c r="F499" s="31"/>
      <c r="G499" s="85"/>
      <c r="H499" s="31"/>
      <c r="I499" s="31" t="str">
        <f>IFERROR(__xludf.DUMMYFUNCTION("""COMPUTED_VALUE"""),"Relationship Manager")</f>
        <v>Relationship Manager</v>
      </c>
      <c r="J499" s="31"/>
      <c r="K499" s="31"/>
      <c r="L499" s="31"/>
      <c r="M499" s="31"/>
      <c r="N499" s="31"/>
    </row>
    <row r="500">
      <c r="A500" s="31">
        <f>IFERROR(__xludf.DUMMYFUNCTION("""COMPUTED_VALUE"""),569.0)</f>
        <v>569</v>
      </c>
      <c r="B500" s="31" t="str">
        <f>IFERROR(__xludf.DUMMYFUNCTION("""COMPUTED_VALUE"""),"Shiwani Pokhriyal")</f>
        <v>Shiwani Pokhriyal</v>
      </c>
      <c r="C500" s="31" t="str">
        <f>IFERROR(__xludf.DUMMYFUNCTION("""COMPUTED_VALUE"""),"shiwanipokhriyal9634@gmail.com ")</f>
        <v>shiwanipokhriyal9634@gmail.com </v>
      </c>
      <c r="D500" s="84">
        <f>IFERROR(__xludf.DUMMYFUNCTION("""COMPUTED_VALUE"""),9.634477354E9)</f>
        <v>9634477354</v>
      </c>
      <c r="E500" s="99">
        <f>IFERROR(__xludf.DUMMYFUNCTION("""COMPUTED_VALUE"""),45635.0)</f>
        <v>45635</v>
      </c>
      <c r="F500" s="31"/>
      <c r="G500" s="85"/>
      <c r="H500" s="31"/>
      <c r="I500" s="31" t="str">
        <f>IFERROR(__xludf.DUMMYFUNCTION("""COMPUTED_VALUE"""),"Senior Quality Team Lead
")</f>
        <v>Senior Quality Team Lead
</v>
      </c>
      <c r="J500" s="31"/>
      <c r="K500" s="31"/>
      <c r="L500" s="31"/>
      <c r="M500" s="31"/>
      <c r="N500" s="31"/>
    </row>
    <row r="501">
      <c r="A501" s="31">
        <f>IFERROR(__xludf.DUMMYFUNCTION("""COMPUTED_VALUE"""),570.0)</f>
        <v>570</v>
      </c>
      <c r="B501" s="31" t="str">
        <f>IFERROR(__xludf.DUMMYFUNCTION("""COMPUTED_VALUE"""),"Abhishek Srivastava")</f>
        <v>Abhishek Srivastava</v>
      </c>
      <c r="C501" s="47" t="str">
        <f>IFERROR(__xludf.DUMMYFUNCTION("""COMPUTED_VALUE"""),"abhicfg1511@gmail.com")</f>
        <v>abhicfg1511@gmail.com</v>
      </c>
      <c r="D501" s="84">
        <f>IFERROR(__xludf.DUMMYFUNCTION("""COMPUTED_VALUE"""),9.899264235E9)</f>
        <v>9899264235</v>
      </c>
      <c r="E501" s="99">
        <f>IFERROR(__xludf.DUMMYFUNCTION("""COMPUTED_VALUE"""),45635.0)</f>
        <v>45635</v>
      </c>
      <c r="F501" s="31"/>
      <c r="G501" s="85"/>
      <c r="H501" s="31"/>
      <c r="I501" s="31" t="str">
        <f>IFERROR(__xludf.DUMMYFUNCTION("""COMPUTED_VALUE"""),"Lead Product Designer")</f>
        <v>Lead Product Designer</v>
      </c>
      <c r="J501" s="31"/>
      <c r="K501" s="31"/>
      <c r="L501" s="31"/>
      <c r="M501" s="31"/>
      <c r="N501" s="31"/>
    </row>
    <row r="502">
      <c r="A502" s="31">
        <f>IFERROR(__xludf.DUMMYFUNCTION("""COMPUTED_VALUE"""),571.0)</f>
        <v>571</v>
      </c>
      <c r="B502" s="31" t="str">
        <f>IFERROR(__xludf.DUMMYFUNCTION("""COMPUTED_VALUE"""),"Arsh Jethi")</f>
        <v>Arsh Jethi</v>
      </c>
      <c r="C502" s="31" t="str">
        <f>IFERROR(__xludf.DUMMYFUNCTION("""COMPUTED_VALUE"""),"arshjethi777@gmail.com")</f>
        <v>arshjethi777@gmail.com</v>
      </c>
      <c r="D502" s="84">
        <f>IFERROR(__xludf.DUMMYFUNCTION("""COMPUTED_VALUE"""),7.71044003E9)</f>
        <v>7710440030</v>
      </c>
      <c r="E502" s="99">
        <f>IFERROR(__xludf.DUMMYFUNCTION("""COMPUTED_VALUE"""),45642.0)</f>
        <v>45642</v>
      </c>
      <c r="F502" s="31"/>
      <c r="G502" s="85"/>
      <c r="H502" s="31"/>
      <c r="I502" s="31" t="str">
        <f>IFERROR(__xludf.DUMMYFUNCTION("""COMPUTED_VALUE"""),"Lead Data Analyst")</f>
        <v>Lead Data Analyst</v>
      </c>
      <c r="J502" s="31"/>
      <c r="K502" s="31"/>
      <c r="L502" s="31"/>
      <c r="M502" s="31"/>
      <c r="N502" s="31"/>
    </row>
    <row r="503">
      <c r="A503" s="31">
        <f>IFERROR(__xludf.DUMMYFUNCTION("""COMPUTED_VALUE"""),572.0)</f>
        <v>572</v>
      </c>
      <c r="B503" s="31" t="str">
        <f>IFERROR(__xludf.DUMMYFUNCTION("""COMPUTED_VALUE"""),"Priyanshu Agrawal")</f>
        <v>Priyanshu Agrawal</v>
      </c>
      <c r="C503" s="31" t="str">
        <f>IFERROR(__xludf.DUMMYFUNCTION("""COMPUTED_VALUE"""),"priyanshuagrawal800@gmail.com")</f>
        <v>priyanshuagrawal800@gmail.com</v>
      </c>
      <c r="D503" s="84">
        <f>IFERROR(__xludf.DUMMYFUNCTION("""COMPUTED_VALUE"""),9.936428207E9)</f>
        <v>9936428207</v>
      </c>
      <c r="E503" s="99">
        <f>IFERROR(__xludf.DUMMYFUNCTION("""COMPUTED_VALUE"""),45642.0)</f>
        <v>45642</v>
      </c>
      <c r="F503" s="31"/>
      <c r="G503" s="85"/>
      <c r="H503" s="31"/>
      <c r="I503" s="31" t="str">
        <f>IFERROR(__xludf.DUMMYFUNCTION("""COMPUTED_VALUE"""),"Senior Data Engineer ")</f>
        <v>Senior Data Engineer </v>
      </c>
      <c r="J503" s="31"/>
      <c r="K503" s="31"/>
      <c r="L503" s="31"/>
      <c r="M503" s="31"/>
      <c r="N503" s="31"/>
    </row>
    <row r="504">
      <c r="A504" s="31">
        <f>IFERROR(__xludf.DUMMYFUNCTION("""COMPUTED_VALUE"""),573.0)</f>
        <v>573</v>
      </c>
      <c r="B504" s="31" t="str">
        <f>IFERROR(__xludf.DUMMYFUNCTION("""COMPUTED_VALUE"""),"Ankit Maheshwari")</f>
        <v>Ankit Maheshwari</v>
      </c>
      <c r="C504" s="31" t="str">
        <f>IFERROR(__xludf.DUMMYFUNCTION("""COMPUTED_VALUE"""),"caankit.1437@gmail.com")</f>
        <v>caankit.1437@gmail.com</v>
      </c>
      <c r="D504" s="84" t="str">
        <f>IFERROR(__xludf.DUMMYFUNCTION("""COMPUTED_VALUE"""),"98101 68083")</f>
        <v>98101 68083</v>
      </c>
      <c r="E504" s="99">
        <f>IFERROR(__xludf.DUMMYFUNCTION("""COMPUTED_VALUE"""),45642.0)</f>
        <v>45642</v>
      </c>
      <c r="F504" s="31"/>
      <c r="G504" s="85"/>
      <c r="H504" s="31"/>
      <c r="I504" s="31" t="str">
        <f>IFERROR(__xludf.DUMMYFUNCTION("""COMPUTED_VALUE"""),"Head of Finance")</f>
        <v>Head of Finance</v>
      </c>
      <c r="J504" s="31"/>
      <c r="K504" s="31"/>
      <c r="L504" s="31"/>
      <c r="M504" s="31"/>
      <c r="N504" s="31"/>
    </row>
    <row r="505">
      <c r="A505" s="31">
        <f>IFERROR(__xludf.DUMMYFUNCTION("""COMPUTED_VALUE"""),574.0)</f>
        <v>574</v>
      </c>
      <c r="B505" s="31" t="str">
        <f>IFERROR(__xludf.DUMMYFUNCTION("""COMPUTED_VALUE"""),"Pankaj Gautam")</f>
        <v>Pankaj Gautam</v>
      </c>
      <c r="C505" s="31" t="str">
        <f>IFERROR(__xludf.DUMMYFUNCTION("""COMPUTED_VALUE"""),"pankaj10478@gmail.com")</f>
        <v>pankaj10478@gmail.com</v>
      </c>
      <c r="D505" s="84">
        <f>IFERROR(__xludf.DUMMYFUNCTION("""COMPUTED_VALUE"""),7.259032047E9)</f>
        <v>7259032047</v>
      </c>
      <c r="E505" s="99">
        <f>IFERROR(__xludf.DUMMYFUNCTION("""COMPUTED_VALUE"""),45643.0)</f>
        <v>45643</v>
      </c>
      <c r="F505" s="31"/>
      <c r="G505" s="85"/>
      <c r="H505" s="31"/>
      <c r="I505" s="31" t="str">
        <f>IFERROR(__xludf.DUMMYFUNCTION("""COMPUTED_VALUE"""),"Manager- Data Analytics")</f>
        <v>Manager- Data Analytics</v>
      </c>
      <c r="J505" s="31"/>
      <c r="K505" s="31"/>
      <c r="L505" s="31"/>
      <c r="M505" s="31"/>
      <c r="N505" s="31"/>
    </row>
    <row r="506">
      <c r="A506" s="31">
        <f>IFERROR(__xludf.DUMMYFUNCTION("""COMPUTED_VALUE"""),575.0)</f>
        <v>575</v>
      </c>
      <c r="B506" s="31" t="str">
        <f>IFERROR(__xludf.DUMMYFUNCTION("""COMPUTED_VALUE"""),"Mukesh Singh")</f>
        <v>Mukesh Singh</v>
      </c>
      <c r="C506" s="31" t="str">
        <f>IFERROR(__xludf.DUMMYFUNCTION("""COMPUTED_VALUE"""),"mk526121@gmail.com")</f>
        <v>mk526121@gmail.com</v>
      </c>
      <c r="D506" s="84">
        <f>IFERROR(__xludf.DUMMYFUNCTION("""COMPUTED_VALUE"""),8.920300524E9)</f>
        <v>8920300524</v>
      </c>
      <c r="E506" s="99">
        <f>IFERROR(__xludf.DUMMYFUNCTION("""COMPUTED_VALUE"""),45644.0)</f>
        <v>45644</v>
      </c>
      <c r="F506" s="31"/>
      <c r="G506" s="85"/>
      <c r="H506" s="31"/>
      <c r="I506" s="31" t="str">
        <f>IFERROR(__xludf.DUMMYFUNCTION("""COMPUTED_VALUE"""),"Relationship Manager")</f>
        <v>Relationship Manager</v>
      </c>
      <c r="J506" s="31"/>
      <c r="K506" s="31"/>
      <c r="L506" s="31"/>
      <c r="M506" s="31"/>
      <c r="N506" s="31"/>
    </row>
    <row r="507">
      <c r="A507" s="31">
        <f>IFERROR(__xludf.DUMMYFUNCTION("""COMPUTED_VALUE"""),576.0)</f>
        <v>576</v>
      </c>
      <c r="B507" s="31" t="str">
        <f>IFERROR(__xludf.DUMMYFUNCTION("""COMPUTED_VALUE"""),"Tarun Sharma")</f>
        <v>Tarun Sharma</v>
      </c>
      <c r="C507" s="47" t="str">
        <f>IFERROR(__xludf.DUMMYFUNCTION("""COMPUTED_VALUE"""),"tarun812005@gmail.com")</f>
        <v>tarun812005@gmail.com</v>
      </c>
      <c r="D507" s="84">
        <f>IFERROR(__xludf.DUMMYFUNCTION("""COMPUTED_VALUE"""),9.958488676E9)</f>
        <v>9958488676</v>
      </c>
      <c r="E507" s="99">
        <f>IFERROR(__xludf.DUMMYFUNCTION("""COMPUTED_VALUE"""),45644.0)</f>
        <v>45644</v>
      </c>
      <c r="F507" s="31"/>
      <c r="G507" s="85"/>
      <c r="H507" s="31"/>
      <c r="I507" s="31" t="str">
        <f>IFERROR(__xludf.DUMMYFUNCTION("""COMPUTED_VALUE"""),"Manager-Quality")</f>
        <v>Manager-Quality</v>
      </c>
      <c r="J507" s="31"/>
      <c r="K507" s="31"/>
      <c r="L507" s="31"/>
      <c r="M507" s="31"/>
      <c r="N507" s="31"/>
    </row>
    <row r="508">
      <c r="A508" s="31">
        <f>IFERROR(__xludf.DUMMYFUNCTION("""COMPUTED_VALUE"""),577.0)</f>
        <v>577</v>
      </c>
      <c r="B508" s="31" t="str">
        <f>IFERROR(__xludf.DUMMYFUNCTION("""COMPUTED_VALUE"""),"Deepak Mishra")</f>
        <v>Deepak Mishra</v>
      </c>
      <c r="C508" s="31" t="str">
        <f>IFERROR(__xludf.DUMMYFUNCTION("""COMPUTED_VALUE""")," purab0484@gmail.com")</f>
        <v> purab0484@gmail.com</v>
      </c>
      <c r="D508" s="84">
        <f>IFERROR(__xludf.DUMMYFUNCTION("""COMPUTED_VALUE"""),7.042106086E9)</f>
        <v>7042106086</v>
      </c>
      <c r="E508" s="99">
        <f>IFERROR(__xludf.DUMMYFUNCTION("""COMPUTED_VALUE"""),45644.0)</f>
        <v>45644</v>
      </c>
      <c r="F508" s="31"/>
      <c r="G508" s="85"/>
      <c r="H508" s="31"/>
      <c r="I508" s="31" t="str">
        <f>IFERROR(__xludf.DUMMYFUNCTION("""COMPUTED_VALUE"""),"Manager-Site Reliability Engineering")</f>
        <v>Manager-Site Reliability Engineering</v>
      </c>
      <c r="J508" s="31"/>
      <c r="K508" s="31"/>
      <c r="L508" s="31"/>
      <c r="M508" s="31"/>
      <c r="N508" s="31"/>
    </row>
    <row r="509">
      <c r="A509" s="31">
        <f>IFERROR(__xludf.DUMMYFUNCTION("""COMPUTED_VALUE"""),578.0)</f>
        <v>578</v>
      </c>
      <c r="B509" s="31" t="str">
        <f>IFERROR(__xludf.DUMMYFUNCTION("""COMPUTED_VALUE"""),"Meenu Gupta ")</f>
        <v>Meenu Gupta </v>
      </c>
      <c r="C509" s="31" t="str">
        <f>IFERROR(__xludf.DUMMYFUNCTION("""COMPUTED_VALUE"""),"guptameenu3073@gmail.com")</f>
        <v>guptameenu3073@gmail.com</v>
      </c>
      <c r="D509" s="84">
        <f>IFERROR(__xludf.DUMMYFUNCTION("""COMPUTED_VALUE"""),9.501020345E9)</f>
        <v>9501020345</v>
      </c>
      <c r="E509" s="99">
        <f>IFERROR(__xludf.DUMMYFUNCTION("""COMPUTED_VALUE"""),45644.0)</f>
        <v>45644</v>
      </c>
      <c r="F509" s="31"/>
      <c r="G509" s="85"/>
      <c r="H509" s="31"/>
      <c r="I509" s="31" t="str">
        <f>IFERROR(__xludf.DUMMYFUNCTION("""COMPUTED_VALUE"""),"Contract - test yantra")</f>
        <v>Contract - test yantra</v>
      </c>
      <c r="J509" s="31"/>
      <c r="K509" s="31"/>
      <c r="L509" s="31"/>
      <c r="M509" s="31"/>
      <c r="N509" s="31"/>
    </row>
    <row r="510">
      <c r="A510" s="31">
        <f>IFERROR(__xludf.DUMMYFUNCTION("""COMPUTED_VALUE"""),579.0)</f>
        <v>579</v>
      </c>
      <c r="B510" s="31" t="str">
        <f>IFERROR(__xludf.DUMMYFUNCTION("""COMPUTED_VALUE"""),"Anant Dnyaneshwar Admane")</f>
        <v>Anant Dnyaneshwar Admane</v>
      </c>
      <c r="C510" s="31" t="str">
        <f>IFERROR(__xludf.DUMMYFUNCTION("""COMPUTED_VALUE"""),"admaneanant5@gmail.com")</f>
        <v>admaneanant5@gmail.com</v>
      </c>
      <c r="D510" s="84">
        <f>IFERROR(__xludf.DUMMYFUNCTION("""COMPUTED_VALUE"""),8.668293737E9)</f>
        <v>8668293737</v>
      </c>
      <c r="E510" s="99">
        <f>IFERROR(__xludf.DUMMYFUNCTION("""COMPUTED_VALUE"""),45644.0)</f>
        <v>45644</v>
      </c>
      <c r="F510" s="31"/>
      <c r="G510" s="85"/>
      <c r="H510" s="31"/>
      <c r="I510" s="31" t="str">
        <f>IFERROR(__xludf.DUMMYFUNCTION("""COMPUTED_VALUE"""),"Contract - test yantra")</f>
        <v>Contract - test yantra</v>
      </c>
      <c r="J510" s="31"/>
      <c r="K510" s="31"/>
      <c r="L510" s="31"/>
      <c r="M510" s="31"/>
      <c r="N510" s="31"/>
    </row>
    <row r="511">
      <c r="A511" s="31">
        <f>IFERROR(__xludf.DUMMYFUNCTION("""COMPUTED_VALUE"""),580.0)</f>
        <v>580</v>
      </c>
      <c r="B511" s="31" t="str">
        <f>IFERROR(__xludf.DUMMYFUNCTION("""COMPUTED_VALUE"""),"Suraj Yadav")</f>
        <v>Suraj Yadav</v>
      </c>
      <c r="C511" s="31" t="str">
        <f>IFERROR(__xludf.DUMMYFUNCTION("""COMPUTED_VALUE"""),"yadavsuraj1230@gmail.com")</f>
        <v>yadavsuraj1230@gmail.com</v>
      </c>
      <c r="D511" s="84">
        <f>IFERROR(__xludf.DUMMYFUNCTION("""COMPUTED_VALUE"""),9.044879914E9)</f>
        <v>9044879914</v>
      </c>
      <c r="E511" s="99">
        <f>IFERROR(__xludf.DUMMYFUNCTION("""COMPUTED_VALUE"""),45649.0)</f>
        <v>45649</v>
      </c>
      <c r="F511" s="31"/>
      <c r="G511" s="85"/>
      <c r="H511" s="31"/>
      <c r="I511" s="31" t="str">
        <f>IFERROR(__xludf.DUMMYFUNCTION("""COMPUTED_VALUE"""),"Relationship Manager")</f>
        <v>Relationship Manager</v>
      </c>
      <c r="J511" s="31"/>
      <c r="K511" s="31"/>
      <c r="L511" s="31"/>
      <c r="M511" s="31"/>
      <c r="N511" s="31"/>
    </row>
    <row r="512">
      <c r="A512" s="31">
        <f>IFERROR(__xludf.DUMMYFUNCTION("""COMPUTED_VALUE"""),581.0)</f>
        <v>581</v>
      </c>
      <c r="B512" s="31" t="str">
        <f>IFERROR(__xludf.DUMMYFUNCTION("""COMPUTED_VALUE"""),"Naveen Yadav")</f>
        <v>Naveen Yadav</v>
      </c>
      <c r="C512" s="31" t="str">
        <f>IFERROR(__xludf.DUMMYFUNCTION("""COMPUTED_VALUE"""),"naveenyadav.ny007@gmail.com")</f>
        <v>naveenyadav.ny007@gmail.com</v>
      </c>
      <c r="D512" s="84">
        <f>IFERROR(__xludf.DUMMYFUNCTION("""COMPUTED_VALUE"""),9.205568805E9)</f>
        <v>9205568805</v>
      </c>
      <c r="E512" s="99">
        <f>IFERROR(__xludf.DUMMYFUNCTION("""COMPUTED_VALUE"""),45649.0)</f>
        <v>45649</v>
      </c>
      <c r="F512" s="31"/>
      <c r="G512" s="85"/>
      <c r="H512" s="31"/>
      <c r="I512" s="31" t="str">
        <f>IFERROR(__xludf.DUMMYFUNCTION("""COMPUTED_VALUE"""),"Senior Data Analyst")</f>
        <v>Senior Data Analyst</v>
      </c>
      <c r="J512" s="31"/>
      <c r="K512" s="31"/>
      <c r="L512" s="31"/>
      <c r="M512" s="31"/>
      <c r="N512" s="31"/>
    </row>
    <row r="513">
      <c r="A513" s="31">
        <f>IFERROR(__xludf.DUMMYFUNCTION("""COMPUTED_VALUE"""),582.0)</f>
        <v>582</v>
      </c>
      <c r="B513" s="31" t="str">
        <f>IFERROR(__xludf.DUMMYFUNCTION("""COMPUTED_VALUE"""),"Vansh Kumar Dua")</f>
        <v>Vansh Kumar Dua</v>
      </c>
      <c r="C513" s="31" t="str">
        <f>IFERROR(__xludf.DUMMYFUNCTION("""COMPUTED_VALUE"""),"vansh.dua.101201230@gmail.com")</f>
        <v>vansh.dua.101201230@gmail.com</v>
      </c>
      <c r="D513" s="84"/>
      <c r="E513" s="99">
        <f>IFERROR(__xludf.DUMMYFUNCTION("""COMPUTED_VALUE"""),45659.0)</f>
        <v>45659</v>
      </c>
      <c r="F513" s="31"/>
      <c r="G513" s="85"/>
      <c r="H513" s="31"/>
      <c r="I513" s="31" t="str">
        <f>IFERROR(__xludf.DUMMYFUNCTION("""COMPUTED_VALUE"""),"Senior Software Engineer")</f>
        <v>Senior Software Engineer</v>
      </c>
      <c r="J513" s="31"/>
      <c r="K513" s="31"/>
      <c r="L513" s="31"/>
      <c r="M513" s="31"/>
      <c r="N513" s="31"/>
    </row>
    <row r="514">
      <c r="A514" s="31">
        <f>IFERROR(__xludf.DUMMYFUNCTION("""COMPUTED_VALUE"""),583.0)</f>
        <v>583</v>
      </c>
      <c r="B514" s="31" t="str">
        <f>IFERROR(__xludf.DUMMYFUNCTION("""COMPUTED_VALUE"""),"Samarth Udasin ")</f>
        <v>Samarth Udasin </v>
      </c>
      <c r="C514" s="31" t="str">
        <f>IFERROR(__xludf.DUMMYFUNCTION("""COMPUTED_VALUE"""),"samarthudasin@gmail.com")</f>
        <v>samarthudasin@gmail.com</v>
      </c>
      <c r="D514" s="84">
        <f>IFERROR(__xludf.DUMMYFUNCTION("""COMPUTED_VALUE"""),8.989605103E9)</f>
        <v>8989605103</v>
      </c>
      <c r="E514" s="99">
        <f>IFERROR(__xludf.DUMMYFUNCTION("""COMPUTED_VALUE"""),45659.0)</f>
        <v>45659</v>
      </c>
      <c r="F514" s="31"/>
      <c r="G514" s="85"/>
      <c r="H514" s="31"/>
      <c r="I514" s="31" t="str">
        <f>IFERROR(__xludf.DUMMYFUNCTION("""COMPUTED_VALUE"""),"Legal Trainee")</f>
        <v>Legal Trainee</v>
      </c>
      <c r="J514" s="31"/>
      <c r="K514" s="31"/>
      <c r="L514" s="31"/>
      <c r="M514" s="31"/>
      <c r="N514" s="31"/>
    </row>
    <row r="515">
      <c r="A515" s="31">
        <f>IFERROR(__xludf.DUMMYFUNCTION("""COMPUTED_VALUE"""),584.0)</f>
        <v>584</v>
      </c>
      <c r="B515" s="31" t="str">
        <f>IFERROR(__xludf.DUMMYFUNCTION("""COMPUTED_VALUE"""),"Russell Dreisenstock")</f>
        <v>Russell Dreisenstock</v>
      </c>
      <c r="C515" s="31" t="str">
        <f>IFERROR(__xludf.DUMMYFUNCTION("""COMPUTED_VALUE"""),"rdreisenstock@gmail.com")</f>
        <v>rdreisenstock@gmail.com</v>
      </c>
      <c r="D515" s="84"/>
      <c r="E515" s="99">
        <f>IFERROR(__xludf.DUMMYFUNCTION("""COMPUTED_VALUE"""),45659.0)</f>
        <v>45659</v>
      </c>
      <c r="F515" s="31"/>
      <c r="G515" s="85"/>
      <c r="H515" s="31"/>
      <c r="I515" s="31" t="str">
        <f>IFERROR(__xludf.DUMMYFUNCTION("""COMPUTED_VALUE"""),"Head of Corporate Development")</f>
        <v>Head of Corporate Development</v>
      </c>
      <c r="J515" s="31"/>
      <c r="K515" s="31"/>
      <c r="L515" s="31"/>
      <c r="M515" s="31"/>
      <c r="N515" s="31"/>
    </row>
    <row r="516">
      <c r="A516" s="31">
        <f>IFERROR(__xludf.DUMMYFUNCTION("""COMPUTED_VALUE"""),585.0)</f>
        <v>585</v>
      </c>
      <c r="B516" s="31" t="str">
        <f>IFERROR(__xludf.DUMMYFUNCTION("""COMPUTED_VALUE"""),"Aditya")</f>
        <v>Aditya</v>
      </c>
      <c r="C516" s="31" t="str">
        <f>IFERROR(__xludf.DUMMYFUNCTION("""COMPUTED_VALUE"""),"adityarao991@gmail.com")</f>
        <v>adityarao991@gmail.com</v>
      </c>
      <c r="D516" s="84">
        <f>IFERROR(__xludf.DUMMYFUNCTION("""COMPUTED_VALUE"""),8.168836952E9)</f>
        <v>8168836952</v>
      </c>
      <c r="E516" s="99">
        <f>IFERROR(__xludf.DUMMYFUNCTION("""COMPUTED_VALUE"""),45663.0)</f>
        <v>45663</v>
      </c>
      <c r="F516" s="31"/>
      <c r="G516" s="85"/>
      <c r="H516" s="31"/>
      <c r="I516" s="31" t="str">
        <f>IFERROR(__xludf.DUMMYFUNCTION("""COMPUTED_VALUE"""),"Software Engineer Trainee")</f>
        <v>Software Engineer Trainee</v>
      </c>
      <c r="J516" s="31"/>
      <c r="K516" s="31"/>
      <c r="L516" s="31"/>
      <c r="M516" s="31"/>
      <c r="N516" s="31"/>
    </row>
    <row r="517">
      <c r="A517" s="31">
        <f>IFERROR(__xludf.DUMMYFUNCTION("""COMPUTED_VALUE"""),586.0)</f>
        <v>586</v>
      </c>
      <c r="B517" s="31" t="str">
        <f>IFERROR(__xludf.DUMMYFUNCTION("""COMPUTED_VALUE"""),"Aryan Duhan	")</f>
        <v>Aryan Duhan	</v>
      </c>
      <c r="C517" s="31" t="str">
        <f>IFERROR(__xludf.DUMMYFUNCTION("""COMPUTED_VALUE"""),"aryandoon04@gmail.com")</f>
        <v>aryandoon04@gmail.com</v>
      </c>
      <c r="D517" s="84">
        <f>IFERROR(__xludf.DUMMYFUNCTION("""COMPUTED_VALUE"""),8.700174108E9)</f>
        <v>8700174108</v>
      </c>
      <c r="E517" s="99">
        <f>IFERROR(__xludf.DUMMYFUNCTION("""COMPUTED_VALUE"""),45663.0)</f>
        <v>45663</v>
      </c>
      <c r="F517" s="31"/>
      <c r="G517" s="85"/>
      <c r="H517" s="31"/>
      <c r="I517" s="31" t="str">
        <f>IFERROR(__xludf.DUMMYFUNCTION("""COMPUTED_VALUE"""),"Software Engineer Trainee")</f>
        <v>Software Engineer Trainee</v>
      </c>
      <c r="J517" s="31"/>
      <c r="K517" s="31"/>
      <c r="L517" s="31"/>
      <c r="M517" s="31"/>
      <c r="N517" s="31"/>
    </row>
    <row r="518">
      <c r="A518" s="31">
        <f>IFERROR(__xludf.DUMMYFUNCTION("""COMPUTED_VALUE"""),587.0)</f>
        <v>587</v>
      </c>
      <c r="B518" s="31" t="str">
        <f>IFERROR(__xludf.DUMMYFUNCTION("""COMPUTED_VALUE"""),"Ramendra Singh")</f>
        <v>Ramendra Singh</v>
      </c>
      <c r="C518" s="31" t="str">
        <f>IFERROR(__xludf.DUMMYFUNCTION("""COMPUTED_VALUE"""),"ramendr.pratap@gmail.com")</f>
        <v>ramendr.pratap@gmail.com</v>
      </c>
      <c r="D518" s="84">
        <f>IFERROR(__xludf.DUMMYFUNCTION("""COMPUTED_VALUE"""),8.287738829E9)</f>
        <v>8287738829</v>
      </c>
      <c r="E518" s="99">
        <f>IFERROR(__xludf.DUMMYFUNCTION("""COMPUTED_VALUE"""),45663.0)</f>
        <v>45663</v>
      </c>
      <c r="F518" s="31"/>
      <c r="G518" s="85"/>
      <c r="H518" s="31"/>
      <c r="I518" s="31" t="str">
        <f>IFERROR(__xludf.DUMMYFUNCTION("""COMPUTED_VALUE"""),"Relationship Manager")</f>
        <v>Relationship Manager</v>
      </c>
      <c r="J518" s="31"/>
      <c r="K518" s="31"/>
      <c r="L518" s="31"/>
      <c r="M518" s="31"/>
      <c r="N518" s="31"/>
    </row>
    <row r="519">
      <c r="A519" s="31">
        <f>IFERROR(__xludf.DUMMYFUNCTION("""COMPUTED_VALUE"""),588.0)</f>
        <v>588</v>
      </c>
      <c r="B519" s="31" t="str">
        <f>IFERROR(__xludf.DUMMYFUNCTION("""COMPUTED_VALUE"""),"Amit Arora")</f>
        <v>Amit Arora</v>
      </c>
      <c r="C519" s="31" t="str">
        <f>IFERROR(__xludf.DUMMYFUNCTION("""COMPUTED_VALUE"""),"amit.arora09july@gmail.com")</f>
        <v>amit.arora09july@gmail.com</v>
      </c>
      <c r="D519" s="84">
        <f>IFERROR(__xludf.DUMMYFUNCTION("""COMPUTED_VALUE"""),8.448908215E9)</f>
        <v>8448908215</v>
      </c>
      <c r="E519" s="99">
        <f>IFERROR(__xludf.DUMMYFUNCTION("""COMPUTED_VALUE"""),45663.0)</f>
        <v>45663</v>
      </c>
      <c r="F519" s="31"/>
      <c r="G519" s="85"/>
      <c r="H519" s="31"/>
      <c r="I519" s="31" t="str">
        <f>IFERROR(__xludf.DUMMYFUNCTION("""COMPUTED_VALUE"""),"Relationship Manager")</f>
        <v>Relationship Manager</v>
      </c>
      <c r="J519" s="31"/>
      <c r="K519" s="31"/>
      <c r="L519" s="31"/>
      <c r="M519" s="31"/>
      <c r="N519" s="31"/>
    </row>
    <row r="520">
      <c r="A520" s="31">
        <f>IFERROR(__xludf.DUMMYFUNCTION("""COMPUTED_VALUE"""),589.0)</f>
        <v>589</v>
      </c>
      <c r="B520" s="31" t="str">
        <f>IFERROR(__xludf.DUMMYFUNCTION("""COMPUTED_VALUE"""),"Daksh Tyagi")</f>
        <v>Daksh Tyagi</v>
      </c>
      <c r="C520" s="31" t="str">
        <f>IFERROR(__xludf.DUMMYFUNCTION("""COMPUTED_VALUE"""),"dakshtyagi21@gmail.com")</f>
        <v>dakshtyagi21@gmail.com</v>
      </c>
      <c r="D520" s="84">
        <f>IFERROR(__xludf.DUMMYFUNCTION("""COMPUTED_VALUE"""),9.711182121E9)</f>
        <v>9711182121</v>
      </c>
      <c r="E520" s="99">
        <f>IFERROR(__xludf.DUMMYFUNCTION("""COMPUTED_VALUE"""),45663.0)</f>
        <v>45663</v>
      </c>
      <c r="F520" s="31"/>
      <c r="G520" s="85"/>
      <c r="H520" s="31"/>
      <c r="I520" s="31" t="str">
        <f>IFERROR(__xludf.DUMMYFUNCTION("""COMPUTED_VALUE"""),"Head of Government Relations")</f>
        <v>Head of Government Relations</v>
      </c>
      <c r="J520" s="31"/>
      <c r="K520" s="31"/>
      <c r="L520" s="31"/>
      <c r="M520" s="31"/>
      <c r="N520" s="31"/>
    </row>
    <row r="521">
      <c r="A521" s="31">
        <f>IFERROR(__xludf.DUMMYFUNCTION("""COMPUTED_VALUE"""),590.0)</f>
        <v>590</v>
      </c>
      <c r="B521" s="31" t="str">
        <f>IFERROR(__xludf.DUMMYFUNCTION("""COMPUTED_VALUE"""),"Piyush Kumar")</f>
        <v>Piyush Kumar</v>
      </c>
      <c r="C521" s="31" t="str">
        <f>IFERROR(__xludf.DUMMYFUNCTION("""COMPUTED_VALUE"""),"ayushpiyush419@gmail.com")</f>
        <v>ayushpiyush419@gmail.com</v>
      </c>
      <c r="D521" s="84">
        <f>IFERROR(__xludf.DUMMYFUNCTION("""COMPUTED_VALUE"""),6.299433475E9)</f>
        <v>6299433475</v>
      </c>
      <c r="E521" s="99">
        <f>IFERROR(__xludf.DUMMYFUNCTION("""COMPUTED_VALUE"""),45663.0)</f>
        <v>45663</v>
      </c>
      <c r="F521" s="31"/>
      <c r="G521" s="85"/>
      <c r="H521" s="31"/>
      <c r="I521" s="31" t="str">
        <f>IFERROR(__xludf.DUMMYFUNCTION("""COMPUTED_VALUE"""),"Software Engineer Trainee ")</f>
        <v>Software Engineer Trainee </v>
      </c>
      <c r="J521" s="31"/>
      <c r="K521" s="31"/>
      <c r="L521" s="31"/>
      <c r="M521" s="31"/>
      <c r="N521" s="31"/>
    </row>
    <row r="522">
      <c r="A522" s="31">
        <f>IFERROR(__xludf.DUMMYFUNCTION("""COMPUTED_VALUE"""),591.0)</f>
        <v>591</v>
      </c>
      <c r="B522" s="31" t="str">
        <f>IFERROR(__xludf.DUMMYFUNCTION("""COMPUTED_VALUE"""),"Vamsi Haridasu")</f>
        <v>Vamsi Haridasu</v>
      </c>
      <c r="C522" s="31" t="str">
        <f>IFERROR(__xludf.DUMMYFUNCTION("""COMPUTED_VALUE"""),"vamsiharidasu64@gmail.com")</f>
        <v>vamsiharidasu64@gmail.com</v>
      </c>
      <c r="D522" s="84">
        <f>IFERROR(__xludf.DUMMYFUNCTION("""COMPUTED_VALUE"""),9.030977729E9)</f>
        <v>9030977729</v>
      </c>
      <c r="E522" s="99">
        <f>IFERROR(__xludf.DUMMYFUNCTION("""COMPUTED_VALUE"""),45663.0)</f>
        <v>45663</v>
      </c>
      <c r="F522" s="31"/>
      <c r="G522" s="85"/>
      <c r="H522" s="31"/>
      <c r="I522" s="31" t="str">
        <f>IFERROR(__xludf.DUMMYFUNCTION("""COMPUTED_VALUE"""),"Software Engineer Trainee ")</f>
        <v>Software Engineer Trainee </v>
      </c>
      <c r="J522" s="31"/>
      <c r="K522" s="31"/>
      <c r="L522" s="31"/>
      <c r="M522" s="31"/>
      <c r="N522" s="31"/>
    </row>
    <row r="523">
      <c r="A523" s="31">
        <f>IFERROR(__xludf.DUMMYFUNCTION("""COMPUTED_VALUE"""),592.0)</f>
        <v>592</v>
      </c>
      <c r="B523" s="31" t="str">
        <f>IFERROR(__xludf.DUMMYFUNCTION("""COMPUTED_VALUE"""),"Upamdeep Buragohain")</f>
        <v>Upamdeep Buragohain</v>
      </c>
      <c r="C523" s="31" t="str">
        <f>IFERROR(__xludf.DUMMYFUNCTION("""COMPUTED_VALUE"""),"buragohainupam@gmail.com")</f>
        <v>buragohainupam@gmail.com</v>
      </c>
      <c r="D523" s="84">
        <f>IFERROR(__xludf.DUMMYFUNCTION("""COMPUTED_VALUE"""),9.8649405E9)</f>
        <v>9864940500</v>
      </c>
      <c r="E523" s="99">
        <f>IFERROR(__xludf.DUMMYFUNCTION("""COMPUTED_VALUE"""),45663.0)</f>
        <v>45663</v>
      </c>
      <c r="F523" s="31"/>
      <c r="G523" s="85"/>
      <c r="H523" s="31"/>
      <c r="I523" s="31" t="str">
        <f>IFERROR(__xludf.DUMMYFUNCTION("""COMPUTED_VALUE"""),"Software Engineer Trainee ")</f>
        <v>Software Engineer Trainee </v>
      </c>
      <c r="J523" s="31"/>
      <c r="K523" s="31"/>
      <c r="L523" s="31"/>
      <c r="M523" s="31"/>
      <c r="N523" s="31"/>
    </row>
    <row r="524">
      <c r="A524" s="31">
        <f>IFERROR(__xludf.DUMMYFUNCTION("""COMPUTED_VALUE"""),593.0)</f>
        <v>593</v>
      </c>
      <c r="B524" s="31" t="str">
        <f>IFERROR(__xludf.DUMMYFUNCTION("""COMPUTED_VALUE"""),"Amit Roy")</f>
        <v>Amit Roy</v>
      </c>
      <c r="C524" s="31" t="str">
        <f>IFERROR(__xludf.DUMMYFUNCTION("""COMPUTED_VALUE"""),"aroy104321@gmail.com")</f>
        <v>aroy104321@gmail.com</v>
      </c>
      <c r="D524" s="84">
        <f>IFERROR(__xludf.DUMMYFUNCTION("""COMPUTED_VALUE"""),6.000108469E9)</f>
        <v>6000108469</v>
      </c>
      <c r="E524" s="99">
        <f>IFERROR(__xludf.DUMMYFUNCTION("""COMPUTED_VALUE"""),45663.0)</f>
        <v>45663</v>
      </c>
      <c r="F524" s="31"/>
      <c r="G524" s="85"/>
      <c r="H524" s="31"/>
      <c r="I524" s="31" t="str">
        <f>IFERROR(__xludf.DUMMYFUNCTION("""COMPUTED_VALUE"""),"Software Engineer Trainee ")</f>
        <v>Software Engineer Trainee </v>
      </c>
      <c r="J524" s="31"/>
      <c r="K524" s="31"/>
      <c r="L524" s="31"/>
      <c r="M524" s="31"/>
      <c r="N524" s="31"/>
    </row>
    <row r="525">
      <c r="A525" s="31">
        <f>IFERROR(__xludf.DUMMYFUNCTION("""COMPUTED_VALUE"""),594.0)</f>
        <v>594</v>
      </c>
      <c r="B525" s="31" t="str">
        <f>IFERROR(__xludf.DUMMYFUNCTION("""COMPUTED_VALUE"""),"Priyanshu Jha")</f>
        <v>Priyanshu Jha</v>
      </c>
      <c r="C525" s="31" t="str">
        <f>IFERROR(__xludf.DUMMYFUNCTION("""COMPUTED_VALUE"""),"priyansujha6@gmail.com")</f>
        <v>priyansujha6@gmail.com</v>
      </c>
      <c r="D525" s="84">
        <f>IFERROR(__xludf.DUMMYFUNCTION("""COMPUTED_VALUE"""),7.63606226E9)</f>
        <v>7636062260</v>
      </c>
      <c r="E525" s="99">
        <f>IFERROR(__xludf.DUMMYFUNCTION("""COMPUTED_VALUE"""),45663.0)</f>
        <v>45663</v>
      </c>
      <c r="F525" s="31"/>
      <c r="G525" s="85"/>
      <c r="H525" s="31"/>
      <c r="I525" s="31" t="str">
        <f>IFERROR(__xludf.DUMMYFUNCTION("""COMPUTED_VALUE"""),"Software Engineer Trainee ")</f>
        <v>Software Engineer Trainee </v>
      </c>
      <c r="J525" s="31"/>
      <c r="K525" s="31"/>
      <c r="L525" s="31"/>
      <c r="M525" s="31"/>
      <c r="N525" s="31"/>
    </row>
    <row r="526">
      <c r="A526" s="31">
        <f>IFERROR(__xludf.DUMMYFUNCTION("""COMPUTED_VALUE"""),595.0)</f>
        <v>595</v>
      </c>
      <c r="B526" s="31" t="str">
        <f>IFERROR(__xludf.DUMMYFUNCTION("""COMPUTED_VALUE"""),"Shubham Verma")</f>
        <v>Shubham Verma</v>
      </c>
      <c r="C526" s="31" t="str">
        <f>IFERROR(__xludf.DUMMYFUNCTION("""COMPUTED_VALUE"""),"shubham.verma.ug21@nsut.ac.in")</f>
        <v>shubham.verma.ug21@nsut.ac.in</v>
      </c>
      <c r="D526" s="84">
        <f>IFERROR(__xludf.DUMMYFUNCTION("""COMPUTED_VALUE"""),9.311880111E9)</f>
        <v>9311880111</v>
      </c>
      <c r="E526" s="99">
        <f>IFERROR(__xludf.DUMMYFUNCTION("""COMPUTED_VALUE"""),45663.0)</f>
        <v>45663</v>
      </c>
      <c r="F526" s="31"/>
      <c r="G526" s="85"/>
      <c r="H526" s="31"/>
      <c r="I526" s="31" t="str">
        <f>IFERROR(__xludf.DUMMYFUNCTION("""COMPUTED_VALUE"""),"Software Engineer Trainee ")</f>
        <v>Software Engineer Trainee </v>
      </c>
      <c r="J526" s="31"/>
      <c r="K526" s="31"/>
      <c r="L526" s="31"/>
      <c r="M526" s="31"/>
      <c r="N526" s="31"/>
    </row>
    <row r="527">
      <c r="A527" s="31">
        <f>IFERROR(__xludf.DUMMYFUNCTION("""COMPUTED_VALUE"""),596.0)</f>
        <v>596</v>
      </c>
      <c r="B527" s="31" t="str">
        <f>IFERROR(__xludf.DUMMYFUNCTION("""COMPUTED_VALUE"""),"Shrujai Gupta")</f>
        <v>Shrujai Gupta</v>
      </c>
      <c r="C527" s="31" t="str">
        <f>IFERROR(__xludf.DUMMYFUNCTION("""COMPUTED_VALUE"""),"shrujai.gupta.ug21@nsut.ac.in")</f>
        <v>shrujai.gupta.ug21@nsut.ac.in</v>
      </c>
      <c r="D527" s="84">
        <f>IFERROR(__xludf.DUMMYFUNCTION("""COMPUTED_VALUE"""),7.982283253E9)</f>
        <v>7982283253</v>
      </c>
      <c r="E527" s="99">
        <f>IFERROR(__xludf.DUMMYFUNCTION("""COMPUTED_VALUE"""),45663.0)</f>
        <v>45663</v>
      </c>
      <c r="F527" s="31"/>
      <c r="G527" s="85"/>
      <c r="H527" s="31"/>
      <c r="I527" s="31" t="str">
        <f>IFERROR(__xludf.DUMMYFUNCTION("""COMPUTED_VALUE"""),"Software Engineer Trainee ")</f>
        <v>Software Engineer Trainee </v>
      </c>
      <c r="J527" s="31"/>
      <c r="K527" s="31"/>
      <c r="L527" s="31"/>
      <c r="M527" s="31"/>
      <c r="N527" s="31"/>
    </row>
    <row r="528">
      <c r="A528" s="31">
        <f>IFERROR(__xludf.DUMMYFUNCTION("""COMPUTED_VALUE"""),597.0)</f>
        <v>597</v>
      </c>
      <c r="B528" s="31" t="str">
        <f>IFERROR(__xludf.DUMMYFUNCTION("""COMPUTED_VALUE"""),"Aditya Nath Jha")</f>
        <v>Aditya Nath Jha</v>
      </c>
      <c r="C528" s="31" t="str">
        <f>IFERROR(__xludf.DUMMYFUNCTION("""COMPUTED_VALUE"""),"aditya.jha.ug21@nsut.ac.in")</f>
        <v>aditya.jha.ug21@nsut.ac.in</v>
      </c>
      <c r="D528" s="84">
        <f>IFERROR(__xludf.DUMMYFUNCTION("""COMPUTED_VALUE"""),9.717825689E9)</f>
        <v>9717825689</v>
      </c>
      <c r="E528" s="99">
        <f>IFERROR(__xludf.DUMMYFUNCTION("""COMPUTED_VALUE"""),45663.0)</f>
        <v>45663</v>
      </c>
      <c r="F528" s="31"/>
      <c r="G528" s="85"/>
      <c r="H528" s="31"/>
      <c r="I528" s="31" t="str">
        <f>IFERROR(__xludf.DUMMYFUNCTION("""COMPUTED_VALUE"""),"Software Engineer Trainee ")</f>
        <v>Software Engineer Trainee </v>
      </c>
      <c r="J528" s="31"/>
      <c r="K528" s="31"/>
      <c r="L528" s="31"/>
      <c r="M528" s="31"/>
      <c r="N528" s="31"/>
    </row>
    <row r="529">
      <c r="A529" s="31">
        <f>IFERROR(__xludf.DUMMYFUNCTION("""COMPUTED_VALUE"""),598.0)</f>
        <v>598</v>
      </c>
      <c r="B529" s="31" t="str">
        <f>IFERROR(__xludf.DUMMYFUNCTION("""COMPUTED_VALUE"""),"Rudraksh Sharma")</f>
        <v>Rudraksh Sharma</v>
      </c>
      <c r="C529" s="31" t="str">
        <f>IFERROR(__xludf.DUMMYFUNCTION("""COMPUTED_VALUE"""),"rudraksh.sharma.ug21@nsut.ac.in")</f>
        <v>rudraksh.sharma.ug21@nsut.ac.in</v>
      </c>
      <c r="D529" s="84">
        <f>IFERROR(__xludf.DUMMYFUNCTION("""COMPUTED_VALUE"""),7.509795114E9)</f>
        <v>7509795114</v>
      </c>
      <c r="E529" s="99">
        <f>IFERROR(__xludf.DUMMYFUNCTION("""COMPUTED_VALUE"""),45663.0)</f>
        <v>45663</v>
      </c>
      <c r="F529" s="31"/>
      <c r="G529" s="85"/>
      <c r="H529" s="31"/>
      <c r="I529" s="31" t="str">
        <f>IFERROR(__xludf.DUMMYFUNCTION("""COMPUTED_VALUE"""),"Software Engineer Trainee ")</f>
        <v>Software Engineer Trainee </v>
      </c>
      <c r="J529" s="31"/>
      <c r="K529" s="31"/>
      <c r="L529" s="31"/>
      <c r="M529" s="31"/>
      <c r="N529" s="31"/>
    </row>
    <row r="530">
      <c r="A530" s="31">
        <f>IFERROR(__xludf.DUMMYFUNCTION("""COMPUTED_VALUE"""),599.0)</f>
        <v>599</v>
      </c>
      <c r="B530" s="31" t="str">
        <f>IFERROR(__xludf.DUMMYFUNCTION("""COMPUTED_VALUE"""),"Dhruv Gupta")</f>
        <v>Dhruv Gupta</v>
      </c>
      <c r="C530" s="31" t="str">
        <f>IFERROR(__xludf.DUMMYFUNCTION("""COMPUTED_VALUE"""),"guptadhruv643@gmail.com")</f>
        <v>guptadhruv643@gmail.com</v>
      </c>
      <c r="D530" s="84">
        <f>IFERROR(__xludf.DUMMYFUNCTION("""COMPUTED_VALUE"""),8.178059447E9)</f>
        <v>8178059447</v>
      </c>
      <c r="E530" s="99">
        <f>IFERROR(__xludf.DUMMYFUNCTION("""COMPUTED_VALUE"""),45665.0)</f>
        <v>45665</v>
      </c>
      <c r="F530" s="31"/>
      <c r="G530" s="85"/>
      <c r="H530" s="31"/>
      <c r="I530" s="31" t="str">
        <f>IFERROR(__xludf.DUMMYFUNCTION("""COMPUTED_VALUE"""),"Machine Learning Intern")</f>
        <v>Machine Learning Intern</v>
      </c>
      <c r="J530" s="31"/>
      <c r="K530" s="31"/>
      <c r="L530" s="31"/>
      <c r="M530" s="31"/>
      <c r="N530" s="31"/>
    </row>
    <row r="531">
      <c r="A531" s="31">
        <f>IFERROR(__xludf.DUMMYFUNCTION("""COMPUTED_VALUE"""),600.0)</f>
        <v>600</v>
      </c>
      <c r="B531" s="31" t="str">
        <f>IFERROR(__xludf.DUMMYFUNCTION("""COMPUTED_VALUE"""),"Dakshita Sharma")</f>
        <v>Dakshita Sharma</v>
      </c>
      <c r="C531" s="31" t="str">
        <f>IFERROR(__xludf.DUMMYFUNCTION("""COMPUTED_VALUE"""),"sharmadakshita98@gmail.com")</f>
        <v>sharmadakshita98@gmail.com</v>
      </c>
      <c r="D531" s="84">
        <f>IFERROR(__xludf.DUMMYFUNCTION("""COMPUTED_VALUE"""),8.373971019E9)</f>
        <v>8373971019</v>
      </c>
      <c r="E531" s="99">
        <f>IFERROR(__xludf.DUMMYFUNCTION("""COMPUTED_VALUE"""),45670.0)</f>
        <v>45670</v>
      </c>
      <c r="F531" s="31"/>
      <c r="G531" s="85"/>
      <c r="H531" s="31"/>
      <c r="I531" s="31" t="str">
        <f>IFERROR(__xludf.DUMMYFUNCTION("""COMPUTED_VALUE"""),"Graphic Design Intern")</f>
        <v>Graphic Design Intern</v>
      </c>
      <c r="J531" s="31"/>
      <c r="K531" s="31"/>
      <c r="L531" s="31"/>
      <c r="M531" s="31"/>
      <c r="N531" s="31"/>
    </row>
    <row r="532">
      <c r="A532" s="31">
        <f>IFERROR(__xludf.DUMMYFUNCTION("""COMPUTED_VALUE"""),601.0)</f>
        <v>601</v>
      </c>
      <c r="B532" s="31" t="str">
        <f>IFERROR(__xludf.DUMMYFUNCTION("""COMPUTED_VALUE"""),"Naveen Sangepu")</f>
        <v>Naveen Sangepu</v>
      </c>
      <c r="C532" s="31" t="str">
        <f>IFERROR(__xludf.DUMMYFUNCTION("""COMPUTED_VALUE"""),"sangepunaveen5@gmail.com")</f>
        <v>sangepunaveen5@gmail.com</v>
      </c>
      <c r="D532" s="84">
        <f>IFERROR(__xludf.DUMMYFUNCTION("""COMPUTED_VALUE"""),8.688998064E9)</f>
        <v>8688998064</v>
      </c>
      <c r="E532" s="99">
        <f>IFERROR(__xludf.DUMMYFUNCTION("""COMPUTED_VALUE"""),45670.0)</f>
        <v>45670</v>
      </c>
      <c r="F532" s="31"/>
      <c r="G532" s="85"/>
      <c r="H532" s="31"/>
      <c r="I532" s="31" t="str">
        <f>IFERROR(__xludf.DUMMYFUNCTION("""COMPUTED_VALUE"""),"Software Engineer ")</f>
        <v>Software Engineer </v>
      </c>
      <c r="J532" s="31"/>
      <c r="K532" s="31"/>
      <c r="L532" s="31"/>
      <c r="M532" s="31"/>
      <c r="N532" s="31"/>
    </row>
    <row r="533">
      <c r="A533" s="31">
        <f>IFERROR(__xludf.DUMMYFUNCTION("""COMPUTED_VALUE"""),602.0)</f>
        <v>602</v>
      </c>
      <c r="B533" s="31" t="str">
        <f>IFERROR(__xludf.DUMMYFUNCTION("""COMPUTED_VALUE"""),"Ankit Kumar")</f>
        <v>Ankit Kumar</v>
      </c>
      <c r="C533" s="31" t="str">
        <f>IFERROR(__xludf.DUMMYFUNCTION("""COMPUTED_VALUE"""),"ankitkumarak7424@gmail.com")</f>
        <v>ankitkumarak7424@gmail.com</v>
      </c>
      <c r="D533" s="84">
        <f>IFERROR(__xludf.DUMMYFUNCTION("""COMPUTED_VALUE"""),7.424960674E9)</f>
        <v>7424960674</v>
      </c>
      <c r="E533" s="99">
        <f>IFERROR(__xludf.DUMMYFUNCTION("""COMPUTED_VALUE"""),45670.0)</f>
        <v>45670</v>
      </c>
      <c r="F533" s="31"/>
      <c r="G533" s="85"/>
      <c r="H533" s="31"/>
      <c r="I533" s="31" t="str">
        <f>IFERROR(__xludf.DUMMYFUNCTION("""COMPUTED_VALUE"""),"Software Engineer- DevOps")</f>
        <v>Software Engineer- DevOps</v>
      </c>
      <c r="J533" s="31"/>
      <c r="K533" s="31"/>
      <c r="L533" s="31"/>
      <c r="M533" s="31"/>
      <c r="N533" s="31"/>
    </row>
    <row r="534">
      <c r="A534" s="31">
        <f>IFERROR(__xludf.DUMMYFUNCTION("""COMPUTED_VALUE"""),603.0)</f>
        <v>603</v>
      </c>
      <c r="B534" s="31" t="str">
        <f>IFERROR(__xludf.DUMMYFUNCTION("""COMPUTED_VALUE"""),"Deep Dwivedi")</f>
        <v>Deep Dwivedi</v>
      </c>
      <c r="C534" s="31" t="str">
        <f>IFERROR(__xludf.DUMMYFUNCTION("""COMPUTED_VALUE"""),"dddwivedi@gmail.com")</f>
        <v>dddwivedi@gmail.com</v>
      </c>
      <c r="D534" s="84">
        <f>IFERROR(__xludf.DUMMYFUNCTION("""COMPUTED_VALUE"""),8.971800272E9)</f>
        <v>8971800272</v>
      </c>
      <c r="E534" s="99">
        <f>IFERROR(__xludf.DUMMYFUNCTION("""COMPUTED_VALUE"""),45671.0)</f>
        <v>45671</v>
      </c>
      <c r="F534" s="31"/>
      <c r="G534" s="85"/>
      <c r="H534" s="31"/>
      <c r="I534" s="31" t="str">
        <f>IFERROR(__xludf.DUMMYFUNCTION("""COMPUTED_VALUE"""),"Director- Data Science")</f>
        <v>Director- Data Science</v>
      </c>
      <c r="J534" s="31"/>
      <c r="K534" s="31"/>
      <c r="L534" s="31"/>
      <c r="M534" s="31"/>
      <c r="N534" s="31"/>
    </row>
    <row r="535">
      <c r="A535" s="31">
        <f>IFERROR(__xludf.DUMMYFUNCTION("""COMPUTED_VALUE"""),604.0)</f>
        <v>604</v>
      </c>
      <c r="B535" s="31" t="str">
        <f>IFERROR(__xludf.DUMMYFUNCTION("""COMPUTED_VALUE"""),"Mirza Azhar Beg")</f>
        <v>Mirza Azhar Beg</v>
      </c>
      <c r="C535" s="31" t="str">
        <f>IFERROR(__xludf.DUMMYFUNCTION("""COMPUTED_VALUE"""),"mirzaazharbeg9@gmail.com")</f>
        <v>mirzaazharbeg9@gmail.com</v>
      </c>
      <c r="D535" s="84">
        <f>IFERROR(__xludf.DUMMYFUNCTION("""COMPUTED_VALUE"""),9.336448098E9)</f>
        <v>9336448098</v>
      </c>
      <c r="E535" s="99">
        <f>IFERROR(__xludf.DUMMYFUNCTION("""COMPUTED_VALUE"""),45672.0)</f>
        <v>45672</v>
      </c>
      <c r="F535" s="31"/>
      <c r="G535" s="85"/>
      <c r="H535" s="31"/>
      <c r="I535" s="31" t="str">
        <f>IFERROR(__xludf.DUMMYFUNCTION("""COMPUTED_VALUE"""),"Relationship Manager")</f>
        <v>Relationship Manager</v>
      </c>
      <c r="J535" s="31"/>
      <c r="K535" s="31"/>
      <c r="L535" s="31"/>
      <c r="M535" s="31"/>
      <c r="N535" s="31"/>
    </row>
    <row r="536">
      <c r="A536" s="31">
        <f>IFERROR(__xludf.DUMMYFUNCTION("""COMPUTED_VALUE"""),605.0)</f>
        <v>605</v>
      </c>
      <c r="B536" s="31" t="str">
        <f>IFERROR(__xludf.DUMMYFUNCTION("""COMPUTED_VALUE"""),"Arushi Patni")</f>
        <v>Arushi Patni</v>
      </c>
      <c r="C536" s="31" t="str">
        <f>IFERROR(__xludf.DUMMYFUNCTION("""COMPUTED_VALUE"""),"patniarushi@gmail.com")</f>
        <v>patniarushi@gmail.com</v>
      </c>
      <c r="D536" s="84">
        <f>IFERROR(__xludf.DUMMYFUNCTION("""COMPUTED_VALUE"""),8.05865647E9)</f>
        <v>8058656470</v>
      </c>
      <c r="E536" s="99">
        <f>IFERROR(__xludf.DUMMYFUNCTION("""COMPUTED_VALUE"""),45677.0)</f>
        <v>45677</v>
      </c>
      <c r="F536" s="31"/>
      <c r="G536" s="85"/>
      <c r="H536" s="31"/>
      <c r="I536" s="31" t="str">
        <f>IFERROR(__xludf.DUMMYFUNCTION("""COMPUTED_VALUE"""),"AM-Business Finance")</f>
        <v>AM-Business Finance</v>
      </c>
      <c r="J536" s="31"/>
      <c r="K536" s="31"/>
      <c r="L536" s="31"/>
      <c r="M536" s="31"/>
      <c r="N536" s="31"/>
    </row>
    <row r="537">
      <c r="A537" s="31">
        <f>IFERROR(__xludf.DUMMYFUNCTION("""COMPUTED_VALUE"""),606.0)</f>
        <v>606</v>
      </c>
      <c r="B537" s="31" t="str">
        <f>IFERROR(__xludf.DUMMYFUNCTION("""COMPUTED_VALUE"""),"Karan Aggarwal")</f>
        <v>Karan Aggarwal</v>
      </c>
      <c r="C537" s="31" t="str">
        <f>IFERROR(__xludf.DUMMYFUNCTION("""COMPUTED_VALUE"""),"karana2016@email.iimcal.ac.in")</f>
        <v>karana2016@email.iimcal.ac.in</v>
      </c>
      <c r="D537" s="84">
        <f>IFERROR(__xludf.DUMMYFUNCTION("""COMPUTED_VALUE"""),9.871356021E9)</f>
        <v>9871356021</v>
      </c>
      <c r="E537" s="99">
        <f>IFERROR(__xludf.DUMMYFUNCTION("""COMPUTED_VALUE"""),45677.0)</f>
        <v>45677</v>
      </c>
      <c r="F537" s="31"/>
      <c r="G537" s="85"/>
      <c r="H537" s="31"/>
      <c r="I537" s="31" t="str">
        <f>IFERROR(__xludf.DUMMYFUNCTION("""COMPUTED_VALUE"""),"Director- Revenue and Growth")</f>
        <v>Director- Revenue and Growth</v>
      </c>
      <c r="J537" s="31"/>
      <c r="K537" s="31"/>
      <c r="L537" s="31"/>
      <c r="M537" s="31"/>
      <c r="N537" s="31"/>
    </row>
    <row r="538">
      <c r="A538" s="31">
        <f>IFERROR(__xludf.DUMMYFUNCTION("""COMPUTED_VALUE"""),607.0)</f>
        <v>607</v>
      </c>
      <c r="B538" s="31" t="str">
        <f>IFERROR(__xludf.DUMMYFUNCTION("""COMPUTED_VALUE"""),"Swati Puhan")</f>
        <v>Swati Puhan</v>
      </c>
      <c r="C538" s="31" t="str">
        <f>IFERROR(__xludf.DUMMYFUNCTION("""COMPUTED_VALUE"""),"swatipuhan@gmail.com")</f>
        <v>swatipuhan@gmail.com</v>
      </c>
      <c r="D538" s="84">
        <f>IFERROR(__xludf.DUMMYFUNCTION("""COMPUTED_VALUE"""),9.114268898E9)</f>
        <v>9114268898</v>
      </c>
      <c r="E538" s="99">
        <f>IFERROR(__xludf.DUMMYFUNCTION("""COMPUTED_VALUE"""),45684.0)</f>
        <v>45684</v>
      </c>
      <c r="F538" s="31"/>
      <c r="G538" s="85"/>
      <c r="H538" s="31"/>
      <c r="I538" s="31" t="str">
        <f>IFERROR(__xludf.DUMMYFUNCTION("""COMPUTED_VALUE"""),"Contractual: Test Yantra")</f>
        <v>Contractual: Test Yantra</v>
      </c>
      <c r="J538" s="31"/>
      <c r="K538" s="31"/>
      <c r="L538" s="31"/>
      <c r="M538" s="31"/>
      <c r="N538" s="31"/>
    </row>
    <row r="539">
      <c r="A539" s="31">
        <f>IFERROR(__xludf.DUMMYFUNCTION("""COMPUTED_VALUE"""),608.0)</f>
        <v>608</v>
      </c>
      <c r="B539" s="31" t="str">
        <f>IFERROR(__xludf.DUMMYFUNCTION("""COMPUTED_VALUE"""),"Sourav")</f>
        <v>Sourav</v>
      </c>
      <c r="C539" s="31" t="str">
        <f>IFERROR(__xludf.DUMMYFUNCTION("""COMPUTED_VALUE"""),"sauravgarg1820@gmail.com")</f>
        <v>sauravgarg1820@gmail.com</v>
      </c>
      <c r="D539" s="84">
        <f>IFERROR(__xludf.DUMMYFUNCTION("""COMPUTED_VALUE"""),9.999940579E9)</f>
        <v>9999940579</v>
      </c>
      <c r="E539" s="99">
        <f>IFERROR(__xludf.DUMMYFUNCTION("""COMPUTED_VALUE"""),45684.0)</f>
        <v>45684</v>
      </c>
      <c r="F539" s="31"/>
      <c r="G539" s="85"/>
      <c r="H539" s="31"/>
      <c r="I539" s="31" t="str">
        <f>IFERROR(__xludf.DUMMYFUNCTION("""COMPUTED_VALUE"""),"Contractual: Test Yantra")</f>
        <v>Contractual: Test Yantra</v>
      </c>
      <c r="J539" s="31"/>
      <c r="K539" s="31"/>
      <c r="L539" s="31"/>
      <c r="M539" s="31"/>
      <c r="N539" s="31"/>
    </row>
    <row r="540">
      <c r="A540" s="31">
        <f>IFERROR(__xludf.DUMMYFUNCTION("""COMPUTED_VALUE"""),609.0)</f>
        <v>609</v>
      </c>
      <c r="B540" s="31" t="str">
        <f>IFERROR(__xludf.DUMMYFUNCTION("""COMPUTED_VALUE"""),"Vikas Gupta")</f>
        <v>Vikas Gupta</v>
      </c>
      <c r="C540" s="31" t="str">
        <f>IFERROR(__xludf.DUMMYFUNCTION("""COMPUTED_VALUE"""),"Vikasonway143@gmail.com")</f>
        <v>Vikasonway143@gmail.com</v>
      </c>
      <c r="D540" s="84">
        <f>IFERROR(__xludf.DUMMYFUNCTION("""COMPUTED_VALUE"""),9.958867636E9)</f>
        <v>9958867636</v>
      </c>
      <c r="E540" s="99">
        <f>IFERROR(__xludf.DUMMYFUNCTION("""COMPUTED_VALUE"""),45691.0)</f>
        <v>45691</v>
      </c>
      <c r="F540" s="31"/>
      <c r="G540" s="85"/>
      <c r="H540" s="31"/>
      <c r="I540" s="31" t="str">
        <f>IFERROR(__xludf.DUMMYFUNCTION("""COMPUTED_VALUE"""),"Manager - FinOps")</f>
        <v>Manager - FinOps</v>
      </c>
      <c r="J540" s="31"/>
      <c r="K540" s="31"/>
      <c r="L540" s="31"/>
      <c r="M540" s="31"/>
      <c r="N540" s="31"/>
    </row>
    <row r="541">
      <c r="A541" s="31">
        <f>IFERROR(__xludf.DUMMYFUNCTION("""COMPUTED_VALUE"""),610.0)</f>
        <v>610</v>
      </c>
      <c r="B541" s="31" t="str">
        <f>IFERROR(__xludf.DUMMYFUNCTION("""COMPUTED_VALUE"""),"Prachi  Kanthiyal")</f>
        <v>Prachi  Kanthiyal</v>
      </c>
      <c r="C541" s="31" t="str">
        <f>IFERROR(__xludf.DUMMYFUNCTION("""COMPUTED_VALUE"""),"prachikabthiyal@gmail.com")</f>
        <v>prachikabthiyal@gmail.com</v>
      </c>
      <c r="D541" s="84">
        <f>IFERROR(__xludf.DUMMYFUNCTION("""COMPUTED_VALUE"""),9.890179987E9)</f>
        <v>9890179987</v>
      </c>
      <c r="E541" s="99">
        <f>IFERROR(__xludf.DUMMYFUNCTION("""COMPUTED_VALUE"""),45691.0)</f>
        <v>45691</v>
      </c>
      <c r="F541" s="31"/>
      <c r="G541" s="85"/>
      <c r="H541" s="31"/>
      <c r="I541" s="31" t="str">
        <f>IFERROR(__xludf.DUMMYFUNCTION("""COMPUTED_VALUE"""),"Manager - Public relations")</f>
        <v>Manager - Public relations</v>
      </c>
      <c r="J541" s="31"/>
      <c r="K541" s="31"/>
      <c r="L541" s="31"/>
      <c r="M541" s="31"/>
      <c r="N541" s="31"/>
    </row>
    <row r="542">
      <c r="A542" s="31">
        <f>IFERROR(__xludf.DUMMYFUNCTION("""COMPUTED_VALUE"""),611.0)</f>
        <v>611</v>
      </c>
      <c r="B542" s="31" t="str">
        <f>IFERROR(__xludf.DUMMYFUNCTION("""COMPUTED_VALUE"""),"Prateek Mittal")</f>
        <v>Prateek Mittal</v>
      </c>
      <c r="C542" s="31" t="str">
        <f>IFERROR(__xludf.DUMMYFUNCTION("""COMPUTED_VALUE"""),"prateekmittal0097@gmail.com")</f>
        <v>prateekmittal0097@gmail.com</v>
      </c>
      <c r="D542" s="84">
        <f>IFERROR(__xludf.DUMMYFUNCTION("""COMPUTED_VALUE"""),9.521423095E9)</f>
        <v>9521423095</v>
      </c>
      <c r="E542" s="99">
        <f>IFERROR(__xludf.DUMMYFUNCTION("""COMPUTED_VALUE"""),45691.0)</f>
        <v>45691</v>
      </c>
      <c r="F542" s="31"/>
      <c r="G542" s="85"/>
      <c r="H542" s="31"/>
      <c r="I542" s="31" t="str">
        <f>IFERROR(__xludf.DUMMYFUNCTION("""COMPUTED_VALUE"""),"Senior Software Development Engineer in Test")</f>
        <v>Senior Software Development Engineer in Test</v>
      </c>
      <c r="J542" s="31"/>
      <c r="K542" s="31"/>
      <c r="L542" s="31"/>
      <c r="M542" s="31"/>
      <c r="N542" s="31"/>
    </row>
    <row r="543">
      <c r="A543" s="31">
        <f>IFERROR(__xludf.DUMMYFUNCTION("""COMPUTED_VALUE"""),612.0)</f>
        <v>612</v>
      </c>
      <c r="B543" s="31" t="str">
        <f>IFERROR(__xludf.DUMMYFUNCTION("""COMPUTED_VALUE"""),"Dipankar Yadav")</f>
        <v>Dipankar Yadav</v>
      </c>
      <c r="C543" s="31" t="str">
        <f>IFERROR(__xludf.DUMMYFUNCTION("""COMPUTED_VALUE"""),"dipankaryadav1234@gmail.com")</f>
        <v>dipankaryadav1234@gmail.com</v>
      </c>
      <c r="D543" s="84">
        <f>IFERROR(__xludf.DUMMYFUNCTION("""COMPUTED_VALUE"""),9.996553546E9)</f>
        <v>9996553546</v>
      </c>
      <c r="E543" s="99">
        <f>IFERROR(__xludf.DUMMYFUNCTION("""COMPUTED_VALUE"""),45693.0)</f>
        <v>45693</v>
      </c>
      <c r="F543" s="31"/>
      <c r="G543" s="85"/>
      <c r="H543" s="31"/>
      <c r="I543" s="31" t="str">
        <f>IFERROR(__xludf.DUMMYFUNCTION("""COMPUTED_VALUE"""),"Software Engineer Intern")</f>
        <v>Software Engineer Intern</v>
      </c>
      <c r="J543" s="31"/>
      <c r="K543" s="31"/>
      <c r="L543" s="31"/>
      <c r="M543" s="31"/>
      <c r="N543" s="31"/>
    </row>
    <row r="544">
      <c r="A544" s="31">
        <f>IFERROR(__xludf.DUMMYFUNCTION("""COMPUTED_VALUE"""),613.0)</f>
        <v>613</v>
      </c>
      <c r="B544" s="31" t="str">
        <f>IFERROR(__xludf.DUMMYFUNCTION("""COMPUTED_VALUE"""),"Saneesh Maheshwari")</f>
        <v>Saneesh Maheshwari</v>
      </c>
      <c r="C544" s="86" t="str">
        <f>IFERROR(__xludf.DUMMYFUNCTION("""COMPUTED_VALUE"""),"saneeshm2103@gmail.com")</f>
        <v>saneeshm2103@gmail.com</v>
      </c>
      <c r="D544" s="84">
        <f>IFERROR(__xludf.DUMMYFUNCTION("""COMPUTED_VALUE"""),9.675539871E9)</f>
        <v>9675539871</v>
      </c>
      <c r="E544" s="99">
        <f>IFERROR(__xludf.DUMMYFUNCTION("""COMPUTED_VALUE"""),45694.0)</f>
        <v>45694</v>
      </c>
      <c r="F544" s="31"/>
      <c r="G544" s="85"/>
      <c r="H544" s="31"/>
      <c r="I544" s="31" t="str">
        <f>IFERROR(__xludf.DUMMYFUNCTION("""COMPUTED_VALUE"""),"Contractual: Programming")</f>
        <v>Contractual: Programming</v>
      </c>
      <c r="J544" s="31"/>
      <c r="K544" s="31"/>
      <c r="L544" s="31"/>
      <c r="M544" s="31"/>
      <c r="N544" s="31"/>
    </row>
    <row r="545">
      <c r="A545" s="31">
        <f>IFERROR(__xludf.DUMMYFUNCTION("""COMPUTED_VALUE"""),614.0)</f>
        <v>614</v>
      </c>
      <c r="B545" s="31" t="str">
        <f>IFERROR(__xludf.DUMMYFUNCTION("""COMPUTED_VALUE"""),"Rochak Kumar Ritam")</f>
        <v>Rochak Kumar Ritam</v>
      </c>
      <c r="C545" s="31" t="str">
        <f>IFERROR(__xludf.DUMMYFUNCTION("""COMPUTED_VALUE"""),"rochakpratyoosh2222@gmail.com")</f>
        <v>rochakpratyoosh2222@gmail.com</v>
      </c>
      <c r="D545" s="84">
        <f>IFERROR(__xludf.DUMMYFUNCTION("""COMPUTED_VALUE"""),7.091150057E9)</f>
        <v>7091150057</v>
      </c>
      <c r="E545" s="99">
        <f>IFERROR(__xludf.DUMMYFUNCTION("""COMPUTED_VALUE"""),45698.0)</f>
        <v>45698</v>
      </c>
      <c r="F545" s="31"/>
      <c r="G545" s="85"/>
      <c r="H545" s="31"/>
      <c r="I545" s="31" t="str">
        <f>IFERROR(__xludf.DUMMYFUNCTION("""COMPUTED_VALUE"""),"User Experience Researcher")</f>
        <v>User Experience Researcher</v>
      </c>
      <c r="J545" s="31"/>
      <c r="K545" s="31"/>
      <c r="L545" s="31"/>
      <c r="M545" s="31"/>
      <c r="N545" s="31"/>
    </row>
    <row r="546">
      <c r="A546" s="31">
        <f>IFERROR(__xludf.DUMMYFUNCTION("""COMPUTED_VALUE"""),615.0)</f>
        <v>615</v>
      </c>
      <c r="B546" s="31" t="str">
        <f>IFERROR(__xludf.DUMMYFUNCTION("""COMPUTED_VALUE"""),"Aditya pawar")</f>
        <v>Aditya pawar</v>
      </c>
      <c r="C546" s="31" t="str">
        <f>IFERROR(__xludf.DUMMYFUNCTION("""COMPUTED_VALUE"""),"aadi.p15@gmail.com")</f>
        <v>aadi.p15@gmail.com</v>
      </c>
      <c r="D546" s="84">
        <f>IFERROR(__xludf.DUMMYFUNCTION("""COMPUTED_VALUE"""),8.384065469E9)</f>
        <v>8384065469</v>
      </c>
      <c r="E546" s="99">
        <f>IFERROR(__xludf.DUMMYFUNCTION("""COMPUTED_VALUE"""),45702.0)</f>
        <v>45702</v>
      </c>
      <c r="F546" s="31"/>
      <c r="G546" s="85"/>
      <c r="H546" s="31"/>
      <c r="I546" s="31" t="str">
        <f>IFERROR(__xludf.DUMMYFUNCTION("""COMPUTED_VALUE"""),"CRM: HRO")</f>
        <v>CRM: HRO</v>
      </c>
      <c r="J546" s="31"/>
      <c r="K546" s="31"/>
      <c r="L546" s="31"/>
      <c r="M546" s="31"/>
      <c r="N546" s="31"/>
    </row>
    <row r="547">
      <c r="A547" s="31">
        <f>IFERROR(__xludf.DUMMYFUNCTION("""COMPUTED_VALUE"""),616.0)</f>
        <v>616</v>
      </c>
      <c r="B547" s="31" t="str">
        <f>IFERROR(__xludf.DUMMYFUNCTION("""COMPUTED_VALUE"""),"Kamal Dixit")</f>
        <v>Kamal Dixit</v>
      </c>
      <c r="C547" s="86" t="str">
        <f>IFERROR(__xludf.DUMMYFUNCTION("""COMPUTED_VALUE"""),"arrexdev@gmail.com")</f>
        <v>arrexdev@gmail.com</v>
      </c>
      <c r="D547" s="84">
        <f>IFERROR(__xludf.DUMMYFUNCTION("""COMPUTED_VALUE"""),9.180769266E9)</f>
        <v>9180769266</v>
      </c>
      <c r="E547" s="99">
        <f>IFERROR(__xludf.DUMMYFUNCTION("""COMPUTED_VALUE"""),45705.0)</f>
        <v>45705</v>
      </c>
      <c r="F547" s="31"/>
      <c r="G547" s="85"/>
      <c r="H547" s="31"/>
      <c r="I547" s="31" t="str">
        <f>IFERROR(__xludf.DUMMYFUNCTION("""COMPUTED_VALUE"""),"Contract: Programming")</f>
        <v>Contract: Programming</v>
      </c>
      <c r="J547" s="31"/>
      <c r="K547" s="31"/>
      <c r="L547" s="31"/>
      <c r="M547" s="31"/>
      <c r="N547" s="31"/>
    </row>
    <row r="548">
      <c r="A548" s="31">
        <f>IFERROR(__xludf.DUMMYFUNCTION("""COMPUTED_VALUE"""),617.0)</f>
        <v>617</v>
      </c>
      <c r="B548" s="31" t="str">
        <f>IFERROR(__xludf.DUMMYFUNCTION("""COMPUTED_VALUE"""),"Sparsh Agarwal")</f>
        <v>Sparsh Agarwal</v>
      </c>
      <c r="C548" s="31" t="str">
        <f>IFERROR(__xludf.DUMMYFUNCTION("""COMPUTED_VALUE"""),"agarwal.1234.sparsh@gmail.com")</f>
        <v>agarwal.1234.sparsh@gmail.com</v>
      </c>
      <c r="D548" s="84">
        <f>IFERROR(__xludf.DUMMYFUNCTION("""COMPUTED_VALUE"""),7.302537303E9)</f>
        <v>7302537303</v>
      </c>
      <c r="E548" s="99">
        <f>IFERROR(__xludf.DUMMYFUNCTION("""COMPUTED_VALUE"""),45707.0)</f>
        <v>45707</v>
      </c>
      <c r="F548" s="31"/>
      <c r="G548" s="85"/>
      <c r="H548" s="31"/>
      <c r="I548" s="31" t="str">
        <f>IFERROR(__xludf.DUMMYFUNCTION("""COMPUTED_VALUE"""),"CA Intern")</f>
        <v>CA Intern</v>
      </c>
      <c r="J548" s="31"/>
      <c r="K548" s="31"/>
      <c r="L548" s="31"/>
      <c r="M548" s="31"/>
      <c r="N548" s="31"/>
    </row>
    <row r="549">
      <c r="A549" s="31">
        <f>IFERROR(__xludf.DUMMYFUNCTION("""COMPUTED_VALUE"""),618.0)</f>
        <v>618</v>
      </c>
      <c r="B549" s="31" t="str">
        <f>IFERROR(__xludf.DUMMYFUNCTION("""COMPUTED_VALUE"""),"Nikhil Jha")</f>
        <v>Nikhil Jha</v>
      </c>
      <c r="C549" s="31" t="str">
        <f>IFERROR(__xludf.DUMMYFUNCTION("""COMPUTED_VALUE"""),"nikhiljhaa506@gmail.com")</f>
        <v>nikhiljhaa506@gmail.com</v>
      </c>
      <c r="D549" s="84">
        <f>IFERROR(__xludf.DUMMYFUNCTION("""COMPUTED_VALUE"""),9.311233392E9)</f>
        <v>9311233392</v>
      </c>
      <c r="E549" s="99">
        <f>IFERROR(__xludf.DUMMYFUNCTION("""COMPUTED_VALUE"""),45707.0)</f>
        <v>45707</v>
      </c>
      <c r="F549" s="31"/>
      <c r="G549" s="85"/>
      <c r="H549" s="31"/>
      <c r="I549" s="31" t="str">
        <f>IFERROR(__xludf.DUMMYFUNCTION("""COMPUTED_VALUE"""),"Machine Learning Engineer")</f>
        <v>Machine Learning Engineer</v>
      </c>
      <c r="J549" s="31"/>
      <c r="K549" s="31"/>
      <c r="L549" s="31"/>
      <c r="M549" s="31"/>
      <c r="N549" s="31"/>
    </row>
    <row r="550">
      <c r="A550" s="31">
        <f>IFERROR(__xludf.DUMMYFUNCTION("""COMPUTED_VALUE"""),619.0)</f>
        <v>619</v>
      </c>
      <c r="B550" s="31" t="str">
        <f>IFERROR(__xludf.DUMMYFUNCTION("""COMPUTED_VALUE"""),"Shubham Maurya")</f>
        <v>Shubham Maurya</v>
      </c>
      <c r="C550" s="31" t="str">
        <f>IFERROR(__xludf.DUMMYFUNCTION("""COMPUTED_VALUE"""),"shubhmaurya73536@gmail.com")</f>
        <v>shubhmaurya73536@gmail.com</v>
      </c>
      <c r="D550" s="84">
        <f>IFERROR(__xludf.DUMMYFUNCTION("""COMPUTED_VALUE"""),9.695611351E9)</f>
        <v>9695611351</v>
      </c>
      <c r="E550" s="99">
        <f>IFERROR(__xludf.DUMMYFUNCTION("""COMPUTED_VALUE"""),45708.0)</f>
        <v>45708</v>
      </c>
      <c r="F550" s="31"/>
      <c r="G550" s="85"/>
      <c r="H550" s="31"/>
      <c r="I550" s="31" t="str">
        <f>IFERROR(__xludf.DUMMYFUNCTION("""COMPUTED_VALUE"""),"Contractual: Test Yantra")</f>
        <v>Contractual: Test Yantra</v>
      </c>
      <c r="J550" s="31"/>
      <c r="K550" s="31"/>
      <c r="L550" s="31"/>
      <c r="M550" s="31"/>
      <c r="N550" s="31"/>
    </row>
    <row r="551">
      <c r="A551" s="31">
        <f>IFERROR(__xludf.DUMMYFUNCTION("""COMPUTED_VALUE"""),620.0)</f>
        <v>620</v>
      </c>
      <c r="B551" s="31" t="str">
        <f>IFERROR(__xludf.DUMMYFUNCTION("""COMPUTED_VALUE"""),"Abhishek Chaudhary")</f>
        <v>Abhishek Chaudhary</v>
      </c>
      <c r="C551" s="31" t="str">
        <f>IFERROR(__xludf.DUMMYFUNCTION("""COMPUTED_VALUE"""),"abhichoudhary25042002@gmail.com")</f>
        <v>abhichoudhary25042002@gmail.com</v>
      </c>
      <c r="D551" s="84">
        <f>IFERROR(__xludf.DUMMYFUNCTION("""COMPUTED_VALUE"""),9.354265087E9)</f>
        <v>9354265087</v>
      </c>
      <c r="E551" s="99">
        <f>IFERROR(__xludf.DUMMYFUNCTION("""COMPUTED_VALUE"""),45707.0)</f>
        <v>45707</v>
      </c>
      <c r="F551" s="31"/>
      <c r="G551" s="85"/>
      <c r="H551" s="31"/>
      <c r="I551" s="31" t="str">
        <f>IFERROR(__xludf.DUMMYFUNCTION("""COMPUTED_VALUE"""),"Data Engineer Intern")</f>
        <v>Data Engineer Intern</v>
      </c>
      <c r="J551" s="31"/>
      <c r="K551" s="31"/>
      <c r="L551" s="31"/>
      <c r="M551" s="31"/>
      <c r="N551" s="31"/>
    </row>
    <row r="552">
      <c r="A552" s="31">
        <f>IFERROR(__xludf.DUMMYFUNCTION("""COMPUTED_VALUE"""),621.0)</f>
        <v>621</v>
      </c>
      <c r="B552" s="31" t="str">
        <f>IFERROR(__xludf.DUMMYFUNCTION("""COMPUTED_VALUE"""),"Vivek Sharma")</f>
        <v>Vivek Sharma</v>
      </c>
      <c r="C552" s="31" t="str">
        <f>IFERROR(__xludf.DUMMYFUNCTION("""COMPUTED_VALUE"""),"animany0000@gmail.com")</f>
        <v>animany0000@gmail.com</v>
      </c>
      <c r="D552" s="84">
        <f>IFERROR(__xludf.DUMMYFUNCTION("""COMPUTED_VALUE"""),9.5820949E9)</f>
        <v>9582094900</v>
      </c>
      <c r="E552" s="99">
        <f>IFERROR(__xludf.DUMMYFUNCTION("""COMPUTED_VALUE"""),45712.0)</f>
        <v>45712</v>
      </c>
      <c r="F552" s="31"/>
      <c r="G552" s="85"/>
      <c r="H552" s="31"/>
      <c r="I552" s="31" t="str">
        <f>IFERROR(__xludf.DUMMYFUNCTION("""COMPUTED_VALUE"""),"Senior Software Engineer - Unity.")</f>
        <v>Senior Software Engineer - Unity.</v>
      </c>
      <c r="J552" s="31"/>
      <c r="K552" s="31"/>
      <c r="L552" s="31"/>
      <c r="M552" s="31"/>
      <c r="N552" s="31"/>
    </row>
    <row r="553">
      <c r="A553" s="31">
        <f>IFERROR(__xludf.DUMMYFUNCTION("""COMPUTED_VALUE"""),622.0)</f>
        <v>622</v>
      </c>
      <c r="B553" s="31" t="str">
        <f>IFERROR(__xludf.DUMMYFUNCTION("""COMPUTED_VALUE"""),"Mohini")</f>
        <v>Mohini</v>
      </c>
      <c r="C553" s="31" t="str">
        <f>IFERROR(__xludf.DUMMYFUNCTION("""COMPUTED_VALUE"""),"mohini951995@gmail.com")</f>
        <v>mohini951995@gmail.com</v>
      </c>
      <c r="D553" s="84">
        <f>IFERROR(__xludf.DUMMYFUNCTION("""COMPUTED_VALUE"""),9.62857646E9)</f>
        <v>9628576460</v>
      </c>
      <c r="E553" s="99">
        <f>IFERROR(__xludf.DUMMYFUNCTION("""COMPUTED_VALUE"""),45713.0)</f>
        <v>45713</v>
      </c>
      <c r="F553" s="31"/>
      <c r="G553" s="85"/>
      <c r="H553" s="31"/>
      <c r="I553" s="31" t="str">
        <f>IFERROR(__xludf.DUMMYFUNCTION("""COMPUTED_VALUE"""),"Contract: Programming")</f>
        <v>Contract: Programming</v>
      </c>
      <c r="J553" s="31"/>
      <c r="K553" s="31"/>
      <c r="L553" s="31"/>
      <c r="M553" s="31"/>
      <c r="N553" s="31"/>
    </row>
    <row r="554">
      <c r="A554" s="31">
        <f>IFERROR(__xludf.DUMMYFUNCTION("""COMPUTED_VALUE"""),623.0)</f>
        <v>623</v>
      </c>
      <c r="B554" s="31" t="str">
        <f>IFERROR(__xludf.DUMMYFUNCTION("""COMPUTED_VALUE"""),"Vipin Yadav ")</f>
        <v>Vipin Yadav </v>
      </c>
      <c r="C554" s="31" t="str">
        <f>IFERROR(__xludf.DUMMYFUNCTION("""COMPUTED_VALUE"""),"yadavvipin798@gmail.com")</f>
        <v>yadavvipin798@gmail.com</v>
      </c>
      <c r="D554" s="84">
        <f>IFERROR(__xludf.DUMMYFUNCTION("""COMPUTED_VALUE"""),8.318393432E9)</f>
        <v>8318393432</v>
      </c>
      <c r="E554" s="99">
        <f>IFERROR(__xludf.DUMMYFUNCTION("""COMPUTED_VALUE"""),45713.0)</f>
        <v>45713</v>
      </c>
      <c r="F554" s="31"/>
      <c r="G554" s="85"/>
      <c r="H554" s="31"/>
      <c r="I554" s="31" t="str">
        <f>IFERROR(__xludf.DUMMYFUNCTION("""COMPUTED_VALUE"""),"Contract: Programming")</f>
        <v>Contract: Programming</v>
      </c>
      <c r="J554" s="31"/>
      <c r="K554" s="31"/>
      <c r="L554" s="31"/>
      <c r="M554" s="31"/>
      <c r="N554" s="31"/>
    </row>
    <row r="555">
      <c r="A555" s="31">
        <f>IFERROR(__xludf.DUMMYFUNCTION("""COMPUTED_VALUE"""),624.0)</f>
        <v>624</v>
      </c>
      <c r="B555" s="31" t="str">
        <f>IFERROR(__xludf.DUMMYFUNCTION("""COMPUTED_VALUE"""),"Mohit kumar")</f>
        <v>Mohit kumar</v>
      </c>
      <c r="C555" s="86" t="str">
        <f>IFERROR(__xludf.DUMMYFUNCTION("""COMPUTED_VALUE"""),"mohit.kr238@gmail.com")</f>
        <v>mohit.kr238@gmail.com</v>
      </c>
      <c r="D555" s="84">
        <f>IFERROR(__xludf.DUMMYFUNCTION("""COMPUTED_VALUE"""),8.076568233E9)</f>
        <v>8076568233</v>
      </c>
      <c r="E555" s="99">
        <f>IFERROR(__xludf.DUMMYFUNCTION("""COMPUTED_VALUE"""),45714.0)</f>
        <v>45714</v>
      </c>
      <c r="F555" s="31"/>
      <c r="G555" s="85"/>
      <c r="H555" s="31"/>
      <c r="I555" s="31" t="str">
        <f>IFERROR(__xludf.DUMMYFUNCTION("""COMPUTED_VALUE"""),"Contractual: Test Yantra")</f>
        <v>Contractual: Test Yantra</v>
      </c>
      <c r="J555" s="31"/>
      <c r="K555" s="31"/>
      <c r="L555" s="31"/>
      <c r="M555" s="31"/>
      <c r="N555" s="31"/>
    </row>
    <row r="556">
      <c r="A556" s="31">
        <f>IFERROR(__xludf.DUMMYFUNCTION("""COMPUTED_VALUE"""),625.0)</f>
        <v>625</v>
      </c>
      <c r="B556" s="31" t="str">
        <f>IFERROR(__xludf.DUMMYFUNCTION("""COMPUTED_VALUE"""),"Manoj")</f>
        <v>Manoj</v>
      </c>
      <c r="C556" s="86" t="str">
        <f>IFERROR(__xludf.DUMMYFUNCTION("""COMPUTED_VALUE"""),"manoj.er61@gmail.com")</f>
        <v>manoj.er61@gmail.com</v>
      </c>
      <c r="D556" s="84">
        <f>IFERROR(__xludf.DUMMYFUNCTION("""COMPUTED_VALUE"""),6.361372067E9)</f>
        <v>6361372067</v>
      </c>
      <c r="E556" s="99">
        <f>IFERROR(__xludf.DUMMYFUNCTION("""COMPUTED_VALUE"""),45714.0)</f>
        <v>45714</v>
      </c>
      <c r="F556" s="31"/>
      <c r="G556" s="85"/>
      <c r="H556" s="31"/>
      <c r="I556" s="31" t="str">
        <f>IFERROR(__xludf.DUMMYFUNCTION("""COMPUTED_VALUE"""),"Contractual: Test Yantra")</f>
        <v>Contractual: Test Yantra</v>
      </c>
      <c r="J556" s="31"/>
      <c r="K556" s="31"/>
      <c r="L556" s="31"/>
      <c r="M556" s="31"/>
      <c r="N556" s="31"/>
    </row>
    <row r="557">
      <c r="A557" s="31">
        <f>IFERROR(__xludf.DUMMYFUNCTION("""COMPUTED_VALUE"""),626.0)</f>
        <v>626</v>
      </c>
      <c r="B557" s="31" t="str">
        <f>IFERROR(__xludf.DUMMYFUNCTION("""COMPUTED_VALUE"""),"Abhishek Dharmman")</f>
        <v>Abhishek Dharmman</v>
      </c>
      <c r="C557" s="31" t="str">
        <f>IFERROR(__xludf.DUMMYFUNCTION("""COMPUTED_VALUE"""),"abhisdv@gmail.com")</f>
        <v>abhisdv@gmail.com</v>
      </c>
      <c r="D557" s="84">
        <f>IFERROR(__xludf.DUMMYFUNCTION("""COMPUTED_VALUE"""),9.007308096E9)</f>
        <v>9007308096</v>
      </c>
      <c r="E557" s="99">
        <f>IFERROR(__xludf.DUMMYFUNCTION("""COMPUTED_VALUE"""),45719.0)</f>
        <v>45719</v>
      </c>
      <c r="F557" s="31"/>
      <c r="G557" s="85"/>
      <c r="H557" s="31"/>
      <c r="I557" s="31" t="str">
        <f>IFERROR(__xludf.DUMMYFUNCTION("""COMPUTED_VALUE"""),"Contractual: Test Yantra")</f>
        <v>Contractual: Test Yantra</v>
      </c>
      <c r="J557" s="31"/>
      <c r="K557" s="31"/>
      <c r="L557" s="31"/>
      <c r="M557" s="31"/>
      <c r="N557" s="31"/>
    </row>
    <row r="558">
      <c r="A558" s="31">
        <f>IFERROR(__xludf.DUMMYFUNCTION("""COMPUTED_VALUE"""),627.0)</f>
        <v>627</v>
      </c>
      <c r="B558" s="31" t="str">
        <f>IFERROR(__xludf.DUMMYFUNCTION("""COMPUTED_VALUE"""),"Pranav Arora")</f>
        <v>Pranav Arora</v>
      </c>
      <c r="C558" s="31" t="str">
        <f>IFERROR(__xludf.DUMMYFUNCTION("""COMPUTED_VALUE"""),"pranav.arora.cer14@iitbhu.ac.in")</f>
        <v>pranav.arora.cer14@iitbhu.ac.in</v>
      </c>
      <c r="D558" s="84">
        <f>IFERROR(__xludf.DUMMYFUNCTION("""COMPUTED_VALUE"""),7.704074077E9)</f>
        <v>7704074077</v>
      </c>
      <c r="E558" s="99">
        <f>IFERROR(__xludf.DUMMYFUNCTION("""COMPUTED_VALUE"""),45719.0)</f>
        <v>45719</v>
      </c>
      <c r="F558" s="31"/>
      <c r="G558" s="85"/>
      <c r="H558" s="31"/>
      <c r="I558" s="31" t="str">
        <f>IFERROR(__xludf.DUMMYFUNCTION("""COMPUTED_VALUE"""),"Product Manager")</f>
        <v>Product Manager</v>
      </c>
      <c r="J558" s="31"/>
      <c r="K558" s="31"/>
      <c r="L558" s="31"/>
      <c r="M558" s="31"/>
      <c r="N558" s="31"/>
    </row>
    <row r="559">
      <c r="A559" s="31">
        <f>IFERROR(__xludf.DUMMYFUNCTION("""COMPUTED_VALUE"""),628.0)</f>
        <v>628</v>
      </c>
      <c r="B559" s="31" t="str">
        <f>IFERROR(__xludf.DUMMYFUNCTION("""COMPUTED_VALUE"""),"Agrim Panwar")</f>
        <v>Agrim Panwar</v>
      </c>
      <c r="C559" s="31" t="str">
        <f>IFERROR(__xludf.DUMMYFUNCTION("""COMPUTED_VALUE"""),"agrimpanwar@gmail.com")</f>
        <v>agrimpanwar@gmail.com</v>
      </c>
      <c r="D559" s="84">
        <f>IFERROR(__xludf.DUMMYFUNCTION("""COMPUTED_VALUE"""),9.871947526E9)</f>
        <v>9871947526</v>
      </c>
      <c r="E559" s="99">
        <f>IFERROR(__xludf.DUMMYFUNCTION("""COMPUTED_VALUE"""),45719.0)</f>
        <v>45719</v>
      </c>
      <c r="F559" s="31"/>
      <c r="G559" s="85"/>
      <c r="H559" s="31"/>
      <c r="I559" s="31" t="str">
        <f>IFERROR(__xludf.DUMMYFUNCTION("""COMPUTED_VALUE"""),"Strategy Associate")</f>
        <v>Strategy Associate</v>
      </c>
      <c r="J559" s="31"/>
      <c r="K559" s="31"/>
      <c r="L559" s="31"/>
      <c r="M559" s="31"/>
      <c r="N559" s="31"/>
    </row>
    <row r="560">
      <c r="A560" s="31">
        <f>IFERROR(__xludf.DUMMYFUNCTION("""COMPUTED_VALUE"""),629.0)</f>
        <v>629</v>
      </c>
      <c r="B560" s="31" t="str">
        <f>IFERROR(__xludf.DUMMYFUNCTION("""COMPUTED_VALUE"""),"Sumit Kumar")</f>
        <v>Sumit Kumar</v>
      </c>
      <c r="C560" s="100" t="str">
        <f>IFERROR(__xludf.DUMMYFUNCTION("""COMPUTED_VALUE"""),"sk2551999@gmail.com")</f>
        <v>sk2551999@gmail.com</v>
      </c>
      <c r="D560" s="84">
        <f>IFERROR(__xludf.DUMMYFUNCTION("""COMPUTED_VALUE"""),9.119311292E9)</f>
        <v>9119311292</v>
      </c>
      <c r="E560" s="99">
        <f>IFERROR(__xludf.DUMMYFUNCTION("""COMPUTED_VALUE"""),45719.0)</f>
        <v>45719</v>
      </c>
      <c r="F560" s="31"/>
      <c r="G560" s="85"/>
      <c r="H560" s="31"/>
      <c r="I560" s="31" t="str">
        <f>IFERROR(__xludf.DUMMYFUNCTION("""COMPUTED_VALUE"""),"Software Development Engineer in Test")</f>
        <v>Software Development Engineer in Test</v>
      </c>
      <c r="J560" s="31"/>
      <c r="K560" s="31"/>
      <c r="L560" s="31"/>
      <c r="M560" s="31"/>
      <c r="N560" s="31"/>
    </row>
    <row r="561">
      <c r="A561" s="31">
        <f>IFERROR(__xludf.DUMMYFUNCTION("""COMPUTED_VALUE"""),630.0)</f>
        <v>630</v>
      </c>
      <c r="B561" s="31" t="str">
        <f>IFERROR(__xludf.DUMMYFUNCTION("""COMPUTED_VALUE"""),"Arunima Singh")</f>
        <v>Arunima Singh</v>
      </c>
      <c r="C561" s="47" t="str">
        <f>IFERROR(__xludf.DUMMYFUNCTION("""COMPUTED_VALUE"""),"connect.arusingh@gmail.com")</f>
        <v>connect.arusingh@gmail.com</v>
      </c>
      <c r="D561" s="84">
        <f>IFERROR(__xludf.DUMMYFUNCTION("""COMPUTED_VALUE"""),9.935870769E9)</f>
        <v>9935870769</v>
      </c>
      <c r="E561" s="99">
        <f>IFERROR(__xludf.DUMMYFUNCTION("""COMPUTED_VALUE"""),45719.0)</f>
        <v>45719</v>
      </c>
      <c r="F561" s="31"/>
      <c r="G561" s="85"/>
      <c r="H561" s="31"/>
      <c r="I561" s="31" t="str">
        <f>IFERROR(__xludf.DUMMYFUNCTION("""COMPUTED_VALUE"""),"Fraud Analyst
")</f>
        <v>Fraud Analyst
</v>
      </c>
      <c r="J561" s="31"/>
      <c r="K561" s="31"/>
      <c r="L561" s="31"/>
      <c r="M561" s="31"/>
      <c r="N561" s="31"/>
    </row>
    <row r="562">
      <c r="A562" s="31">
        <f>IFERROR(__xludf.DUMMYFUNCTION("""COMPUTED_VALUE"""),631.0)</f>
        <v>631</v>
      </c>
      <c r="B562" s="31" t="str">
        <f>IFERROR(__xludf.DUMMYFUNCTION("""COMPUTED_VALUE"""),"Ankit Vikram")</f>
        <v>Ankit Vikram</v>
      </c>
      <c r="C562" s="31" t="str">
        <f>IFERROR(__xludf.DUMMYFUNCTION("""COMPUTED_VALUE"""),"ankitvikram07@gmail.com")</f>
        <v>ankitvikram07@gmail.com</v>
      </c>
      <c r="D562" s="84">
        <f>IFERROR(__xludf.DUMMYFUNCTION("""COMPUTED_VALUE"""),7.668274553E9)</f>
        <v>7668274553</v>
      </c>
      <c r="E562" s="99">
        <f>IFERROR(__xludf.DUMMYFUNCTION("""COMPUTED_VALUE"""),45719.0)</f>
        <v>45719</v>
      </c>
      <c r="F562" s="31"/>
      <c r="G562" s="85"/>
      <c r="H562" s="31"/>
      <c r="I562" s="31" t="str">
        <f>IFERROR(__xludf.DUMMYFUNCTION("""COMPUTED_VALUE"""),"Content Writer
")</f>
        <v>Content Writer
</v>
      </c>
      <c r="J562" s="31"/>
      <c r="K562" s="31"/>
      <c r="L562" s="31"/>
      <c r="M562" s="31"/>
      <c r="N562" s="31"/>
    </row>
    <row r="563">
      <c r="A563" s="31">
        <f>IFERROR(__xludf.DUMMYFUNCTION("""COMPUTED_VALUE"""),632.0)</f>
        <v>632</v>
      </c>
      <c r="B563" s="31" t="str">
        <f>IFERROR(__xludf.DUMMYFUNCTION("""COMPUTED_VALUE"""),"Ashutosh Garg")</f>
        <v>Ashutosh Garg</v>
      </c>
      <c r="C563" s="31" t="str">
        <f>IFERROR(__xludf.DUMMYFUNCTION("""COMPUTED_VALUE"""),"gashu3609@gmail.com")</f>
        <v>gashu3609@gmail.com</v>
      </c>
      <c r="D563" s="84">
        <f>IFERROR(__xludf.DUMMYFUNCTION("""COMPUTED_VALUE"""),8.168468346E9)</f>
        <v>8168468346</v>
      </c>
      <c r="E563" s="99">
        <f>IFERROR(__xludf.DUMMYFUNCTION("""COMPUTED_VALUE"""),45719.0)</f>
        <v>45719</v>
      </c>
      <c r="F563" s="31"/>
      <c r="G563" s="85"/>
      <c r="H563" s="31"/>
      <c r="I563" s="31" t="str">
        <f>IFERROR(__xludf.DUMMYFUNCTION("""COMPUTED_VALUE"""),"Data Engineering Intern")</f>
        <v>Data Engineering Intern</v>
      </c>
      <c r="J563" s="31"/>
      <c r="K563" s="31"/>
      <c r="L563" s="31"/>
      <c r="M563" s="31"/>
      <c r="N563" s="31"/>
    </row>
    <row r="564">
      <c r="A564" s="31">
        <f>IFERROR(__xludf.DUMMYFUNCTION("""COMPUTED_VALUE"""),633.0)</f>
        <v>633</v>
      </c>
      <c r="B564" s="31" t="str">
        <f>IFERROR(__xludf.DUMMYFUNCTION("""COMPUTED_VALUE"""),"Adesh Sharma")</f>
        <v>Adesh Sharma</v>
      </c>
      <c r="C564" s="31" t="str">
        <f>IFERROR(__xludf.DUMMYFUNCTION("""COMPUTED_VALUE"""),"sharmaadesh004@gmail.com ")</f>
        <v>sharmaadesh004@gmail.com </v>
      </c>
      <c r="D564" s="84">
        <f>IFERROR(__xludf.DUMMYFUNCTION("""COMPUTED_VALUE"""),9.354198257E9)</f>
        <v>9354198257</v>
      </c>
      <c r="E564" s="99">
        <f>IFERROR(__xludf.DUMMYFUNCTION("""COMPUTED_VALUE"""),45719.0)</f>
        <v>45719</v>
      </c>
      <c r="F564" s="31"/>
      <c r="G564" s="85"/>
      <c r="H564" s="31"/>
      <c r="I564" s="31" t="str">
        <f>IFERROR(__xludf.DUMMYFUNCTION("""COMPUTED_VALUE"""),"Full Stack Intern")</f>
        <v>Full Stack Intern</v>
      </c>
      <c r="J564" s="31"/>
      <c r="K564" s="31"/>
      <c r="L564" s="31"/>
      <c r="M564" s="31"/>
      <c r="N564" s="31"/>
    </row>
    <row r="565">
      <c r="A565" s="31">
        <f>IFERROR(__xludf.DUMMYFUNCTION("""COMPUTED_VALUE"""),634.0)</f>
        <v>634</v>
      </c>
      <c r="B565" s="31" t="str">
        <f>IFERROR(__xludf.DUMMYFUNCTION("""COMPUTED_VALUE"""),"Harsha Nanwani")</f>
        <v>Harsha Nanwani</v>
      </c>
      <c r="C565" s="31" t="str">
        <f>IFERROR(__xludf.DUMMYFUNCTION("""COMPUTED_VALUE"""),"harshananwani9@gmail.com")</f>
        <v>harshananwani9@gmail.com</v>
      </c>
      <c r="D565" s="84">
        <f>IFERROR(__xludf.DUMMYFUNCTION("""COMPUTED_VALUE"""),7.692882186E9)</f>
        <v>7692882186</v>
      </c>
      <c r="E565" s="99">
        <f>IFERROR(__xludf.DUMMYFUNCTION("""COMPUTED_VALUE"""),45721.0)</f>
        <v>45721</v>
      </c>
      <c r="F565" s="31"/>
      <c r="G565" s="85"/>
      <c r="H565" s="31"/>
      <c r="I565" s="31" t="str">
        <f>IFERROR(__xludf.DUMMYFUNCTION("""COMPUTED_VALUE"""),"Senior Associate- Talent Acquisition")</f>
        <v>Senior Associate- Talent Acquisition</v>
      </c>
      <c r="J565" s="31"/>
      <c r="K565" s="31"/>
      <c r="L565" s="31"/>
      <c r="M565" s="31"/>
      <c r="N565" s="31"/>
    </row>
    <row r="566">
      <c r="A566" s="31">
        <f>IFERROR(__xludf.DUMMYFUNCTION("""COMPUTED_VALUE"""),635.0)</f>
        <v>635</v>
      </c>
      <c r="B566" s="31" t="str">
        <f>IFERROR(__xludf.DUMMYFUNCTION("""COMPUTED_VALUE"""),"Biplab Dholey")</f>
        <v>Biplab Dholey</v>
      </c>
      <c r="C566" s="31" t="str">
        <f>IFERROR(__xludf.DUMMYFUNCTION("""COMPUTED_VALUE"""),"biplab3991@gmail.com")</f>
        <v>biplab3991@gmail.com</v>
      </c>
      <c r="D566" s="84">
        <f>IFERROR(__xludf.DUMMYFUNCTION("""COMPUTED_VALUE"""),7.042627585E9)</f>
        <v>7042627585</v>
      </c>
      <c r="E566" s="99">
        <f>IFERROR(__xludf.DUMMYFUNCTION("""COMPUTED_VALUE"""),45721.0)</f>
        <v>45721</v>
      </c>
      <c r="F566" s="31"/>
      <c r="G566" s="85"/>
      <c r="H566" s="31"/>
      <c r="I566" s="31" t="str">
        <f>IFERROR(__xludf.DUMMYFUNCTION("""COMPUTED_VALUE"""),"Senior Technical Lead")</f>
        <v>Senior Technical Lead</v>
      </c>
      <c r="J566" s="31"/>
      <c r="K566" s="31"/>
      <c r="L566" s="31"/>
      <c r="M566" s="31"/>
      <c r="N566" s="31"/>
    </row>
    <row r="567">
      <c r="A567" s="31">
        <f>IFERROR(__xludf.DUMMYFUNCTION("""COMPUTED_VALUE"""),636.0)</f>
        <v>636</v>
      </c>
      <c r="B567" s="31" t="str">
        <f>IFERROR(__xludf.DUMMYFUNCTION("""COMPUTED_VALUE""")," Rachit Agrawal")</f>
        <v> Rachit Agrawal</v>
      </c>
      <c r="C567" s="31" t="str">
        <f>IFERROR(__xludf.DUMMYFUNCTION("""COMPUTED_VALUE""")," rachitgarg3012@gmail.com")</f>
        <v> rachitgarg3012@gmail.com</v>
      </c>
      <c r="D567" s="84">
        <f>IFERROR(__xludf.DUMMYFUNCTION("""COMPUTED_VALUE"""),9.893946078E9)</f>
        <v>9893946078</v>
      </c>
      <c r="E567" s="99">
        <f>IFERROR(__xludf.DUMMYFUNCTION("""COMPUTED_VALUE"""),45721.0)</f>
        <v>45721</v>
      </c>
      <c r="F567" s="31"/>
      <c r="G567" s="85"/>
      <c r="H567" s="31"/>
      <c r="I567" s="31" t="str">
        <f>IFERROR(__xludf.DUMMYFUNCTION("""COMPUTED_VALUE""")," Procurement Executive")</f>
        <v> Procurement Executive</v>
      </c>
      <c r="J567" s="31"/>
      <c r="K567" s="31"/>
      <c r="L567" s="31"/>
      <c r="M567" s="31"/>
      <c r="N567" s="31"/>
    </row>
    <row r="568">
      <c r="A568" s="31">
        <f>IFERROR(__xludf.DUMMYFUNCTION("""COMPUTED_VALUE"""),637.0)</f>
        <v>637</v>
      </c>
      <c r="B568" s="31" t="str">
        <f>IFERROR(__xludf.DUMMYFUNCTION("""COMPUTED_VALUE"""),"Ayush Raj")</f>
        <v>Ayush Raj</v>
      </c>
      <c r="C568" s="31" t="str">
        <f>IFERROR(__xludf.DUMMYFUNCTION("""COMPUTED_VALUE"""),"ayushraj27iitkgp@gmail.com")</f>
        <v>ayushraj27iitkgp@gmail.com</v>
      </c>
      <c r="D568" s="84">
        <f>IFERROR(__xludf.DUMMYFUNCTION("""COMPUTED_VALUE"""),8.434143394E9)</f>
        <v>8434143394</v>
      </c>
      <c r="E568" s="99">
        <f>IFERROR(__xludf.DUMMYFUNCTION("""COMPUTED_VALUE"""),45721.0)</f>
        <v>45721</v>
      </c>
      <c r="F568" s="31"/>
      <c r="G568" s="85"/>
      <c r="H568" s="31"/>
      <c r="I568" s="31" t="str">
        <f>IFERROR(__xludf.DUMMYFUNCTION("""COMPUTED_VALUE"""),"Product management Intern")</f>
        <v>Product management Intern</v>
      </c>
      <c r="J568" s="31"/>
      <c r="K568" s="31"/>
      <c r="L568" s="31"/>
      <c r="M568" s="31"/>
      <c r="N568" s="31"/>
    </row>
    <row r="569">
      <c r="A569" s="31">
        <f>IFERROR(__xludf.DUMMYFUNCTION("""COMPUTED_VALUE"""),638.0)</f>
        <v>638</v>
      </c>
      <c r="B569" s="31" t="str">
        <f>IFERROR(__xludf.DUMMYFUNCTION("""COMPUTED_VALUE"""),"Shubham Aggrwal ")</f>
        <v>Shubham Aggrwal </v>
      </c>
      <c r="C569" s="31" t="str">
        <f>IFERROR(__xludf.DUMMYFUNCTION("""COMPUTED_VALUE"""),"ashubham0806@gmail.com")</f>
        <v>ashubham0806@gmail.com</v>
      </c>
      <c r="D569" s="84">
        <f>IFERROR(__xludf.DUMMYFUNCTION("""COMPUTED_VALUE"""),8.292003414E9)</f>
        <v>8292003414</v>
      </c>
      <c r="E569" s="99">
        <f>IFERROR(__xludf.DUMMYFUNCTION("""COMPUTED_VALUE"""),45721.0)</f>
        <v>45721</v>
      </c>
      <c r="F569" s="31"/>
      <c r="G569" s="85"/>
      <c r="H569" s="31"/>
      <c r="I569" s="31" t="str">
        <f>IFERROR(__xludf.DUMMYFUNCTION("""COMPUTED_VALUE"""),"Product manager")</f>
        <v>Product manager</v>
      </c>
      <c r="J569" s="31"/>
      <c r="K569" s="31"/>
      <c r="L569" s="31"/>
      <c r="M569" s="31"/>
      <c r="N569" s="31"/>
    </row>
    <row r="570">
      <c r="A570" s="31">
        <f>IFERROR(__xludf.DUMMYFUNCTION("""COMPUTED_VALUE"""),639.0)</f>
        <v>639</v>
      </c>
      <c r="B570" s="31" t="str">
        <f>IFERROR(__xludf.DUMMYFUNCTION("""COMPUTED_VALUE"""),"Harsh Yadav")</f>
        <v>Harsh Yadav</v>
      </c>
      <c r="C570" s="31" t="str">
        <f>IFERROR(__xludf.DUMMYFUNCTION("""COMPUTED_VALUE"""),"harsh.ydv2797@gmail.com")</f>
        <v>harsh.ydv2797@gmail.com</v>
      </c>
      <c r="D570" s="84">
        <f>IFERROR(__xludf.DUMMYFUNCTION("""COMPUTED_VALUE"""),9.528578589E9)</f>
        <v>9528578589</v>
      </c>
      <c r="E570" s="99">
        <f>IFERROR(__xludf.DUMMYFUNCTION("""COMPUTED_VALUE"""),45721.0)</f>
        <v>45721</v>
      </c>
      <c r="F570" s="31"/>
      <c r="G570" s="85"/>
      <c r="H570" s="31"/>
      <c r="I570" s="31" t="str">
        <f>IFERROR(__xludf.DUMMYFUNCTION("""COMPUTED_VALUE"""),"Contractual: Test Yantra")</f>
        <v>Contractual: Test Yantra</v>
      </c>
      <c r="J570" s="31"/>
      <c r="K570" s="31"/>
      <c r="L570" s="31"/>
      <c r="M570" s="31"/>
      <c r="N570" s="31"/>
    </row>
    <row r="571">
      <c r="A571" s="31">
        <f>IFERROR(__xludf.DUMMYFUNCTION("""COMPUTED_VALUE"""),640.0)</f>
        <v>640</v>
      </c>
      <c r="B571" s="31" t="str">
        <f>IFERROR(__xludf.DUMMYFUNCTION("""COMPUTED_VALUE"""),"Satish Kumar")</f>
        <v>Satish Kumar</v>
      </c>
      <c r="C571" s="31" t="str">
        <f>IFERROR(__xludf.DUMMYFUNCTION("""COMPUTED_VALUE"""),"satishsk8k@gmail.com")</f>
        <v>satishsk8k@gmail.com</v>
      </c>
      <c r="D571" s="84">
        <f>IFERROR(__xludf.DUMMYFUNCTION("""COMPUTED_VALUE"""),7.644984079E9)</f>
        <v>7644984079</v>
      </c>
      <c r="E571" s="99">
        <f>IFERROR(__xludf.DUMMYFUNCTION("""COMPUTED_VALUE"""),45721.0)</f>
        <v>45721</v>
      </c>
      <c r="F571" s="31"/>
      <c r="G571" s="85"/>
      <c r="H571" s="31"/>
      <c r="I571" s="31" t="str">
        <f>IFERROR(__xludf.DUMMYFUNCTION("""COMPUTED_VALUE"""),"Contractual: Test Yantra")</f>
        <v>Contractual: Test Yantra</v>
      </c>
      <c r="J571" s="31"/>
      <c r="K571" s="31"/>
      <c r="L571" s="31"/>
      <c r="M571" s="31"/>
      <c r="N571" s="31"/>
    </row>
    <row r="572">
      <c r="A572" s="31">
        <f>IFERROR(__xludf.DUMMYFUNCTION("""COMPUTED_VALUE"""),641.0)</f>
        <v>641</v>
      </c>
      <c r="B572" s="31" t="str">
        <f>IFERROR(__xludf.DUMMYFUNCTION("""COMPUTED_VALUE"""),"Kashish Nagpal")</f>
        <v>Kashish Nagpal</v>
      </c>
      <c r="C572" s="86" t="str">
        <f>IFERROR(__xludf.DUMMYFUNCTION("""COMPUTED_VALUE"""),"kashishnagpal8236@gmail.com")</f>
        <v>kashishnagpal8236@gmail.com</v>
      </c>
      <c r="D572" s="84">
        <f>IFERROR(__xludf.DUMMYFUNCTION("""COMPUTED_VALUE"""),8.571061946E9)</f>
        <v>8571061946</v>
      </c>
      <c r="E572" s="99">
        <f>IFERROR(__xludf.DUMMYFUNCTION("""COMPUTED_VALUE"""),45721.0)</f>
        <v>45721</v>
      </c>
      <c r="F572" s="31"/>
      <c r="G572" s="85"/>
      <c r="H572" s="31"/>
      <c r="I572" s="31" t="str">
        <f>IFERROR(__xludf.DUMMYFUNCTION("""COMPUTED_VALUE"""),"Customer Success Executive (HRO)")</f>
        <v>Customer Success Executive (HRO)</v>
      </c>
      <c r="J572" s="31"/>
      <c r="K572" s="31"/>
      <c r="L572" s="31"/>
      <c r="M572" s="31"/>
      <c r="N572" s="31"/>
    </row>
    <row r="573">
      <c r="A573" s="31">
        <f>IFERROR(__xludf.DUMMYFUNCTION("""COMPUTED_VALUE"""),642.0)</f>
        <v>642</v>
      </c>
      <c r="B573" s="31" t="str">
        <f>IFERROR(__xludf.DUMMYFUNCTION("""COMPUTED_VALUE"""),"Jatin")</f>
        <v>Jatin</v>
      </c>
      <c r="C573" s="86" t="str">
        <f>IFERROR(__xludf.DUMMYFUNCTION("""COMPUTED_VALUE"""),"solankijai17@gmail.com")</f>
        <v>solankijai17@gmail.com</v>
      </c>
      <c r="D573" s="84">
        <f>IFERROR(__xludf.DUMMYFUNCTION("""COMPUTED_VALUE"""),9.911594994E9)</f>
        <v>9911594994</v>
      </c>
      <c r="E573" s="99">
        <f>IFERROR(__xludf.DUMMYFUNCTION("""COMPUTED_VALUE"""),45721.0)</f>
        <v>45721</v>
      </c>
      <c r="F573" s="31"/>
      <c r="G573" s="85"/>
      <c r="H573" s="31"/>
      <c r="I573" s="31" t="str">
        <f>IFERROR(__xludf.DUMMYFUNCTION("""COMPUTED_VALUE"""),"Customer Success Executive (HRO)")</f>
        <v>Customer Success Executive (HRO)</v>
      </c>
      <c r="J573" s="31"/>
      <c r="K573" s="31"/>
      <c r="L573" s="31"/>
      <c r="M573" s="31"/>
      <c r="N573" s="31"/>
    </row>
    <row r="574">
      <c r="A574" s="31">
        <f>IFERROR(__xludf.DUMMYFUNCTION("""COMPUTED_VALUE"""),643.0)</f>
        <v>643</v>
      </c>
      <c r="B574" s="31" t="str">
        <f>IFERROR(__xludf.DUMMYFUNCTION("""COMPUTED_VALUE"""),"Mohammed Ubed")</f>
        <v>Mohammed Ubed</v>
      </c>
      <c r="C574" s="86" t="str">
        <f>IFERROR(__xludf.DUMMYFUNCTION("""COMPUTED_VALUE"""),"kubaid199@gmail.com")</f>
        <v>kubaid199@gmail.com</v>
      </c>
      <c r="D574" s="84">
        <f>IFERROR(__xludf.DUMMYFUNCTION("""COMPUTED_VALUE"""),9.990826708E9)</f>
        <v>9990826708</v>
      </c>
      <c r="E574" s="99">
        <f>IFERROR(__xludf.DUMMYFUNCTION("""COMPUTED_VALUE"""),45721.0)</f>
        <v>45721</v>
      </c>
      <c r="F574" s="31"/>
      <c r="G574" s="85"/>
      <c r="H574" s="31"/>
      <c r="I574" s="31" t="str">
        <f>IFERROR(__xludf.DUMMYFUNCTION("""COMPUTED_VALUE"""),"Customer Success Executive (HRO)")</f>
        <v>Customer Success Executive (HRO)</v>
      </c>
      <c r="J574" s="31"/>
      <c r="K574" s="31"/>
      <c r="L574" s="31"/>
      <c r="M574" s="31"/>
      <c r="N574" s="31"/>
    </row>
    <row r="575">
      <c r="A575" s="31">
        <f>IFERROR(__xludf.DUMMYFUNCTION("""COMPUTED_VALUE"""),644.0)</f>
        <v>644</v>
      </c>
      <c r="B575" s="31" t="str">
        <f>IFERROR(__xludf.DUMMYFUNCTION("""COMPUTED_VALUE"""),"Rhythm Jain")</f>
        <v>Rhythm Jain</v>
      </c>
      <c r="C575" s="86" t="str">
        <f>IFERROR(__xludf.DUMMYFUNCTION("""COMPUTED_VALUE"""),"jrhythm858@gmail.com")</f>
        <v>jrhythm858@gmail.com</v>
      </c>
      <c r="D575" s="84">
        <f>IFERROR(__xludf.DUMMYFUNCTION("""COMPUTED_VALUE"""),9.582234571E9)</f>
        <v>9582234571</v>
      </c>
      <c r="E575" s="99">
        <f>IFERROR(__xludf.DUMMYFUNCTION("""COMPUTED_VALUE"""),45721.0)</f>
        <v>45721</v>
      </c>
      <c r="F575" s="31"/>
      <c r="G575" s="85"/>
      <c r="H575" s="31"/>
      <c r="I575" s="31" t="str">
        <f>IFERROR(__xludf.DUMMYFUNCTION("""COMPUTED_VALUE"""),"Customer Success Executive (HRO)")</f>
        <v>Customer Success Executive (HRO)</v>
      </c>
      <c r="J575" s="31"/>
      <c r="K575" s="31"/>
      <c r="L575" s="31"/>
      <c r="M575" s="31"/>
      <c r="N575" s="31"/>
    </row>
    <row r="576">
      <c r="A576" s="31">
        <f>IFERROR(__xludf.DUMMYFUNCTION("""COMPUTED_VALUE"""),645.0)</f>
        <v>645</v>
      </c>
      <c r="B576" s="31" t="str">
        <f>IFERROR(__xludf.DUMMYFUNCTION("""COMPUTED_VALUE"""),"Richa")</f>
        <v>Richa</v>
      </c>
      <c r="C576" s="86" t="str">
        <f>IFERROR(__xludf.DUMMYFUNCTION("""COMPUTED_VALUE"""),"richasharma2326@gmail.com")</f>
        <v>richasharma2326@gmail.com</v>
      </c>
      <c r="D576" s="84">
        <f>IFERROR(__xludf.DUMMYFUNCTION("""COMPUTED_VALUE"""),9.559280127E9)</f>
        <v>9559280127</v>
      </c>
      <c r="E576" s="99">
        <f>IFERROR(__xludf.DUMMYFUNCTION("""COMPUTED_VALUE"""),45721.0)</f>
        <v>45721</v>
      </c>
      <c r="F576" s="31"/>
      <c r="G576" s="85"/>
      <c r="H576" s="31"/>
      <c r="I576" s="31" t="str">
        <f>IFERROR(__xludf.DUMMYFUNCTION("""COMPUTED_VALUE"""),"Customer Success Executive (HRO)")</f>
        <v>Customer Success Executive (HRO)</v>
      </c>
      <c r="J576" s="31"/>
      <c r="K576" s="31"/>
      <c r="L576" s="31"/>
      <c r="M576" s="31"/>
      <c r="N576" s="31"/>
    </row>
    <row r="577">
      <c r="A577" s="31">
        <f>IFERROR(__xludf.DUMMYFUNCTION("""COMPUTED_VALUE"""),646.0)</f>
        <v>646</v>
      </c>
      <c r="B577" s="31" t="str">
        <f>IFERROR(__xludf.DUMMYFUNCTION("""COMPUTED_VALUE"""),"Pushkar Mourya")</f>
        <v>Pushkar Mourya</v>
      </c>
      <c r="C577" s="31" t="str">
        <f>IFERROR(__xludf.DUMMYFUNCTION("""COMPUTED_VALUE""")," pushkarmourya250801@gmail.com")</f>
        <v> pushkarmourya250801@gmail.com</v>
      </c>
      <c r="D577" s="84">
        <f>IFERROR(__xludf.DUMMYFUNCTION("""COMPUTED_VALUE"""),8.718852709E9)</f>
        <v>8718852709</v>
      </c>
      <c r="E577" s="99">
        <f>IFERROR(__xludf.DUMMYFUNCTION("""COMPUTED_VALUE"""),45726.0)</f>
        <v>45726</v>
      </c>
      <c r="F577" s="31"/>
      <c r="G577" s="85"/>
      <c r="H577" s="31"/>
      <c r="I577" s="31" t="str">
        <f>IFERROR(__xludf.DUMMYFUNCTION("""COMPUTED_VALUE"""),"Software Engineer")</f>
        <v>Software Engineer</v>
      </c>
      <c r="J577" s="31" t="str">
        <f>IFERROR(__xludf.DUMMYFUNCTION("""COMPUTED_VALUE"""),"Technology")</f>
        <v>Technology</v>
      </c>
      <c r="K577" s="31" t="str">
        <f>IFERROR(__xludf.DUMMYFUNCTION("""COMPUTED_VALUE"""),"Anshul Mittal")</f>
        <v>Anshul Mittal</v>
      </c>
      <c r="L577" s="31"/>
      <c r="M577" s="31"/>
      <c r="N577" s="31"/>
    </row>
    <row r="578">
      <c r="A578" s="31">
        <f>IFERROR(__xludf.DUMMYFUNCTION("""COMPUTED_VALUE"""),647.0)</f>
        <v>647</v>
      </c>
      <c r="B578" s="31" t="str">
        <f>IFERROR(__xludf.DUMMYFUNCTION("""COMPUTED_VALUE"""),"Rashmi Navale")</f>
        <v>Rashmi Navale</v>
      </c>
      <c r="C578" s="31" t="str">
        <f>IFERROR(__xludf.DUMMYFUNCTION("""COMPUTED_VALUE"""),"rashminavale1606@gmail.com")</f>
        <v>rashminavale1606@gmail.com</v>
      </c>
      <c r="D578" s="84">
        <f>IFERROR(__xludf.DUMMYFUNCTION("""COMPUTED_VALUE"""),8.668729144E9)</f>
        <v>8668729144</v>
      </c>
      <c r="E578" s="99">
        <f>IFERROR(__xludf.DUMMYFUNCTION("""COMPUTED_VALUE"""),45726.0)</f>
        <v>45726</v>
      </c>
      <c r="F578" s="31"/>
      <c r="G578" s="85"/>
      <c r="H578" s="31"/>
      <c r="I578" s="31" t="str">
        <f>IFERROR(__xludf.DUMMYFUNCTION("""COMPUTED_VALUE"""),"Contractual: Test Yantra")</f>
        <v>Contractual: Test Yantra</v>
      </c>
      <c r="J578" s="31" t="str">
        <f>IFERROR(__xludf.DUMMYFUNCTION("""COMPUTED_VALUE"""),"QA")</f>
        <v>QA</v>
      </c>
      <c r="K578" s="31" t="str">
        <f>IFERROR(__xludf.DUMMYFUNCTION("""COMPUTED_VALUE"""),"Vishal Aggarwal")</f>
        <v>Vishal Aggarwal</v>
      </c>
      <c r="L578" s="31"/>
      <c r="M578" s="31"/>
      <c r="N578" s="31"/>
    </row>
    <row r="579">
      <c r="A579" s="31">
        <f>IFERROR(__xludf.DUMMYFUNCTION("""COMPUTED_VALUE"""),648.0)</f>
        <v>648</v>
      </c>
      <c r="B579" s="31" t="str">
        <f>IFERROR(__xludf.DUMMYFUNCTION("""COMPUTED_VALUE"""),"Soumyashree")</f>
        <v>Soumyashree</v>
      </c>
      <c r="C579" s="31"/>
      <c r="D579" s="84"/>
      <c r="E579" s="99">
        <f>IFERROR(__xludf.DUMMYFUNCTION("""COMPUTED_VALUE"""),45727.0)</f>
        <v>45727</v>
      </c>
      <c r="F579" s="31"/>
      <c r="G579" s="85"/>
      <c r="H579" s="31"/>
      <c r="I579" s="31" t="str">
        <f>IFERROR(__xludf.DUMMYFUNCTION("""COMPUTED_VALUE"""),"Contract: Programming")</f>
        <v>Contract: Programming</v>
      </c>
      <c r="J579" s="31" t="str">
        <f>IFERROR(__xludf.DUMMYFUNCTION("""COMPUTED_VALUE"""),"Frontend")</f>
        <v>Frontend</v>
      </c>
      <c r="K579" s="31" t="str">
        <f>IFERROR(__xludf.DUMMYFUNCTION("""COMPUTED_VALUE"""),"Anshul Mittal")</f>
        <v>Anshul Mittal</v>
      </c>
      <c r="L579" s="31"/>
      <c r="M579" s="31"/>
      <c r="N579" s="31"/>
    </row>
    <row r="580">
      <c r="A580" s="31">
        <f>IFERROR(__xludf.DUMMYFUNCTION("""COMPUTED_VALUE"""),649.0)</f>
        <v>649</v>
      </c>
      <c r="B580" s="31" t="str">
        <f>IFERROR(__xludf.DUMMYFUNCTION("""COMPUTED_VALUE"""),"Lakshay jain")</f>
        <v>Lakshay jain</v>
      </c>
      <c r="C580" s="31" t="str">
        <f>IFERROR(__xludf.DUMMYFUNCTION("""COMPUTED_VALUE"""),"jain10.lakshya@gmail.com")</f>
        <v>jain10.lakshya@gmail.com</v>
      </c>
      <c r="D580" s="84">
        <f>IFERROR(__xludf.DUMMYFUNCTION("""COMPUTED_VALUE"""),9.521413919E9)</f>
        <v>9521413919</v>
      </c>
      <c r="E580" s="99">
        <f>IFERROR(__xludf.DUMMYFUNCTION("""COMPUTED_VALUE"""),45726.0)</f>
        <v>45726</v>
      </c>
      <c r="F580" s="31"/>
      <c r="G580" s="85"/>
      <c r="H580" s="31"/>
      <c r="I580" s="31" t="str">
        <f>IFERROR(__xludf.DUMMYFUNCTION("""COMPUTED_VALUE"""),"Product management Intern")</f>
        <v>Product management Intern</v>
      </c>
      <c r="J580" s="31" t="str">
        <f>IFERROR(__xludf.DUMMYFUNCTION("""COMPUTED_VALUE"""),"Product")</f>
        <v>Product</v>
      </c>
      <c r="K580" s="31" t="str">
        <f>IFERROR(__xludf.DUMMYFUNCTION("""COMPUTED_VALUE"""),"Eeshma Anand")</f>
        <v>Eeshma Anand</v>
      </c>
      <c r="L580" s="31"/>
      <c r="M580" s="31"/>
      <c r="N580" s="31"/>
    </row>
    <row r="581">
      <c r="A581" s="31">
        <f>IFERROR(__xludf.DUMMYFUNCTION("""COMPUTED_VALUE"""),650.0)</f>
        <v>650</v>
      </c>
      <c r="B581" s="31" t="str">
        <f>IFERROR(__xludf.DUMMYFUNCTION("""COMPUTED_VALUE"""),"Raushan Jagannath Thakur")</f>
        <v>Raushan Jagannath Thakur</v>
      </c>
      <c r="C581" s="31" t="str">
        <f>IFERROR(__xludf.DUMMYFUNCTION("""COMPUTED_VALUE"""),"raushandtu@gmail.com")</f>
        <v>raushandtu@gmail.com</v>
      </c>
      <c r="D581" s="84">
        <f>IFERROR(__xludf.DUMMYFUNCTION("""COMPUTED_VALUE"""),9.511874042E9)</f>
        <v>9511874042</v>
      </c>
      <c r="E581" s="99">
        <f>IFERROR(__xludf.DUMMYFUNCTION("""COMPUTED_VALUE"""),45726.0)</f>
        <v>45726</v>
      </c>
      <c r="F581" s="31"/>
      <c r="G581" s="85"/>
      <c r="H581" s="31"/>
      <c r="I581" s="31" t="str">
        <f>IFERROR(__xludf.DUMMYFUNCTION("""COMPUTED_VALUE"""),"Software Development Engineer in Test")</f>
        <v>Software Development Engineer in Test</v>
      </c>
      <c r="J581" s="31" t="str">
        <f>IFERROR(__xludf.DUMMYFUNCTION("""COMPUTED_VALUE"""),"Technology")</f>
        <v>Technology</v>
      </c>
      <c r="K581" s="31" t="str">
        <f>IFERROR(__xludf.DUMMYFUNCTION("""COMPUTED_VALUE"""),"Sahil Puri")</f>
        <v>Sahil Puri</v>
      </c>
      <c r="L581" s="31"/>
      <c r="M581" s="31"/>
      <c r="N581" s="31"/>
    </row>
    <row r="582">
      <c r="A582" s="31">
        <f>IFERROR(__xludf.DUMMYFUNCTION("""COMPUTED_VALUE"""),651.0)</f>
        <v>651</v>
      </c>
      <c r="B582" s="31" t="str">
        <f>IFERROR(__xludf.DUMMYFUNCTION("""COMPUTED_VALUE"""),"Yash Dixit")</f>
        <v>Yash Dixit</v>
      </c>
      <c r="C582" s="31" t="str">
        <f>IFERROR(__xludf.DUMMYFUNCTION("""COMPUTED_VALUE"""),"ydixit274@gmail.com")</f>
        <v>ydixit274@gmail.com</v>
      </c>
      <c r="D582" s="84">
        <f>IFERROR(__xludf.DUMMYFUNCTION("""COMPUTED_VALUE"""),8.808175843E9)</f>
        <v>8808175843</v>
      </c>
      <c r="E582" s="99">
        <f>IFERROR(__xludf.DUMMYFUNCTION("""COMPUTED_VALUE"""),45726.0)</f>
        <v>45726</v>
      </c>
      <c r="F582" s="31"/>
      <c r="G582" s="85"/>
      <c r="H582" s="31"/>
      <c r="I582" s="31" t="str">
        <f>IFERROR(__xludf.DUMMYFUNCTION("""COMPUTED_VALUE"""),"Software Engineer- DevOps")</f>
        <v>Software Engineer- DevOps</v>
      </c>
      <c r="J582" s="31" t="str">
        <f>IFERROR(__xludf.DUMMYFUNCTION("""COMPUTED_VALUE"""),"Technology")</f>
        <v>Technology</v>
      </c>
      <c r="K582" s="31" t="str">
        <f>IFERROR(__xludf.DUMMYFUNCTION("""COMPUTED_VALUE"""),"Saurav Yadav")</f>
        <v>Saurav Yadav</v>
      </c>
      <c r="L582" s="31"/>
      <c r="M582" s="31"/>
      <c r="N582" s="31"/>
    </row>
    <row r="583">
      <c r="A583" s="31">
        <f>IFERROR(__xludf.DUMMYFUNCTION("""COMPUTED_VALUE"""),652.0)</f>
        <v>652</v>
      </c>
      <c r="B583" s="31" t="str">
        <f>IFERROR(__xludf.DUMMYFUNCTION("""COMPUTED_VALUE"""),"Taranpreet Kaur")</f>
        <v>Taranpreet Kaur</v>
      </c>
      <c r="C583" s="31" t="str">
        <f>IFERROR(__xludf.DUMMYFUNCTION("""COMPUTED_VALUE"""),"taranpreetnd2017@gmail.com")</f>
        <v>taranpreetnd2017@gmail.com</v>
      </c>
      <c r="D583" s="84">
        <f>IFERROR(__xludf.DUMMYFUNCTION("""COMPUTED_VALUE"""),8.447541181E9)</f>
        <v>8447541181</v>
      </c>
      <c r="E583" s="99">
        <f>IFERROR(__xludf.DUMMYFUNCTION("""COMPUTED_VALUE"""),45727.0)</f>
        <v>45727</v>
      </c>
      <c r="F583" s="31"/>
      <c r="G583" s="85"/>
      <c r="H583" s="31" t="str">
        <f>IFERROR(__xludf.DUMMYFUNCTION("""COMPUTED_VALUE"""),"Aman Bahl")</f>
        <v>Aman Bahl</v>
      </c>
      <c r="I583" s="31" t="str">
        <f>IFERROR(__xludf.DUMMYFUNCTION("""COMPUTED_VALUE"""),"Data Engineering Intern")</f>
        <v>Data Engineering Intern</v>
      </c>
      <c r="J583" s="31" t="str">
        <f>IFERROR(__xludf.DUMMYFUNCTION("""COMPUTED_VALUE"""),"Data Engineering")</f>
        <v>Data Engineering</v>
      </c>
      <c r="K583" s="31" t="str">
        <f>IFERROR(__xludf.DUMMYFUNCTION("""COMPUTED_VALUE"""),"Aman Bahl")</f>
        <v>Aman Bahl</v>
      </c>
      <c r="L583" s="31"/>
      <c r="M583" s="31"/>
      <c r="N583" s="31"/>
    </row>
    <row r="584">
      <c r="A584" s="31">
        <f>IFERROR(__xludf.DUMMYFUNCTION("""COMPUTED_VALUE"""),653.0)</f>
        <v>653</v>
      </c>
      <c r="B584" s="31" t="str">
        <f>IFERROR(__xludf.DUMMYFUNCTION("""COMPUTED_VALUE"""),"Aradhna")</f>
        <v>Aradhna</v>
      </c>
      <c r="C584" s="31" t="str">
        <f>IFERROR(__xludf.DUMMYFUNCTION("""COMPUTED_VALUE"""),"karadhana646@gmail.com")</f>
        <v>karadhana646@gmail.com</v>
      </c>
      <c r="D584" s="84">
        <f>IFERROR(__xludf.DUMMYFUNCTION("""COMPUTED_VALUE"""),9.234192854E9)</f>
        <v>9234192854</v>
      </c>
      <c r="E584" s="99">
        <f>IFERROR(__xludf.DUMMYFUNCTION("""COMPUTED_VALUE"""),45728.0)</f>
        <v>45728</v>
      </c>
      <c r="F584" s="31"/>
      <c r="G584" s="85"/>
      <c r="H584" s="31"/>
      <c r="I584" s="31" t="str">
        <f>IFERROR(__xludf.DUMMYFUNCTION("""COMPUTED_VALUE"""),"CRM HRO")</f>
        <v>CRM HRO</v>
      </c>
      <c r="J584" s="31" t="str">
        <f>IFERROR(__xludf.DUMMYFUNCTION("""COMPUTED_VALUE"""),"CRM HRO")</f>
        <v>CRM HRO</v>
      </c>
      <c r="K584" s="31" t="str">
        <f>IFERROR(__xludf.DUMMYFUNCTION("""COMPUTED_VALUE"""),"Mrityunjay K")</f>
        <v>Mrityunjay K</v>
      </c>
      <c r="L584" s="31"/>
      <c r="M584" s="31"/>
      <c r="N584" s="31"/>
    </row>
    <row r="585">
      <c r="A585" s="31">
        <f>IFERROR(__xludf.DUMMYFUNCTION("""COMPUTED_VALUE"""),654.0)</f>
        <v>654</v>
      </c>
      <c r="B585" s="31" t="str">
        <f>IFERROR(__xludf.DUMMYFUNCTION("""COMPUTED_VALUE"""),"Swati singh")</f>
        <v>Swati singh</v>
      </c>
      <c r="C585" s="31" t="str">
        <f>IFERROR(__xludf.DUMMYFUNCTION("""COMPUTED_VALUE"""),"swatisingh80095@gmail.com")</f>
        <v>swatisingh80095@gmail.com</v>
      </c>
      <c r="D585" s="84">
        <f>IFERROR(__xludf.DUMMYFUNCTION("""COMPUTED_VALUE"""),9.315597576E9)</f>
        <v>9315597576</v>
      </c>
      <c r="E585" s="99">
        <f>IFERROR(__xludf.DUMMYFUNCTION("""COMPUTED_VALUE"""),45728.0)</f>
        <v>45728</v>
      </c>
      <c r="F585" s="31"/>
      <c r="G585" s="85"/>
      <c r="H585" s="31"/>
      <c r="I585" s="31" t="str">
        <f>IFERROR(__xludf.DUMMYFUNCTION("""COMPUTED_VALUE"""),"CRM HRO")</f>
        <v>CRM HRO</v>
      </c>
      <c r="J585" s="31" t="str">
        <f>IFERROR(__xludf.DUMMYFUNCTION("""COMPUTED_VALUE"""),"CRM HRO")</f>
        <v>CRM HRO</v>
      </c>
      <c r="K585" s="31" t="str">
        <f>IFERROR(__xludf.DUMMYFUNCTION("""COMPUTED_VALUE"""),"Mrityunjay K")</f>
        <v>Mrityunjay K</v>
      </c>
      <c r="L585" s="31"/>
      <c r="M585" s="31"/>
      <c r="N585" s="31"/>
    </row>
    <row r="586">
      <c r="A586" s="31">
        <f>IFERROR(__xludf.DUMMYFUNCTION("""COMPUTED_VALUE"""),655.0)</f>
        <v>655</v>
      </c>
      <c r="B586" s="31" t="str">
        <f>IFERROR(__xludf.DUMMYFUNCTION("""COMPUTED_VALUE"""),"Richa")</f>
        <v>Richa</v>
      </c>
      <c r="C586" s="31" t="str">
        <f>IFERROR(__xludf.DUMMYFUNCTION("""COMPUTED_VALUE"""),"richasharma2326@gmail.com")</f>
        <v>richasharma2326@gmail.com</v>
      </c>
      <c r="D586" s="84" t="str">
        <f>IFERROR(__xludf.DUMMYFUNCTION("""COMPUTED_VALUE"""),"95592 80127")</f>
        <v>95592 80127</v>
      </c>
      <c r="E586" s="99">
        <f>IFERROR(__xludf.DUMMYFUNCTION("""COMPUTED_VALUE"""),45728.0)</f>
        <v>45728</v>
      </c>
      <c r="F586" s="31"/>
      <c r="G586" s="85"/>
      <c r="H586" s="31"/>
      <c r="I586" s="31" t="str">
        <f>IFERROR(__xludf.DUMMYFUNCTION("""COMPUTED_VALUE"""),"CRM HRO")</f>
        <v>CRM HRO</v>
      </c>
      <c r="J586" s="31" t="str">
        <f>IFERROR(__xludf.DUMMYFUNCTION("""COMPUTED_VALUE"""),"CRM HRO")</f>
        <v>CRM HRO</v>
      </c>
      <c r="K586" s="31" t="str">
        <f>IFERROR(__xludf.DUMMYFUNCTION("""COMPUTED_VALUE"""),"Mrityunjay K")</f>
        <v>Mrityunjay K</v>
      </c>
      <c r="L586" s="31"/>
      <c r="M586" s="31"/>
      <c r="N586" s="31"/>
    </row>
    <row r="587">
      <c r="A587" s="31">
        <f>IFERROR(__xludf.DUMMYFUNCTION("""COMPUTED_VALUE"""),656.0)</f>
        <v>656</v>
      </c>
      <c r="B587" s="31" t="str">
        <f>IFERROR(__xludf.DUMMYFUNCTION("""COMPUTED_VALUE"""),"Kishan")</f>
        <v>Kishan</v>
      </c>
      <c r="C587" s="31" t="str">
        <f>IFERROR(__xludf.DUMMYFUNCTION("""COMPUTED_VALUE"""),"kishansinghsk2@gmail.com")</f>
        <v>kishansinghsk2@gmail.com</v>
      </c>
      <c r="D587" s="84" t="str">
        <f>IFERROR(__xludf.DUMMYFUNCTION("""COMPUTED_VALUE"""),"93190 13247")</f>
        <v>93190 13247</v>
      </c>
      <c r="E587" s="99">
        <f>IFERROR(__xludf.DUMMYFUNCTION("""COMPUTED_VALUE"""),45728.0)</f>
        <v>45728</v>
      </c>
      <c r="F587" s="31"/>
      <c r="G587" s="85"/>
      <c r="H587" s="31"/>
      <c r="I587" s="31" t="str">
        <f>IFERROR(__xludf.DUMMYFUNCTION("""COMPUTED_VALUE"""),"CRM HRO")</f>
        <v>CRM HRO</v>
      </c>
      <c r="J587" s="31" t="str">
        <f>IFERROR(__xludf.DUMMYFUNCTION("""COMPUTED_VALUE"""),"CRM HRO")</f>
        <v>CRM HRO</v>
      </c>
      <c r="K587" s="31" t="str">
        <f>IFERROR(__xludf.DUMMYFUNCTION("""COMPUTED_VALUE"""),"Mrityunjay K")</f>
        <v>Mrityunjay K</v>
      </c>
      <c r="L587" s="31"/>
      <c r="M587" s="31"/>
      <c r="N587" s="31"/>
    </row>
    <row r="588">
      <c r="A588" s="31">
        <f>IFERROR(__xludf.DUMMYFUNCTION("""COMPUTED_VALUE"""),657.0)</f>
        <v>657</v>
      </c>
      <c r="B588" s="31" t="str">
        <f>IFERROR(__xludf.DUMMYFUNCTION("""COMPUTED_VALUE"""),"Shubham Kashyap")</f>
        <v>Shubham Kashyap</v>
      </c>
      <c r="C588" s="31" t="str">
        <f>IFERROR(__xludf.DUMMYFUNCTION("""COMPUTED_VALUE"""),"shubham82.sk@gmail.com")</f>
        <v>shubham82.sk@gmail.com</v>
      </c>
      <c r="D588" s="84">
        <f>IFERROR(__xludf.DUMMYFUNCTION("""COMPUTED_VALUE"""),8.527747688E9)</f>
        <v>8527747688</v>
      </c>
      <c r="E588" s="99">
        <f>IFERROR(__xludf.DUMMYFUNCTION("""COMPUTED_VALUE"""),45733.0)</f>
        <v>45733</v>
      </c>
      <c r="F588" s="31"/>
      <c r="G588" s="85"/>
      <c r="H588" s="31"/>
      <c r="I588" s="31" t="str">
        <f>IFERROR(__xludf.DUMMYFUNCTION("""COMPUTED_VALUE"""),"Product Marketing Executive")</f>
        <v>Product Marketing Executive</v>
      </c>
      <c r="J588" s="31"/>
      <c r="K588" s="31" t="str">
        <f>IFERROR(__xludf.DUMMYFUNCTION("""COMPUTED_VALUE"""),"Aditya jha ")</f>
        <v>Aditya jha </v>
      </c>
      <c r="L588" s="31"/>
      <c r="M588" s="31"/>
      <c r="N588" s="31"/>
    </row>
    <row r="589">
      <c r="A589" s="31">
        <f>IFERROR(__xludf.DUMMYFUNCTION("""COMPUTED_VALUE"""),658.0)</f>
        <v>658</v>
      </c>
      <c r="B589" s="31" t="str">
        <f>IFERROR(__xludf.DUMMYFUNCTION("""COMPUTED_VALUE"""),"Aman Ludhwani")</f>
        <v>Aman Ludhwani</v>
      </c>
      <c r="C589" s="31" t="str">
        <f>IFERROR(__xludf.DUMMYFUNCTION("""COMPUTED_VALUE"""),"aman.ludhwani9@gmail.com")</f>
        <v>aman.ludhwani9@gmail.com</v>
      </c>
      <c r="D589" s="84">
        <f>IFERROR(__xludf.DUMMYFUNCTION("""COMPUTED_VALUE"""),9.696404013E9)</f>
        <v>9696404013</v>
      </c>
      <c r="E589" s="99">
        <f>IFERROR(__xludf.DUMMYFUNCTION("""COMPUTED_VALUE"""),45733.0)</f>
        <v>45733</v>
      </c>
      <c r="F589" s="31"/>
      <c r="G589" s="85"/>
      <c r="H589" s="31"/>
      <c r="I589" s="31" t="str">
        <f>IFERROR(__xludf.DUMMYFUNCTION("""COMPUTED_VALUE"""),"Senior Software Engineer- DevOps")</f>
        <v>Senior Software Engineer- DevOps</v>
      </c>
      <c r="J589" s="31" t="str">
        <f>IFERROR(__xludf.DUMMYFUNCTION("""COMPUTED_VALUE"""),"Technology")</f>
        <v>Technology</v>
      </c>
      <c r="K589" s="31" t="str">
        <f>IFERROR(__xludf.DUMMYFUNCTION("""COMPUTED_VALUE"""),"Saurav Yadav")</f>
        <v>Saurav Yadav</v>
      </c>
      <c r="L589" s="31"/>
      <c r="M589" s="31"/>
      <c r="N589" s="31"/>
    </row>
    <row r="590">
      <c r="A590" s="31">
        <f>IFERROR(__xludf.DUMMYFUNCTION("""COMPUTED_VALUE"""),659.0)</f>
        <v>659</v>
      </c>
      <c r="B590" s="31" t="str">
        <f>IFERROR(__xludf.DUMMYFUNCTION("""COMPUTED_VALUE"""),"Sayanika Nandi")</f>
        <v>Sayanika Nandi</v>
      </c>
      <c r="C590" s="31" t="str">
        <f>IFERROR(__xludf.DUMMYFUNCTION("""COMPUTED_VALUE"""),"sayanika.nandi29@gmail.com")</f>
        <v>sayanika.nandi29@gmail.com</v>
      </c>
      <c r="D590" s="84">
        <f>IFERROR(__xludf.DUMMYFUNCTION("""COMPUTED_VALUE"""),7.430025729E9)</f>
        <v>7430025729</v>
      </c>
      <c r="E590" s="99">
        <f>IFERROR(__xludf.DUMMYFUNCTION("""COMPUTED_VALUE"""),45733.0)</f>
        <v>45733</v>
      </c>
      <c r="F590" s="31"/>
      <c r="G590" s="85"/>
      <c r="H590" s="31"/>
      <c r="I590" s="31" t="str">
        <f>IFERROR(__xludf.DUMMYFUNCTION("""COMPUTED_VALUE"""),"Contractual: Test Yantra")</f>
        <v>Contractual: Test Yantra</v>
      </c>
      <c r="J590" s="31" t="str">
        <f>IFERROR(__xludf.DUMMYFUNCTION("""COMPUTED_VALUE"""),"QA")</f>
        <v>QA</v>
      </c>
      <c r="K590" s="31" t="str">
        <f>IFERROR(__xludf.DUMMYFUNCTION("""COMPUTED_VALUE"""),"Vishal Aggarwal")</f>
        <v>Vishal Aggarwal</v>
      </c>
      <c r="L590" s="31"/>
      <c r="M590" s="31"/>
      <c r="N590" s="31"/>
    </row>
    <row r="591">
      <c r="A591" s="31">
        <f>IFERROR(__xludf.DUMMYFUNCTION("""COMPUTED_VALUE"""),660.0)</f>
        <v>660</v>
      </c>
      <c r="B591" s="31" t="str">
        <f>IFERROR(__xludf.DUMMYFUNCTION("""COMPUTED_VALUE"""),"Abhishek Kumar")</f>
        <v>Abhishek Kumar</v>
      </c>
      <c r="C591" s="31" t="str">
        <f>IFERROR(__xludf.DUMMYFUNCTION("""COMPUTED_VALUE"""),"rajputabhishek612@gmail.com")</f>
        <v>rajputabhishek612@gmail.com</v>
      </c>
      <c r="D591" s="84">
        <f>IFERROR(__xludf.DUMMYFUNCTION("""COMPUTED_VALUE"""),9.30433292E9)</f>
        <v>9304332920</v>
      </c>
      <c r="E591" s="99">
        <f>IFERROR(__xludf.DUMMYFUNCTION("""COMPUTED_VALUE"""),45733.0)</f>
        <v>45733</v>
      </c>
      <c r="F591" s="31"/>
      <c r="G591" s="85"/>
      <c r="H591" s="31"/>
      <c r="I591" s="31" t="str">
        <f>IFERROR(__xludf.DUMMYFUNCTION("""COMPUTED_VALUE"""),"Contractual: Test Yantra")</f>
        <v>Contractual: Test Yantra</v>
      </c>
      <c r="J591" s="31" t="str">
        <f>IFERROR(__xludf.DUMMYFUNCTION("""COMPUTED_VALUE"""),"QA")</f>
        <v>QA</v>
      </c>
      <c r="K591" s="31" t="str">
        <f>IFERROR(__xludf.DUMMYFUNCTION("""COMPUTED_VALUE"""),"Vishal Aggarwal")</f>
        <v>Vishal Aggarwal</v>
      </c>
      <c r="L591" s="31"/>
      <c r="M591" s="31"/>
      <c r="N591" s="31"/>
    </row>
    <row r="592">
      <c r="A592" s="31">
        <f>IFERROR(__xludf.DUMMYFUNCTION("""COMPUTED_VALUE"""),661.0)</f>
        <v>661</v>
      </c>
      <c r="B592" s="31" t="str">
        <f>IFERROR(__xludf.DUMMYFUNCTION("""COMPUTED_VALUE"""),"Anupam")</f>
        <v>Anupam</v>
      </c>
      <c r="C592" s="31"/>
      <c r="D592" s="84"/>
      <c r="E592" s="99">
        <f>IFERROR(__xludf.DUMMYFUNCTION("""COMPUTED_VALUE"""),45733.0)</f>
        <v>45733</v>
      </c>
      <c r="F592" s="31"/>
      <c r="G592" s="85"/>
      <c r="H592" s="31"/>
      <c r="I592" s="31" t="str">
        <f>IFERROR(__xludf.DUMMYFUNCTION("""COMPUTED_VALUE"""),"Contract: Programming")</f>
        <v>Contract: Programming</v>
      </c>
      <c r="J592" s="31" t="str">
        <f>IFERROR(__xludf.DUMMYFUNCTION("""COMPUTED_VALUE"""),"Frontend")</f>
        <v>Frontend</v>
      </c>
      <c r="K592" s="31" t="str">
        <f>IFERROR(__xludf.DUMMYFUNCTION("""COMPUTED_VALUE"""),"Anshul Mittal")</f>
        <v>Anshul Mittal</v>
      </c>
      <c r="L592" s="31"/>
      <c r="M592" s="31"/>
      <c r="N592" s="31"/>
    </row>
    <row r="593">
      <c r="A593" s="31">
        <f>IFERROR(__xludf.DUMMYFUNCTION("""COMPUTED_VALUE"""),662.0)</f>
        <v>662</v>
      </c>
      <c r="B593" s="31" t="str">
        <f>IFERROR(__xludf.DUMMYFUNCTION("""COMPUTED_VALUE"""),"Aditya Rai")</f>
        <v>Aditya Rai</v>
      </c>
      <c r="C593" s="31" t="str">
        <f>IFERROR(__xludf.DUMMYFUNCTION("""COMPUTED_VALUE""")," adityarai.ngh@gmail.com")</f>
        <v> adityarai.ngh@gmail.com</v>
      </c>
      <c r="D593" s="84">
        <f>IFERROR(__xludf.DUMMYFUNCTION("""COMPUTED_VALUE"""),9.67719633E9)</f>
        <v>9677196330</v>
      </c>
      <c r="E593" s="99">
        <f>IFERROR(__xludf.DUMMYFUNCTION("""COMPUTED_VALUE"""),45734.0)</f>
        <v>45734</v>
      </c>
      <c r="F593" s="31"/>
      <c r="G593" s="85"/>
      <c r="H593" s="31"/>
      <c r="I593" s="31" t="str">
        <f>IFERROR(__xludf.DUMMYFUNCTION("""COMPUTED_VALUE"""),"Assistant Manager-Strategy")</f>
        <v>Assistant Manager-Strategy</v>
      </c>
      <c r="J593" s="31" t="str">
        <f>IFERROR(__xludf.DUMMYFUNCTION("""COMPUTED_VALUE"""),"Strategy")</f>
        <v>Strategy</v>
      </c>
      <c r="K593" s="31" t="str">
        <f>IFERROR(__xludf.DUMMYFUNCTION("""COMPUTED_VALUE"""),"Karan Aggarwal")</f>
        <v>Karan Aggarwal</v>
      </c>
      <c r="L593" s="31"/>
      <c r="M593" s="31"/>
      <c r="N593" s="31"/>
    </row>
    <row r="594">
      <c r="A594" s="31">
        <f>IFERROR(__xludf.DUMMYFUNCTION("""COMPUTED_VALUE"""),663.0)</f>
        <v>663</v>
      </c>
      <c r="B594" s="31" t="str">
        <f>IFERROR(__xludf.DUMMYFUNCTION("""COMPUTED_VALUE"""),"Anant Upadhyaya")</f>
        <v>Anant Upadhyaya</v>
      </c>
      <c r="C594" s="31" t="str">
        <f>IFERROR(__xludf.DUMMYFUNCTION("""COMPUTED_VALUE"""),"aupadhyaya20@gmail.com")</f>
        <v>aupadhyaya20@gmail.com</v>
      </c>
      <c r="D594" s="84">
        <f>IFERROR(__xludf.DUMMYFUNCTION("""COMPUTED_VALUE"""),9.610353635E9)</f>
        <v>9610353635</v>
      </c>
      <c r="E594" s="99">
        <f>IFERROR(__xludf.DUMMYFUNCTION("""COMPUTED_VALUE"""),45734.0)</f>
        <v>45734</v>
      </c>
      <c r="F594" s="31"/>
      <c r="G594" s="85"/>
      <c r="H594" s="31"/>
      <c r="I594" s="31" t="str">
        <f>IFERROR(__xludf.DUMMYFUNCTION("""COMPUTED_VALUE"""),"Senior Data Analyst")</f>
        <v>Senior Data Analyst</v>
      </c>
      <c r="J594" s="31" t="str">
        <f>IFERROR(__xludf.DUMMYFUNCTION("""COMPUTED_VALUE"""),"Data")</f>
        <v>Data</v>
      </c>
      <c r="K594" s="31"/>
      <c r="L594" s="31"/>
      <c r="M594" s="31"/>
      <c r="N594" s="31"/>
    </row>
    <row r="595">
      <c r="A595" s="31">
        <f>IFERROR(__xludf.DUMMYFUNCTION("""COMPUTED_VALUE"""),664.0)</f>
        <v>664</v>
      </c>
      <c r="B595" s="31" t="str">
        <f>IFERROR(__xludf.DUMMYFUNCTION("""COMPUTED_VALUE"""),"Shobhit Sharma")</f>
        <v>Shobhit Sharma</v>
      </c>
      <c r="C595" s="31" t="str">
        <f>IFERROR(__xludf.DUMMYFUNCTION("""COMPUTED_VALUE"""),"shobhitsharma2180@gmail.com")</f>
        <v>shobhitsharma2180@gmail.com</v>
      </c>
      <c r="D595" s="84">
        <f>IFERROR(__xludf.DUMMYFUNCTION("""COMPUTED_VALUE"""),7.8170769E9)</f>
        <v>7817076900</v>
      </c>
      <c r="E595" s="99">
        <f>IFERROR(__xludf.DUMMYFUNCTION("""COMPUTED_VALUE"""),45735.0)</f>
        <v>45735</v>
      </c>
      <c r="F595" s="31"/>
      <c r="G595" s="85"/>
      <c r="H595" s="31"/>
      <c r="I595" s="31" t="str">
        <f>IFERROR(__xludf.DUMMYFUNCTION("""COMPUTED_VALUE"""),"Fraud Analyst")</f>
        <v>Fraud Analyst</v>
      </c>
      <c r="J595" s="31" t="str">
        <f>IFERROR(__xludf.DUMMYFUNCTION("""COMPUTED_VALUE"""),"FRM")</f>
        <v>FRM</v>
      </c>
      <c r="K595" s="31" t="str">
        <f>IFERROR(__xludf.DUMMYFUNCTION("""COMPUTED_VALUE"""),"CRM")</f>
        <v>CRM</v>
      </c>
      <c r="L595" s="31"/>
      <c r="M595" s="31"/>
      <c r="N595" s="31"/>
    </row>
    <row r="596">
      <c r="A596" s="31">
        <f>IFERROR(__xludf.DUMMYFUNCTION("""COMPUTED_VALUE"""),665.0)</f>
        <v>665</v>
      </c>
      <c r="B596" s="31" t="str">
        <f>IFERROR(__xludf.DUMMYFUNCTION("""COMPUTED_VALUE"""),"KS Chetan")</f>
        <v>KS Chetan</v>
      </c>
      <c r="C596" s="86" t="str">
        <f>IFERROR(__xludf.DUMMYFUNCTION("""COMPUTED_VALUE"""),"chethanks340@gmail.com")</f>
        <v>chethanks340@gmail.com</v>
      </c>
      <c r="D596" s="84">
        <f>IFERROR(__xludf.DUMMYFUNCTION("""COMPUTED_VALUE"""),9.353881749E9)</f>
        <v>9353881749</v>
      </c>
      <c r="E596" s="99">
        <f>IFERROR(__xludf.DUMMYFUNCTION("""COMPUTED_VALUE"""),45740.0)</f>
        <v>45740</v>
      </c>
      <c r="F596" s="31"/>
      <c r="G596" s="85"/>
      <c r="H596" s="31"/>
      <c r="I596" s="31" t="str">
        <f>IFERROR(__xludf.DUMMYFUNCTION("""COMPUTED_VALUE"""),"Contractual: Test Yantra")</f>
        <v>Contractual: Test Yantra</v>
      </c>
      <c r="J596" s="31" t="str">
        <f>IFERROR(__xludf.DUMMYFUNCTION("""COMPUTED_VALUE"""),"QA")</f>
        <v>QA</v>
      </c>
      <c r="K596" s="31" t="str">
        <f>IFERROR(__xludf.DUMMYFUNCTION("""COMPUTED_VALUE"""),"Vishal Aggarwal")</f>
        <v>Vishal Aggarwal</v>
      </c>
      <c r="L596" s="31"/>
      <c r="M596" s="31"/>
      <c r="N596" s="31"/>
    </row>
    <row r="597">
      <c r="A597" s="31">
        <f>IFERROR(__xludf.DUMMYFUNCTION("""COMPUTED_VALUE"""),666.0)</f>
        <v>666</v>
      </c>
      <c r="B597" s="31" t="str">
        <f>IFERROR(__xludf.DUMMYFUNCTION("""COMPUTED_VALUE"""),"Naman Vijay")</f>
        <v>Naman Vijay</v>
      </c>
      <c r="C597" s="31" t="str">
        <f>IFERROR(__xludf.DUMMYFUNCTION("""COMPUTED_VALUE"""),"namanvijay006@gmail.com")</f>
        <v>namanvijay006@gmail.com</v>
      </c>
      <c r="D597" s="84">
        <f>IFERROR(__xludf.DUMMYFUNCTION("""COMPUTED_VALUE"""),7.340333828E9)</f>
        <v>7340333828</v>
      </c>
      <c r="E597" s="99">
        <f>IFERROR(__xludf.DUMMYFUNCTION("""COMPUTED_VALUE"""),45740.0)</f>
        <v>45740</v>
      </c>
      <c r="F597" s="31"/>
      <c r="G597" s="85"/>
      <c r="H597" s="31"/>
      <c r="I597" s="31" t="str">
        <f>IFERROR(__xludf.DUMMYFUNCTION("""COMPUTED_VALUE"""),"Assistant Manager- Finance")</f>
        <v>Assistant Manager- Finance</v>
      </c>
      <c r="J597" s="31" t="str">
        <f>IFERROR(__xludf.DUMMYFUNCTION("""COMPUTED_VALUE"""),"Finance")</f>
        <v>Finance</v>
      </c>
      <c r="K597" s="31" t="str">
        <f>IFERROR(__xludf.DUMMYFUNCTION("""COMPUTED_VALUE"""),"Rahul Satija")</f>
        <v>Rahul Satija</v>
      </c>
      <c r="L597" s="31"/>
      <c r="M597" s="31"/>
      <c r="N597" s="31"/>
    </row>
    <row r="598">
      <c r="A598" s="31">
        <f>IFERROR(__xludf.DUMMYFUNCTION("""COMPUTED_VALUE"""),667.0)</f>
        <v>667</v>
      </c>
      <c r="B598" s="31" t="str">
        <f>IFERROR(__xludf.DUMMYFUNCTION("""COMPUTED_VALUE"""),"Gaurav Midda")</f>
        <v>Gaurav Midda</v>
      </c>
      <c r="C598" s="47" t="str">
        <f>IFERROR(__xludf.DUMMYFUNCTION("""COMPUTED_VALUE"""),"gmidda15@gmail.com")</f>
        <v>gmidda15@gmail.com</v>
      </c>
      <c r="D598" s="84" t="str">
        <f>IFERROR(__xludf.DUMMYFUNCTION("""COMPUTED_VALUE"""),"74044 80799")</f>
        <v>74044 80799</v>
      </c>
      <c r="E598" s="99">
        <f>IFERROR(__xludf.DUMMYFUNCTION("""COMPUTED_VALUE"""),45740.0)</f>
        <v>45740</v>
      </c>
      <c r="F598" s="31"/>
      <c r="G598" s="85"/>
      <c r="H598" s="31"/>
      <c r="I598" s="31" t="str">
        <f>IFERROR(__xludf.DUMMYFUNCTION("""COMPUTED_VALUE"""),"Senior Data Analyst")</f>
        <v>Senior Data Analyst</v>
      </c>
      <c r="J598" s="31" t="str">
        <f>IFERROR(__xludf.DUMMYFUNCTION("""COMPUTED_VALUE"""),"Data")</f>
        <v>Data</v>
      </c>
      <c r="K598" s="31"/>
      <c r="L598" s="31"/>
      <c r="M598" s="31"/>
      <c r="N598" s="31"/>
    </row>
    <row r="599">
      <c r="A599" s="31">
        <f>IFERROR(__xludf.DUMMYFUNCTION("""COMPUTED_VALUE"""),668.0)</f>
        <v>668</v>
      </c>
      <c r="B599" s="31" t="str">
        <f>IFERROR(__xludf.DUMMYFUNCTION("""COMPUTED_VALUE"""),"Harsh Rathways")</f>
        <v>Harsh Rathways</v>
      </c>
      <c r="C599" s="31" t="str">
        <f>IFERROR(__xludf.DUMMYFUNCTION("""COMPUTED_VALUE"""),"harshratwaya98@gmail.com")</f>
        <v>harshratwaya98@gmail.com</v>
      </c>
      <c r="D599" s="84">
        <f>IFERROR(__xludf.DUMMYFUNCTION("""COMPUTED_VALUE"""),8.800515119E9)</f>
        <v>8800515119</v>
      </c>
      <c r="E599" s="99">
        <f>IFERROR(__xludf.DUMMYFUNCTION("""COMPUTED_VALUE"""),45740.0)</f>
        <v>45740</v>
      </c>
      <c r="F599" s="31"/>
      <c r="G599" s="85"/>
      <c r="H599" s="31"/>
      <c r="I599" s="31" t="str">
        <f>IFERROR(__xludf.DUMMYFUNCTION("""COMPUTED_VALUE"""),"CRM HRO")</f>
        <v>CRM HRO</v>
      </c>
      <c r="J599" s="31" t="str">
        <f>IFERROR(__xludf.DUMMYFUNCTION("""COMPUTED_VALUE"""),"CRM HRO")</f>
        <v>CRM HRO</v>
      </c>
      <c r="K599" s="31" t="str">
        <f>IFERROR(__xludf.DUMMYFUNCTION("""COMPUTED_VALUE"""),"Mrityunjay K")</f>
        <v>Mrityunjay K</v>
      </c>
      <c r="L599" s="31"/>
      <c r="M599" s="31"/>
      <c r="N599" s="31"/>
    </row>
    <row r="600">
      <c r="A600" s="31">
        <f>IFERROR(__xludf.DUMMYFUNCTION("""COMPUTED_VALUE"""),669.0)</f>
        <v>669</v>
      </c>
      <c r="B600" s="31" t="str">
        <f>IFERROR(__xludf.DUMMYFUNCTION("""COMPUTED_VALUE"""),"Khushboo")</f>
        <v>Khushboo</v>
      </c>
      <c r="C600" s="31" t="str">
        <f>IFERROR(__xludf.DUMMYFUNCTION("""COMPUTED_VALUE"""),"khushboo8700726091@gmail.com")</f>
        <v>khushboo8700726091@gmail.com</v>
      </c>
      <c r="D600" s="84">
        <f>IFERROR(__xludf.DUMMYFUNCTION("""COMPUTED_VALUE"""),9.560155064E9)</f>
        <v>9560155064</v>
      </c>
      <c r="E600" s="99">
        <f>IFERROR(__xludf.DUMMYFUNCTION("""COMPUTED_VALUE"""),45740.0)</f>
        <v>45740</v>
      </c>
      <c r="F600" s="31"/>
      <c r="G600" s="85"/>
      <c r="H600" s="31"/>
      <c r="I600" s="31" t="str">
        <f>IFERROR(__xludf.DUMMYFUNCTION("""COMPUTED_VALUE"""),"CRM HRO")</f>
        <v>CRM HRO</v>
      </c>
      <c r="J600" s="31" t="str">
        <f>IFERROR(__xludf.DUMMYFUNCTION("""COMPUTED_VALUE"""),"CRM HRO")</f>
        <v>CRM HRO</v>
      </c>
      <c r="K600" s="31" t="str">
        <f>IFERROR(__xludf.DUMMYFUNCTION("""COMPUTED_VALUE"""),"Mrityunjay K")</f>
        <v>Mrityunjay K</v>
      </c>
      <c r="L600" s="31"/>
      <c r="M600" s="31"/>
      <c r="N600" s="31"/>
    </row>
    <row r="601">
      <c r="A601" s="31">
        <f>IFERROR(__xludf.DUMMYFUNCTION("""COMPUTED_VALUE"""),670.0)</f>
        <v>670</v>
      </c>
      <c r="B601" s="31" t="str">
        <f>IFERROR(__xludf.DUMMYFUNCTION("""COMPUTED_VALUE"""),"Sanjana")</f>
        <v>Sanjana</v>
      </c>
      <c r="C601" s="31" t="str">
        <f>IFERROR(__xludf.DUMMYFUNCTION("""COMPUTED_VALUE"""),"sanjanabhardwaj2004cute@gmail.com")</f>
        <v>sanjanabhardwaj2004cute@gmail.com</v>
      </c>
      <c r="D601" s="84">
        <f>IFERROR(__xludf.DUMMYFUNCTION("""COMPUTED_VALUE"""),9.871297068E9)</f>
        <v>9871297068</v>
      </c>
      <c r="E601" s="99">
        <f>IFERROR(__xludf.DUMMYFUNCTION("""COMPUTED_VALUE"""),45740.0)</f>
        <v>45740</v>
      </c>
      <c r="F601" s="31"/>
      <c r="G601" s="85"/>
      <c r="H601" s="31"/>
      <c r="I601" s="31" t="str">
        <f>IFERROR(__xludf.DUMMYFUNCTION("""COMPUTED_VALUE"""),"CRM HRO")</f>
        <v>CRM HRO</v>
      </c>
      <c r="J601" s="31" t="str">
        <f>IFERROR(__xludf.DUMMYFUNCTION("""COMPUTED_VALUE"""),"CRM HRO")</f>
        <v>CRM HRO</v>
      </c>
      <c r="K601" s="31" t="str">
        <f>IFERROR(__xludf.DUMMYFUNCTION("""COMPUTED_VALUE"""),"Mrityunjay K")</f>
        <v>Mrityunjay K</v>
      </c>
      <c r="L601" s="31"/>
      <c r="M601" s="31"/>
      <c r="N601" s="31"/>
    </row>
    <row r="602">
      <c r="A602" s="31">
        <f>IFERROR(__xludf.DUMMYFUNCTION("""COMPUTED_VALUE"""),671.0)</f>
        <v>671</v>
      </c>
      <c r="B602" s="31" t="str">
        <f>IFERROR(__xludf.DUMMYFUNCTION("""COMPUTED_VALUE"""),"Jasleen kaur")</f>
        <v>Jasleen kaur</v>
      </c>
      <c r="C602" s="31" t="str">
        <f>IFERROR(__xludf.DUMMYFUNCTION("""COMPUTED_VALUE"""),"jasleenkaur262005@gmail.com")</f>
        <v>jasleenkaur262005@gmail.com</v>
      </c>
      <c r="D602" s="84">
        <f>IFERROR(__xludf.DUMMYFUNCTION("""COMPUTED_VALUE"""),9.821158172E9)</f>
        <v>9821158172</v>
      </c>
      <c r="E602" s="99">
        <f>IFERROR(__xludf.DUMMYFUNCTION("""COMPUTED_VALUE"""),45740.0)</f>
        <v>45740</v>
      </c>
      <c r="F602" s="31"/>
      <c r="G602" s="85"/>
      <c r="H602" s="31"/>
      <c r="I602" s="31" t="str">
        <f>IFERROR(__xludf.DUMMYFUNCTION("""COMPUTED_VALUE"""),"CRM HRO")</f>
        <v>CRM HRO</v>
      </c>
      <c r="J602" s="31" t="str">
        <f>IFERROR(__xludf.DUMMYFUNCTION("""COMPUTED_VALUE"""),"CRM HRO")</f>
        <v>CRM HRO</v>
      </c>
      <c r="K602" s="31" t="str">
        <f>IFERROR(__xludf.DUMMYFUNCTION("""COMPUTED_VALUE"""),"Mrityunjay K")</f>
        <v>Mrityunjay K</v>
      </c>
      <c r="L602" s="31"/>
      <c r="M602" s="31"/>
      <c r="N602" s="31"/>
    </row>
    <row r="603">
      <c r="A603" s="31">
        <f>IFERROR(__xludf.DUMMYFUNCTION("""COMPUTED_VALUE"""),672.0)</f>
        <v>672</v>
      </c>
      <c r="B603" s="31" t="str">
        <f>IFERROR(__xludf.DUMMYFUNCTION("""COMPUTED_VALUE"""),"Kirtesh")</f>
        <v>Kirtesh</v>
      </c>
      <c r="C603" s="31" t="str">
        <f>IFERROR(__xludf.DUMMYFUNCTION("""COMPUTED_VALUE"""),"  kpaliwal@deqode.com")</f>
        <v>  kpaliwal@deqode.com</v>
      </c>
      <c r="D603" s="84" t="str">
        <f>IFERROR(__xludf.DUMMYFUNCTION("""COMPUTED_VALUE"""),"94248 96743")</f>
        <v>94248 96743</v>
      </c>
      <c r="E603" s="99">
        <f>IFERROR(__xludf.DUMMYFUNCTION("""COMPUTED_VALUE"""),45740.0)</f>
        <v>45740</v>
      </c>
      <c r="F603" s="31"/>
      <c r="G603" s="85"/>
      <c r="H603" s="31"/>
      <c r="I603" s="31" t="str">
        <f>IFERROR(__xludf.DUMMYFUNCTION("""COMPUTED_VALUE"""),"Contractual: Deqode")</f>
        <v>Contractual: Deqode</v>
      </c>
      <c r="J603" s="31" t="str">
        <f>IFERROR(__xludf.DUMMYFUNCTION("""COMPUTED_VALUE"""),"QA")</f>
        <v>QA</v>
      </c>
      <c r="K603" s="31"/>
      <c r="L603" s="31"/>
      <c r="M603" s="31"/>
      <c r="N603" s="31"/>
    </row>
    <row r="604">
      <c r="A604" s="31">
        <f>IFERROR(__xludf.DUMMYFUNCTION("""COMPUTED_VALUE"""),673.0)</f>
        <v>673</v>
      </c>
      <c r="B604" s="31" t="str">
        <f>IFERROR(__xludf.DUMMYFUNCTION("""COMPUTED_VALUE"""),"Purodha Singh")</f>
        <v>Purodha Singh</v>
      </c>
      <c r="C604" s="31" t="str">
        <f>IFERROR(__xludf.DUMMYFUNCTION("""COMPUTED_VALUE"""),"singh.purodha@gmail.com")</f>
        <v>singh.purodha@gmail.com</v>
      </c>
      <c r="D604" s="84">
        <f>IFERROR(__xludf.DUMMYFUNCTION("""COMPUTED_VALUE"""),7.8275596E8)</f>
        <v>782755960</v>
      </c>
      <c r="E604" s="99">
        <f>IFERROR(__xludf.DUMMYFUNCTION("""COMPUTED_VALUE"""),45743.0)</f>
        <v>45743</v>
      </c>
      <c r="F604" s="31"/>
      <c r="G604" s="85"/>
      <c r="H604" s="31"/>
      <c r="I604" s="31" t="str">
        <f>IFERROR(__xludf.DUMMYFUNCTION("""COMPUTED_VALUE"""),"Senior Manager-Business Finance")</f>
        <v>Senior Manager-Business Finance</v>
      </c>
      <c r="J604" s="31" t="str">
        <f>IFERROR(__xludf.DUMMYFUNCTION("""COMPUTED_VALUE"""),"Finance")</f>
        <v>Finance</v>
      </c>
      <c r="K604" s="31" t="str">
        <f>IFERROR(__xludf.DUMMYFUNCTION("""COMPUTED_VALUE"""),"Shashank gupta")</f>
        <v>Shashank gupta</v>
      </c>
      <c r="L604" s="31"/>
      <c r="M604" s="31"/>
      <c r="N604" s="31"/>
    </row>
    <row r="605">
      <c r="A605" s="31">
        <f>IFERROR(__xludf.DUMMYFUNCTION("""COMPUTED_VALUE"""),674.0)</f>
        <v>674</v>
      </c>
      <c r="B605" s="31" t="str">
        <f>IFERROR(__xludf.DUMMYFUNCTION("""COMPUTED_VALUE"""),"Simran Rana ")</f>
        <v>Simran Rana </v>
      </c>
      <c r="C605" s="31" t="str">
        <f>IFERROR(__xludf.DUMMYFUNCTION("""COMPUTED_VALUE"""),"simranrana5546@gmail.com")</f>
        <v>simranrana5546@gmail.com</v>
      </c>
      <c r="D605" s="84">
        <f>IFERROR(__xludf.DUMMYFUNCTION("""COMPUTED_VALUE"""),8.448463623E9)</f>
        <v>8448463623</v>
      </c>
      <c r="E605" s="99">
        <f>IFERROR(__xludf.DUMMYFUNCTION("""COMPUTED_VALUE"""),45742.0)</f>
        <v>45742</v>
      </c>
      <c r="F605" s="31"/>
      <c r="G605" s="85"/>
      <c r="H605" s="31"/>
      <c r="I605" s="31" t="str">
        <f>IFERROR(__xludf.DUMMYFUNCTION("""COMPUTED_VALUE"""),"CRM HRO")</f>
        <v>CRM HRO</v>
      </c>
      <c r="J605" s="31" t="str">
        <f>IFERROR(__xludf.DUMMYFUNCTION("""COMPUTED_VALUE"""),"CRM HRO")</f>
        <v>CRM HRO</v>
      </c>
      <c r="K605" s="31" t="str">
        <f>IFERROR(__xludf.DUMMYFUNCTION("""COMPUTED_VALUE"""),"Mrityunjay K")</f>
        <v>Mrityunjay K</v>
      </c>
      <c r="L605" s="31"/>
      <c r="M605" s="31"/>
      <c r="N605" s="31"/>
    </row>
    <row r="606">
      <c r="A606" s="31">
        <f>IFERROR(__xludf.DUMMYFUNCTION("""COMPUTED_VALUE"""),675.0)</f>
        <v>675</v>
      </c>
      <c r="B606" s="31" t="str">
        <f>IFERROR(__xludf.DUMMYFUNCTION("""COMPUTED_VALUE"""),"Diksha Garg")</f>
        <v>Diksha Garg</v>
      </c>
      <c r="C606" s="31" t="str">
        <f>IFERROR(__xludf.DUMMYFUNCTION("""COMPUTED_VALUE"""),"dikshagarg876@gmail.com")</f>
        <v>dikshagarg876@gmail.com</v>
      </c>
      <c r="D606" s="84">
        <f>IFERROR(__xludf.DUMMYFUNCTION("""COMPUTED_VALUE"""),9.463558005E9)</f>
        <v>9463558005</v>
      </c>
      <c r="E606" s="99">
        <f>IFERROR(__xludf.DUMMYFUNCTION("""COMPUTED_VALUE"""),45748.0)</f>
        <v>45748</v>
      </c>
      <c r="F606" s="31"/>
      <c r="G606" s="85"/>
      <c r="H606" s="31"/>
      <c r="I606" s="31" t="str">
        <f>IFERROR(__xludf.DUMMYFUNCTION("""COMPUTED_VALUE"""),"Assistant Manager-Digital Marketing")</f>
        <v>Assistant Manager-Digital Marketing</v>
      </c>
      <c r="J606" s="31" t="str">
        <f>IFERROR(__xludf.DUMMYFUNCTION("""COMPUTED_VALUE"""),"Digital Marketing")</f>
        <v>Digital Marketing</v>
      </c>
      <c r="K606" s="31" t="str">
        <f>IFERROR(__xludf.DUMMYFUNCTION("""COMPUTED_VALUE"""),"	Ritwika Maitra")</f>
        <v>	Ritwika Maitra</v>
      </c>
      <c r="L606" s="31"/>
      <c r="M606" s="31"/>
      <c r="N606" s="31"/>
    </row>
    <row r="607">
      <c r="A607" s="31">
        <f>IFERROR(__xludf.DUMMYFUNCTION("""COMPUTED_VALUE"""),676.0)</f>
        <v>676</v>
      </c>
      <c r="B607" s="31" t="str">
        <f>IFERROR(__xludf.DUMMYFUNCTION("""COMPUTED_VALUE"""),"Nikhil Kansotia")</f>
        <v>Nikhil Kansotia</v>
      </c>
      <c r="C607" s="31" t="str">
        <f>IFERROR(__xludf.DUMMYFUNCTION("""COMPUTED_VALUE"""),"kansotianikhil92@gmail.com")</f>
        <v>kansotianikhil92@gmail.com</v>
      </c>
      <c r="D607" s="84">
        <f>IFERROR(__xludf.DUMMYFUNCTION("""COMPUTED_VALUE"""),7.428947739E9)</f>
        <v>7428947739</v>
      </c>
      <c r="E607" s="99">
        <f>IFERROR(__xludf.DUMMYFUNCTION("""COMPUTED_VALUE"""),45748.0)</f>
        <v>45748</v>
      </c>
      <c r="F607" s="31"/>
      <c r="G607" s="85"/>
      <c r="H607" s="31"/>
      <c r="I607" s="31" t="str">
        <f>IFERROR(__xludf.DUMMYFUNCTION("""COMPUTED_VALUE"""),"Software Engineer Intern ")</f>
        <v>Software Engineer Intern </v>
      </c>
      <c r="J607" s="31" t="str">
        <f>IFERROR(__xludf.DUMMYFUNCTION("""COMPUTED_VALUE"""),"Technology")</f>
        <v>Technology</v>
      </c>
      <c r="K607" s="31"/>
      <c r="L607" s="31"/>
      <c r="M607" s="31"/>
      <c r="N607" s="31"/>
    </row>
    <row r="608">
      <c r="A608" s="31">
        <f>IFERROR(__xludf.DUMMYFUNCTION("""COMPUTED_VALUE"""),677.0)</f>
        <v>677</v>
      </c>
      <c r="B608" s="31" t="str">
        <f>IFERROR(__xludf.DUMMYFUNCTION("""COMPUTED_VALUE"""),"Dev Peshawari")</f>
        <v>Dev Peshawari</v>
      </c>
      <c r="C608" s="31" t="str">
        <f>IFERROR(__xludf.DUMMYFUNCTION("""COMPUTED_VALUE"""),"dev.peshawari@gmail.com ")</f>
        <v>dev.peshawari@gmail.com </v>
      </c>
      <c r="D608" s="84">
        <f>IFERROR(__xludf.DUMMYFUNCTION("""COMPUTED_VALUE"""),8.368431604E9)</f>
        <v>8368431604</v>
      </c>
      <c r="E608" s="99">
        <f>IFERROR(__xludf.DUMMYFUNCTION("""COMPUTED_VALUE"""),45748.0)</f>
        <v>45748</v>
      </c>
      <c r="F608" s="31"/>
      <c r="G608" s="85"/>
      <c r="H608" s="31"/>
      <c r="I608" s="31" t="str">
        <f>IFERROR(__xludf.DUMMYFUNCTION("""COMPUTED_VALUE"""),"Software Engineer Intern ")</f>
        <v>Software Engineer Intern </v>
      </c>
      <c r="J608" s="31" t="str">
        <f>IFERROR(__xludf.DUMMYFUNCTION("""COMPUTED_VALUE"""),"Technology")</f>
        <v>Technology</v>
      </c>
      <c r="K608" s="31"/>
      <c r="L608" s="31"/>
      <c r="M608" s="31"/>
      <c r="N608" s="31"/>
    </row>
    <row r="609">
      <c r="A609" s="31">
        <f>IFERROR(__xludf.DUMMYFUNCTION("""COMPUTED_VALUE"""),678.0)</f>
        <v>678</v>
      </c>
      <c r="B609" s="31" t="str">
        <f>IFERROR(__xludf.DUMMYFUNCTION("""COMPUTED_VALUE"""),"Ayush Kumar")</f>
        <v>Ayush Kumar</v>
      </c>
      <c r="C609" s="31" t="str">
        <f>IFERROR(__xludf.DUMMYFUNCTION("""COMPUTED_VALUE"""),"ayushkumar_it21a9_06@dtu.ac.in")</f>
        <v>ayushkumar_it21a9_06@dtu.ac.in</v>
      </c>
      <c r="D609" s="84">
        <f>IFERROR(__xludf.DUMMYFUNCTION("""COMPUTED_VALUE"""),9.599807109E9)</f>
        <v>9599807109</v>
      </c>
      <c r="E609" s="99">
        <f>IFERROR(__xludf.DUMMYFUNCTION("""COMPUTED_VALUE"""),45748.0)</f>
        <v>45748</v>
      </c>
      <c r="F609" s="31"/>
      <c r="G609" s="85"/>
      <c r="H609" s="31"/>
      <c r="I609" s="31" t="str">
        <f>IFERROR(__xludf.DUMMYFUNCTION("""COMPUTED_VALUE"""),"Software Engineer Intern ")</f>
        <v>Software Engineer Intern </v>
      </c>
      <c r="J609" s="31" t="str">
        <f>IFERROR(__xludf.DUMMYFUNCTION("""COMPUTED_VALUE"""),"Technology")</f>
        <v>Technology</v>
      </c>
      <c r="K609" s="31"/>
      <c r="L609" s="31"/>
      <c r="M609" s="31"/>
      <c r="N609" s="31"/>
    </row>
    <row r="610">
      <c r="A610" s="31">
        <f>IFERROR(__xludf.DUMMYFUNCTION("""COMPUTED_VALUE"""),679.0)</f>
        <v>679</v>
      </c>
      <c r="B610" s="31" t="str">
        <f>IFERROR(__xludf.DUMMYFUNCTION("""COMPUTED_VALUE"""),"Yash Satwani")</f>
        <v>Yash Satwani</v>
      </c>
      <c r="C610" s="31" t="str">
        <f>IFERROR(__xludf.DUMMYFUNCTION("""COMPUTED_VALUE"""),"yash.satwani0@gmail.com")</f>
        <v>yash.satwani0@gmail.com</v>
      </c>
      <c r="D610" s="84">
        <f>IFERROR(__xludf.DUMMYFUNCTION("""COMPUTED_VALUE"""),8.218872092E9)</f>
        <v>8218872092</v>
      </c>
      <c r="E610" s="99">
        <f>IFERROR(__xludf.DUMMYFUNCTION("""COMPUTED_VALUE"""),45748.0)</f>
        <v>45748</v>
      </c>
      <c r="F610" s="31"/>
      <c r="G610" s="85"/>
      <c r="H610" s="31"/>
      <c r="I610" s="31" t="str">
        <f>IFERROR(__xludf.DUMMYFUNCTION("""COMPUTED_VALUE"""),"Data Scientist")</f>
        <v>Data Scientist</v>
      </c>
      <c r="J610" s="31" t="str">
        <f>IFERROR(__xludf.DUMMYFUNCTION("""COMPUTED_VALUE"""),"Data")</f>
        <v>Data</v>
      </c>
      <c r="K610" s="31" t="str">
        <f>IFERROR(__xludf.DUMMYFUNCTION("""COMPUTED_VALUE"""),"Sairam Mushyam")</f>
        <v>Sairam Mushyam</v>
      </c>
      <c r="L610" s="31"/>
      <c r="M610" s="31"/>
      <c r="N610" s="31"/>
    </row>
    <row r="611">
      <c r="A611" s="31">
        <f>IFERROR(__xludf.DUMMYFUNCTION("""COMPUTED_VALUE"""),680.0)</f>
        <v>680</v>
      </c>
      <c r="B611" s="31" t="str">
        <f>IFERROR(__xludf.DUMMYFUNCTION("""COMPUTED_VALUE"""),"Mohit")</f>
        <v>Mohit</v>
      </c>
      <c r="C611" s="31" t="str">
        <f>IFERROR(__xludf.DUMMYFUNCTION("""COMPUTED_VALUE"""),"officialmohittanwar@gmail.com")</f>
        <v>officialmohittanwar@gmail.com</v>
      </c>
      <c r="D611" s="84">
        <f>IFERROR(__xludf.DUMMYFUNCTION("""COMPUTED_VALUE"""),9.027089192E9)</f>
        <v>9027089192</v>
      </c>
      <c r="E611" s="99">
        <f>IFERROR(__xludf.DUMMYFUNCTION("""COMPUTED_VALUE"""),45748.0)</f>
        <v>45748</v>
      </c>
      <c r="F611" s="31"/>
      <c r="G611" s="85"/>
      <c r="H611" s="31"/>
      <c r="I611" s="31" t="str">
        <f>IFERROR(__xludf.DUMMYFUNCTION("""COMPUTED_VALUE"""),"Software Engineer Intern ")</f>
        <v>Software Engineer Intern </v>
      </c>
      <c r="J611" s="31" t="str">
        <f>IFERROR(__xludf.DUMMYFUNCTION("""COMPUTED_VALUE"""),"Technology")</f>
        <v>Technology</v>
      </c>
      <c r="K611" s="31"/>
      <c r="L611" s="31"/>
      <c r="M611" s="31"/>
      <c r="N611" s="31"/>
    </row>
    <row r="612">
      <c r="A612" s="31">
        <f>IFERROR(__xludf.DUMMYFUNCTION("""COMPUTED_VALUE"""),681.0)</f>
        <v>681</v>
      </c>
      <c r="B612" s="31" t="str">
        <f>IFERROR(__xludf.DUMMYFUNCTION("""COMPUTED_VALUE"""),"Harsh Raghuvanshi")</f>
        <v>Harsh Raghuvanshi</v>
      </c>
      <c r="C612" s="31" t="str">
        <f>IFERROR(__xludf.DUMMYFUNCTION("""COMPUTED_VALUE"""),"harshrghvnsh@gmail.com")</f>
        <v>harshrghvnsh@gmail.com</v>
      </c>
      <c r="D612" s="84">
        <f>IFERROR(__xludf.DUMMYFUNCTION("""COMPUTED_VALUE"""),8.882247118E9)</f>
        <v>8882247118</v>
      </c>
      <c r="E612" s="99">
        <f>IFERROR(__xludf.DUMMYFUNCTION("""COMPUTED_VALUE"""),45748.0)</f>
        <v>45748</v>
      </c>
      <c r="F612" s="31"/>
      <c r="G612" s="85"/>
      <c r="H612" s="31"/>
      <c r="I612" s="31" t="str">
        <f>IFERROR(__xludf.DUMMYFUNCTION("""COMPUTED_VALUE"""),"Software Engineer Intern ")</f>
        <v>Software Engineer Intern </v>
      </c>
      <c r="J612" s="31" t="str">
        <f>IFERROR(__xludf.DUMMYFUNCTION("""COMPUTED_VALUE"""),"Technology")</f>
        <v>Technology</v>
      </c>
      <c r="K612" s="31"/>
      <c r="L612" s="31"/>
      <c r="M612" s="31"/>
      <c r="N612" s="31"/>
    </row>
    <row r="613">
      <c r="A613" s="31">
        <f>IFERROR(__xludf.DUMMYFUNCTION("""COMPUTED_VALUE"""),682.0)</f>
        <v>682</v>
      </c>
      <c r="B613" s="31" t="str">
        <f>IFERROR(__xludf.DUMMYFUNCTION("""COMPUTED_VALUE"""),"Aditya Garg")</f>
        <v>Aditya Garg</v>
      </c>
      <c r="C613" s="31" t="str">
        <f>IFERROR(__xludf.DUMMYFUNCTION("""COMPUTED_VALUE"""),"adityagarg0911@gmail.com")</f>
        <v>adityagarg0911@gmail.com</v>
      </c>
      <c r="D613" s="84">
        <f>IFERROR(__xludf.DUMMYFUNCTION("""COMPUTED_VALUE"""),7.40442037E9)</f>
        <v>7404420370</v>
      </c>
      <c r="E613" s="99">
        <f>IFERROR(__xludf.DUMMYFUNCTION("""COMPUTED_VALUE"""),45748.0)</f>
        <v>45748</v>
      </c>
      <c r="F613" s="31"/>
      <c r="G613" s="85"/>
      <c r="H613" s="31"/>
      <c r="I613" s="31" t="str">
        <f>IFERROR(__xludf.DUMMYFUNCTION("""COMPUTED_VALUE"""),"Software Engineer Intern ")</f>
        <v>Software Engineer Intern </v>
      </c>
      <c r="J613" s="31" t="str">
        <f>IFERROR(__xludf.DUMMYFUNCTION("""COMPUTED_VALUE"""),"Technology")</f>
        <v>Technology</v>
      </c>
      <c r="K613" s="31"/>
      <c r="L613" s="31"/>
      <c r="M613" s="31"/>
      <c r="N613" s="31"/>
    </row>
    <row r="614">
      <c r="A614" s="31">
        <f>IFERROR(__xludf.DUMMYFUNCTION("""COMPUTED_VALUE"""),683.0)</f>
        <v>683</v>
      </c>
      <c r="B614" s="31" t="str">
        <f>IFERROR(__xludf.DUMMYFUNCTION("""COMPUTED_VALUE"""),"Vinay Mishra")</f>
        <v>Vinay Mishra</v>
      </c>
      <c r="C614" s="31" t="str">
        <f>IFERROR(__xludf.DUMMYFUNCTION("""COMPUTED_VALUE"""),"vinay.mishra@rockladder.com")</f>
        <v>vinay.mishra@rockladder.com</v>
      </c>
      <c r="D614" s="84">
        <f>IFERROR(__xludf.DUMMYFUNCTION("""COMPUTED_VALUE"""),6.388529118E9)</f>
        <v>6388529118</v>
      </c>
      <c r="E614" s="99">
        <f>IFERROR(__xludf.DUMMYFUNCTION("""COMPUTED_VALUE"""),45748.0)</f>
        <v>45748</v>
      </c>
      <c r="F614" s="31"/>
      <c r="G614" s="85"/>
      <c r="H614" s="31"/>
      <c r="I614" s="31" t="str">
        <f>IFERROR(__xludf.DUMMYFUNCTION("""COMPUTED_VALUE"""),"IT")</f>
        <v>IT</v>
      </c>
      <c r="J614" s="31" t="str">
        <f>IFERROR(__xludf.DUMMYFUNCTION("""COMPUTED_VALUE"""),"IT")</f>
        <v>IT</v>
      </c>
      <c r="K614" s="31" t="str">
        <f>IFERROR(__xludf.DUMMYFUNCTION("""COMPUTED_VALUE"""),"Rajkumar Singh")</f>
        <v>Rajkumar Singh</v>
      </c>
      <c r="L614" s="31"/>
      <c r="M614" s="31"/>
      <c r="N614" s="31"/>
    </row>
    <row r="615">
      <c r="A615" s="31">
        <f>IFERROR(__xludf.DUMMYFUNCTION("""COMPUTED_VALUE"""),684.0)</f>
        <v>684</v>
      </c>
      <c r="B615" s="31" t="str">
        <f>IFERROR(__xludf.DUMMYFUNCTION("""COMPUTED_VALUE"""),"Sachin Tanwar")</f>
        <v>Sachin Tanwar</v>
      </c>
      <c r="C615" s="31" t="str">
        <f>IFERROR(__xludf.DUMMYFUNCTION("""COMPUTED_VALUE"""),"tanwarsachin2803@gmail.com")</f>
        <v>tanwarsachin2803@gmail.com</v>
      </c>
      <c r="D615" s="84">
        <f>IFERROR(__xludf.DUMMYFUNCTION("""COMPUTED_VALUE"""),9.911188642E9)</f>
        <v>9911188642</v>
      </c>
      <c r="E615" s="99">
        <f>IFERROR(__xludf.DUMMYFUNCTION("""COMPUTED_VALUE"""),45748.0)</f>
        <v>45748</v>
      </c>
      <c r="F615" s="31"/>
      <c r="G615" s="85"/>
      <c r="H615" s="31"/>
      <c r="I615" s="31" t="str">
        <f>IFERROR(__xludf.DUMMYFUNCTION("""COMPUTED_VALUE"""),"Senior Software Development Engineer in Test")</f>
        <v>Senior Software Development Engineer in Test</v>
      </c>
      <c r="J615" s="31" t="str">
        <f>IFERROR(__xludf.DUMMYFUNCTION("""COMPUTED_VALUE"""),"Technology")</f>
        <v>Technology</v>
      </c>
      <c r="K615" s="31" t="str">
        <f>IFERROR(__xludf.DUMMYFUNCTION("""COMPUTED_VALUE"""),"Sahil Puri")</f>
        <v>Sahil Puri</v>
      </c>
      <c r="L615" s="31"/>
      <c r="M615" s="31"/>
      <c r="N615" s="31"/>
    </row>
    <row r="616">
      <c r="A616" s="31">
        <f>IFERROR(__xludf.DUMMYFUNCTION("""COMPUTED_VALUE"""),685.0)</f>
        <v>685</v>
      </c>
      <c r="B616" s="31" t="str">
        <f>IFERROR(__xludf.DUMMYFUNCTION("""COMPUTED_VALUE"""),"Pragya Singh")</f>
        <v>Pragya Singh</v>
      </c>
      <c r="C616" s="86" t="str">
        <f>IFERROR(__xludf.DUMMYFUNCTION("""COMPUTED_VALUE"""),"pragyasln09@gmail.com")</f>
        <v>pragyasln09@gmail.com</v>
      </c>
      <c r="D616" s="84">
        <f>IFERROR(__xludf.DUMMYFUNCTION("""COMPUTED_VALUE"""),7.905611649E9)</f>
        <v>7905611649</v>
      </c>
      <c r="E616" s="99">
        <f>IFERROR(__xludf.DUMMYFUNCTION("""COMPUTED_VALUE"""),45748.0)</f>
        <v>45748</v>
      </c>
      <c r="F616" s="31"/>
      <c r="G616" s="85"/>
      <c r="H616" s="31"/>
      <c r="I616" s="31" t="str">
        <f>IFERROR(__xludf.DUMMYFUNCTION("""COMPUTED_VALUE"""),"Contract: Programming")</f>
        <v>Contract: Programming</v>
      </c>
      <c r="J616" s="31" t="str">
        <f>IFERROR(__xludf.DUMMYFUNCTION("""COMPUTED_VALUE"""),"Frontend")</f>
        <v>Frontend</v>
      </c>
      <c r="K616" s="31" t="str">
        <f>IFERROR(__xludf.DUMMYFUNCTION("""COMPUTED_VALUE"""),"Anshul Mittal")</f>
        <v>Anshul Mittal</v>
      </c>
      <c r="L616" s="31"/>
      <c r="M616" s="31"/>
      <c r="N616" s="31"/>
    </row>
    <row r="617">
      <c r="A617" s="31">
        <f>IFERROR(__xludf.DUMMYFUNCTION("""COMPUTED_VALUE"""),686.0)</f>
        <v>686</v>
      </c>
      <c r="B617" s="31" t="str">
        <f>IFERROR(__xludf.DUMMYFUNCTION("""COMPUTED_VALUE"""),"Abhay Kumar")</f>
        <v>Abhay Kumar</v>
      </c>
      <c r="C617" s="31" t="str">
        <f>IFERROR(__xludf.DUMMYFUNCTION("""COMPUTED_VALUE"""),"abhayranamalout@gmail.com")</f>
        <v>abhayranamalout@gmail.com</v>
      </c>
      <c r="D617" s="84">
        <f>IFERROR(__xludf.DUMMYFUNCTION("""COMPUTED_VALUE"""),9.530854863E9)</f>
        <v>9530854863</v>
      </c>
      <c r="E617" s="99">
        <f>IFERROR(__xludf.DUMMYFUNCTION("""COMPUTED_VALUE"""),45748.0)</f>
        <v>45748</v>
      </c>
      <c r="F617" s="31"/>
      <c r="G617" s="85"/>
      <c r="H617" s="31"/>
      <c r="I617" s="31"/>
      <c r="J617" s="31" t="str">
        <f>IFERROR(__xludf.DUMMYFUNCTION("""COMPUTED_VALUE"""),"Technology")</f>
        <v>Technology</v>
      </c>
      <c r="K617" s="31" t="str">
        <f>IFERROR(__xludf.DUMMYFUNCTION("""COMPUTED_VALUE"""),"Vishal Agarwal")</f>
        <v>Vishal Agarwal</v>
      </c>
      <c r="L617" s="31"/>
      <c r="M617" s="31"/>
      <c r="N617" s="31"/>
    </row>
    <row r="618">
      <c r="A618" s="31">
        <f>IFERROR(__xludf.DUMMYFUNCTION("""COMPUTED_VALUE"""),687.0)</f>
        <v>687</v>
      </c>
      <c r="B618" s="31" t="str">
        <f>IFERROR(__xludf.DUMMYFUNCTION("""COMPUTED_VALUE"""),"Prityankur Biswas")</f>
        <v>Prityankur Biswas</v>
      </c>
      <c r="C618" s="31" t="str">
        <f>IFERROR(__xludf.DUMMYFUNCTION("""COMPUTED_VALUE"""),"prityankur@gmail.com")</f>
        <v>prityankur@gmail.com</v>
      </c>
      <c r="D618" s="84">
        <f>IFERROR(__xludf.DUMMYFUNCTION("""COMPUTED_VALUE"""),7.908486519E9)</f>
        <v>7908486519</v>
      </c>
      <c r="E618" s="99">
        <f>IFERROR(__xludf.DUMMYFUNCTION("""COMPUTED_VALUE"""),45748.0)</f>
        <v>45748</v>
      </c>
      <c r="F618" s="31"/>
      <c r="G618" s="85"/>
      <c r="H618" s="31"/>
      <c r="I618" s="31" t="str">
        <f>IFERROR(__xludf.DUMMYFUNCTION("""COMPUTED_VALUE"""),"Software Development Engineer in Test")</f>
        <v>Software Development Engineer in Test</v>
      </c>
      <c r="J618" s="31" t="str">
        <f>IFERROR(__xludf.DUMMYFUNCTION("""COMPUTED_VALUE"""),"Technology")</f>
        <v>Technology</v>
      </c>
      <c r="K618" s="31" t="str">
        <f>IFERROR(__xludf.DUMMYFUNCTION("""COMPUTED_VALUE"""),"Sahil Puri")</f>
        <v>Sahil Puri</v>
      </c>
      <c r="L618" s="31"/>
      <c r="M618" s="31"/>
      <c r="N618" s="31"/>
    </row>
    <row r="619">
      <c r="A619" s="31">
        <f>IFERROR(__xludf.DUMMYFUNCTION("""COMPUTED_VALUE"""),688.0)</f>
        <v>688</v>
      </c>
      <c r="B619" s="31" t="str">
        <f>IFERROR(__xludf.DUMMYFUNCTION("""COMPUTED_VALUE"""),"Shubham Agrawal")</f>
        <v>Shubham Agrawal</v>
      </c>
      <c r="C619" s="31" t="str">
        <f>IFERROR(__xludf.DUMMYFUNCTION("""COMPUTED_VALUE"""),"ashubham0806@gmail.com")</f>
        <v>ashubham0806@gmail.com</v>
      </c>
      <c r="D619" s="84">
        <f>IFERROR(__xludf.DUMMYFUNCTION("""COMPUTED_VALUE"""),8.292003414E9)</f>
        <v>8292003414</v>
      </c>
      <c r="E619" s="99">
        <f>IFERROR(__xludf.DUMMYFUNCTION("""COMPUTED_VALUE"""),45721.0)</f>
        <v>45721</v>
      </c>
      <c r="F619" s="31"/>
      <c r="G619" s="85"/>
      <c r="H619" s="31"/>
      <c r="I619" s="31" t="str">
        <f>IFERROR(__xludf.DUMMYFUNCTION("""COMPUTED_VALUE"""),"Product Manager")</f>
        <v>Product Manager</v>
      </c>
      <c r="J619" s="31" t="str">
        <f>IFERROR(__xludf.DUMMYFUNCTION("""COMPUTED_VALUE"""),"Product")</f>
        <v>Product</v>
      </c>
      <c r="K619" s="31" t="str">
        <f>IFERROR(__xludf.DUMMYFUNCTION("""COMPUTED_VALUE"""),"Naveen Kadyan")</f>
        <v>Naveen Kadyan</v>
      </c>
      <c r="L619" s="31"/>
      <c r="M619" s="31"/>
      <c r="N619" s="31"/>
    </row>
    <row r="620">
      <c r="A620" s="31">
        <f>IFERROR(__xludf.DUMMYFUNCTION("""COMPUTED_VALUE"""),689.0)</f>
        <v>689</v>
      </c>
      <c r="B620" s="31" t="str">
        <f>IFERROR(__xludf.DUMMYFUNCTION("""COMPUTED_VALUE"""),"Mini Agarwal")</f>
        <v>Mini Agarwal</v>
      </c>
      <c r="C620" s="31" t="str">
        <f>IFERROR(__xludf.DUMMYFUNCTION("""COMPUTED_VALUE"""),"miniagrawal2025@gmail.com")</f>
        <v>miniagrawal2025@gmail.com</v>
      </c>
      <c r="D620" s="84">
        <f>IFERROR(__xludf.DUMMYFUNCTION("""COMPUTED_VALUE"""),9.039598227E9)</f>
        <v>9039598227</v>
      </c>
      <c r="E620" s="99">
        <f>IFERROR(__xludf.DUMMYFUNCTION("""COMPUTED_VALUE"""),45749.0)</f>
        <v>45749</v>
      </c>
      <c r="F620" s="31"/>
      <c r="G620" s="85"/>
      <c r="H620" s="31"/>
      <c r="I620" s="31" t="str">
        <f>IFERROR(__xludf.DUMMYFUNCTION("""COMPUTED_VALUE"""),"Relationship Manager
")</f>
        <v>Relationship Manager
</v>
      </c>
      <c r="J620" s="31" t="str">
        <f>IFERROR(__xludf.DUMMYFUNCTION("""COMPUTED_VALUE"""),"CRM")</f>
        <v>CRM</v>
      </c>
      <c r="K620" s="31" t="str">
        <f>IFERROR(__xludf.DUMMYFUNCTION("""COMPUTED_VALUE"""),"Shivam Bali")</f>
        <v>Shivam Bali</v>
      </c>
      <c r="L620" s="31"/>
      <c r="M620" s="31"/>
      <c r="N620" s="31"/>
    </row>
    <row r="621">
      <c r="A621" s="31">
        <f>IFERROR(__xludf.DUMMYFUNCTION("""COMPUTED_VALUE"""),690.0)</f>
        <v>690</v>
      </c>
      <c r="B621" s="31" t="str">
        <f>IFERROR(__xludf.DUMMYFUNCTION("""COMPUTED_VALUE"""),"Kajal Kaim")</f>
        <v>Kajal Kaim</v>
      </c>
      <c r="C621" s="31" t="str">
        <f>IFERROR(__xludf.DUMMYFUNCTION("""COMPUTED_VALUE"""),"kajalkaim1015@gmail.com")</f>
        <v>kajalkaim1015@gmail.com</v>
      </c>
      <c r="D621" s="84">
        <f>IFERROR(__xludf.DUMMYFUNCTION("""COMPUTED_VALUE"""),8.585938528E9)</f>
        <v>8585938528</v>
      </c>
      <c r="E621" s="99">
        <f>IFERROR(__xludf.DUMMYFUNCTION("""COMPUTED_VALUE"""),45749.0)</f>
        <v>45749</v>
      </c>
      <c r="F621" s="31"/>
      <c r="G621" s="85"/>
      <c r="H621" s="31"/>
      <c r="I621" s="31" t="str">
        <f>IFERROR(__xludf.DUMMYFUNCTION("""COMPUTED_VALUE"""),"Relationship Manager
")</f>
        <v>Relationship Manager
</v>
      </c>
      <c r="J621" s="31" t="str">
        <f>IFERROR(__xludf.DUMMYFUNCTION("""COMPUTED_VALUE"""),"CRM")</f>
        <v>CRM</v>
      </c>
      <c r="K621" s="31" t="str">
        <f>IFERROR(__xludf.DUMMYFUNCTION("""COMPUTED_VALUE"""),"Shivam Bali")</f>
        <v>Shivam Bali</v>
      </c>
      <c r="L621" s="31"/>
      <c r="M621" s="31"/>
      <c r="N621" s="31"/>
    </row>
    <row r="622">
      <c r="A622" s="31">
        <f>IFERROR(__xludf.DUMMYFUNCTION("""COMPUTED_VALUE"""),691.0)</f>
        <v>691</v>
      </c>
      <c r="B622" s="31" t="str">
        <f>IFERROR(__xludf.DUMMYFUNCTION("""COMPUTED_VALUE"""),"Atul Kumar Sangwan")</f>
        <v>Atul Kumar Sangwan</v>
      </c>
      <c r="C622" s="31" t="str">
        <f>IFERROR(__xludf.DUMMYFUNCTION("""COMPUTED_VALUE"""),"vanshsangwan1001@gmail.com")</f>
        <v>vanshsangwan1001@gmail.com</v>
      </c>
      <c r="D622" s="84">
        <f>IFERROR(__xludf.DUMMYFUNCTION("""COMPUTED_VALUE"""),8.510901001E9)</f>
        <v>8510901001</v>
      </c>
      <c r="E622" s="99">
        <f>IFERROR(__xludf.DUMMYFUNCTION("""COMPUTED_VALUE"""),45749.0)</f>
        <v>45749</v>
      </c>
      <c r="F622" s="31"/>
      <c r="G622" s="85"/>
      <c r="H622" s="31"/>
      <c r="I622" s="31" t="str">
        <f>IFERROR(__xludf.DUMMYFUNCTION("""COMPUTED_VALUE"""),"Relationship Manager")</f>
        <v>Relationship Manager</v>
      </c>
      <c r="J622" s="31" t="str">
        <f>IFERROR(__xludf.DUMMYFUNCTION("""COMPUTED_VALUE"""),"CRM")</f>
        <v>CRM</v>
      </c>
      <c r="K622" s="31" t="str">
        <f>IFERROR(__xludf.DUMMYFUNCTION("""COMPUTED_VALUE"""),"Shivam Bali")</f>
        <v>Shivam Bali</v>
      </c>
      <c r="L622" s="31"/>
      <c r="M622" s="31"/>
      <c r="N622" s="31"/>
    </row>
    <row r="623">
      <c r="A623" s="31">
        <f>IFERROR(__xludf.DUMMYFUNCTION("""COMPUTED_VALUE"""),692.0)</f>
        <v>692</v>
      </c>
      <c r="B623" s="31" t="str">
        <f>IFERROR(__xludf.DUMMYFUNCTION("""COMPUTED_VALUE"""),"Saumil Shah")</f>
        <v>Saumil Shah</v>
      </c>
      <c r="C623" s="31" t="str">
        <f>IFERROR(__xludf.DUMMYFUNCTION("""COMPUTED_VALUE""")," saumil555@gmail.com")</f>
        <v> saumil555@gmail.com</v>
      </c>
      <c r="D623" s="84">
        <f>IFERROR(__xludf.DUMMYFUNCTION("""COMPUTED_VALUE"""),9.096983096E9)</f>
        <v>9096983096</v>
      </c>
      <c r="E623" s="99">
        <f>IFERROR(__xludf.DUMMYFUNCTION("""COMPUTED_VALUE"""),45749.0)</f>
        <v>45749</v>
      </c>
      <c r="F623" s="31"/>
      <c r="G623" s="85"/>
      <c r="H623" s="31"/>
      <c r="I623" s="31" t="str">
        <f>IFERROR(__xludf.DUMMYFUNCTION("""COMPUTED_VALUE"""),"Senior Manager SEO")</f>
        <v>Senior Manager SEO</v>
      </c>
      <c r="J623" s="31" t="str">
        <f>IFERROR(__xludf.DUMMYFUNCTION("""COMPUTED_VALUE"""),"Digital Marketing")</f>
        <v>Digital Marketing</v>
      </c>
      <c r="K623" s="31" t="str">
        <f>IFERROR(__xludf.DUMMYFUNCTION("""COMPUTED_VALUE"""),"Nishant jaiswal")</f>
        <v>Nishant jaiswal</v>
      </c>
      <c r="L623" s="31"/>
      <c r="M623" s="31"/>
      <c r="N623" s="31"/>
    </row>
    <row r="624">
      <c r="A624" s="31">
        <f>IFERROR(__xludf.DUMMYFUNCTION("""COMPUTED_VALUE"""),693.0)</f>
        <v>693</v>
      </c>
      <c r="B624" s="31" t="str">
        <f>IFERROR(__xludf.DUMMYFUNCTION("""COMPUTED_VALUE"""),"Md Sameer Alam")</f>
        <v>Md Sameer Alam</v>
      </c>
      <c r="C624" s="31" t="str">
        <f>IFERROR(__xludf.DUMMYFUNCTION("""COMPUTED_VALUE"""),"sameeralamqw@gmail.com")</f>
        <v>sameeralamqw@gmail.com</v>
      </c>
      <c r="D624" s="84">
        <f>IFERROR(__xludf.DUMMYFUNCTION("""COMPUTED_VALUE"""),8.076451404E9)</f>
        <v>8076451404</v>
      </c>
      <c r="E624" s="99">
        <f>IFERROR(__xludf.DUMMYFUNCTION("""COMPUTED_VALUE"""),45749.0)</f>
        <v>45749</v>
      </c>
      <c r="F624" s="31"/>
      <c r="G624" s="85"/>
      <c r="H624" s="31"/>
      <c r="I624" s="31" t="str">
        <f>IFERROR(__xludf.DUMMYFUNCTION("""COMPUTED_VALUE"""),"Software Engineer")</f>
        <v>Software Engineer</v>
      </c>
      <c r="J624" s="31" t="str">
        <f>IFERROR(__xludf.DUMMYFUNCTION("""COMPUTED_VALUE"""),"Technology")</f>
        <v>Technology</v>
      </c>
      <c r="K624" s="31" t="str">
        <f>IFERROR(__xludf.DUMMYFUNCTION("""COMPUTED_VALUE"""),"Rahul Sharma")</f>
        <v>Rahul Sharma</v>
      </c>
      <c r="L624" s="31"/>
      <c r="M624" s="31"/>
      <c r="N624" s="31"/>
    </row>
    <row r="625">
      <c r="A625" s="31">
        <f>IFERROR(__xludf.DUMMYFUNCTION("""COMPUTED_VALUE"""),694.0)</f>
        <v>694</v>
      </c>
      <c r="B625" s="31" t="str">
        <f>IFERROR(__xludf.DUMMYFUNCTION("""COMPUTED_VALUE"""),"Vijay Yadav")</f>
        <v>Vijay Yadav</v>
      </c>
      <c r="C625" s="31" t="str">
        <f>IFERROR(__xludf.DUMMYFUNCTION("""COMPUTED_VALUE"""),"Vijayyadav7sem@gmail.com")</f>
        <v>Vijayyadav7sem@gmail.com</v>
      </c>
      <c r="D625" s="84">
        <f>IFERROR(__xludf.DUMMYFUNCTION("""COMPUTED_VALUE"""),9.728504145E9)</f>
        <v>9728504145</v>
      </c>
      <c r="E625" s="99">
        <f>IFERROR(__xludf.DUMMYFUNCTION("""COMPUTED_VALUE"""),45750.0)</f>
        <v>45750</v>
      </c>
      <c r="F625" s="31"/>
      <c r="G625" s="85"/>
      <c r="H625" s="31"/>
      <c r="I625" s="31" t="str">
        <f>IFERROR(__xludf.DUMMYFUNCTION("""COMPUTED_VALUE"""),"Software Development Engineer in Test Intern")</f>
        <v>Software Development Engineer in Test Intern</v>
      </c>
      <c r="J625" s="31" t="str">
        <f>IFERROR(__xludf.DUMMYFUNCTION("""COMPUTED_VALUE"""),"Technology")</f>
        <v>Technology</v>
      </c>
      <c r="K625" s="31" t="str">
        <f>IFERROR(__xludf.DUMMYFUNCTION("""COMPUTED_VALUE"""),"Vishal Agarwal")</f>
        <v>Vishal Agarwal</v>
      </c>
      <c r="L625" s="31"/>
      <c r="M625" s="31"/>
      <c r="N625" s="31"/>
    </row>
    <row r="626">
      <c r="A626" s="31">
        <f>IFERROR(__xludf.DUMMYFUNCTION("""COMPUTED_VALUE"""),695.0)</f>
        <v>695</v>
      </c>
      <c r="B626" s="31" t="str">
        <f>IFERROR(__xludf.DUMMYFUNCTION("""COMPUTED_VALUE"""),"Abhishek Swami")</f>
        <v>Abhishek Swami</v>
      </c>
      <c r="C626" s="31" t="str">
        <f>IFERROR(__xludf.DUMMYFUNCTION("""COMPUTED_VALUE"""),"abhishekswami30@gmail.com")</f>
        <v>abhishekswami30@gmail.com</v>
      </c>
      <c r="D626" s="84">
        <f>IFERROR(__xludf.DUMMYFUNCTION("""COMPUTED_VALUE"""),8.459636549E9)</f>
        <v>8459636549</v>
      </c>
      <c r="E626" s="99">
        <f>IFERROR(__xludf.DUMMYFUNCTION("""COMPUTED_VALUE"""),45754.0)</f>
        <v>45754</v>
      </c>
      <c r="F626" s="31"/>
      <c r="G626" s="85"/>
      <c r="H626" s="31"/>
      <c r="I626" s="31" t="str">
        <f>IFERROR(__xludf.DUMMYFUNCTION("""COMPUTED_VALUE"""),"	Senior Associate-Digital Marketing")</f>
        <v>	Senior Associate-Digital Marketing</v>
      </c>
      <c r="J626" s="31" t="str">
        <f>IFERROR(__xludf.DUMMYFUNCTION("""COMPUTED_VALUE"""),"Digital Marketing")</f>
        <v>Digital Marketing</v>
      </c>
      <c r="K626" s="31" t="str">
        <f>IFERROR(__xludf.DUMMYFUNCTION("""COMPUTED_VALUE"""),"Ritwika Maitra")</f>
        <v>Ritwika Maitra</v>
      </c>
      <c r="L626" s="31"/>
      <c r="M626" s="31"/>
      <c r="N626" s="31"/>
    </row>
    <row r="627">
      <c r="A627" s="31">
        <f>IFERROR(__xludf.DUMMYFUNCTION("""COMPUTED_VALUE"""),696.0)</f>
        <v>696</v>
      </c>
      <c r="B627" s="31" t="str">
        <f>IFERROR(__xludf.DUMMYFUNCTION("""COMPUTED_VALUE"""),"Mayank Goyal")</f>
        <v>Mayank Goyal</v>
      </c>
      <c r="C627" s="31" t="str">
        <f>IFERROR(__xludf.DUMMYFUNCTION("""COMPUTED_VALUE"""),"mayankgoyal068@gmail.com")</f>
        <v>mayankgoyal068@gmail.com</v>
      </c>
      <c r="D627" s="84">
        <f>IFERROR(__xludf.DUMMYFUNCTION("""COMPUTED_VALUE"""),7.814259187E9)</f>
        <v>7814259187</v>
      </c>
      <c r="E627" s="99">
        <f>IFERROR(__xludf.DUMMYFUNCTION("""COMPUTED_VALUE"""),45754.0)</f>
        <v>45754</v>
      </c>
      <c r="F627" s="31"/>
      <c r="G627" s="85"/>
      <c r="H627" s="31"/>
      <c r="I627" s="31" t="str">
        <f>IFERROR(__xludf.DUMMYFUNCTION("""COMPUTED_VALUE"""),"Finance Analyst")</f>
        <v>Finance Analyst</v>
      </c>
      <c r="J627" s="31" t="str">
        <f>IFERROR(__xludf.DUMMYFUNCTION("""COMPUTED_VALUE"""),"Finance")</f>
        <v>Finance</v>
      </c>
      <c r="K627" s="31" t="str">
        <f>IFERROR(__xludf.DUMMYFUNCTION("""COMPUTED_VALUE"""),"Shashank gupta")</f>
        <v>Shashank gupta</v>
      </c>
      <c r="L627" s="31"/>
      <c r="M627" s="31"/>
      <c r="N627" s="31"/>
    </row>
    <row r="628">
      <c r="A628" s="31">
        <f>IFERROR(__xludf.DUMMYFUNCTION("""COMPUTED_VALUE"""),697.0)</f>
        <v>697</v>
      </c>
      <c r="B628" s="31" t="str">
        <f>IFERROR(__xludf.DUMMYFUNCTION("""COMPUTED_VALUE"""),"Rohit Raj")</f>
        <v>Rohit Raj</v>
      </c>
      <c r="C628" s="31" t="str">
        <f>IFERROR(__xludf.DUMMYFUNCTION("""COMPUTED_VALUE"""),"rohitrraj015@gmail.com")</f>
        <v>rohitrraj015@gmail.com</v>
      </c>
      <c r="D628" s="84">
        <f>IFERROR(__xludf.DUMMYFUNCTION("""COMPUTED_VALUE"""),8.920723622E9)</f>
        <v>8920723622</v>
      </c>
      <c r="E628" s="99">
        <f>IFERROR(__xludf.DUMMYFUNCTION("""COMPUTED_VALUE"""),45754.0)</f>
        <v>45754</v>
      </c>
      <c r="F628" s="31"/>
      <c r="G628" s="85"/>
      <c r="H628" s="31"/>
      <c r="I628" s="31" t="str">
        <f>IFERROR(__xludf.DUMMYFUNCTION("""COMPUTED_VALUE"""),"Software Engineer Intern ")</f>
        <v>Software Engineer Intern </v>
      </c>
      <c r="J628" s="31" t="str">
        <f>IFERROR(__xludf.DUMMYFUNCTION("""COMPUTED_VALUE"""),"Technology")</f>
        <v>Technology</v>
      </c>
      <c r="K628" s="31"/>
      <c r="L628" s="31"/>
      <c r="M628" s="31"/>
      <c r="N628" s="31"/>
    </row>
    <row r="629">
      <c r="A629" s="31">
        <f>IFERROR(__xludf.DUMMYFUNCTION("""COMPUTED_VALUE"""),698.0)</f>
        <v>698</v>
      </c>
      <c r="B629" s="31" t="str">
        <f>IFERROR(__xludf.DUMMYFUNCTION("""COMPUTED_VALUE"""),"Mitali Luthra")</f>
        <v>Mitali Luthra</v>
      </c>
      <c r="C629" s="31" t="str">
        <f>IFERROR(__xludf.DUMMYFUNCTION("""COMPUTED_VALUE"""),"mitaliluthra01@gmail.com")</f>
        <v>mitaliluthra01@gmail.com</v>
      </c>
      <c r="D629" s="84">
        <f>IFERROR(__xludf.DUMMYFUNCTION("""COMPUTED_VALUE"""),9.990010708E9)</f>
        <v>9990010708</v>
      </c>
      <c r="E629" s="99">
        <f>IFERROR(__xludf.DUMMYFUNCTION("""COMPUTED_VALUE"""),45754.0)</f>
        <v>45754</v>
      </c>
      <c r="F629" s="31"/>
      <c r="G629" s="85"/>
      <c r="H629" s="31"/>
      <c r="I629" s="31" t="str">
        <f>IFERROR(__xludf.DUMMYFUNCTION("""COMPUTED_VALUE"""),"CA Intern")</f>
        <v>CA Intern</v>
      </c>
      <c r="J629" s="31" t="str">
        <f>IFERROR(__xludf.DUMMYFUNCTION("""COMPUTED_VALUE"""),"Finance")</f>
        <v>Finance</v>
      </c>
      <c r="K629" s="31" t="str">
        <f>IFERROR(__xludf.DUMMYFUNCTION("""COMPUTED_VALUE"""),"Hitesh Vats")</f>
        <v>Hitesh Vats</v>
      </c>
      <c r="L629" s="31"/>
      <c r="M629" s="31"/>
      <c r="N629" s="31"/>
    </row>
    <row r="630">
      <c r="A630" s="31">
        <f>IFERROR(__xludf.DUMMYFUNCTION("""COMPUTED_VALUE"""),699.0)</f>
        <v>699</v>
      </c>
      <c r="B630" s="31" t="str">
        <f>IFERROR(__xludf.DUMMYFUNCTION("""COMPUTED_VALUE"""),"Anish Agarwal")</f>
        <v>Anish Agarwal</v>
      </c>
      <c r="C630" s="31" t="str">
        <f>IFERROR(__xludf.DUMMYFUNCTION("""COMPUTED_VALUE""")," agarwalanish2709@gmail.com")</f>
        <v> agarwalanish2709@gmail.com</v>
      </c>
      <c r="D630" s="84">
        <f>IFERROR(__xludf.DUMMYFUNCTION("""COMPUTED_VALUE"""),9.587586651E9)</f>
        <v>9587586651</v>
      </c>
      <c r="E630" s="99">
        <f>IFERROR(__xludf.DUMMYFUNCTION("""COMPUTED_VALUE"""),45754.0)</f>
        <v>45754</v>
      </c>
      <c r="F630" s="31"/>
      <c r="G630" s="85"/>
      <c r="H630" s="31"/>
      <c r="I630" s="31" t="str">
        <f>IFERROR(__xludf.DUMMYFUNCTION("""COMPUTED_VALUE"""),"Assistant Manager - Finance")</f>
        <v>Assistant Manager - Finance</v>
      </c>
      <c r="J630" s="31" t="str">
        <f>IFERROR(__xludf.DUMMYFUNCTION("""COMPUTED_VALUE"""),"Finance")</f>
        <v>Finance</v>
      </c>
      <c r="K630" s="31" t="str">
        <f>IFERROR(__xludf.DUMMYFUNCTION("""COMPUTED_VALUE"""),"Pulkit Sehgal")</f>
        <v>Pulkit Sehgal</v>
      </c>
      <c r="L630" s="31"/>
      <c r="M630" s="31"/>
      <c r="N630" s="31"/>
    </row>
    <row r="631">
      <c r="A631" s="31">
        <f>IFERROR(__xludf.DUMMYFUNCTION("""COMPUTED_VALUE"""),700.0)</f>
        <v>700</v>
      </c>
      <c r="B631" s="31" t="str">
        <f>IFERROR(__xludf.DUMMYFUNCTION("""COMPUTED_VALUE"""),"Shobhit Nanda")</f>
        <v>Shobhit Nanda</v>
      </c>
      <c r="C631" s="31" t="str">
        <f>IFERROR(__xludf.DUMMYFUNCTION("""COMPUTED_VALUE"""),"shobhitnanda28@gmail.com")</f>
        <v>shobhitnanda28@gmail.com</v>
      </c>
      <c r="D631" s="84">
        <f>IFERROR(__xludf.DUMMYFUNCTION("""COMPUTED_VALUE"""),9.015118288E9)</f>
        <v>9015118288</v>
      </c>
      <c r="E631" s="99">
        <f>IFERROR(__xludf.DUMMYFUNCTION("""COMPUTED_VALUE"""),45754.0)</f>
        <v>45754</v>
      </c>
      <c r="F631" s="31"/>
      <c r="G631" s="85"/>
      <c r="H631" s="31"/>
      <c r="I631" s="31" t="str">
        <f>IFERROR(__xludf.DUMMYFUNCTION("""COMPUTED_VALUE"""),"Associate Director- Legal")</f>
        <v>Associate Director- Legal</v>
      </c>
      <c r="J631" s="31" t="str">
        <f>IFERROR(__xludf.DUMMYFUNCTION("""COMPUTED_VALUE"""),"Legal")</f>
        <v>Legal</v>
      </c>
      <c r="K631" s="31" t="str">
        <f>IFERROR(__xludf.DUMMYFUNCTION("""COMPUTED_VALUE"""),"Thomas Phillippe")</f>
        <v>Thomas Phillippe</v>
      </c>
      <c r="L631" s="31"/>
      <c r="M631" s="31"/>
      <c r="N631" s="31"/>
    </row>
    <row r="632">
      <c r="A632" s="31">
        <f>IFERROR(__xludf.DUMMYFUNCTION("""COMPUTED_VALUE"""),701.0)</f>
        <v>701</v>
      </c>
      <c r="B632" s="31" t="str">
        <f>IFERROR(__xludf.DUMMYFUNCTION("""COMPUTED_VALUE"""),"Varsha Mishra")</f>
        <v>Varsha Mishra</v>
      </c>
      <c r="C632" s="31" t="str">
        <f>IFERROR(__xludf.DUMMYFUNCTION("""COMPUTED_VALUE"""),"mamamishra200@gmail.com")</f>
        <v>mamamishra200@gmail.com</v>
      </c>
      <c r="D632" s="84">
        <f>IFERROR(__xludf.DUMMYFUNCTION("""COMPUTED_VALUE"""),8.260182815E9)</f>
        <v>8260182815</v>
      </c>
      <c r="E632" s="99">
        <f>IFERROR(__xludf.DUMMYFUNCTION("""COMPUTED_VALUE"""),45754.0)</f>
        <v>45754</v>
      </c>
      <c r="F632" s="31"/>
      <c r="G632" s="85"/>
      <c r="H632" s="31"/>
      <c r="I632" s="31" t="str">
        <f>IFERROR(__xludf.DUMMYFUNCTION("""COMPUTED_VALUE"""),"Contractual: Test Yantra")</f>
        <v>Contractual: Test Yantra</v>
      </c>
      <c r="J632" s="31" t="str">
        <f>IFERROR(__xludf.DUMMYFUNCTION("""COMPUTED_VALUE"""),"QA")</f>
        <v>QA</v>
      </c>
      <c r="K632" s="31" t="str">
        <f>IFERROR(__xludf.DUMMYFUNCTION("""COMPUTED_VALUE"""),"Vishal Aggarwal")</f>
        <v>Vishal Aggarwal</v>
      </c>
      <c r="L632" s="31"/>
      <c r="M632" s="31"/>
      <c r="N632" s="31"/>
    </row>
    <row r="633">
      <c r="A633" s="31">
        <f>IFERROR(__xludf.DUMMYFUNCTION("""COMPUTED_VALUE"""),702.0)</f>
        <v>702</v>
      </c>
      <c r="B633" s="31" t="str">
        <f>IFERROR(__xludf.DUMMYFUNCTION("""COMPUTED_VALUE"""),"Nasir Ali")</f>
        <v>Nasir Ali</v>
      </c>
      <c r="C633" s="31" t="str">
        <f>IFERROR(__xludf.DUMMYFUNCTION("""COMPUTED_VALUE""")," 1419nasir@gmail.com")</f>
        <v> 1419nasir@gmail.com</v>
      </c>
      <c r="D633" s="84">
        <f>IFERROR(__xludf.DUMMYFUNCTION("""COMPUTED_VALUE"""),8.377949601E9)</f>
        <v>8377949601</v>
      </c>
      <c r="E633" s="99">
        <f>IFERROR(__xludf.DUMMYFUNCTION("""COMPUTED_VALUE"""),45754.0)</f>
        <v>45754</v>
      </c>
      <c r="F633" s="31"/>
      <c r="G633" s="85"/>
      <c r="H633" s="31"/>
      <c r="I633" s="31" t="str">
        <f>IFERROR(__xludf.DUMMYFUNCTION("""COMPUTED_VALUE"""),"Software Engineer")</f>
        <v>Software Engineer</v>
      </c>
      <c r="J633" s="31" t="str">
        <f>IFERROR(__xludf.DUMMYFUNCTION("""COMPUTED_VALUE"""),"Frontend")</f>
        <v>Frontend</v>
      </c>
      <c r="K633" s="31" t="str">
        <f>IFERROR(__xludf.DUMMYFUNCTION("""COMPUTED_VALUE"""),"Anshul Mittal")</f>
        <v>Anshul Mittal</v>
      </c>
      <c r="L633" s="31"/>
      <c r="M633" s="31"/>
      <c r="N633" s="31"/>
    </row>
    <row r="634">
      <c r="A634" s="31">
        <f>IFERROR(__xludf.DUMMYFUNCTION("""COMPUTED_VALUE"""),703.0)</f>
        <v>703</v>
      </c>
      <c r="B634" s="31" t="str">
        <f>IFERROR(__xludf.DUMMYFUNCTION("""COMPUTED_VALUE"""),"Mohd Danish")</f>
        <v>Mohd Danish</v>
      </c>
      <c r="C634" s="86" t="str">
        <f>IFERROR(__xludf.DUMMYFUNCTION("""COMPUTED_VALUE"""),"mhd2danish@gmail.com")</f>
        <v>mhd2danish@gmail.com</v>
      </c>
      <c r="D634" s="84">
        <f>IFERROR(__xludf.DUMMYFUNCTION("""COMPUTED_VALUE"""),8.766268247E9)</f>
        <v>8766268247</v>
      </c>
      <c r="E634" s="99">
        <f>IFERROR(__xludf.DUMMYFUNCTION("""COMPUTED_VALUE"""),45754.0)</f>
        <v>45754</v>
      </c>
      <c r="F634" s="31"/>
      <c r="G634" s="85"/>
      <c r="H634" s="31"/>
      <c r="I634" s="31" t="str">
        <f>IFERROR(__xludf.DUMMYFUNCTION("""COMPUTED_VALUE"""),"Contractual: Test Yantra")</f>
        <v>Contractual: Test Yantra</v>
      </c>
      <c r="J634" s="31" t="str">
        <f>IFERROR(__xludf.DUMMYFUNCTION("""COMPUTED_VALUE"""),"QA")</f>
        <v>QA</v>
      </c>
      <c r="K634" s="31" t="str">
        <f>IFERROR(__xludf.DUMMYFUNCTION("""COMPUTED_VALUE"""),"Vishal Aggarwal")</f>
        <v>Vishal Aggarwal</v>
      </c>
      <c r="L634" s="31"/>
      <c r="M634" s="31"/>
      <c r="N634" s="31"/>
    </row>
    <row r="635">
      <c r="A635" s="31">
        <f>IFERROR(__xludf.DUMMYFUNCTION("""COMPUTED_VALUE"""),704.0)</f>
        <v>704</v>
      </c>
      <c r="B635" s="31" t="str">
        <f>IFERROR(__xludf.DUMMYFUNCTION("""COMPUTED_VALUE"""),"Akhileh Singh")</f>
        <v>Akhileh Singh</v>
      </c>
      <c r="C635" s="86" t="str">
        <f>IFERROR(__xludf.DUMMYFUNCTION("""COMPUTED_VALUE"""),"er.akhil95@gmail.com")</f>
        <v>er.akhil95@gmail.com</v>
      </c>
      <c r="D635" s="84">
        <f>IFERROR(__xludf.DUMMYFUNCTION("""COMPUTED_VALUE"""),7.905883361E9)</f>
        <v>7905883361</v>
      </c>
      <c r="E635" s="99">
        <f>IFERROR(__xludf.DUMMYFUNCTION("""COMPUTED_VALUE"""),45754.0)</f>
        <v>45754</v>
      </c>
      <c r="F635" s="31"/>
      <c r="G635" s="85"/>
      <c r="H635" s="31"/>
      <c r="I635" s="31" t="str">
        <f>IFERROR(__xludf.DUMMYFUNCTION("""COMPUTED_VALUE"""),"Contractual: Test Yantra")</f>
        <v>Contractual: Test Yantra</v>
      </c>
      <c r="J635" s="31" t="str">
        <f>IFERROR(__xludf.DUMMYFUNCTION("""COMPUTED_VALUE"""),"QA")</f>
        <v>QA</v>
      </c>
      <c r="K635" s="31" t="str">
        <f>IFERROR(__xludf.DUMMYFUNCTION("""COMPUTED_VALUE"""),"Vishal Aggarwal")</f>
        <v>Vishal Aggarwal</v>
      </c>
      <c r="L635" s="31"/>
      <c r="M635" s="31"/>
      <c r="N635" s="31"/>
    </row>
    <row r="636">
      <c r="A636" s="31">
        <f>IFERROR(__xludf.DUMMYFUNCTION("""COMPUTED_VALUE"""),705.0)</f>
        <v>705</v>
      </c>
      <c r="B636" s="31" t="str">
        <f>IFERROR(__xludf.DUMMYFUNCTION("""COMPUTED_VALUE"""),"Subhankar Jha")</f>
        <v>Subhankar Jha</v>
      </c>
      <c r="C636" s="86" t="str">
        <f>IFERROR(__xludf.DUMMYFUNCTION("""COMPUTED_VALUE"""),"Subhankarjha65@gmail.com")</f>
        <v>Subhankarjha65@gmail.com</v>
      </c>
      <c r="D636" s="84">
        <f>IFERROR(__xludf.DUMMYFUNCTION("""COMPUTED_VALUE"""),7.283055941E9)</f>
        <v>7283055941</v>
      </c>
      <c r="E636" s="99">
        <f>IFERROR(__xludf.DUMMYFUNCTION("""COMPUTED_VALUE"""),45756.0)</f>
        <v>45756</v>
      </c>
      <c r="F636" s="31"/>
      <c r="G636" s="101">
        <f>IFERROR(__xludf.DUMMYFUNCTION("""COMPUTED_VALUE"""),36452.0)</f>
        <v>36452</v>
      </c>
      <c r="H636" s="86" t="str">
        <f>IFERROR(__xludf.DUMMYFUNCTION("""COMPUTED_VALUE"""),"Subhankarjha65@gmail.com")</f>
        <v>Subhankarjha65@gmail.com</v>
      </c>
      <c r="I636" s="31" t="str">
        <f>IFERROR(__xludf.DUMMYFUNCTION("""COMPUTED_VALUE"""),"CRM HRO")</f>
        <v>CRM HRO</v>
      </c>
      <c r="J636" s="31" t="str">
        <f>IFERROR(__xludf.DUMMYFUNCTION("""COMPUTED_VALUE"""),"CRM HRO")</f>
        <v>CRM HRO</v>
      </c>
      <c r="K636" s="31" t="str">
        <f>IFERROR(__xludf.DUMMYFUNCTION("""COMPUTED_VALUE"""),"Mrityunjay K")</f>
        <v>Mrityunjay K</v>
      </c>
      <c r="L636" s="31"/>
      <c r="M636" s="31"/>
      <c r="N636" s="31"/>
    </row>
    <row r="637">
      <c r="A637" s="31">
        <f>IFERROR(__xludf.DUMMYFUNCTION("""COMPUTED_VALUE"""),706.0)</f>
        <v>706</v>
      </c>
      <c r="B637" s="31" t="str">
        <f>IFERROR(__xludf.DUMMYFUNCTION("""COMPUTED_VALUE"""),"Ajay Talukdar ")</f>
        <v>Ajay Talukdar </v>
      </c>
      <c r="C637" s="86" t="str">
        <f>IFERROR(__xludf.DUMMYFUNCTION("""COMPUTED_VALUE"""),"ajay.talukdar@innovationm.com")</f>
        <v>ajay.talukdar@innovationm.com</v>
      </c>
      <c r="D637" s="84">
        <f>IFERROR(__xludf.DUMMYFUNCTION("""COMPUTED_VALUE"""),8.011806572E9)</f>
        <v>8011806572</v>
      </c>
      <c r="E637" s="99">
        <f>IFERROR(__xludf.DUMMYFUNCTION("""COMPUTED_VALUE"""),45761.0)</f>
        <v>45761</v>
      </c>
      <c r="F637" s="31"/>
      <c r="G637" s="85"/>
      <c r="H637" s="31"/>
      <c r="I637" s="31" t="str">
        <f>IFERROR(__xludf.DUMMYFUNCTION("""COMPUTED_VALUE"""),"Contractual: InnovationM")</f>
        <v>Contractual: InnovationM</v>
      </c>
      <c r="J637" s="31" t="str">
        <f>IFERROR(__xludf.DUMMYFUNCTION("""COMPUTED_VALUE"""),"Data")</f>
        <v>Data</v>
      </c>
      <c r="K637" s="31" t="str">
        <f>IFERROR(__xludf.DUMMYFUNCTION("""COMPUTED_VALUE"""),"Aman Bahl")</f>
        <v>Aman Bahl</v>
      </c>
      <c r="L637" s="31"/>
      <c r="M637" s="31"/>
      <c r="N637" s="31"/>
    </row>
    <row r="638">
      <c r="A638" s="31">
        <f>IFERROR(__xludf.DUMMYFUNCTION("""COMPUTED_VALUE"""),707.0)</f>
        <v>707</v>
      </c>
      <c r="B638" s="31" t="str">
        <f>IFERROR(__xludf.DUMMYFUNCTION("""COMPUTED_VALUE"""),"Aryan Bahl")</f>
        <v>Aryan Bahl</v>
      </c>
      <c r="C638" s="31" t="str">
        <f>IFERROR(__xludf.DUMMYFUNCTION("""COMPUTED_VALUE"""),"	aryan1bahl@gmail.com")</f>
        <v>	aryan1bahl@gmail.com</v>
      </c>
      <c r="D638" s="84">
        <f>IFERROR(__xludf.DUMMYFUNCTION("""COMPUTED_VALUE"""),9.654379882E9)</f>
        <v>9654379882</v>
      </c>
      <c r="E638" s="99">
        <f>IFERROR(__xludf.DUMMYFUNCTION("""COMPUTED_VALUE"""),45761.0)</f>
        <v>45761</v>
      </c>
      <c r="F638" s="31"/>
      <c r="G638" s="85"/>
      <c r="H638" s="31"/>
      <c r="I638" s="31" t="str">
        <f>IFERROR(__xludf.DUMMYFUNCTION("""COMPUTED_VALUE"""),"Finance Intern")</f>
        <v>Finance Intern</v>
      </c>
      <c r="J638" s="31" t="str">
        <f>IFERROR(__xludf.DUMMYFUNCTION("""COMPUTED_VALUE"""),"finance")</f>
        <v>finance</v>
      </c>
      <c r="K638" s="31" t="str">
        <f>IFERROR(__xludf.DUMMYFUNCTION("""COMPUTED_VALUE""")," ")</f>
        <v> </v>
      </c>
      <c r="L638" s="31"/>
      <c r="M638" s="31"/>
      <c r="N638" s="31"/>
    </row>
    <row r="639">
      <c r="A639" s="31">
        <f>IFERROR(__xludf.DUMMYFUNCTION("""COMPUTED_VALUE"""),708.0)</f>
        <v>708</v>
      </c>
      <c r="B639" s="31" t="str">
        <f>IFERROR(__xludf.DUMMYFUNCTION("""COMPUTED_VALUE"""),"Mayank Goyal")</f>
        <v>Mayank Goyal</v>
      </c>
      <c r="C639" s="31" t="str">
        <f>IFERROR(__xludf.DUMMYFUNCTION("""COMPUTED_VALUE"""),"mayankgoyal068@gmail.com")</f>
        <v>mayankgoyal068@gmail.com</v>
      </c>
      <c r="D639" s="84">
        <f>IFERROR(__xludf.DUMMYFUNCTION("""COMPUTED_VALUE"""),7.814259187E9)</f>
        <v>7814259187</v>
      </c>
      <c r="E639" s="99">
        <f>IFERROR(__xludf.DUMMYFUNCTION("""COMPUTED_VALUE"""),45761.0)</f>
        <v>45761</v>
      </c>
      <c r="F639" s="31"/>
      <c r="G639" s="85"/>
      <c r="H639" s="31"/>
      <c r="I639" s="31" t="str">
        <f>IFERROR(__xludf.DUMMYFUNCTION("""COMPUTED_VALUE"""),"Finance Analyst")</f>
        <v>Finance Analyst</v>
      </c>
      <c r="J639" s="31" t="str">
        <f>IFERROR(__xludf.DUMMYFUNCTION("""COMPUTED_VALUE"""),"finance")</f>
        <v>finance</v>
      </c>
      <c r="K639" s="31" t="str">
        <f>IFERROR(__xludf.DUMMYFUNCTION("""COMPUTED_VALUE"""),"Shashank gupta")</f>
        <v>Shashank gupta</v>
      </c>
      <c r="L639" s="31"/>
      <c r="M639" s="31"/>
      <c r="N639" s="31"/>
    </row>
    <row r="640">
      <c r="A640" s="31">
        <f>IFERROR(__xludf.DUMMYFUNCTION("""COMPUTED_VALUE"""),709.0)</f>
        <v>709</v>
      </c>
      <c r="B640" s="31" t="str">
        <f>IFERROR(__xludf.DUMMYFUNCTION("""COMPUTED_VALUE"""),"Kunal Bansal")</f>
        <v>Kunal Bansal</v>
      </c>
      <c r="C640" s="31" t="str">
        <f>IFERROR(__xludf.DUMMYFUNCTION("""COMPUTED_VALUE"""),"kb67554@gmail.com")</f>
        <v>kb67554@gmail.com</v>
      </c>
      <c r="D640" s="84">
        <f>IFERROR(__xludf.DUMMYFUNCTION("""COMPUTED_VALUE"""),8.70873888E9)</f>
        <v>8708738880</v>
      </c>
      <c r="E640" s="99">
        <f>IFERROR(__xludf.DUMMYFUNCTION("""COMPUTED_VALUE"""),45761.0)</f>
        <v>45761</v>
      </c>
      <c r="F640" s="31"/>
      <c r="G640" s="85"/>
      <c r="H640" s="31"/>
      <c r="I640" s="31" t="str">
        <f>IFERROR(__xludf.DUMMYFUNCTION("""COMPUTED_VALUE"""),"Software Engineer Intern ")</f>
        <v>Software Engineer Intern </v>
      </c>
      <c r="J640" s="31" t="str">
        <f>IFERROR(__xludf.DUMMYFUNCTION("""COMPUTED_VALUE"""),"technology")</f>
        <v>technology</v>
      </c>
      <c r="K640" s="31"/>
      <c r="L640" s="31"/>
      <c r="M640" s="31"/>
      <c r="N640" s="31"/>
    </row>
    <row r="641">
      <c r="A641" s="31">
        <f>IFERROR(__xludf.DUMMYFUNCTION("""COMPUTED_VALUE"""),710.0)</f>
        <v>710</v>
      </c>
      <c r="B641" s="31" t="str">
        <f>IFERROR(__xludf.DUMMYFUNCTION("""COMPUTED_VALUE"""),"Shreyansh Jain")</f>
        <v>Shreyansh Jain</v>
      </c>
      <c r="C641" s="31" t="str">
        <f>IFERROR(__xludf.DUMMYFUNCTION("""COMPUTED_VALUE"""),"jainshreyansh.jaipur@gmail.com")</f>
        <v>jainshreyansh.jaipur@gmail.com</v>
      </c>
      <c r="D641" s="84" t="str">
        <f>IFERROR(__xludf.DUMMYFUNCTION("""COMPUTED_VALUE"""),"91193 78569")</f>
        <v>91193 78569</v>
      </c>
      <c r="E641" s="99">
        <f>IFERROR(__xludf.DUMMYFUNCTION("""COMPUTED_VALUE"""),45761.0)</f>
        <v>45761</v>
      </c>
      <c r="F641" s="31"/>
      <c r="G641" s="85"/>
      <c r="H641" s="31"/>
      <c r="I641" s="31" t="str">
        <f>IFERROR(__xludf.DUMMYFUNCTION("""COMPUTED_VALUE"""),"Assistant Manager- Finance")</f>
        <v>Assistant Manager- Finance</v>
      </c>
      <c r="J641" s="31" t="str">
        <f>IFERROR(__xludf.DUMMYFUNCTION("""COMPUTED_VALUE"""),"finance")</f>
        <v>finance</v>
      </c>
      <c r="K641" s="31" t="str">
        <f>IFERROR(__xludf.DUMMYFUNCTION("""COMPUTED_VALUE"""),"Ankur Agarwal")</f>
        <v>Ankur Agarwal</v>
      </c>
      <c r="L641" s="31"/>
      <c r="M641" s="31"/>
      <c r="N641" s="31"/>
    </row>
    <row r="642">
      <c r="A642" s="31">
        <f>IFERROR(__xludf.DUMMYFUNCTION("""COMPUTED_VALUE"""),711.0)</f>
        <v>711</v>
      </c>
      <c r="B642" s="31" t="str">
        <f>IFERROR(__xludf.DUMMYFUNCTION("""COMPUTED_VALUE"""),"Rajnish Kumar")</f>
        <v>Rajnish Kumar</v>
      </c>
      <c r="C642" s="31" t="str">
        <f>IFERROR(__xludf.DUMMYFUNCTION("""COMPUTED_VALUE""")," kumar89rajnish@gmail.com")</f>
        <v> kumar89rajnish@gmail.com</v>
      </c>
      <c r="D642" s="84">
        <f>IFERROR(__xludf.DUMMYFUNCTION("""COMPUTED_VALUE"""),8.506981317E9)</f>
        <v>8506981317</v>
      </c>
      <c r="E642" s="99">
        <f>IFERROR(__xludf.DUMMYFUNCTION("""COMPUTED_VALUE"""),45761.0)</f>
        <v>45761</v>
      </c>
      <c r="F642" s="31"/>
      <c r="G642" s="85"/>
      <c r="H642" s="31"/>
      <c r="I642" s="31" t="str">
        <f>IFERROR(__xludf.DUMMYFUNCTION("""COMPUTED_VALUE"""),"Software Engineer")</f>
        <v>Software Engineer</v>
      </c>
      <c r="J642" s="31" t="str">
        <f>IFERROR(__xludf.DUMMYFUNCTION("""COMPUTED_VALUE"""),"technology")</f>
        <v>technology</v>
      </c>
      <c r="K642" s="31" t="str">
        <f>IFERROR(__xludf.DUMMYFUNCTION("""COMPUTED_VALUE"""),"Anshul Mittal")</f>
        <v>Anshul Mittal</v>
      </c>
      <c r="L642" s="31"/>
      <c r="M642" s="31"/>
      <c r="N642" s="31"/>
    </row>
    <row r="643">
      <c r="A643" s="31">
        <f>IFERROR(__xludf.DUMMYFUNCTION("""COMPUTED_VALUE"""),712.0)</f>
        <v>712</v>
      </c>
      <c r="B643" s="31" t="str">
        <f>IFERROR(__xludf.DUMMYFUNCTION("""COMPUTED_VALUE"""),"Keshav Khatri")</f>
        <v>Keshav Khatri</v>
      </c>
      <c r="C643" s="31" t="str">
        <f>IFERROR(__xludf.DUMMYFUNCTION("""COMPUTED_VALUE""")," khatri0833@gmail.com")</f>
        <v> khatri0833@gmail.com</v>
      </c>
      <c r="D643" s="84">
        <f>IFERROR(__xludf.DUMMYFUNCTION("""COMPUTED_VALUE"""),7.73704069E9)</f>
        <v>7737040690</v>
      </c>
      <c r="E643" s="99">
        <f>IFERROR(__xludf.DUMMYFUNCTION("""COMPUTED_VALUE"""),45761.0)</f>
        <v>45761</v>
      </c>
      <c r="F643" s="31"/>
      <c r="G643" s="85"/>
      <c r="H643" s="31"/>
      <c r="I643" s="31" t="str">
        <f>IFERROR(__xludf.DUMMYFUNCTION("""COMPUTED_VALUE"""),"Manager-Procurement")</f>
        <v>Manager-Procurement</v>
      </c>
      <c r="J643" s="31"/>
      <c r="K643" s="31" t="str">
        <f>IFERROR(__xludf.DUMMYFUNCTION("""COMPUTED_VALUE"""),"Hitesh Vats")</f>
        <v>Hitesh Vats</v>
      </c>
      <c r="L643" s="31"/>
      <c r="M643" s="31"/>
      <c r="N643" s="31"/>
    </row>
    <row r="644">
      <c r="A644" s="31">
        <f>IFERROR(__xludf.DUMMYFUNCTION("""COMPUTED_VALUE"""),713.0)</f>
        <v>713</v>
      </c>
      <c r="B644" s="31" t="str">
        <f>IFERROR(__xludf.DUMMYFUNCTION("""COMPUTED_VALUE"""),"Mohd Mohiuddin Khan")</f>
        <v>Mohd Mohiuddin Khan</v>
      </c>
      <c r="C644" s="31" t="str">
        <f>IFERROR(__xludf.DUMMYFUNCTION("""COMPUTED_VALUE"""),"rehan_siddiqi92@yahoo.com")</f>
        <v>rehan_siddiqi92@yahoo.com</v>
      </c>
      <c r="D644" s="84">
        <f>IFERROR(__xludf.DUMMYFUNCTION("""COMPUTED_VALUE"""),7.21765353E9)</f>
        <v>7217653530</v>
      </c>
      <c r="E644" s="99">
        <f>IFERROR(__xludf.DUMMYFUNCTION("""COMPUTED_VALUE"""),45768.0)</f>
        <v>45768</v>
      </c>
      <c r="F644" s="31"/>
      <c r="G644" s="85"/>
      <c r="H644" s="31"/>
      <c r="I644" s="31" t="str">
        <f>IFERROR(__xludf.DUMMYFUNCTION("""COMPUTED_VALUE"""),"Contractual: Test Yantra")</f>
        <v>Contractual: Test Yantra</v>
      </c>
      <c r="J644" s="31" t="str">
        <f>IFERROR(__xludf.DUMMYFUNCTION("""COMPUTED_VALUE"""),"QA")</f>
        <v>QA</v>
      </c>
      <c r="K644" s="31" t="str">
        <f>IFERROR(__xludf.DUMMYFUNCTION("""COMPUTED_VALUE"""),"Vishal Aggarwal")</f>
        <v>Vishal Aggarwal</v>
      </c>
      <c r="L644" s="31"/>
      <c r="M644" s="31"/>
      <c r="N644" s="31"/>
    </row>
    <row r="645">
      <c r="A645" s="31">
        <f>IFERROR(__xludf.DUMMYFUNCTION("""COMPUTED_VALUE"""),714.0)</f>
        <v>714</v>
      </c>
      <c r="B645" s="31" t="str">
        <f>IFERROR(__xludf.DUMMYFUNCTION("""COMPUTED_VALUE"""),"Sameer Negi")</f>
        <v>Sameer Negi</v>
      </c>
      <c r="C645" s="86" t="str">
        <f>IFERROR(__xludf.DUMMYFUNCTION("""COMPUTED_VALUE"""),"sn@ogma.in")</f>
        <v>sn@ogma.in</v>
      </c>
      <c r="D645" s="84">
        <f>IFERROR(__xludf.DUMMYFUNCTION("""COMPUTED_VALUE"""),8.851013271E9)</f>
        <v>8851013271</v>
      </c>
      <c r="E645" s="99">
        <f>IFERROR(__xludf.DUMMYFUNCTION("""COMPUTED_VALUE"""),45762.0)</f>
        <v>45762</v>
      </c>
      <c r="F645" s="31"/>
      <c r="G645" s="85"/>
      <c r="H645" s="31"/>
      <c r="I645" s="31" t="str">
        <f>IFERROR(__xludf.DUMMYFUNCTION("""COMPUTED_VALUE"""),"Contract: Ogma")</f>
        <v>Contract: Ogma</v>
      </c>
      <c r="J645" s="31" t="str">
        <f>IFERROR(__xludf.DUMMYFUNCTION("""COMPUTED_VALUE"""),"IT")</f>
        <v>IT</v>
      </c>
      <c r="K645" s="31" t="str">
        <f>IFERROR(__xludf.DUMMYFUNCTION("""COMPUTED_VALUE"""),"Raj")</f>
        <v>Raj</v>
      </c>
      <c r="L645" s="31"/>
      <c r="M645" s="31"/>
      <c r="N645" s="31"/>
    </row>
    <row r="646">
      <c r="A646" s="31">
        <f>IFERROR(__xludf.DUMMYFUNCTION("""COMPUTED_VALUE"""),715.0)</f>
        <v>715</v>
      </c>
      <c r="B646" s="31" t="str">
        <f>IFERROR(__xludf.DUMMYFUNCTION("""COMPUTED_VALUE"""),"Pooja Uppal")</f>
        <v>Pooja Uppal</v>
      </c>
      <c r="C646" s="31" t="str">
        <f>IFERROR(__xludf.DUMMYFUNCTION("""COMPUTED_VALUE"""),"pujapuja35@gmail.com")</f>
        <v>pujapuja35@gmail.com</v>
      </c>
      <c r="D646" s="84">
        <f>IFERROR(__xludf.DUMMYFUNCTION("""COMPUTED_VALUE"""),9.582431326E9)</f>
        <v>9582431326</v>
      </c>
      <c r="E646" s="99">
        <f>IFERROR(__xludf.DUMMYFUNCTION("""COMPUTED_VALUE"""),45762.0)</f>
        <v>45762</v>
      </c>
      <c r="F646" s="31"/>
      <c r="G646" s="85"/>
      <c r="H646" s="31"/>
      <c r="I646" s="31" t="str">
        <f>IFERROR(__xludf.DUMMYFUNCTION("""COMPUTED_VALUE"""),"Senior Software Development Engineer in Test")</f>
        <v>Senior Software Development Engineer in Test</v>
      </c>
      <c r="J646" s="31" t="str">
        <f>IFERROR(__xludf.DUMMYFUNCTION("""COMPUTED_VALUE"""),"SDET")</f>
        <v>SDET</v>
      </c>
      <c r="K646" s="31" t="str">
        <f>IFERROR(__xludf.DUMMYFUNCTION("""COMPUTED_VALUE"""),"Sahil Puri")</f>
        <v>Sahil Puri</v>
      </c>
      <c r="L646" s="31"/>
      <c r="M646" s="31"/>
      <c r="N646" s="31"/>
    </row>
    <row r="647">
      <c r="A647" s="31">
        <f>IFERROR(__xludf.DUMMYFUNCTION("""COMPUTED_VALUE"""),716.0)</f>
        <v>716</v>
      </c>
      <c r="B647" s="31" t="str">
        <f>IFERROR(__xludf.DUMMYFUNCTION("""COMPUTED_VALUE"""),"Divy Dwivedi")</f>
        <v>Divy Dwivedi</v>
      </c>
      <c r="C647" s="31" t="str">
        <f>IFERROR(__xludf.DUMMYFUNCTION("""COMPUTED_VALUE""")," divydwivedi@gmail.com")</f>
        <v> divydwivedi@gmail.com</v>
      </c>
      <c r="D647" s="84">
        <f>IFERROR(__xludf.DUMMYFUNCTION("""COMPUTED_VALUE"""),7.997083851E9)</f>
        <v>7997083851</v>
      </c>
      <c r="E647" s="99">
        <f>IFERROR(__xludf.DUMMYFUNCTION("""COMPUTED_VALUE"""),45763.0)</f>
        <v>45763</v>
      </c>
      <c r="F647" s="31"/>
      <c r="G647" s="85"/>
      <c r="H647" s="31"/>
      <c r="I647" s="31" t="str">
        <f>IFERROR(__xludf.DUMMYFUNCTION("""COMPUTED_VALUE"""),"Senior Software Engineer-Android")</f>
        <v>Senior Software Engineer-Android</v>
      </c>
      <c r="J647" s="31" t="str">
        <f>IFERROR(__xludf.DUMMYFUNCTION("""COMPUTED_VALUE"""),"Technology ")</f>
        <v>Technology </v>
      </c>
      <c r="K647" s="31" t="str">
        <f>IFERROR(__xludf.DUMMYFUNCTION("""COMPUTED_VALUE"""),"Anshul Mittal")</f>
        <v>Anshul Mittal</v>
      </c>
      <c r="L647" s="31"/>
      <c r="M647" s="31"/>
      <c r="N647" s="31"/>
    </row>
    <row r="648">
      <c r="A648" s="31">
        <f>IFERROR(__xludf.DUMMYFUNCTION("""COMPUTED_VALUE"""),717.0)</f>
        <v>717</v>
      </c>
      <c r="B648" s="31" t="str">
        <f>IFERROR(__xludf.DUMMYFUNCTION("""COMPUTED_VALUE"""),"Anshul Ahuja")</f>
        <v>Anshul Ahuja</v>
      </c>
      <c r="C648" s="31" t="str">
        <f>IFERROR(__xludf.DUMMYFUNCTION("""COMPUTED_VALUE"""),"anshul.ahuja13@gmail.com")</f>
        <v>anshul.ahuja13@gmail.com</v>
      </c>
      <c r="D648" s="84">
        <f>IFERROR(__xludf.DUMMYFUNCTION("""COMPUTED_VALUE"""),9.999109096E9)</f>
        <v>9999109096</v>
      </c>
      <c r="E648" s="99">
        <f>IFERROR(__xludf.DUMMYFUNCTION("""COMPUTED_VALUE"""),45763.0)</f>
        <v>45763</v>
      </c>
      <c r="F648" s="31"/>
      <c r="G648" s="85"/>
      <c r="H648" s="31"/>
      <c r="I648" s="31" t="str">
        <f>IFERROR(__xludf.DUMMYFUNCTION("""COMPUTED_VALUE"""),"Engineering Manager - Software Development in Testing")</f>
        <v>Engineering Manager - Software Development in Testing</v>
      </c>
      <c r="J648" s="31" t="str">
        <f>IFERROR(__xludf.DUMMYFUNCTION("""COMPUTED_VALUE"""),"SDET")</f>
        <v>SDET</v>
      </c>
      <c r="K648" s="31" t="str">
        <f>IFERROR(__xludf.DUMMYFUNCTION("""COMPUTED_VALUE"""),"Sahil Puri")</f>
        <v>Sahil Puri</v>
      </c>
      <c r="L648" s="31"/>
      <c r="M648" s="31"/>
      <c r="N648" s="31"/>
    </row>
    <row r="649">
      <c r="A649" s="31">
        <f>IFERROR(__xludf.DUMMYFUNCTION("""COMPUTED_VALUE"""),718.0)</f>
        <v>718</v>
      </c>
      <c r="B649" s="31" t="str">
        <f>IFERROR(__xludf.DUMMYFUNCTION("""COMPUTED_VALUE"""),"Umang Chhabra")</f>
        <v>Umang Chhabra</v>
      </c>
      <c r="C649" s="31" t="str">
        <f>IFERROR(__xludf.DUMMYFUNCTION("""COMPUTED_VALUE"""),"umangchabra06@gmail.com")</f>
        <v>umangchabra06@gmail.com</v>
      </c>
      <c r="D649" s="84" t="str">
        <f>IFERROR(__xludf.DUMMYFUNCTION("""COMPUTED_VALUE"""),"9306038580 ⋄")</f>
        <v>9306038580 ⋄</v>
      </c>
      <c r="E649" s="99">
        <f>IFERROR(__xludf.DUMMYFUNCTION("""COMPUTED_VALUE"""),45763.0)</f>
        <v>45763</v>
      </c>
      <c r="F649" s="31"/>
      <c r="G649" s="85"/>
      <c r="H649" s="31"/>
      <c r="I649" s="31" t="str">
        <f>IFERROR(__xludf.DUMMYFUNCTION("""COMPUTED_VALUE"""),"Data Engineer")</f>
        <v>Data Engineer</v>
      </c>
      <c r="J649" s="31" t="str">
        <f>IFERROR(__xludf.DUMMYFUNCTION("""COMPUTED_VALUE"""),"Data Engineering")</f>
        <v>Data Engineering</v>
      </c>
      <c r="K649" s="31" t="str">
        <f>IFERROR(__xludf.DUMMYFUNCTION("""COMPUTED_VALUE"""),"Aman Bahl")</f>
        <v>Aman Bahl</v>
      </c>
      <c r="L649" s="31"/>
      <c r="M649" s="31"/>
      <c r="N649" s="31"/>
    </row>
    <row r="650">
      <c r="A650" s="31">
        <f>IFERROR(__xludf.DUMMYFUNCTION("""COMPUTED_VALUE"""),719.0)</f>
        <v>719</v>
      </c>
      <c r="B650" s="31" t="str">
        <f>IFERROR(__xludf.DUMMYFUNCTION("""COMPUTED_VALUE"""),"Raghav Maheshwari ")</f>
        <v>Raghav Maheshwari </v>
      </c>
      <c r="C650" s="31" t="str">
        <f>IFERROR(__xludf.DUMMYFUNCTION("""COMPUTED_VALUE"""),"raghavmaheshwari92@gmail.com")</f>
        <v>raghavmaheshwari92@gmail.com</v>
      </c>
      <c r="D650" s="84">
        <f>IFERROR(__xludf.DUMMYFUNCTION("""COMPUTED_VALUE"""),9.582386283E9)</f>
        <v>9582386283</v>
      </c>
      <c r="E650" s="99">
        <f>IFERROR(__xludf.DUMMYFUNCTION("""COMPUTED_VALUE"""),45763.0)</f>
        <v>45763</v>
      </c>
      <c r="F650" s="31"/>
      <c r="G650" s="85"/>
      <c r="H650" s="31"/>
      <c r="I650" s="31" t="str">
        <f>IFERROR(__xludf.DUMMYFUNCTION("""COMPUTED_VALUE"""),"Senior Manager Strategy")</f>
        <v>Senior Manager Strategy</v>
      </c>
      <c r="J650" s="31" t="str">
        <f>IFERROR(__xludf.DUMMYFUNCTION("""COMPUTED_VALUE"""),"Strategy")</f>
        <v>Strategy</v>
      </c>
      <c r="K650" s="31"/>
      <c r="L650" s="31"/>
      <c r="M650" s="31"/>
      <c r="N650" s="31"/>
    </row>
    <row r="651">
      <c r="A651" s="31">
        <f>IFERROR(__xludf.DUMMYFUNCTION("""COMPUTED_VALUE"""),720.0)</f>
        <v>720</v>
      </c>
      <c r="B651" s="31" t="str">
        <f>IFERROR(__xludf.DUMMYFUNCTION("""COMPUTED_VALUE"""),"Jitesh Suneja")</f>
        <v>Jitesh Suneja</v>
      </c>
      <c r="C651" s="31" t="str">
        <f>IFERROR(__xludf.DUMMYFUNCTION("""COMPUTED_VALUE"""),"cajiteshsuneja@gmail.com")</f>
        <v>cajiteshsuneja@gmail.com</v>
      </c>
      <c r="D651" s="84">
        <f>IFERROR(__xludf.DUMMYFUNCTION("""COMPUTED_VALUE"""),8.58882232E9)</f>
        <v>8588822320</v>
      </c>
      <c r="E651" s="99">
        <f>IFERROR(__xludf.DUMMYFUNCTION("""COMPUTED_VALUE"""),45768.0)</f>
        <v>45768</v>
      </c>
      <c r="F651" s="31"/>
      <c r="G651" s="85"/>
      <c r="H651" s="31"/>
      <c r="I651" s="31" t="str">
        <f>IFERROR(__xludf.DUMMYFUNCTION("""COMPUTED_VALUE"""),"Manager- Taxation")</f>
        <v>Manager- Taxation</v>
      </c>
      <c r="J651" s="31" t="str">
        <f>IFERROR(__xludf.DUMMYFUNCTION("""COMPUTED_VALUE"""),"Finance")</f>
        <v>Finance</v>
      </c>
      <c r="K651" s="31" t="str">
        <f>IFERROR(__xludf.DUMMYFUNCTION("""COMPUTED_VALUE"""),"Rahul Satija   ")</f>
        <v>Rahul Satija   </v>
      </c>
      <c r="L651" s="31"/>
      <c r="M651" s="31"/>
      <c r="N651" s="31"/>
    </row>
    <row r="652">
      <c r="A652" s="31">
        <f>IFERROR(__xludf.DUMMYFUNCTION("""COMPUTED_VALUE"""),721.0)</f>
        <v>721</v>
      </c>
      <c r="B652" s="31" t="str">
        <f>IFERROR(__xludf.DUMMYFUNCTION("""COMPUTED_VALUE"""),"Shivangi Dalmia")</f>
        <v>Shivangi Dalmia</v>
      </c>
      <c r="C652" s="31" t="str">
        <f>IFERROR(__xludf.DUMMYFUNCTION("""COMPUTED_VALUE"""),"shivangidalmia1525@gmail.com")</f>
        <v>shivangidalmia1525@gmail.com</v>
      </c>
      <c r="D652" s="84">
        <f>IFERROR(__xludf.DUMMYFUNCTION("""COMPUTED_VALUE"""),8.240746893E9)</f>
        <v>8240746893</v>
      </c>
      <c r="E652" s="99">
        <f>IFERROR(__xludf.DUMMYFUNCTION("""COMPUTED_VALUE"""),45768.0)</f>
        <v>45768</v>
      </c>
      <c r="F652" s="31"/>
      <c r="G652" s="85"/>
      <c r="H652" s="31"/>
      <c r="I652" s="31" t="str">
        <f>IFERROR(__xludf.DUMMYFUNCTION("""COMPUTED_VALUE"""),"Assistant Manager- Finance")</f>
        <v>Assistant Manager- Finance</v>
      </c>
      <c r="J652" s="31" t="str">
        <f>IFERROR(__xludf.DUMMYFUNCTION("""COMPUTED_VALUE"""),"Finance")</f>
        <v>Finance</v>
      </c>
      <c r="K652" s="31" t="str">
        <f>IFERROR(__xludf.DUMMYFUNCTION("""COMPUTED_VALUE"""),"Ankur Agarwal")</f>
        <v>Ankur Agarwal</v>
      </c>
      <c r="L652" s="31"/>
      <c r="M652" s="31"/>
      <c r="N652" s="31"/>
    </row>
    <row r="653">
      <c r="A653" s="31">
        <f>IFERROR(__xludf.DUMMYFUNCTION("""COMPUTED_VALUE"""),722.0)</f>
        <v>722</v>
      </c>
      <c r="B653" s="31" t="str">
        <f>IFERROR(__xludf.DUMMYFUNCTION("""COMPUTED_VALUE"""),"Mohd Mohiuddin Khan")</f>
        <v>Mohd Mohiuddin Khan</v>
      </c>
      <c r="C653" s="86" t="str">
        <f>IFERROR(__xludf.DUMMYFUNCTION("""COMPUTED_VALUE"""),"rehan_siddiqi92@yahoo.com")</f>
        <v>rehan_siddiqi92@yahoo.com</v>
      </c>
      <c r="D653" s="84">
        <f>IFERROR(__xludf.DUMMYFUNCTION("""COMPUTED_VALUE"""),7.21765353E9)</f>
        <v>7217653530</v>
      </c>
      <c r="E653" s="99">
        <f>IFERROR(__xludf.DUMMYFUNCTION("""COMPUTED_VALUE"""),45768.0)</f>
        <v>45768</v>
      </c>
      <c r="F653" s="31"/>
      <c r="G653" s="85"/>
      <c r="H653" s="31"/>
      <c r="I653" s="31" t="str">
        <f>IFERROR(__xludf.DUMMYFUNCTION("""COMPUTED_VALUE"""),"Contractual: Test Yantra")</f>
        <v>Contractual: Test Yantra</v>
      </c>
      <c r="J653" s="31" t="str">
        <f>IFERROR(__xludf.DUMMYFUNCTION("""COMPUTED_VALUE"""),"QA")</f>
        <v>QA</v>
      </c>
      <c r="K653" s="31" t="str">
        <f>IFERROR(__xludf.DUMMYFUNCTION("""COMPUTED_VALUE"""),"Vishal Aggarwal")</f>
        <v>Vishal Aggarwal</v>
      </c>
      <c r="L653" s="31"/>
      <c r="M653" s="31"/>
      <c r="N653" s="31"/>
    </row>
    <row r="654">
      <c r="A654" s="31">
        <f>IFERROR(__xludf.DUMMYFUNCTION("""COMPUTED_VALUE"""),723.0)</f>
        <v>723</v>
      </c>
      <c r="B654" s="31" t="str">
        <f>IFERROR(__xludf.DUMMYFUNCTION("""COMPUTED_VALUE"""),"Shivam Kumar")</f>
        <v>Shivam Kumar</v>
      </c>
      <c r="C654" s="86" t="str">
        <f>IFERROR(__xludf.DUMMYFUNCTION("""COMPUTED_VALUE"""),"sk8281997@gmail.com")</f>
        <v>sk8281997@gmail.com</v>
      </c>
      <c r="D654" s="84">
        <f>IFERROR(__xludf.DUMMYFUNCTION("""COMPUTED_VALUE"""),7.303341181E9)</f>
        <v>7303341181</v>
      </c>
      <c r="E654" s="99">
        <f>IFERROR(__xludf.DUMMYFUNCTION("""COMPUTED_VALUE"""),45776.0)</f>
        <v>45776</v>
      </c>
      <c r="F654" s="31"/>
      <c r="G654" s="85"/>
      <c r="H654" s="31"/>
      <c r="I654" s="31" t="str">
        <f>IFERROR(__xludf.DUMMYFUNCTION("""COMPUTED_VALUE"""),"Contract: Teamcomputers")</f>
        <v>Contract: Teamcomputers</v>
      </c>
      <c r="J654" s="31" t="str">
        <f>IFERROR(__xludf.DUMMYFUNCTION("""COMPUTED_VALUE"""),"IT")</f>
        <v>IT</v>
      </c>
      <c r="K654" s="31" t="str">
        <f>IFERROR(__xludf.DUMMYFUNCTION("""COMPUTED_VALUE"""),"Raj")</f>
        <v>Raj</v>
      </c>
      <c r="L654" s="31"/>
      <c r="M654" s="31"/>
      <c r="N654" s="31"/>
    </row>
    <row r="655">
      <c r="A655" s="31">
        <f>IFERROR(__xludf.DUMMYFUNCTION("""COMPUTED_VALUE"""),724.0)</f>
        <v>724</v>
      </c>
      <c r="B655" s="31" t="str">
        <f>IFERROR(__xludf.DUMMYFUNCTION("""COMPUTED_VALUE"""),"Abhishek Gupta")</f>
        <v>Abhishek Gupta</v>
      </c>
      <c r="C655" s="31" t="str">
        <f>IFERROR(__xludf.DUMMYFUNCTION("""COMPUTED_VALUE"""),"  abhishekgupta061201@gmail.com")</f>
        <v>  abhishekgupta061201@gmail.com</v>
      </c>
      <c r="D655" s="84">
        <f>IFERROR(__xludf.DUMMYFUNCTION("""COMPUTED_VALUE"""),9.084970825E9)</f>
        <v>9084970825</v>
      </c>
      <c r="E655" s="99">
        <f>IFERROR(__xludf.DUMMYFUNCTION("""COMPUTED_VALUE"""),45775.0)</f>
        <v>45775</v>
      </c>
      <c r="F655" s="31"/>
      <c r="G655" s="85"/>
      <c r="H655" s="31"/>
      <c r="I655" s="31" t="str">
        <f>IFERROR(__xludf.DUMMYFUNCTION("""COMPUTED_VALUE"""),"Software Engineer")</f>
        <v>Software Engineer</v>
      </c>
      <c r="J655" s="31"/>
      <c r="K655" s="31"/>
      <c r="L655" s="31"/>
      <c r="M655" s="31"/>
      <c r="N655" s="31"/>
    </row>
    <row r="656">
      <c r="A656" s="31">
        <f>IFERROR(__xludf.DUMMYFUNCTION("""COMPUTED_VALUE"""),725.0)</f>
        <v>725</v>
      </c>
      <c r="B656" s="31" t="str">
        <f>IFERROR(__xludf.DUMMYFUNCTION("""COMPUTED_VALUE"""),"Ajinkya Puranik")</f>
        <v>Ajinkya Puranik</v>
      </c>
      <c r="C656" s="31" t="str">
        <f>IFERROR(__xludf.DUMMYFUNCTION("""COMPUTED_VALUE"""),"  ajinkyapur@outlook.com")</f>
        <v>  ajinkyapur@outlook.com</v>
      </c>
      <c r="D656" s="84">
        <f>IFERROR(__xludf.DUMMYFUNCTION("""COMPUTED_VALUE"""),9.811658419E9)</f>
        <v>9811658419</v>
      </c>
      <c r="E656" s="99">
        <f>IFERROR(__xludf.DUMMYFUNCTION("""COMPUTED_VALUE"""),45775.0)</f>
        <v>45775</v>
      </c>
      <c r="F656" s="31"/>
      <c r="G656" s="85"/>
      <c r="H656" s="31"/>
      <c r="I656" s="31" t="str">
        <f>IFERROR(__xludf.DUMMYFUNCTION("""COMPUTED_VALUE"""),"Manager-Strategy")</f>
        <v>Manager-Strategy</v>
      </c>
      <c r="J656" s="31"/>
      <c r="K656" s="31"/>
      <c r="L656" s="31"/>
      <c r="M656" s="31"/>
      <c r="N656" s="31"/>
    </row>
    <row r="657">
      <c r="A657" s="31">
        <f>IFERROR(__xludf.DUMMYFUNCTION("""COMPUTED_VALUE"""),726.0)</f>
        <v>726</v>
      </c>
      <c r="B657" s="31" t="str">
        <f>IFERROR(__xludf.DUMMYFUNCTION("""COMPUTED_VALUE"""),"Reetik Rajan")</f>
        <v>Reetik Rajan</v>
      </c>
      <c r="C657" s="31" t="str">
        <f>IFERROR(__xludf.DUMMYFUNCTION("""COMPUTED_VALUE"""),"  r4reetik@gmail.com")</f>
        <v>  r4reetik@gmail.com</v>
      </c>
      <c r="D657" s="84">
        <f>IFERROR(__xludf.DUMMYFUNCTION("""COMPUTED_VALUE"""),7.701857692E9)</f>
        <v>7701857692</v>
      </c>
      <c r="E657" s="99">
        <f>IFERROR(__xludf.DUMMYFUNCTION("""COMPUTED_VALUE"""),45775.0)</f>
        <v>45775</v>
      </c>
      <c r="F657" s="31"/>
      <c r="G657" s="85"/>
      <c r="H657" s="31"/>
      <c r="I657" s="31" t="str">
        <f>IFERROR(__xludf.DUMMYFUNCTION("""COMPUTED_VALUE"""),"Security Engineer")</f>
        <v>Security Engineer</v>
      </c>
      <c r="J657" s="31"/>
      <c r="K657" s="31"/>
      <c r="L657" s="31"/>
      <c r="M657" s="31"/>
      <c r="N657" s="31"/>
    </row>
    <row r="658">
      <c r="A658" s="31">
        <f>IFERROR(__xludf.DUMMYFUNCTION("""COMPUTED_VALUE"""),727.0)</f>
        <v>727</v>
      </c>
      <c r="B658" s="31" t="str">
        <f>IFERROR(__xludf.DUMMYFUNCTION("""COMPUTED_VALUE"""),"Shivangi Dalmia")</f>
        <v>Shivangi Dalmia</v>
      </c>
      <c r="C658" s="31" t="str">
        <f>IFERROR(__xludf.DUMMYFUNCTION("""COMPUTED_VALUE"""),"shivangidalmia1525@gmail.com")</f>
        <v>shivangidalmia1525@gmail.com</v>
      </c>
      <c r="D658" s="84">
        <f>IFERROR(__xludf.DUMMYFUNCTION("""COMPUTED_VALUE"""),8.240746893E9)</f>
        <v>8240746893</v>
      </c>
      <c r="E658" s="99">
        <f>IFERROR(__xludf.DUMMYFUNCTION("""COMPUTED_VALUE"""),45775.0)</f>
        <v>45775</v>
      </c>
      <c r="F658" s="31"/>
      <c r="G658" s="85"/>
      <c r="H658" s="31"/>
      <c r="I658" s="31" t="str">
        <f>IFERROR(__xludf.DUMMYFUNCTION("""COMPUTED_VALUE"""),"Assistant Manager- Finance")</f>
        <v>Assistant Manager- Finance</v>
      </c>
      <c r="J658" s="31"/>
      <c r="K658" s="31"/>
      <c r="L658" s="31"/>
      <c r="M658" s="31"/>
      <c r="N658" s="31"/>
    </row>
    <row r="659">
      <c r="A659" s="31">
        <f>IFERROR(__xludf.DUMMYFUNCTION("""COMPUTED_VALUE"""),728.0)</f>
        <v>728</v>
      </c>
      <c r="B659" s="31" t="str">
        <f>IFERROR(__xludf.DUMMYFUNCTION("""COMPUTED_VALUE"""),"Rahul Sharma")</f>
        <v>Rahul Sharma</v>
      </c>
      <c r="C659" s="31" t="str">
        <f>IFERROR(__xludf.DUMMYFUNCTION("""COMPUTED_VALUE"""),"rahulsharma92666@gmail.com")</f>
        <v>rahulsharma92666@gmail.com</v>
      </c>
      <c r="D659" s="84">
        <f>IFERROR(__xludf.DUMMYFUNCTION("""COMPUTED_VALUE"""),9.266653647E9)</f>
        <v>9266653647</v>
      </c>
      <c r="E659" s="99">
        <f>IFERROR(__xludf.DUMMYFUNCTION("""COMPUTED_VALUE"""),45775.0)</f>
        <v>45775</v>
      </c>
      <c r="F659" s="31"/>
      <c r="G659" s="85"/>
      <c r="H659" s="31"/>
      <c r="I659" s="31" t="str">
        <f>IFERROR(__xludf.DUMMYFUNCTION("""COMPUTED_VALUE"""),"Senior Executive - HR Operation")</f>
        <v>Senior Executive - HR Operation</v>
      </c>
      <c r="J659" s="31"/>
      <c r="K659" s="31"/>
      <c r="L659" s="31"/>
      <c r="M659" s="31"/>
      <c r="N659" s="31"/>
    </row>
    <row r="660">
      <c r="A660" s="31">
        <f>IFERROR(__xludf.DUMMYFUNCTION("""COMPUTED_VALUE"""),729.0)</f>
        <v>729</v>
      </c>
      <c r="B660" s="31" t="str">
        <f>IFERROR(__xludf.DUMMYFUNCTION("""COMPUTED_VALUE"""),"Rahul kundu")</f>
        <v>Rahul kundu</v>
      </c>
      <c r="C660" s="86" t="str">
        <f>IFERROR(__xludf.DUMMYFUNCTION("""COMPUTED_VALUE"""),"rahulkundu2016rk@gmail.com")</f>
        <v>rahulkundu2016rk@gmail.com</v>
      </c>
      <c r="D660" s="84">
        <f>IFERROR(__xludf.DUMMYFUNCTION("""COMPUTED_VALUE"""),8.942959401E9)</f>
        <v>8942959401</v>
      </c>
      <c r="E660" s="99">
        <f>IFERROR(__xludf.DUMMYFUNCTION("""COMPUTED_VALUE"""),45777.0)</f>
        <v>45777</v>
      </c>
      <c r="F660" s="31"/>
      <c r="G660" s="85"/>
      <c r="H660" s="31"/>
      <c r="I660" s="31" t="str">
        <f>IFERROR(__xludf.DUMMYFUNCTION("""COMPUTED_VALUE"""),"Contractual: Test Yantra")</f>
        <v>Contractual: Test Yantra</v>
      </c>
      <c r="J660" s="31" t="str">
        <f>IFERROR(__xludf.DUMMYFUNCTION("""COMPUTED_VALUE"""),"QA")</f>
        <v>QA</v>
      </c>
      <c r="K660" s="31" t="str">
        <f>IFERROR(__xludf.DUMMYFUNCTION("""COMPUTED_VALUE"""),"Vishal Aggarwal")</f>
        <v>Vishal Aggarwal</v>
      </c>
      <c r="L660" s="31"/>
      <c r="M660" s="31"/>
      <c r="N660" s="31"/>
    </row>
    <row r="661">
      <c r="A661" s="31">
        <f>IFERROR(__xludf.DUMMYFUNCTION("""COMPUTED_VALUE"""),730.0)</f>
        <v>730</v>
      </c>
      <c r="B661" s="31" t="str">
        <f>IFERROR(__xludf.DUMMYFUNCTION("""COMPUTED_VALUE"""),"Atharv Dinesh Bende")</f>
        <v>Atharv Dinesh Bende</v>
      </c>
      <c r="C661" s="86" t="str">
        <f>IFERROR(__xludf.DUMMYFUNCTION("""COMPUTED_VALUE"""),"atharvbende26@gmail.com")</f>
        <v>atharvbende26@gmail.com</v>
      </c>
      <c r="D661" s="84">
        <f>IFERROR(__xludf.DUMMYFUNCTION("""COMPUTED_VALUE"""),8.237657033E9)</f>
        <v>8237657033</v>
      </c>
      <c r="E661" s="99">
        <f>IFERROR(__xludf.DUMMYFUNCTION("""COMPUTED_VALUE"""),45777.0)</f>
        <v>45777</v>
      </c>
      <c r="F661" s="31"/>
      <c r="G661" s="85"/>
      <c r="H661" s="31"/>
      <c r="I661" s="31" t="str">
        <f>IFERROR(__xludf.DUMMYFUNCTION("""COMPUTED_VALUE"""),"Contractual: Test Yantra")</f>
        <v>Contractual: Test Yantra</v>
      </c>
      <c r="J661" s="31" t="str">
        <f>IFERROR(__xludf.DUMMYFUNCTION("""COMPUTED_VALUE"""),"QA")</f>
        <v>QA</v>
      </c>
      <c r="K661" s="31" t="str">
        <f>IFERROR(__xludf.DUMMYFUNCTION("""COMPUTED_VALUE"""),"Vishal Aggarwal")</f>
        <v>Vishal Aggarwal</v>
      </c>
      <c r="L661" s="31"/>
      <c r="M661" s="31"/>
      <c r="N661" s="31"/>
    </row>
    <row r="662">
      <c r="A662" s="31">
        <f>IFERROR(__xludf.DUMMYFUNCTION("""COMPUTED_VALUE"""),731.0)</f>
        <v>731</v>
      </c>
      <c r="B662" s="31" t="str">
        <f>IFERROR(__xludf.DUMMYFUNCTION("""COMPUTED_VALUE"""),"Kirandeep kaur")</f>
        <v>Kirandeep kaur</v>
      </c>
      <c r="C662" s="31" t="str">
        <f>IFERROR(__xludf.DUMMYFUNCTION("""COMPUTED_VALUE"""),"kirandeep.kaur77078@gmail.com")</f>
        <v>kirandeep.kaur77078@gmail.com</v>
      </c>
      <c r="D662" s="84">
        <f>IFERROR(__xludf.DUMMYFUNCTION("""COMPUTED_VALUE"""),7.707800976E9)</f>
        <v>7707800976</v>
      </c>
      <c r="E662" s="99">
        <f>IFERROR(__xludf.DUMMYFUNCTION("""COMPUTED_VALUE"""),45777.0)</f>
        <v>45777</v>
      </c>
      <c r="F662" s="31"/>
      <c r="G662" s="85"/>
      <c r="H662" s="31"/>
      <c r="I662" s="31" t="str">
        <f>IFERROR(__xludf.DUMMYFUNCTION("""COMPUTED_VALUE"""),"Contractual: Test Yantra")</f>
        <v>Contractual: Test Yantra</v>
      </c>
      <c r="J662" s="31" t="str">
        <f>IFERROR(__xludf.DUMMYFUNCTION("""COMPUTED_VALUE"""),"QA")</f>
        <v>QA</v>
      </c>
      <c r="K662" s="31" t="str">
        <f>IFERROR(__xludf.DUMMYFUNCTION("""COMPUTED_VALUE"""),"Vishal Aggarwal")</f>
        <v>Vishal Aggarwal</v>
      </c>
      <c r="L662" s="31"/>
      <c r="M662" s="31"/>
      <c r="N662" s="31"/>
    </row>
    <row r="663">
      <c r="A663" s="31">
        <f>IFERROR(__xludf.DUMMYFUNCTION("""COMPUTED_VALUE"""),732.0)</f>
        <v>732</v>
      </c>
      <c r="B663" s="31" t="str">
        <f>IFERROR(__xludf.DUMMYFUNCTION("""COMPUTED_VALUE"""),"Sahil Verma")</f>
        <v>Sahil Verma</v>
      </c>
      <c r="C663" s="31" t="str">
        <f>IFERROR(__xludf.DUMMYFUNCTION("""COMPUTED_VALUE"""),"  sv653925@gmail.com")</f>
        <v>  sv653925@gmail.com</v>
      </c>
      <c r="D663" s="84">
        <f>IFERROR(__xludf.DUMMYFUNCTION("""COMPUTED_VALUE"""),9.306254667E9)</f>
        <v>9306254667</v>
      </c>
      <c r="E663" s="99">
        <f>IFERROR(__xludf.DUMMYFUNCTION("""COMPUTED_VALUE"""),45777.0)</f>
        <v>45777</v>
      </c>
      <c r="F663" s="31"/>
      <c r="G663" s="85"/>
      <c r="H663" s="31"/>
      <c r="I663" s="31" t="str">
        <f>IFERROR(__xludf.DUMMYFUNCTION("""COMPUTED_VALUE"""),"Product Designer ")</f>
        <v>Product Designer </v>
      </c>
      <c r="J663" s="31" t="str">
        <f>IFERROR(__xludf.DUMMYFUNCTION("""COMPUTED_VALUE"""),"Product Design")</f>
        <v>Product Design</v>
      </c>
      <c r="K663" s="31" t="str">
        <f>IFERROR(__xludf.DUMMYFUNCTION("""COMPUTED_VALUE"""),"Anish Abraham")</f>
        <v>Anish Abraham</v>
      </c>
      <c r="L663" s="31"/>
      <c r="M663" s="31"/>
      <c r="N663" s="31"/>
    </row>
    <row r="664">
      <c r="A664" s="31">
        <f>IFERROR(__xludf.DUMMYFUNCTION("""COMPUTED_VALUE"""),733.0)</f>
        <v>733</v>
      </c>
      <c r="B664" s="31" t="str">
        <f>IFERROR(__xludf.DUMMYFUNCTION("""COMPUTED_VALUE"""),"Preeti Singh")</f>
        <v>Preeti Singh</v>
      </c>
      <c r="C664" s="31" t="str">
        <f>IFERROR(__xludf.DUMMYFUNCTION("""COMPUTED_VALUE"""),"preeti193@gmail.com ")</f>
        <v>preeti193@gmail.com </v>
      </c>
      <c r="D664" s="84">
        <f>IFERROR(__xludf.DUMMYFUNCTION("""COMPUTED_VALUE"""),9.811452061E9)</f>
        <v>9811452061</v>
      </c>
      <c r="E664" s="99">
        <f>IFERROR(__xludf.DUMMYFUNCTION("""COMPUTED_VALUE"""),45778.0)</f>
        <v>45778</v>
      </c>
      <c r="F664" s="31"/>
      <c r="G664" s="85"/>
      <c r="H664" s="31"/>
      <c r="I664" s="31" t="str">
        <f>IFERROR(__xludf.DUMMYFUNCTION("""COMPUTED_VALUE"""),"Senior Advisor - Public Policy")</f>
        <v>Senior Advisor - Public Policy</v>
      </c>
      <c r="J664" s="31" t="str">
        <f>IFERROR(__xludf.DUMMYFUNCTION("""COMPUTED_VALUE"""),"Public Policy")</f>
        <v>Public Policy</v>
      </c>
      <c r="K664" s="31" t="str">
        <f>IFERROR(__xludf.DUMMYFUNCTION("""COMPUTED_VALUE"""),"Govind ")</f>
        <v>Govind </v>
      </c>
      <c r="L664" s="31"/>
      <c r="M664" s="31"/>
      <c r="N664" s="31"/>
    </row>
    <row r="665">
      <c r="A665" s="31">
        <f>IFERROR(__xludf.DUMMYFUNCTION("""COMPUTED_VALUE"""),734.0)</f>
        <v>734</v>
      </c>
      <c r="B665" s="31" t="str">
        <f>IFERROR(__xludf.DUMMYFUNCTION("""COMPUTED_VALUE"""),"Sarthak Jain")</f>
        <v>Sarthak Jain</v>
      </c>
      <c r="C665" s="31" t="str">
        <f>IFERROR(__xludf.DUMMYFUNCTION("""COMPUTED_VALUE"""),"87sarthak.jain@gmail.com")</f>
        <v>87sarthak.jain@gmail.com</v>
      </c>
      <c r="D665" s="84">
        <f>IFERROR(__xludf.DUMMYFUNCTION("""COMPUTED_VALUE"""),7.507021188E9)</f>
        <v>7507021188</v>
      </c>
      <c r="E665" s="99">
        <f>IFERROR(__xludf.DUMMYFUNCTION("""COMPUTED_VALUE"""),45778.0)</f>
        <v>45778</v>
      </c>
      <c r="F665" s="31"/>
      <c r="G665" s="85"/>
      <c r="H665" s="31"/>
      <c r="I665" s="31" t="str">
        <f>IFERROR(__xludf.DUMMYFUNCTION("""COMPUTED_VALUE"""),"Finance Controller")</f>
        <v>Finance Controller</v>
      </c>
      <c r="J665" s="31"/>
      <c r="K665" s="31" t="str">
        <f>IFERROR(__xludf.DUMMYFUNCTION("""COMPUTED_VALUE"""),"Ankit Maheshwari")</f>
        <v>Ankit Maheshwari</v>
      </c>
      <c r="L665" s="31"/>
      <c r="M665" s="31"/>
      <c r="N665" s="31"/>
    </row>
    <row r="666">
      <c r="A666" s="31">
        <f>IFERROR(__xludf.DUMMYFUNCTION("""COMPUTED_VALUE"""),735.0)</f>
        <v>735</v>
      </c>
      <c r="B666" s="31" t="str">
        <f>IFERROR(__xludf.DUMMYFUNCTION("""COMPUTED_VALUE"""),"Rijul Sehgal")</f>
        <v>Rijul Sehgal</v>
      </c>
      <c r="C666" s="31" t="str">
        <f>IFERROR(__xludf.DUMMYFUNCTION("""COMPUTED_VALUE"""),"rijul.sehgal24@gmail.com")</f>
        <v>rijul.sehgal24@gmail.com</v>
      </c>
      <c r="D666" s="84">
        <f>IFERROR(__xludf.DUMMYFUNCTION("""COMPUTED_VALUE"""),9.953987225E9)</f>
        <v>9953987225</v>
      </c>
      <c r="E666" s="99">
        <f>IFERROR(__xludf.DUMMYFUNCTION("""COMPUTED_VALUE"""),45778.0)</f>
        <v>45778</v>
      </c>
      <c r="F666" s="31"/>
      <c r="G666" s="85"/>
      <c r="H666" s="31"/>
      <c r="I666" s="31" t="str">
        <f>IFERROR(__xludf.DUMMYFUNCTION("""COMPUTED_VALUE"""),"Executive Producer")</f>
        <v>Executive Producer</v>
      </c>
      <c r="J666" s="31"/>
      <c r="K666" s="31" t="str">
        <f>IFERROR(__xludf.DUMMYFUNCTION("""COMPUTED_VALUE"""),"Katha tara")</f>
        <v>Katha tara</v>
      </c>
      <c r="L666" s="31"/>
      <c r="M666" s="31"/>
      <c r="N666" s="31"/>
    </row>
    <row r="667">
      <c r="A667" s="31">
        <f>IFERROR(__xludf.DUMMYFUNCTION("""COMPUTED_VALUE"""),736.0)</f>
        <v>736</v>
      </c>
      <c r="B667" s="31" t="str">
        <f>IFERROR(__xludf.DUMMYFUNCTION("""COMPUTED_VALUE"""),"Shivam Pandita")</f>
        <v>Shivam Pandita</v>
      </c>
      <c r="C667" s="31" t="str">
        <f>IFERROR(__xludf.DUMMYFUNCTION("""COMPUTED_VALUE"""),"panditashivam837@gmail.com ")</f>
        <v>panditashivam837@gmail.com </v>
      </c>
      <c r="D667" s="84">
        <f>IFERROR(__xludf.DUMMYFUNCTION("""COMPUTED_VALUE"""),7.889364518E9)</f>
        <v>7889364518</v>
      </c>
      <c r="E667" s="99">
        <f>IFERROR(__xludf.DUMMYFUNCTION("""COMPUTED_VALUE"""),45782.0)</f>
        <v>45782</v>
      </c>
      <c r="F667" s="31"/>
      <c r="G667" s="85"/>
      <c r="H667" s="31"/>
      <c r="I667" s="31" t="str">
        <f>IFERROR(__xludf.DUMMYFUNCTION("""COMPUTED_VALUE"""),"Senior Data Analyst
")</f>
        <v>Senior Data Analyst
</v>
      </c>
      <c r="J667" s="31"/>
      <c r="K667" s="31" t="str">
        <f>IFERROR(__xludf.DUMMYFUNCTION("""COMPUTED_VALUE"""),"Raman Malik")</f>
        <v>Raman Malik</v>
      </c>
      <c r="L667" s="31"/>
      <c r="M667" s="31"/>
      <c r="N667" s="31"/>
    </row>
    <row r="668">
      <c r="A668" s="31">
        <f>IFERROR(__xludf.DUMMYFUNCTION("""COMPUTED_VALUE"""),737.0)</f>
        <v>737</v>
      </c>
      <c r="B668" s="31" t="str">
        <f>IFERROR(__xludf.DUMMYFUNCTION("""COMPUTED_VALUE"""),"Harshita Sethi")</f>
        <v>Harshita Sethi</v>
      </c>
      <c r="C668" s="31" t="str">
        <f>IFERROR(__xludf.DUMMYFUNCTION("""COMPUTED_VALUE"""),"harshitaktl@gmail.com")</f>
        <v>harshitaktl@gmail.com</v>
      </c>
      <c r="D668" s="84">
        <f>IFERROR(__xludf.DUMMYFUNCTION("""COMPUTED_VALUE"""),9.521504626E9)</f>
        <v>9521504626</v>
      </c>
      <c r="E668" s="99">
        <f>IFERROR(__xludf.DUMMYFUNCTION("""COMPUTED_VALUE"""),45782.0)</f>
        <v>45782</v>
      </c>
      <c r="F668" s="31"/>
      <c r="G668" s="85"/>
      <c r="H668" s="31"/>
      <c r="I668" s="31" t="str">
        <f>IFERROR(__xludf.DUMMYFUNCTION("""COMPUTED_VALUE"""),"Motion Graphics Designer")</f>
        <v>Motion Graphics Designer</v>
      </c>
      <c r="J668" s="31"/>
      <c r="K668" s="31" t="str">
        <f>IFERROR(__xludf.DUMMYFUNCTION("""COMPUTED_VALUE"""),"Akshit Sharma")</f>
        <v>Akshit Sharma</v>
      </c>
      <c r="L668" s="31"/>
      <c r="M668" s="31"/>
      <c r="N668" s="31"/>
    </row>
    <row r="669">
      <c r="A669" s="31">
        <f>IFERROR(__xludf.DUMMYFUNCTION("""COMPUTED_VALUE"""),738.0)</f>
        <v>738</v>
      </c>
      <c r="B669" s="31" t="str">
        <f>IFERROR(__xludf.DUMMYFUNCTION("""COMPUTED_VALUE"""),"Divakar Garg")</f>
        <v>Divakar Garg</v>
      </c>
      <c r="C669" s="31" t="str">
        <f>IFERROR(__xludf.DUMMYFUNCTION("""COMPUTED_VALUE"""),"  dvkrgrg3@gmail.com")</f>
        <v>  dvkrgrg3@gmail.com</v>
      </c>
      <c r="D669" s="84">
        <f>IFERROR(__xludf.DUMMYFUNCTION("""COMPUTED_VALUE"""),9.899285188E9)</f>
        <v>9899285188</v>
      </c>
      <c r="E669" s="99">
        <f>IFERROR(__xludf.DUMMYFUNCTION("""COMPUTED_VALUE"""),45782.0)</f>
        <v>45782</v>
      </c>
      <c r="F669" s="31"/>
      <c r="G669" s="85"/>
      <c r="H669" s="31"/>
      <c r="I669" s="31" t="str">
        <f>IFERROR(__xludf.DUMMYFUNCTION("""COMPUTED_VALUE"""),"Manager-Data Anaytics")</f>
        <v>Manager-Data Anaytics</v>
      </c>
      <c r="J669" s="31"/>
      <c r="K669" s="31" t="str">
        <f>IFERROR(__xludf.DUMMYFUNCTION("""COMPUTED_VALUE"""),"Raman Malik")</f>
        <v>Raman Malik</v>
      </c>
      <c r="L669" s="31"/>
      <c r="M669" s="31"/>
      <c r="N669" s="31"/>
    </row>
    <row r="670">
      <c r="A670" s="31">
        <f>IFERROR(__xludf.DUMMYFUNCTION("""COMPUTED_VALUE"""),739.0)</f>
        <v>739</v>
      </c>
      <c r="B670" s="31" t="str">
        <f>IFERROR(__xludf.DUMMYFUNCTION("""COMPUTED_VALUE"""),"Vania Islam")</f>
        <v>Vania Islam</v>
      </c>
      <c r="C670" s="31" t="str">
        <f>IFERROR(__xludf.DUMMYFUNCTION("""COMPUTED_VALUE""")," Vaniaislam786@gmail.com")</f>
        <v> Vaniaislam786@gmail.com</v>
      </c>
      <c r="D670" s="84">
        <f>IFERROR(__xludf.DUMMYFUNCTION("""COMPUTED_VALUE"""),7.568079097E9)</f>
        <v>7568079097</v>
      </c>
      <c r="E670" s="99">
        <f>IFERROR(__xludf.DUMMYFUNCTION("""COMPUTED_VALUE"""),45782.0)</f>
        <v>45782</v>
      </c>
      <c r="F670" s="31"/>
      <c r="G670" s="85"/>
      <c r="H670" s="31"/>
      <c r="I670" s="31" t="str">
        <f>IFERROR(__xludf.DUMMYFUNCTION("""COMPUTED_VALUE"""),"Product Designer")</f>
        <v>Product Designer</v>
      </c>
      <c r="J670" s="31"/>
      <c r="K670" s="31" t="str">
        <f>IFERROR(__xludf.DUMMYFUNCTION("""COMPUTED_VALUE"""),"Anish Abraham")</f>
        <v>Anish Abraham</v>
      </c>
      <c r="L670" s="31"/>
      <c r="M670" s="31"/>
      <c r="N670" s="31"/>
    </row>
    <row r="671">
      <c r="A671" s="31">
        <f>IFERROR(__xludf.DUMMYFUNCTION("""COMPUTED_VALUE"""),740.0)</f>
        <v>740</v>
      </c>
      <c r="B671" s="31" t="str">
        <f>IFERROR(__xludf.DUMMYFUNCTION("""COMPUTED_VALUE"""),"Jitendra Rawat")</f>
        <v>Jitendra Rawat</v>
      </c>
      <c r="C671" s="31" t="str">
        <f>IFERROR(__xludf.DUMMYFUNCTION("""COMPUTED_VALUE"""),"J.rawat0709@gmail.com")</f>
        <v>J.rawat0709@gmail.com</v>
      </c>
      <c r="D671" s="84">
        <f>IFERROR(__xludf.DUMMYFUNCTION("""COMPUTED_VALUE"""),9.899838027E9)</f>
        <v>9899838027</v>
      </c>
      <c r="E671" s="99">
        <f>IFERROR(__xludf.DUMMYFUNCTION("""COMPUTED_VALUE"""),45782.0)</f>
        <v>45782</v>
      </c>
      <c r="F671" s="31"/>
      <c r="G671" s="85"/>
      <c r="H671" s="31"/>
      <c r="I671" s="31" t="str">
        <f>IFERROR(__xludf.DUMMYFUNCTION("""COMPUTED_VALUE"""),"Senior Manager- Digital Marketing")</f>
        <v>Senior Manager- Digital Marketing</v>
      </c>
      <c r="J671" s="31"/>
      <c r="K671" s="31" t="str">
        <f>IFERROR(__xludf.DUMMYFUNCTION("""COMPUTED_VALUE"""),"Nishant Jaiswal")</f>
        <v>Nishant Jaiswal</v>
      </c>
      <c r="L671" s="31"/>
      <c r="M671" s="31"/>
      <c r="N671" s="31"/>
    </row>
    <row r="672">
      <c r="A672" s="31">
        <f>IFERROR(__xludf.DUMMYFUNCTION("""COMPUTED_VALUE"""),741.0)</f>
        <v>741</v>
      </c>
      <c r="B672" s="31" t="str">
        <f>IFERROR(__xludf.DUMMYFUNCTION("""COMPUTED_VALUE"""),"Saurabh Singh")</f>
        <v>Saurabh Singh</v>
      </c>
      <c r="C672" s="31" t="str">
        <f>IFERROR(__xludf.DUMMYFUNCTION("""COMPUTED_VALUE"""),"singh.saurav701@gmail.com")</f>
        <v>singh.saurav701@gmail.com</v>
      </c>
      <c r="D672" s="84">
        <f>IFERROR(__xludf.DUMMYFUNCTION("""COMPUTED_VALUE"""),7.985444039E9)</f>
        <v>7985444039</v>
      </c>
      <c r="E672" s="99">
        <f>IFERROR(__xludf.DUMMYFUNCTION("""COMPUTED_VALUE"""),45782.0)</f>
        <v>45782</v>
      </c>
      <c r="F672" s="31"/>
      <c r="G672" s="85"/>
      <c r="H672" s="31"/>
      <c r="I672" s="31" t="str">
        <f>IFERROR(__xludf.DUMMYFUNCTION("""COMPUTED_VALUE"""),"Senior Software Engineer")</f>
        <v>Senior Software Engineer</v>
      </c>
      <c r="J672" s="31"/>
      <c r="K672" s="31"/>
      <c r="L672" s="31"/>
      <c r="M672" s="31"/>
      <c r="N672" s="31"/>
    </row>
    <row r="673">
      <c r="A673" s="31">
        <f>IFERROR(__xludf.DUMMYFUNCTION("""COMPUTED_VALUE"""),742.0)</f>
        <v>742</v>
      </c>
      <c r="B673" s="31" t="str">
        <f>IFERROR(__xludf.DUMMYFUNCTION("""COMPUTED_VALUE"""),"Vinay Singh Rawat")</f>
        <v>Vinay Singh Rawat</v>
      </c>
      <c r="C673" s="86" t="str">
        <f>IFERROR(__xludf.DUMMYFUNCTION("""COMPUTED_VALUE"""),"Vinayrawat279@gmail.com")</f>
        <v>Vinayrawat279@gmail.com</v>
      </c>
      <c r="D673" s="84">
        <f>IFERROR(__xludf.DUMMYFUNCTION("""COMPUTED_VALUE"""),9.871041523E9)</f>
        <v>9871041523</v>
      </c>
      <c r="E673" s="99">
        <f>IFERROR(__xludf.DUMMYFUNCTION("""COMPUTED_VALUE"""),45782.0)</f>
        <v>45782</v>
      </c>
      <c r="F673" s="31"/>
      <c r="G673" s="85"/>
      <c r="H673" s="31"/>
      <c r="I673" s="31" t="str">
        <f>IFERROR(__xludf.DUMMYFUNCTION("""COMPUTED_VALUE"""),"Contractual: Test Yantra")</f>
        <v>Contractual: Test Yantra</v>
      </c>
      <c r="J673" s="31" t="str">
        <f>IFERROR(__xludf.DUMMYFUNCTION("""COMPUTED_VALUE"""),"QA")</f>
        <v>QA</v>
      </c>
      <c r="K673" s="31" t="str">
        <f>IFERROR(__xludf.DUMMYFUNCTION("""COMPUTED_VALUE"""),"Vishal Aggarwal")</f>
        <v>Vishal Aggarwal</v>
      </c>
      <c r="L673" s="31"/>
      <c r="M673" s="31"/>
      <c r="N673" s="31"/>
    </row>
    <row r="674">
      <c r="A674" s="31">
        <f>IFERROR(__xludf.DUMMYFUNCTION("""COMPUTED_VALUE"""),743.0)</f>
        <v>743</v>
      </c>
      <c r="B674" s="31" t="str">
        <f>IFERROR(__xludf.DUMMYFUNCTION("""COMPUTED_VALUE"""),"Yagya Srivastava")</f>
        <v>Yagya Srivastava</v>
      </c>
      <c r="C674" s="31" t="str">
        <f>IFERROR(__xludf.DUMMYFUNCTION("""COMPUTED_VALUE"""),"yagyasr.legal@gmail.com")</f>
        <v>yagyasr.legal@gmail.com</v>
      </c>
      <c r="D674" s="84">
        <f>IFERROR(__xludf.DUMMYFUNCTION("""COMPUTED_VALUE"""),9.920972126E9)</f>
        <v>9920972126</v>
      </c>
      <c r="E674" s="99">
        <f>IFERROR(__xludf.DUMMYFUNCTION("""COMPUTED_VALUE"""),45783.0)</f>
        <v>45783</v>
      </c>
      <c r="F674" s="31"/>
      <c r="G674" s="85"/>
      <c r="H674" s="31"/>
      <c r="I674" s="31" t="str">
        <f>IFERROR(__xludf.DUMMYFUNCTION("""COMPUTED_VALUE"""),"assistant Manager - Public Policy")</f>
        <v>assistant Manager - Public Policy</v>
      </c>
      <c r="J674" s="31"/>
      <c r="K674" s="31"/>
      <c r="L674" s="31"/>
      <c r="M674" s="31"/>
      <c r="N674" s="31"/>
    </row>
    <row r="675">
      <c r="A675" s="31">
        <f>IFERROR(__xludf.DUMMYFUNCTION("""COMPUTED_VALUE"""),744.0)</f>
        <v>744</v>
      </c>
      <c r="B675" s="31" t="str">
        <f>IFERROR(__xludf.DUMMYFUNCTION("""COMPUTED_VALUE"""),"Himanshu Solanki")</f>
        <v>Himanshu Solanki</v>
      </c>
      <c r="C675" s="31" t="str">
        <f>IFERROR(__xludf.DUMMYFUNCTION("""COMPUTED_VALUE"""),"hsolanki816@gmail.com")</f>
        <v>hsolanki816@gmail.com</v>
      </c>
      <c r="D675" s="84">
        <f>IFERROR(__xludf.DUMMYFUNCTION("""COMPUTED_VALUE"""),8.178168234E9)</f>
        <v>8178168234</v>
      </c>
      <c r="E675" s="99">
        <f>IFERROR(__xludf.DUMMYFUNCTION("""COMPUTED_VALUE"""),45784.0)</f>
        <v>45784</v>
      </c>
      <c r="F675" s="31"/>
      <c r="G675" s="85"/>
      <c r="H675" s="31"/>
      <c r="I675" s="31" t="str">
        <f>IFERROR(__xludf.DUMMYFUNCTION("""COMPUTED_VALUE"""),"Senior Associate-Digital Marketing")</f>
        <v>Senior Associate-Digital Marketing</v>
      </c>
      <c r="J675" s="31"/>
      <c r="K675" s="31"/>
      <c r="L675" s="31"/>
      <c r="M675" s="31"/>
      <c r="N675" s="31"/>
    </row>
    <row r="676">
      <c r="A676" s="31">
        <f>IFERROR(__xludf.DUMMYFUNCTION("""COMPUTED_VALUE"""),745.0)</f>
        <v>745</v>
      </c>
      <c r="B676" s="31" t="str">
        <f>IFERROR(__xludf.DUMMYFUNCTION("""COMPUTED_VALUE"""),"Pankaj")</f>
        <v>Pankaj</v>
      </c>
      <c r="C676" s="31" t="str">
        <f>IFERROR(__xludf.DUMMYFUNCTION("""COMPUTED_VALUE"""),"dtu.pankaj@gmail.com")</f>
        <v>dtu.pankaj@gmail.com</v>
      </c>
      <c r="D676" s="84">
        <f>IFERROR(__xludf.DUMMYFUNCTION("""COMPUTED_VALUE"""),9.729100689E9)</f>
        <v>9729100689</v>
      </c>
      <c r="E676" s="99">
        <f>IFERROR(__xludf.DUMMYFUNCTION("""COMPUTED_VALUE"""),45789.0)</f>
        <v>45789</v>
      </c>
      <c r="F676" s="31"/>
      <c r="G676" s="85"/>
      <c r="H676" s="31"/>
      <c r="I676" s="31" t="str">
        <f>IFERROR(__xludf.DUMMYFUNCTION("""COMPUTED_VALUE"""),"Software Engineer Intern ")</f>
        <v>Software Engineer Intern </v>
      </c>
      <c r="J676" s="31"/>
      <c r="K676" s="31"/>
      <c r="L676" s="31"/>
      <c r="M676" s="31"/>
      <c r="N676" s="31"/>
    </row>
    <row r="677">
      <c r="A677" s="31">
        <f>IFERROR(__xludf.DUMMYFUNCTION("""COMPUTED_VALUE"""),746.0)</f>
        <v>746</v>
      </c>
      <c r="B677" s="31" t="str">
        <f>IFERROR(__xludf.DUMMYFUNCTION("""COMPUTED_VALUE"""),"Gunn Bhargava")</f>
        <v>Gunn Bhargava</v>
      </c>
      <c r="C677" s="31" t="str">
        <f>IFERROR(__xludf.DUMMYFUNCTION("""COMPUTED_VALUE""")," bhargavagun2210@gmail.com")</f>
        <v> bhargavagun2210@gmail.com</v>
      </c>
      <c r="D677" s="84">
        <f>IFERROR(__xludf.DUMMYFUNCTION("""COMPUTED_VALUE"""),7.678210856E9)</f>
        <v>7678210856</v>
      </c>
      <c r="E677" s="99">
        <f>IFERROR(__xludf.DUMMYFUNCTION("""COMPUTED_VALUE"""),45789.0)</f>
        <v>45789</v>
      </c>
      <c r="F677" s="31"/>
      <c r="G677" s="85"/>
      <c r="H677" s="31"/>
      <c r="I677" s="31" t="str">
        <f>IFERROR(__xludf.DUMMYFUNCTION("""COMPUTED_VALUE"""),"Procurement Intern")</f>
        <v>Procurement Intern</v>
      </c>
      <c r="J677" s="31"/>
      <c r="K677" s="31"/>
      <c r="L677" s="31"/>
      <c r="M677" s="31"/>
      <c r="N677" s="31"/>
    </row>
    <row r="678">
      <c r="A678" s="31">
        <f>IFERROR(__xludf.DUMMYFUNCTION("""COMPUTED_VALUE"""),747.0)</f>
        <v>747</v>
      </c>
      <c r="B678" s="31" t="str">
        <f>IFERROR(__xludf.DUMMYFUNCTION("""COMPUTED_VALUE"""),"Saurabh Shrivastava")</f>
        <v>Saurabh Shrivastava</v>
      </c>
      <c r="C678" s="31" t="str">
        <f>IFERROR(__xludf.DUMMYFUNCTION("""COMPUTED_VALUE"""),"victorshri@gmail.com")</f>
        <v>victorshri@gmail.com</v>
      </c>
      <c r="D678" s="84">
        <f>IFERROR(__xludf.DUMMYFUNCTION("""COMPUTED_VALUE"""),9.873780168E9)</f>
        <v>9873780168</v>
      </c>
      <c r="E678" s="99">
        <f>IFERROR(__xludf.DUMMYFUNCTION("""COMPUTED_VALUE"""),45789.0)</f>
        <v>45789</v>
      </c>
      <c r="F678" s="31"/>
      <c r="G678" s="85"/>
      <c r="H678" s="31"/>
      <c r="I678" s="31" t="str">
        <f>IFERROR(__xludf.DUMMYFUNCTION("""COMPUTED_VALUE"""),"Manager- Digital Marketing")</f>
        <v>Manager- Digital Marketing</v>
      </c>
      <c r="J678" s="31"/>
      <c r="K678" s="31"/>
      <c r="L678" s="31"/>
      <c r="M678" s="31"/>
      <c r="N678" s="31"/>
    </row>
    <row r="679">
      <c r="A679" s="31">
        <f>IFERROR(__xludf.DUMMYFUNCTION("""COMPUTED_VALUE"""),748.0)</f>
        <v>748</v>
      </c>
      <c r="B679" s="31" t="str">
        <f>IFERROR(__xludf.DUMMYFUNCTION("""COMPUTED_VALUE"""),"Sagar Nassa ")</f>
        <v>Sagar Nassa </v>
      </c>
      <c r="C679" s="31" t="str">
        <f>IFERROR(__xludf.DUMMYFUNCTION("""COMPUTED_VALUE"""),"snassa@ar.iitr.ac.in")</f>
        <v>snassa@ar.iitr.ac.in</v>
      </c>
      <c r="D679" s="84">
        <f>IFERROR(__xludf.DUMMYFUNCTION("""COMPUTED_VALUE"""),9.760825726E9)</f>
        <v>9760825726</v>
      </c>
      <c r="E679" s="99">
        <f>IFERROR(__xludf.DUMMYFUNCTION("""COMPUTED_VALUE"""),45789.0)</f>
        <v>45789</v>
      </c>
      <c r="F679" s="31"/>
      <c r="G679" s="85"/>
      <c r="H679" s="31"/>
      <c r="I679" s="31" t="str">
        <f>IFERROR(__xludf.DUMMYFUNCTION("""COMPUTED_VALUE"""),"Senior Data Analyst")</f>
        <v>Senior Data Analyst</v>
      </c>
      <c r="J679" s="31"/>
      <c r="K679" s="31"/>
      <c r="L679" s="31"/>
      <c r="M679" s="31"/>
      <c r="N679" s="31"/>
    </row>
    <row r="680">
      <c r="A680" s="31">
        <f>IFERROR(__xludf.DUMMYFUNCTION("""COMPUTED_VALUE"""),749.0)</f>
        <v>749</v>
      </c>
      <c r="B680" s="31" t="str">
        <f>IFERROR(__xludf.DUMMYFUNCTION("""COMPUTED_VALUE"""),"Nitesh Dagar")</f>
        <v>Nitesh Dagar</v>
      </c>
      <c r="C680" s="31" t="str">
        <f>IFERROR(__xludf.DUMMYFUNCTION("""COMPUTED_VALUE"""),"niteshkumar731878@gmail.com")</f>
        <v>niteshkumar731878@gmail.com</v>
      </c>
      <c r="D680" s="84">
        <f>IFERROR(__xludf.DUMMYFUNCTION("""COMPUTED_VALUE"""),9.999731878E9)</f>
        <v>9999731878</v>
      </c>
      <c r="E680" s="99">
        <f>IFERROR(__xludf.DUMMYFUNCTION("""COMPUTED_VALUE"""),45790.0)</f>
        <v>45790</v>
      </c>
      <c r="F680" s="31"/>
      <c r="G680" s="85"/>
      <c r="H680" s="31"/>
      <c r="I680" s="31" t="str">
        <f>IFERROR(__xludf.DUMMYFUNCTION("""COMPUTED_VALUE"""),"Data Analyst")</f>
        <v>Data Analyst</v>
      </c>
      <c r="J680" s="31"/>
      <c r="K680" s="31"/>
      <c r="L680" s="31"/>
      <c r="M680" s="31"/>
      <c r="N680" s="31"/>
    </row>
    <row r="681">
      <c r="A681" s="31">
        <f>IFERROR(__xludf.DUMMYFUNCTION("""COMPUTED_VALUE"""),750.0)</f>
        <v>750</v>
      </c>
      <c r="B681" s="31" t="str">
        <f>IFERROR(__xludf.DUMMYFUNCTION("""COMPUTED_VALUE"""),"Ketan Keshri")</f>
        <v>Ketan Keshri</v>
      </c>
      <c r="C681" s="47" t="str">
        <f>IFERROR(__xludf.DUMMYFUNCTION("""COMPUTED_VALUE"""),"ketank90@gmail.com")</f>
        <v>ketank90@gmail.com</v>
      </c>
      <c r="D681" s="84">
        <f>IFERROR(__xludf.DUMMYFUNCTION("""COMPUTED_VALUE"""),9.113946425E9)</f>
        <v>9113946425</v>
      </c>
      <c r="E681" s="99">
        <f>IFERROR(__xludf.DUMMYFUNCTION("""COMPUTED_VALUE"""),45790.0)</f>
        <v>45790</v>
      </c>
      <c r="F681" s="31"/>
      <c r="G681" s="85"/>
      <c r="H681" s="31"/>
      <c r="I681" s="31" t="str">
        <f>IFERROR(__xludf.DUMMYFUNCTION("""COMPUTED_VALUE"""),"Lead Data Engineer")</f>
        <v>Lead Data Engineer</v>
      </c>
      <c r="J681" s="31"/>
      <c r="K681" s="31"/>
      <c r="L681" s="31"/>
      <c r="M681" s="31"/>
      <c r="N681" s="31"/>
    </row>
    <row r="682">
      <c r="A682" s="31">
        <f>IFERROR(__xludf.DUMMYFUNCTION("""COMPUTED_VALUE"""),751.0)</f>
        <v>751</v>
      </c>
      <c r="B682" s="31" t="str">
        <f>IFERROR(__xludf.DUMMYFUNCTION("""COMPUTED_VALUE"""),"Roma")</f>
        <v>Roma</v>
      </c>
      <c r="C682" s="31" t="str">
        <f>IFERROR(__xludf.DUMMYFUNCTION("""COMPUTED_VALUE"""),"Romabhardwaj94@gmail.com")</f>
        <v>Romabhardwaj94@gmail.com</v>
      </c>
      <c r="D682" s="84">
        <f>IFERROR(__xludf.DUMMYFUNCTION("""COMPUTED_VALUE"""),9.717781317E9)</f>
        <v>9717781317</v>
      </c>
      <c r="E682" s="99">
        <f>IFERROR(__xludf.DUMMYFUNCTION("""COMPUTED_VALUE"""),45791.0)</f>
        <v>45791</v>
      </c>
      <c r="F682" s="31"/>
      <c r="G682" s="85"/>
      <c r="H682" s="31"/>
      <c r="I682" s="31" t="str">
        <f>IFERROR(__xludf.DUMMYFUNCTION("""COMPUTED_VALUE"""),"Senior Executive- IT Operations")</f>
        <v>Senior Executive- IT Operations</v>
      </c>
      <c r="J682" s="31"/>
      <c r="K682" s="31"/>
      <c r="L682" s="31"/>
      <c r="M682" s="31"/>
      <c r="N682" s="31"/>
    </row>
    <row r="683">
      <c r="A683" s="31">
        <f>IFERROR(__xludf.DUMMYFUNCTION("""COMPUTED_VALUE"""),752.0)</f>
        <v>752</v>
      </c>
      <c r="B683" s="31" t="str">
        <f>IFERROR(__xludf.DUMMYFUNCTION("""COMPUTED_VALUE"""),"Akanksha Anand")</f>
        <v>Akanksha Anand</v>
      </c>
      <c r="C683" s="31" t="str">
        <f>IFERROR(__xludf.DUMMYFUNCTION("""COMPUTED_VALUE"""),"akankshacanand28@gmail.com")</f>
        <v>akankshacanand28@gmail.com</v>
      </c>
      <c r="D683" s="84">
        <f>IFERROR(__xludf.DUMMYFUNCTION("""COMPUTED_VALUE"""),9.650771135E9)</f>
        <v>9650771135</v>
      </c>
      <c r="E683" s="99">
        <f>IFERROR(__xludf.DUMMYFUNCTION("""COMPUTED_VALUE"""),45792.0)</f>
        <v>45792</v>
      </c>
      <c r="F683" s="31"/>
      <c r="G683" s="85"/>
      <c r="H683" s="31"/>
      <c r="I683" s="31" t="str">
        <f>IFERROR(__xludf.DUMMYFUNCTION("""COMPUTED_VALUE"""),"Associate - Content Writer ")</f>
        <v>Associate - Content Writer </v>
      </c>
      <c r="J683" s="31"/>
      <c r="K683" s="31"/>
      <c r="L683" s="31"/>
      <c r="M683" s="31"/>
      <c r="N683" s="31"/>
    </row>
    <row r="684">
      <c r="A684" s="31">
        <f>IFERROR(__xludf.DUMMYFUNCTION("""COMPUTED_VALUE"""),753.0)</f>
        <v>753</v>
      </c>
      <c r="B684" s="31" t="str">
        <f>IFERROR(__xludf.DUMMYFUNCTION("""COMPUTED_VALUE"""),"Himanshu Mittal")</f>
        <v>Himanshu Mittal</v>
      </c>
      <c r="C684" s="31" t="str">
        <f>IFERROR(__xludf.DUMMYFUNCTION("""COMPUTED_VALUE"""),"himanshusouma@gmail.com")</f>
        <v>himanshusouma@gmail.com</v>
      </c>
      <c r="D684" s="84">
        <f>IFERROR(__xludf.DUMMYFUNCTION("""COMPUTED_VALUE"""),9.929367507E9)</f>
        <v>9929367507</v>
      </c>
      <c r="E684" s="99">
        <f>IFERROR(__xludf.DUMMYFUNCTION("""COMPUTED_VALUE"""),45792.0)</f>
        <v>45792</v>
      </c>
      <c r="F684" s="31"/>
      <c r="G684" s="85"/>
      <c r="H684" s="31"/>
      <c r="I684" s="31" t="str">
        <f>IFERROR(__xludf.DUMMYFUNCTION("""COMPUTED_VALUE"""),"Data Analyst")</f>
        <v>Data Analyst</v>
      </c>
      <c r="J684" s="31"/>
      <c r="K684" s="31"/>
      <c r="L684" s="31"/>
      <c r="M684" s="31"/>
      <c r="N684" s="31"/>
    </row>
    <row r="685">
      <c r="A685" s="31">
        <f>IFERROR(__xludf.DUMMYFUNCTION("""COMPUTED_VALUE"""),754.0)</f>
        <v>754</v>
      </c>
      <c r="B685" s="31" t="str">
        <f>IFERROR(__xludf.DUMMYFUNCTION("""COMPUTED_VALUE"""),"Gurchetan Singh")</f>
        <v>Gurchetan Singh</v>
      </c>
      <c r="C685" s="31" t="str">
        <f>IFERROR(__xludf.DUMMYFUNCTION("""COMPUTED_VALUE"""),"gur chetan1000@gmail. com")</f>
        <v>gur chetan1000@gmail. com</v>
      </c>
      <c r="D685" s="84">
        <f>IFERROR(__xludf.DUMMYFUNCTION("""COMPUTED_VALUE"""),9.910380089E9)</f>
        <v>9910380089</v>
      </c>
      <c r="E685" s="99">
        <f>IFERROR(__xludf.DUMMYFUNCTION("""COMPUTED_VALUE"""),45792.0)</f>
        <v>45792</v>
      </c>
      <c r="F685" s="31"/>
      <c r="G685" s="85"/>
      <c r="H685" s="31"/>
      <c r="I685" s="31" t="str">
        <f>IFERROR(__xludf.DUMMYFUNCTION("""COMPUTED_VALUE""")," Senior Data Scientist")</f>
        <v> Senior Data Scientist</v>
      </c>
      <c r="J685" s="31"/>
      <c r="K685" s="31"/>
      <c r="L685" s="31"/>
      <c r="M685" s="31"/>
      <c r="N685" s="31"/>
    </row>
    <row r="686">
      <c r="A686" s="31">
        <f>IFERROR(__xludf.DUMMYFUNCTION("""COMPUTED_VALUE"""),755.0)</f>
        <v>755</v>
      </c>
      <c r="B686" s="31" t="str">
        <f>IFERROR(__xludf.DUMMYFUNCTION("""COMPUTED_VALUE"""),"Anshit Singh")</f>
        <v>Anshit Singh</v>
      </c>
      <c r="C686" s="31" t="str">
        <f>IFERROR(__xludf.DUMMYFUNCTION("""COMPUTED_VALUE"""),"p21anshit@iima.ac.in")</f>
        <v>p21anshit@iima.ac.in</v>
      </c>
      <c r="D686" s="84">
        <f>IFERROR(__xludf.DUMMYFUNCTION("""COMPUTED_VALUE"""),9.933909873E9)</f>
        <v>9933909873</v>
      </c>
      <c r="E686" s="99">
        <f>IFERROR(__xludf.DUMMYFUNCTION("""COMPUTED_VALUE"""),45792.0)</f>
        <v>45792</v>
      </c>
      <c r="F686" s="31"/>
      <c r="G686" s="85"/>
      <c r="H686" s="31"/>
      <c r="I686" s="31" t="str">
        <f>IFERROR(__xludf.DUMMYFUNCTION("""COMPUTED_VALUE"""),"Manager - Strategy")</f>
        <v>Manager - Strategy</v>
      </c>
      <c r="J686" s="31"/>
      <c r="K686" s="31"/>
      <c r="L686" s="31"/>
      <c r="M686" s="31"/>
      <c r="N686" s="31"/>
    </row>
    <row r="687">
      <c r="A687" s="31">
        <f>IFERROR(__xludf.DUMMYFUNCTION("""COMPUTED_VALUE"""),756.0)</f>
        <v>756</v>
      </c>
      <c r="B687" s="31" t="str">
        <f>IFERROR(__xludf.DUMMYFUNCTION("""COMPUTED_VALUE"""),"Divij Bhola")</f>
        <v>Divij Bhola</v>
      </c>
      <c r="C687" s="31" t="str">
        <f>IFERROR(__xludf.DUMMYFUNCTION("""COMPUTED_VALUE""")," divibhola2000@gmail.com")</f>
        <v> divibhola2000@gmail.com</v>
      </c>
      <c r="D687" s="84">
        <f>IFERROR(__xludf.DUMMYFUNCTION("""COMPUTED_VALUE"""),9.466506143E9)</f>
        <v>9466506143</v>
      </c>
      <c r="E687" s="99">
        <f>IFERROR(__xludf.DUMMYFUNCTION("""COMPUTED_VALUE"""),45793.0)</f>
        <v>45793</v>
      </c>
      <c r="F687" s="31"/>
      <c r="G687" s="85"/>
      <c r="H687" s="31"/>
      <c r="I687" s="31" t="str">
        <f>IFERROR(__xludf.DUMMYFUNCTION("""COMPUTED_VALUE"""),"Sr.Software Engineer-Android")</f>
        <v>Sr.Software Engineer-Android</v>
      </c>
      <c r="J687" s="31"/>
      <c r="K687" s="31" t="str">
        <f>IFERROR(__xludf.DUMMYFUNCTION("""COMPUTED_VALUE"""),"Rohit Saini")</f>
        <v>Rohit Saini</v>
      </c>
      <c r="L687" s="31"/>
      <c r="M687" s="31"/>
      <c r="N687" s="31"/>
    </row>
    <row r="688">
      <c r="A688" s="31">
        <f>IFERROR(__xludf.DUMMYFUNCTION("""COMPUTED_VALUE"""),757.0)</f>
        <v>757</v>
      </c>
      <c r="B688" s="31" t="str">
        <f>IFERROR(__xludf.DUMMYFUNCTION("""COMPUTED_VALUE"""),"Vishal Kumar Lal ")</f>
        <v>Vishal Kumar Lal </v>
      </c>
      <c r="C688" s="31" t="str">
        <f>IFERROR(__xludf.DUMMYFUNCTION("""COMPUTED_VALUE"""),"vishalkumarlal44@gmail.com")</f>
        <v>vishalkumarlal44@gmail.com</v>
      </c>
      <c r="D688" s="84">
        <f>IFERROR(__xludf.DUMMYFUNCTION("""COMPUTED_VALUE"""),7.428504687E9)</f>
        <v>7428504687</v>
      </c>
      <c r="E688" s="99">
        <f>IFERROR(__xludf.DUMMYFUNCTION("""COMPUTED_VALUE"""),45796.0)</f>
        <v>45796</v>
      </c>
      <c r="F688" s="31"/>
      <c r="G688" s="85"/>
      <c r="H688" s="31"/>
      <c r="I688" s="31" t="str">
        <f>IFERROR(__xludf.DUMMYFUNCTION("""COMPUTED_VALUE"""),"Gen AI Intern")</f>
        <v>Gen AI Intern</v>
      </c>
      <c r="J688" s="31"/>
      <c r="K688" s="31"/>
      <c r="L688" s="31"/>
      <c r="M688" s="31"/>
      <c r="N688" s="31"/>
    </row>
    <row r="689">
      <c r="A689" s="31">
        <f>IFERROR(__xludf.DUMMYFUNCTION("""COMPUTED_VALUE"""),758.0)</f>
        <v>758</v>
      </c>
      <c r="B689" s="31" t="str">
        <f>IFERROR(__xludf.DUMMYFUNCTION("""COMPUTED_VALUE"""),"Harshit Kumar Singh")</f>
        <v>Harshit Kumar Singh</v>
      </c>
      <c r="C689" s="31" t="str">
        <f>IFERROR(__xludf.DUMMYFUNCTION("""COMPUTED_VALUE"""),"singhgoluharsit494@gmail.com")</f>
        <v>singhgoluharsit494@gmail.com</v>
      </c>
      <c r="D689" s="84">
        <f>IFERROR(__xludf.DUMMYFUNCTION("""COMPUTED_VALUE"""),6.398201452E9)</f>
        <v>6398201452</v>
      </c>
      <c r="E689" s="99">
        <f>IFERROR(__xludf.DUMMYFUNCTION("""COMPUTED_VALUE"""),45796.0)</f>
        <v>45796</v>
      </c>
      <c r="F689" s="31"/>
      <c r="G689" s="85"/>
      <c r="H689" s="31"/>
      <c r="I689" s="31" t="str">
        <f>IFERROR(__xludf.DUMMYFUNCTION("""COMPUTED_VALUE""")," Data Science Intern")</f>
        <v> Data Science Intern</v>
      </c>
      <c r="J689" s="31"/>
      <c r="K689" s="31"/>
      <c r="L689" s="31"/>
      <c r="M689" s="31"/>
      <c r="N689" s="31"/>
    </row>
    <row r="690">
      <c r="A690" s="31">
        <f>IFERROR(__xludf.DUMMYFUNCTION("""COMPUTED_VALUE"""),759.0)</f>
        <v>759</v>
      </c>
      <c r="B690" s="31" t="str">
        <f>IFERROR(__xludf.DUMMYFUNCTION("""COMPUTED_VALUE"""),"Harsh Anand")</f>
        <v>Harsh Anand</v>
      </c>
      <c r="C690" s="31" t="str">
        <f>IFERROR(__xludf.DUMMYFUNCTION("""COMPUTED_VALUE"""),"anandharsh80@gmail.com")</f>
        <v>anandharsh80@gmail.com</v>
      </c>
      <c r="D690" s="84">
        <f>IFERROR(__xludf.DUMMYFUNCTION("""COMPUTED_VALUE"""),9.717007291E9)</f>
        <v>9717007291</v>
      </c>
      <c r="E690" s="99">
        <f>IFERROR(__xludf.DUMMYFUNCTION("""COMPUTED_VALUE"""),45796.0)</f>
        <v>45796</v>
      </c>
      <c r="F690" s="31"/>
      <c r="G690" s="85"/>
      <c r="H690" s="31"/>
      <c r="I690" s="31" t="str">
        <f>IFERROR(__xludf.DUMMYFUNCTION("""COMPUTED_VALUE"""),"Data Scientist")</f>
        <v>Data Scientist</v>
      </c>
      <c r="J690" s="31"/>
      <c r="K690" s="31"/>
      <c r="L690" s="31"/>
      <c r="M690" s="31"/>
      <c r="N690" s="31"/>
    </row>
    <row r="691">
      <c r="A691" s="31">
        <f>IFERROR(__xludf.DUMMYFUNCTION("""COMPUTED_VALUE"""),760.0)</f>
        <v>760</v>
      </c>
      <c r="B691" s="31" t="str">
        <f>IFERROR(__xludf.DUMMYFUNCTION("""COMPUTED_VALUE"""),"Kashish Rathore")</f>
        <v>Kashish Rathore</v>
      </c>
      <c r="C691" s="31" t="str">
        <f>IFERROR(__xludf.DUMMYFUNCTION("""COMPUTED_VALUE"""),"kashishrathore12@gmail.com")</f>
        <v>kashishrathore12@gmail.com</v>
      </c>
      <c r="D691" s="84">
        <f>IFERROR(__xludf.DUMMYFUNCTION("""COMPUTED_VALUE"""),8.768455777E9)</f>
        <v>8768455777</v>
      </c>
      <c r="E691" s="99">
        <f>IFERROR(__xludf.DUMMYFUNCTION("""COMPUTED_VALUE"""),45796.0)</f>
        <v>45796</v>
      </c>
      <c r="F691" s="31"/>
      <c r="G691" s="85"/>
      <c r="H691" s="31"/>
      <c r="I691" s="31" t="str">
        <f>IFERROR(__xludf.DUMMYFUNCTION("""COMPUTED_VALUE"""),"Senior Data Analyst")</f>
        <v>Senior Data Analyst</v>
      </c>
      <c r="J691" s="31"/>
      <c r="K691" s="31"/>
      <c r="L691" s="31"/>
      <c r="M691" s="31"/>
      <c r="N691" s="31"/>
    </row>
    <row r="692">
      <c r="A692" s="31">
        <f>IFERROR(__xludf.DUMMYFUNCTION("""COMPUTED_VALUE"""),761.0)</f>
        <v>761</v>
      </c>
      <c r="B692" s="31" t="str">
        <f>IFERROR(__xludf.DUMMYFUNCTION("""COMPUTED_VALUE"""),"Priyansh Gupta")</f>
        <v>Priyansh Gupta</v>
      </c>
      <c r="C692" s="31" t="str">
        <f>IFERROR(__xludf.DUMMYFUNCTION("""COMPUTED_VALUE"""),"priyanshgupta10508@gmail.com")</f>
        <v>priyanshgupta10508@gmail.com</v>
      </c>
      <c r="D692" s="84">
        <f>IFERROR(__xludf.DUMMYFUNCTION("""COMPUTED_VALUE"""),9.352410818E9)</f>
        <v>9352410818</v>
      </c>
      <c r="E692" s="99">
        <f>IFERROR(__xludf.DUMMYFUNCTION("""COMPUTED_VALUE"""),45796.0)</f>
        <v>45796</v>
      </c>
      <c r="F692" s="31"/>
      <c r="G692" s="85"/>
      <c r="H692" s="31"/>
      <c r="I692" s="31" t="str">
        <f>IFERROR(__xludf.DUMMYFUNCTION("""COMPUTED_VALUE"""),"Software Engineer")</f>
        <v>Software Engineer</v>
      </c>
      <c r="J692" s="31"/>
      <c r="K692" s="31"/>
      <c r="L692" s="31"/>
      <c r="M692" s="31"/>
      <c r="N692" s="31"/>
    </row>
    <row r="693">
      <c r="A693" s="31">
        <f>IFERROR(__xludf.DUMMYFUNCTION("""COMPUTED_VALUE"""),762.0)</f>
        <v>762</v>
      </c>
      <c r="B693" s="31" t="str">
        <f>IFERROR(__xludf.DUMMYFUNCTION("""COMPUTED_VALUE"""),"Hritik Garg")</f>
        <v>Hritik Garg</v>
      </c>
      <c r="C693" s="31" t="str">
        <f>IFERROR(__xludf.DUMMYFUNCTION("""COMPUTED_VALUE""")," garg.hritik007@gmail.com")</f>
        <v> garg.hritik007@gmail.com</v>
      </c>
      <c r="D693" s="84">
        <f>IFERROR(__xludf.DUMMYFUNCTION("""COMPUTED_VALUE"""),7.837091887E9)</f>
        <v>7837091887</v>
      </c>
      <c r="E693" s="99">
        <f>IFERROR(__xludf.DUMMYFUNCTION("""COMPUTED_VALUE"""),45796.0)</f>
        <v>45796</v>
      </c>
      <c r="F693" s="31"/>
      <c r="G693" s="85"/>
      <c r="H693" s="31"/>
      <c r="I693" s="31" t="str">
        <f>IFERROR(__xludf.DUMMYFUNCTION("""COMPUTED_VALUE"""),"Data Analyst")</f>
        <v>Data Analyst</v>
      </c>
      <c r="J693" s="31"/>
      <c r="K693" s="31"/>
      <c r="L693" s="31"/>
      <c r="M693" s="31"/>
      <c r="N693" s="31"/>
    </row>
    <row r="694">
      <c r="A694" s="31">
        <f>IFERROR(__xludf.DUMMYFUNCTION("""COMPUTED_VALUE"""),763.0)</f>
        <v>763</v>
      </c>
      <c r="B694" s="31" t="str">
        <f>IFERROR(__xludf.DUMMYFUNCTION("""COMPUTED_VALUE"""),"Mudit jain")</f>
        <v>Mudit jain</v>
      </c>
      <c r="C694" s="31" t="str">
        <f>IFERROR(__xludf.DUMMYFUNCTION("""COMPUTED_VALUE"""),"1208jainmudit@gmail.com")</f>
        <v>1208jainmudit@gmail.com</v>
      </c>
      <c r="D694" s="84">
        <f>IFERROR(__xludf.DUMMYFUNCTION("""COMPUTED_VALUE"""),9.785224602E9)</f>
        <v>9785224602</v>
      </c>
      <c r="E694" s="99">
        <f>IFERROR(__xludf.DUMMYFUNCTION("""COMPUTED_VALUE"""),45797.0)</f>
        <v>45797</v>
      </c>
      <c r="F694" s="31"/>
      <c r="G694" s="85"/>
      <c r="H694" s="31"/>
      <c r="I694" s="31" t="str">
        <f>IFERROR(__xludf.DUMMYFUNCTION("""COMPUTED_VALUE"""),"Software Engineer- DevOps")</f>
        <v>Software Engineer- DevOps</v>
      </c>
      <c r="J694" s="31"/>
      <c r="K694" s="31"/>
      <c r="L694" s="31"/>
      <c r="M694" s="31"/>
      <c r="N694" s="31"/>
    </row>
    <row r="695">
      <c r="A695" s="31">
        <f>IFERROR(__xludf.DUMMYFUNCTION("""COMPUTED_VALUE"""),764.0)</f>
        <v>764</v>
      </c>
      <c r="B695" s="31" t="str">
        <f>IFERROR(__xludf.DUMMYFUNCTION("""COMPUTED_VALUE"""),"Ritesh Gupta ")</f>
        <v>Ritesh Gupta </v>
      </c>
      <c r="C695" s="86" t="str">
        <f>IFERROR(__xludf.DUMMYFUNCTION("""COMPUTED_VALUE"""),"riteshgupta2100@gmail.com")</f>
        <v>riteshgupta2100@gmail.com</v>
      </c>
      <c r="D695" s="84">
        <f>IFERROR(__xludf.DUMMYFUNCTION("""COMPUTED_VALUE"""),7.067275704E9)</f>
        <v>7067275704</v>
      </c>
      <c r="E695" s="99">
        <f>IFERROR(__xludf.DUMMYFUNCTION("""COMPUTED_VALUE"""),45803.0)</f>
        <v>45803</v>
      </c>
      <c r="F695" s="31"/>
      <c r="G695" s="85"/>
      <c r="H695" s="31"/>
      <c r="I695" s="31" t="str">
        <f>IFERROR(__xludf.DUMMYFUNCTION("""COMPUTED_VALUE"""),"Contractual: Programming")</f>
        <v>Contractual: Programming</v>
      </c>
      <c r="J695" s="31"/>
      <c r="K695" s="31"/>
      <c r="L695" s="31"/>
      <c r="M695" s="31"/>
      <c r="N695" s="31"/>
    </row>
    <row r="696">
      <c r="A696" s="31">
        <f>IFERROR(__xludf.DUMMYFUNCTION("""COMPUTED_VALUE"""),765.0)</f>
        <v>765</v>
      </c>
      <c r="B696" s="31" t="str">
        <f>IFERROR(__xludf.DUMMYFUNCTION("""COMPUTED_VALUE"""),"Ujwal Tandon")</f>
        <v>Ujwal Tandon</v>
      </c>
      <c r="C696" s="31" t="str">
        <f>IFERROR(__xludf.DUMMYFUNCTION("""COMPUTED_VALUE"""),"ujwaltandon04@gmail.com")</f>
        <v>ujwaltandon04@gmail.com</v>
      </c>
      <c r="D696" s="84">
        <f>IFERROR(__xludf.DUMMYFUNCTION("""COMPUTED_VALUE"""),9.560414198E9)</f>
        <v>9560414198</v>
      </c>
      <c r="E696" s="99">
        <f>IFERROR(__xludf.DUMMYFUNCTION("""COMPUTED_VALUE"""),45803.0)</f>
        <v>45803</v>
      </c>
      <c r="F696" s="31"/>
      <c r="G696" s="85"/>
      <c r="H696" s="31"/>
      <c r="I696" s="31" t="str">
        <f>IFERROR(__xludf.DUMMYFUNCTION("""COMPUTED_VALUE"""),"Lead - Machine Learning Engineer")</f>
        <v>Lead - Machine Learning Engineer</v>
      </c>
      <c r="J696" s="31"/>
      <c r="K696" s="31"/>
      <c r="L696" s="31"/>
      <c r="M696" s="31"/>
      <c r="N696" s="31"/>
    </row>
    <row r="697">
      <c r="A697" s="31">
        <f>IFERROR(__xludf.DUMMYFUNCTION("""COMPUTED_VALUE"""),766.0)</f>
        <v>766</v>
      </c>
      <c r="B697" s="31" t="str">
        <f>IFERROR(__xludf.DUMMYFUNCTION("""COMPUTED_VALUE"""),"Richa Sahal")</f>
        <v>Richa Sahal</v>
      </c>
      <c r="C697" s="31" t="str">
        <f>IFERROR(__xludf.DUMMYFUNCTION("""COMPUTED_VALUE"""),"richasahal1121@gmail.com")</f>
        <v>richasahal1121@gmail.com</v>
      </c>
      <c r="D697" s="84">
        <f>IFERROR(__xludf.DUMMYFUNCTION("""COMPUTED_VALUE"""),7.004606046E9)</f>
        <v>7004606046</v>
      </c>
      <c r="E697" s="99">
        <f>IFERROR(__xludf.DUMMYFUNCTION("""COMPUTED_VALUE"""),45803.0)</f>
        <v>45803</v>
      </c>
      <c r="F697" s="31"/>
      <c r="G697" s="85"/>
      <c r="H697" s="31"/>
      <c r="I697" s="31" t="str">
        <f>IFERROR(__xludf.DUMMYFUNCTION("""COMPUTED_VALUE"""),"Manager-SEO")</f>
        <v>Manager-SEO</v>
      </c>
      <c r="J697" s="31"/>
      <c r="K697" s="31"/>
      <c r="L697" s="31"/>
      <c r="M697" s="31"/>
      <c r="N697" s="31"/>
    </row>
    <row r="698">
      <c r="A698" s="31">
        <f>IFERROR(__xludf.DUMMYFUNCTION("""COMPUTED_VALUE"""),767.0)</f>
        <v>767</v>
      </c>
      <c r="B698" s="31" t="str">
        <f>IFERROR(__xludf.DUMMYFUNCTION("""COMPUTED_VALUE"""),"Sheetal Kapkoti")</f>
        <v>Sheetal Kapkoti</v>
      </c>
      <c r="C698" s="31" t="str">
        <f>IFERROR(__xludf.DUMMYFUNCTION("""COMPUTED_VALUE"""),"kapkotisheetal15@gmail.com")</f>
        <v>kapkotisheetal15@gmail.com</v>
      </c>
      <c r="D698" s="84">
        <f>IFERROR(__xludf.DUMMYFUNCTION("""COMPUTED_VALUE"""),9.599826978E9)</f>
        <v>9599826978</v>
      </c>
      <c r="E698" s="99">
        <f>IFERROR(__xludf.DUMMYFUNCTION("""COMPUTED_VALUE"""),45803.0)</f>
        <v>45803</v>
      </c>
      <c r="F698" s="31"/>
      <c r="G698" s="85"/>
      <c r="H698" s="31"/>
      <c r="I698" s="31" t="str">
        <f>IFERROR(__xludf.DUMMYFUNCTION("""COMPUTED_VALUE"""),"CA Intern")</f>
        <v>CA Intern</v>
      </c>
      <c r="J698" s="31"/>
      <c r="K698" s="31"/>
      <c r="L698" s="31"/>
      <c r="M698" s="31"/>
      <c r="N698" s="31"/>
    </row>
    <row r="699">
      <c r="A699" s="31">
        <f>IFERROR(__xludf.DUMMYFUNCTION("""COMPUTED_VALUE"""),768.0)</f>
        <v>768</v>
      </c>
      <c r="B699" s="31" t="str">
        <f>IFERROR(__xludf.DUMMYFUNCTION("""COMPUTED_VALUE"""),"Renuka Sarvaiya")</f>
        <v>Renuka Sarvaiya</v>
      </c>
      <c r="C699" s="31" t="str">
        <f>IFERROR(__xludf.DUMMYFUNCTION("""COMPUTED_VALUE""")," srenuka24@gmail.com")</f>
        <v> srenuka24@gmail.com</v>
      </c>
      <c r="D699" s="84">
        <f>IFERROR(__xludf.DUMMYFUNCTION("""COMPUTED_VALUE"""),9.999024536E9)</f>
        <v>9999024536</v>
      </c>
      <c r="E699" s="99">
        <f>IFERROR(__xludf.DUMMYFUNCTION("""COMPUTED_VALUE"""),45803.0)</f>
        <v>45803</v>
      </c>
      <c r="F699" s="31"/>
      <c r="G699" s="85"/>
      <c r="H699" s="31"/>
      <c r="I699" s="31" t="str">
        <f>IFERROR(__xludf.DUMMYFUNCTION("""COMPUTED_VALUE"""),"Senior Business Intelligence Engineer")</f>
        <v>Senior Business Intelligence Engineer</v>
      </c>
      <c r="J699" s="31"/>
      <c r="K699" s="31"/>
      <c r="L699" s="31"/>
      <c r="M699" s="31"/>
      <c r="N699" s="31"/>
    </row>
    <row r="700">
      <c r="A700" s="31">
        <f>IFERROR(__xludf.DUMMYFUNCTION("""COMPUTED_VALUE"""),769.0)</f>
        <v>769</v>
      </c>
      <c r="B700" s="31" t="str">
        <f>IFERROR(__xludf.DUMMYFUNCTION("""COMPUTED_VALUE"""),"Archit Goswami")</f>
        <v>Archit Goswami</v>
      </c>
      <c r="C700" s="31" t="str">
        <f>IFERROR(__xludf.DUMMYFUNCTION("""COMPUTED_VALUE""")," architgoswami4@gmail.com")</f>
        <v> architgoswami4@gmail.com</v>
      </c>
      <c r="D700" s="84">
        <f>IFERROR(__xludf.DUMMYFUNCTION("""COMPUTED_VALUE"""),7.98262064E9)</f>
        <v>7982620640</v>
      </c>
      <c r="E700" s="99">
        <f>IFERROR(__xludf.DUMMYFUNCTION("""COMPUTED_VALUE"""),45803.0)</f>
        <v>45803</v>
      </c>
      <c r="F700" s="31"/>
      <c r="G700" s="85"/>
      <c r="H700" s="31"/>
      <c r="I700" s="31" t="str">
        <f>IFERROR(__xludf.DUMMYFUNCTION("""COMPUTED_VALUE"""),"Senior Software Engineer")</f>
        <v>Senior Software Engineer</v>
      </c>
      <c r="J700" s="31"/>
      <c r="K700" s="31"/>
      <c r="L700" s="31"/>
      <c r="M700" s="31"/>
      <c r="N700" s="31"/>
    </row>
    <row r="701">
      <c r="A701" s="31">
        <f>IFERROR(__xludf.DUMMYFUNCTION("""COMPUTED_VALUE"""),770.0)</f>
        <v>770</v>
      </c>
      <c r="B701" s="31" t="str">
        <f>IFERROR(__xludf.DUMMYFUNCTION("""COMPUTED_VALUE"""),"Rohan Negi")</f>
        <v>Rohan Negi</v>
      </c>
      <c r="C701" s="31" t="str">
        <f>IFERROR(__xludf.DUMMYFUNCTION("""COMPUTED_VALUE"""),"rohan.negi.ofc@gmail.com")</f>
        <v>rohan.negi.ofc@gmail.com</v>
      </c>
      <c r="D701" s="84">
        <f>IFERROR(__xludf.DUMMYFUNCTION("""COMPUTED_VALUE"""),8.700345226E9)</f>
        <v>8700345226</v>
      </c>
      <c r="E701" s="99">
        <f>IFERROR(__xludf.DUMMYFUNCTION("""COMPUTED_VALUE"""),45805.0)</f>
        <v>45805</v>
      </c>
      <c r="F701" s="31"/>
      <c r="G701" s="85"/>
      <c r="H701" s="31"/>
      <c r="I701" s="31" t="str">
        <f>IFERROR(__xludf.DUMMYFUNCTION("""COMPUTED_VALUE"""),"Data Engineer")</f>
        <v>Data Engineer</v>
      </c>
      <c r="J701" s="31"/>
      <c r="K701" s="31"/>
      <c r="L701" s="31"/>
      <c r="M701" s="31"/>
      <c r="N701" s="31"/>
    </row>
    <row r="702">
      <c r="A702" s="31">
        <f>IFERROR(__xludf.DUMMYFUNCTION("""COMPUTED_VALUE"""),771.0)</f>
        <v>771</v>
      </c>
      <c r="B702" s="31" t="str">
        <f>IFERROR(__xludf.DUMMYFUNCTION("""COMPUTED_VALUE"""),"Rahul Sharma")</f>
        <v>Rahul Sharma</v>
      </c>
      <c r="C702" s="31" t="str">
        <f>IFERROR(__xludf.DUMMYFUNCTION("""COMPUTED_VALUE"""),"rahul.trigune@gmail.com")</f>
        <v>rahul.trigune@gmail.com</v>
      </c>
      <c r="D702" s="84">
        <f>IFERROR(__xludf.DUMMYFUNCTION("""COMPUTED_VALUE"""),9.910654455E9)</f>
        <v>9910654455</v>
      </c>
      <c r="E702" s="99">
        <f>IFERROR(__xludf.DUMMYFUNCTION("""COMPUTED_VALUE"""),45805.0)</f>
        <v>45805</v>
      </c>
      <c r="F702" s="31"/>
      <c r="G702" s="85"/>
      <c r="H702" s="31"/>
      <c r="I702" s="31" t="str">
        <f>IFERROR(__xludf.DUMMYFUNCTION("""COMPUTED_VALUE"""),"Director Data engineer")</f>
        <v>Director Data engineer</v>
      </c>
      <c r="J702" s="31"/>
      <c r="K702" s="31"/>
      <c r="L702" s="31"/>
      <c r="M702" s="31"/>
      <c r="N702" s="31"/>
    </row>
    <row r="703">
      <c r="A703" s="31">
        <f>IFERROR(__xludf.DUMMYFUNCTION("""COMPUTED_VALUE"""),772.0)</f>
        <v>772</v>
      </c>
      <c r="B703" s="31" t="str">
        <f>IFERROR(__xludf.DUMMYFUNCTION("""COMPUTED_VALUE"""),"Raghavv M Garg")</f>
        <v>Raghavv M Garg</v>
      </c>
      <c r="C703" s="31" t="str">
        <f>IFERROR(__xludf.DUMMYFUNCTION("""COMPUTED_VALUE"""),"raghavvmgarg@gmail.com")</f>
        <v>raghavvmgarg@gmail.com</v>
      </c>
      <c r="D703" s="84" t="str">
        <f>IFERROR(__xludf.DUMMYFUNCTION("""COMPUTED_VALUE"""),"93196 36020‬")</f>
        <v>93196 36020‬</v>
      </c>
      <c r="E703" s="99">
        <f>IFERROR(__xludf.DUMMYFUNCTION("""COMPUTED_VALUE"""),45805.0)</f>
        <v>45805</v>
      </c>
      <c r="F703" s="31"/>
      <c r="G703" s="85"/>
      <c r="H703" s="31"/>
      <c r="I703" s="31" t="str">
        <f>IFERROR(__xludf.DUMMYFUNCTION("""COMPUTED_VALUE"""),"Founders Office Intern")</f>
        <v>Founders Office Intern</v>
      </c>
      <c r="J703" s="31"/>
      <c r="K703" s="31"/>
      <c r="L703" s="31"/>
      <c r="M703" s="31"/>
      <c r="N703" s="31"/>
    </row>
    <row r="704">
      <c r="A704" s="31">
        <f>IFERROR(__xludf.DUMMYFUNCTION("""COMPUTED_VALUE"""),773.0)</f>
        <v>773</v>
      </c>
      <c r="B704" s="31" t="str">
        <f>IFERROR(__xludf.DUMMYFUNCTION("""COMPUTED_VALUE"""),"Sagar Rohi")</f>
        <v>Sagar Rohi</v>
      </c>
      <c r="C704" s="31" t="str">
        <f>IFERROR(__xludf.DUMMYFUNCTION("""COMPUTED_VALUE"""),"sagar.rohi369@gmail.com")</f>
        <v>sagar.rohi369@gmail.com</v>
      </c>
      <c r="D704" s="84">
        <f>IFERROR(__xludf.DUMMYFUNCTION("""COMPUTED_VALUE"""),7.838806675E9)</f>
        <v>7838806675</v>
      </c>
      <c r="E704" s="99">
        <f>IFERROR(__xludf.DUMMYFUNCTION("""COMPUTED_VALUE"""),45806.0)</f>
        <v>45806</v>
      </c>
      <c r="F704" s="31"/>
      <c r="G704" s="85"/>
      <c r="H704" s="31"/>
      <c r="I704" s="31" t="str">
        <f>IFERROR(__xludf.DUMMYFUNCTION("""COMPUTED_VALUE"""),"Software Engineer")</f>
        <v>Software Engineer</v>
      </c>
      <c r="J704" s="31"/>
      <c r="K704" s="31"/>
      <c r="L704" s="31"/>
      <c r="M704" s="31"/>
      <c r="N704" s="31"/>
    </row>
    <row r="705">
      <c r="A705" s="31">
        <f>IFERROR(__xludf.DUMMYFUNCTION("""COMPUTED_VALUE"""),774.0)</f>
        <v>774</v>
      </c>
      <c r="B705" s="31" t="str">
        <f>IFERROR(__xludf.DUMMYFUNCTION("""COMPUTED_VALUE"""),"Danish")</f>
        <v>Danish</v>
      </c>
      <c r="C705" s="86" t="str">
        <f>IFERROR(__xludf.DUMMYFUNCTION("""COMPUTED_VALUE"""),"linkedin.com/in/idanishsharma")</f>
        <v>linkedin.com/in/idanishsharma</v>
      </c>
      <c r="D705" s="84">
        <f>IFERROR(__xludf.DUMMYFUNCTION("""COMPUTED_VALUE"""),7.888310897E9)</f>
        <v>7888310897</v>
      </c>
      <c r="E705" s="99">
        <f>IFERROR(__xludf.DUMMYFUNCTION("""COMPUTED_VALUE"""),45810.0)</f>
        <v>45810</v>
      </c>
      <c r="F705" s="31"/>
      <c r="G705" s="85"/>
      <c r="H705" s="31"/>
      <c r="I705" s="31" t="str">
        <f>IFERROR(__xludf.DUMMYFUNCTION("""COMPUTED_VALUE"""),"Data Engineer")</f>
        <v>Data Engineer</v>
      </c>
      <c r="J705" s="31"/>
      <c r="K705" s="31"/>
      <c r="L705" s="31"/>
      <c r="M705" s="31"/>
      <c r="N705" s="31"/>
    </row>
    <row r="706">
      <c r="A706" s="31">
        <f>IFERROR(__xludf.DUMMYFUNCTION("""COMPUTED_VALUE"""),775.0)</f>
        <v>775</v>
      </c>
      <c r="B706" s="31" t="str">
        <f>IFERROR(__xludf.DUMMYFUNCTION("""COMPUTED_VALUE"""),"Madhurika Nayak")</f>
        <v>Madhurika Nayak</v>
      </c>
      <c r="C706" s="86" t="str">
        <f>IFERROR(__xludf.DUMMYFUNCTION("""COMPUTED_VALUE"""),"nayakmadhurika6@gmail.com")</f>
        <v>nayakmadhurika6@gmail.com</v>
      </c>
      <c r="D706" s="84">
        <f>IFERROR(__xludf.DUMMYFUNCTION("""COMPUTED_VALUE"""),9.348727206E9)</f>
        <v>9348727206</v>
      </c>
      <c r="E706" s="99">
        <f>IFERROR(__xludf.DUMMYFUNCTION("""COMPUTED_VALUE"""),45810.0)</f>
        <v>45810</v>
      </c>
      <c r="F706" s="31"/>
      <c r="G706" s="85"/>
      <c r="H706" s="31"/>
      <c r="I706" s="31" t="str">
        <f>IFERROR(__xludf.DUMMYFUNCTION("""COMPUTED_VALUE"""),"Contractual: Test Yantra")</f>
        <v>Contractual: Test Yantra</v>
      </c>
      <c r="J706" s="31"/>
      <c r="K706" s="31"/>
      <c r="L706" s="31"/>
      <c r="M706" s="31"/>
      <c r="N706" s="31"/>
    </row>
    <row r="707">
      <c r="A707" s="31">
        <f>IFERROR(__xludf.DUMMYFUNCTION("""COMPUTED_VALUE"""),776.0)</f>
        <v>776</v>
      </c>
      <c r="B707" s="31" t="str">
        <f>IFERROR(__xludf.DUMMYFUNCTION("""COMPUTED_VALUE"""),"Piyush Bansal")</f>
        <v>Piyush Bansal</v>
      </c>
      <c r="C707" s="31" t="str">
        <f>IFERROR(__xludf.DUMMYFUNCTION("""COMPUTED_VALUE"""),"77piyushbansal77@gmail.com")</f>
        <v>77piyushbansal77@gmail.com</v>
      </c>
      <c r="D707" s="84">
        <f>IFERROR(__xludf.DUMMYFUNCTION("""COMPUTED_VALUE"""),9.354933745E9)</f>
        <v>9354933745</v>
      </c>
      <c r="E707" s="99">
        <f>IFERROR(__xludf.DUMMYFUNCTION("""COMPUTED_VALUE"""),45810.0)</f>
        <v>45810</v>
      </c>
      <c r="F707" s="31"/>
      <c r="G707" s="85"/>
      <c r="H707" s="31"/>
      <c r="I707" s="31" t="str">
        <f>IFERROR(__xludf.DUMMYFUNCTION("""COMPUTED_VALUE"""),"Software Engineer Intern ")</f>
        <v>Software Engineer Intern </v>
      </c>
      <c r="J707" s="31"/>
      <c r="K707" s="31"/>
      <c r="L707" s="31"/>
      <c r="M707" s="31"/>
      <c r="N707" s="31"/>
    </row>
    <row r="708">
      <c r="A708" s="31">
        <f>IFERROR(__xludf.DUMMYFUNCTION("""COMPUTED_VALUE"""),777.0)</f>
        <v>777</v>
      </c>
      <c r="B708" s="31" t="str">
        <f>IFERROR(__xludf.DUMMYFUNCTION("""COMPUTED_VALUE"""),"Sheetal Kapkoti")</f>
        <v>Sheetal Kapkoti</v>
      </c>
      <c r="C708" s="31" t="str">
        <f>IFERROR(__xludf.DUMMYFUNCTION("""COMPUTED_VALUE"""),"kapkotisheetal15@gmail.com")</f>
        <v>kapkotisheetal15@gmail.com</v>
      </c>
      <c r="D708" s="84">
        <f>IFERROR(__xludf.DUMMYFUNCTION("""COMPUTED_VALUE"""),9.599826978E9)</f>
        <v>9599826978</v>
      </c>
      <c r="E708" s="99">
        <f>IFERROR(__xludf.DUMMYFUNCTION("""COMPUTED_VALUE"""),45810.0)</f>
        <v>45810</v>
      </c>
      <c r="F708" s="31"/>
      <c r="G708" s="85"/>
      <c r="H708" s="31"/>
      <c r="I708" s="31" t="str">
        <f>IFERROR(__xludf.DUMMYFUNCTION("""COMPUTED_VALUE"""),"CA Intern")</f>
        <v>CA Intern</v>
      </c>
      <c r="J708" s="31"/>
      <c r="K708" s="31"/>
      <c r="L708" s="31"/>
      <c r="M708" s="31"/>
      <c r="N708" s="31"/>
    </row>
    <row r="709">
      <c r="A709" s="31">
        <f>IFERROR(__xludf.DUMMYFUNCTION("""COMPUTED_VALUE"""),778.0)</f>
        <v>778</v>
      </c>
      <c r="B709" s="31" t="str">
        <f>IFERROR(__xludf.DUMMYFUNCTION("""COMPUTED_VALUE"""),"Arun A R")</f>
        <v>Arun A R</v>
      </c>
      <c r="C709" s="31" t="str">
        <f>IFERROR(__xludf.DUMMYFUNCTION("""COMPUTED_VALUE"""),"ararun666@gmail.com")</f>
        <v>ararun666@gmail.com</v>
      </c>
      <c r="D709" s="84">
        <f>IFERROR(__xludf.DUMMYFUNCTION("""COMPUTED_VALUE"""),9.818530843E9)</f>
        <v>9818530843</v>
      </c>
      <c r="E709" s="99">
        <f>IFERROR(__xludf.DUMMYFUNCTION("""COMPUTED_VALUE"""),45810.0)</f>
        <v>45810</v>
      </c>
      <c r="F709" s="31"/>
      <c r="G709" s="85"/>
      <c r="H709" s="31"/>
      <c r="I709" s="31" t="str">
        <f>IFERROR(__xludf.DUMMYFUNCTION("""COMPUTED_VALUE"""),"Relationship Manager")</f>
        <v>Relationship Manager</v>
      </c>
      <c r="J709" s="31"/>
      <c r="K709" s="31"/>
      <c r="L709" s="31"/>
      <c r="M709" s="31"/>
      <c r="N709" s="31"/>
    </row>
    <row r="710">
      <c r="A710" s="31">
        <f>IFERROR(__xludf.DUMMYFUNCTION("""COMPUTED_VALUE"""),779.0)</f>
        <v>779</v>
      </c>
      <c r="B710" s="31" t="str">
        <f>IFERROR(__xludf.DUMMYFUNCTION("""COMPUTED_VALUE"""),"Gargi Singh Bhadu")</f>
        <v>Gargi Singh Bhadu</v>
      </c>
      <c r="C710" s="31" t="str">
        <f>IFERROR(__xludf.DUMMYFUNCTION("""COMPUTED_VALUE"""),"gargi26singh@gmail.com")</f>
        <v>gargi26singh@gmail.com</v>
      </c>
      <c r="D710" s="84">
        <f>IFERROR(__xludf.DUMMYFUNCTION("""COMPUTED_VALUE"""),8.529311129E9)</f>
        <v>8529311129</v>
      </c>
      <c r="E710" s="99">
        <f>IFERROR(__xludf.DUMMYFUNCTION("""COMPUTED_VALUE"""),45810.0)</f>
        <v>45810</v>
      </c>
      <c r="F710" s="31"/>
      <c r="G710" s="85"/>
      <c r="H710" s="31"/>
      <c r="I710" s="31" t="str">
        <f>IFERROR(__xludf.DUMMYFUNCTION("""COMPUTED_VALUE"""),"Brand Marketing Intern")</f>
        <v>Brand Marketing Intern</v>
      </c>
      <c r="J710" s="31"/>
      <c r="K710" s="31"/>
      <c r="L710" s="31"/>
      <c r="M710" s="31"/>
      <c r="N710" s="31"/>
    </row>
    <row r="711">
      <c r="A711" s="31">
        <f>IFERROR(__xludf.DUMMYFUNCTION("""COMPUTED_VALUE"""),780.0)</f>
        <v>780</v>
      </c>
      <c r="B711" s="31" t="str">
        <f>IFERROR(__xludf.DUMMYFUNCTION("""COMPUTED_VALUE"""),"Aakash Phogat")</f>
        <v>Aakash Phogat</v>
      </c>
      <c r="C711" s="31" t="str">
        <f>IFERROR(__xludf.DUMMYFUNCTION("""COMPUTED_VALUE"""),"aakashphogat16@gmail.com ")</f>
        <v>aakashphogat16@gmail.com </v>
      </c>
      <c r="D711" s="84">
        <f>IFERROR(__xludf.DUMMYFUNCTION("""COMPUTED_VALUE"""),7.876734403E9)</f>
        <v>7876734403</v>
      </c>
      <c r="E711" s="99">
        <f>IFERROR(__xludf.DUMMYFUNCTION("""COMPUTED_VALUE"""),45810.0)</f>
        <v>45810</v>
      </c>
      <c r="F711" s="31"/>
      <c r="G711" s="85"/>
      <c r="H711" s="31"/>
      <c r="I711" s="31" t="str">
        <f>IFERROR(__xludf.DUMMYFUNCTION("""COMPUTED_VALUE"""),"Software Engineer")</f>
        <v>Software Engineer</v>
      </c>
      <c r="J711" s="31"/>
      <c r="K711" s="31"/>
      <c r="L711" s="31"/>
      <c r="M711" s="31"/>
      <c r="N711" s="31"/>
    </row>
    <row r="712">
      <c r="A712" s="31">
        <f>IFERROR(__xludf.DUMMYFUNCTION("""COMPUTED_VALUE"""),781.0)</f>
        <v>781</v>
      </c>
      <c r="B712" s="31" t="str">
        <f>IFERROR(__xludf.DUMMYFUNCTION("""COMPUTED_VALUE"""),"Karan Goyal")</f>
        <v>Karan Goyal</v>
      </c>
      <c r="C712" s="31" t="str">
        <f>IFERROR(__xludf.DUMMYFUNCTION("""COMPUTED_VALUE"""),"kg14goyal@gmail.com ")</f>
        <v>kg14goyal@gmail.com </v>
      </c>
      <c r="D712" s="84">
        <f>IFERROR(__xludf.DUMMYFUNCTION("""COMPUTED_VALUE"""),9.46319427E9)</f>
        <v>9463194270</v>
      </c>
      <c r="E712" s="99">
        <f>IFERROR(__xludf.DUMMYFUNCTION("""COMPUTED_VALUE"""),45810.0)</f>
        <v>45810</v>
      </c>
      <c r="F712" s="31"/>
      <c r="G712" s="85"/>
      <c r="H712" s="31"/>
      <c r="I712" s="31" t="str">
        <f>IFERROR(__xludf.DUMMYFUNCTION("""COMPUTED_VALUE"""),"Product Management Intern")</f>
        <v>Product Management Intern</v>
      </c>
      <c r="J712" s="31"/>
      <c r="K712" s="31"/>
      <c r="L712" s="31"/>
      <c r="M712" s="31"/>
      <c r="N712" s="31"/>
    </row>
    <row r="713">
      <c r="A713" s="31">
        <f>IFERROR(__xludf.DUMMYFUNCTION("""COMPUTED_VALUE"""),782.0)</f>
        <v>782</v>
      </c>
      <c r="B713" s="31" t="str">
        <f>IFERROR(__xludf.DUMMYFUNCTION("""COMPUTED_VALUE"""),"Yogendra Tiwari")</f>
        <v>Yogendra Tiwari</v>
      </c>
      <c r="C713" s="31" t="str">
        <f>IFERROR(__xludf.DUMMYFUNCTION("""COMPUTED_VALUE"""),"yteewari@gmail.com")</f>
        <v>yteewari@gmail.com</v>
      </c>
      <c r="D713" s="84">
        <f>IFERROR(__xludf.DUMMYFUNCTION("""COMPUTED_VALUE"""),8.707552045E9)</f>
        <v>8707552045</v>
      </c>
      <c r="E713" s="99">
        <f>IFERROR(__xludf.DUMMYFUNCTION("""COMPUTED_VALUE"""),45810.0)</f>
        <v>45810</v>
      </c>
      <c r="F713" s="31"/>
      <c r="G713" s="85"/>
      <c r="H713" s="31"/>
      <c r="I713" s="31" t="str">
        <f>IFERROR(__xludf.DUMMYFUNCTION("""COMPUTED_VALUE"""),"Software Intern")</f>
        <v>Software Intern</v>
      </c>
      <c r="J713" s="31"/>
      <c r="K713" s="31"/>
      <c r="L713" s="31"/>
      <c r="M713" s="31"/>
      <c r="N713" s="31"/>
    </row>
    <row r="714">
      <c r="A714" s="31">
        <f>IFERROR(__xludf.DUMMYFUNCTION("""COMPUTED_VALUE"""),783.0)</f>
        <v>783</v>
      </c>
      <c r="B714" s="31" t="str">
        <f>IFERROR(__xludf.DUMMYFUNCTION("""COMPUTED_VALUE"""),"Shailja Tiwari")</f>
        <v>Shailja Tiwari</v>
      </c>
      <c r="C714" s="31" t="str">
        <f>IFERROR(__xludf.DUMMYFUNCTION("""COMPUTED_VALUE""")," tiwarishailja06@gmail.com")</f>
        <v> tiwarishailja06@gmail.com</v>
      </c>
      <c r="D714" s="84">
        <f>IFERROR(__xludf.DUMMYFUNCTION("""COMPUTED_VALUE"""),8.769986995E9)</f>
        <v>8769986995</v>
      </c>
      <c r="E714" s="99">
        <f>IFERROR(__xludf.DUMMYFUNCTION("""COMPUTED_VALUE"""),45813.0)</f>
        <v>45813</v>
      </c>
      <c r="F714" s="31"/>
      <c r="G714" s="85"/>
      <c r="H714" s="31"/>
      <c r="I714" s="31" t="str">
        <f>IFERROR(__xludf.DUMMYFUNCTION("""COMPUTED_VALUE"""),"Senior Public relations Executive")</f>
        <v>Senior Public relations Executive</v>
      </c>
      <c r="J714" s="31"/>
      <c r="K714" s="31"/>
      <c r="L714" s="31"/>
      <c r="M714" s="31"/>
      <c r="N714" s="31"/>
    </row>
    <row r="715">
      <c r="A715" s="31">
        <f>IFERROR(__xludf.DUMMYFUNCTION("""COMPUTED_VALUE"""),784.0)</f>
        <v>784</v>
      </c>
      <c r="B715" s="31" t="str">
        <f>IFERROR(__xludf.DUMMYFUNCTION("""COMPUTED_VALUE"""),"Sahil Brahmania")</f>
        <v>Sahil Brahmania</v>
      </c>
      <c r="C715" s="31" t="str">
        <f>IFERROR(__xludf.DUMMYFUNCTION("""COMPUTED_VALUE"""),"sahilbm.brahmania19@gmail.com")</f>
        <v>sahilbm.brahmania19@gmail.com</v>
      </c>
      <c r="D715" s="84">
        <f>IFERROR(__xludf.DUMMYFUNCTION("""COMPUTED_VALUE"""),9.041228695E9)</f>
        <v>9041228695</v>
      </c>
      <c r="E715" s="99">
        <f>IFERROR(__xludf.DUMMYFUNCTION("""COMPUTED_VALUE"""),45817.0)</f>
        <v>45817</v>
      </c>
      <c r="F715" s="31"/>
      <c r="G715" s="85"/>
      <c r="H715" s="31"/>
      <c r="I715" s="31" t="str">
        <f>IFERROR(__xludf.DUMMYFUNCTION("""COMPUTED_VALUE"""),"Genral Manager- Digital Marketing")</f>
        <v>Genral Manager- Digital Marketing</v>
      </c>
      <c r="J715" s="31"/>
      <c r="K715" s="31"/>
      <c r="L715" s="31"/>
      <c r="M715" s="31"/>
      <c r="N715" s="31"/>
    </row>
    <row r="716">
      <c r="A716" s="31">
        <f>IFERROR(__xludf.DUMMYFUNCTION("""COMPUTED_VALUE"""),785.0)</f>
        <v>785</v>
      </c>
      <c r="B716" s="31" t="str">
        <f>IFERROR(__xludf.DUMMYFUNCTION("""COMPUTED_VALUE"""),"Rohit Kumar Gupta")</f>
        <v>Rohit Kumar Gupta</v>
      </c>
      <c r="C716" s="31" t="str">
        <f>IFERROR(__xludf.DUMMYFUNCTION("""COMPUTED_VALUE"""),"rohitkumargupta789@yahoo.com")</f>
        <v>rohitkumargupta789@yahoo.com</v>
      </c>
      <c r="D716" s="84">
        <f>IFERROR(__xludf.DUMMYFUNCTION("""COMPUTED_VALUE"""),7.376496863E9)</f>
        <v>7376496863</v>
      </c>
      <c r="E716" s="99">
        <f>IFERROR(__xludf.DUMMYFUNCTION("""COMPUTED_VALUE"""),45818.0)</f>
        <v>45818</v>
      </c>
      <c r="F716" s="31"/>
      <c r="G716" s="85"/>
      <c r="H716" s="31"/>
      <c r="I716" s="31" t="str">
        <f>IFERROR(__xludf.DUMMYFUNCTION("""COMPUTED_VALUE"""),"Senior Software Development Engineer in Test")</f>
        <v>Senior Software Development Engineer in Test</v>
      </c>
      <c r="J716" s="31"/>
      <c r="K716" s="31"/>
      <c r="L716" s="31"/>
      <c r="M716" s="31"/>
      <c r="N716" s="31"/>
    </row>
    <row r="717">
      <c r="A717" s="31">
        <f>IFERROR(__xludf.DUMMYFUNCTION("""COMPUTED_VALUE"""),786.0)</f>
        <v>786</v>
      </c>
      <c r="B717" s="31" t="str">
        <f>IFERROR(__xludf.DUMMYFUNCTION("""COMPUTED_VALUE"""),"Manas Singh")</f>
        <v>Manas Singh</v>
      </c>
      <c r="C717" s="31" t="str">
        <f>IFERROR(__xludf.DUMMYFUNCTION("""COMPUTED_VALUE"""),"manassingh910@gmail.com")</f>
        <v>manassingh910@gmail.com</v>
      </c>
      <c r="D717" s="84">
        <f>IFERROR(__xludf.DUMMYFUNCTION("""COMPUTED_VALUE"""),8.130577549E9)</f>
        <v>8130577549</v>
      </c>
      <c r="E717" s="99">
        <f>IFERROR(__xludf.DUMMYFUNCTION("""COMPUTED_VALUE"""),45819.0)</f>
        <v>45819</v>
      </c>
      <c r="F717" s="31"/>
      <c r="G717" s="85"/>
      <c r="H717" s="31"/>
      <c r="I717" s="31" t="str">
        <f>IFERROR(__xludf.DUMMYFUNCTION("""COMPUTED_VALUE"""),"Software Engineer")</f>
        <v>Software Engineer</v>
      </c>
      <c r="J717" s="31"/>
      <c r="K717" s="31"/>
      <c r="L717" s="31"/>
      <c r="M717" s="31"/>
      <c r="N717" s="31"/>
    </row>
    <row r="718">
      <c r="A718" s="31">
        <f>IFERROR(__xludf.DUMMYFUNCTION("""COMPUTED_VALUE"""),787.0)</f>
        <v>787</v>
      </c>
      <c r="B718" s="31" t="str">
        <f>IFERROR(__xludf.DUMMYFUNCTION("""COMPUTED_VALUE"""),"Nikhil Kumar Sharma")</f>
        <v>Nikhil Kumar Sharma</v>
      </c>
      <c r="C718" s="31" t="str">
        <f>IFERROR(__xludf.DUMMYFUNCTION("""COMPUTED_VALUE"""),"nikhil0410.sh@gmail.com")</f>
        <v>nikhil0410.sh@gmail.com</v>
      </c>
      <c r="D718" s="84">
        <f>IFERROR(__xludf.DUMMYFUNCTION("""COMPUTED_VALUE"""),8.619238216E9)</f>
        <v>8619238216</v>
      </c>
      <c r="E718" s="99">
        <f>IFERROR(__xludf.DUMMYFUNCTION("""COMPUTED_VALUE"""),45821.0)</f>
        <v>45821</v>
      </c>
      <c r="F718" s="31"/>
      <c r="G718" s="85"/>
      <c r="H718" s="31"/>
      <c r="I718" s="31" t="str">
        <f>IFERROR(__xludf.DUMMYFUNCTION("""COMPUTED_VALUE"""),"Senior Data Analyst
")</f>
        <v>Senior Data Analyst
</v>
      </c>
      <c r="J718" s="31"/>
      <c r="K718" s="31"/>
      <c r="L718" s="31"/>
      <c r="M718" s="31"/>
      <c r="N718" s="31"/>
    </row>
    <row r="719">
      <c r="A719" s="31">
        <f>IFERROR(__xludf.DUMMYFUNCTION("""COMPUTED_VALUE"""),788.0)</f>
        <v>788</v>
      </c>
      <c r="B719" s="31" t="str">
        <f>IFERROR(__xludf.DUMMYFUNCTION("""COMPUTED_VALUE"""),"Harkirat Singh")</f>
        <v>Harkirat Singh</v>
      </c>
      <c r="C719" s="31" t="str">
        <f>IFERROR(__xludf.DUMMYFUNCTION("""COMPUTED_VALUE"""),"harkiratsingh1196@gmail.com")</f>
        <v>harkiratsingh1196@gmail.com</v>
      </c>
      <c r="D719" s="84">
        <f>IFERROR(__xludf.DUMMYFUNCTION("""COMPUTED_VALUE"""),8.872446815E9)</f>
        <v>8872446815</v>
      </c>
      <c r="E719" s="99">
        <f>IFERROR(__xludf.DUMMYFUNCTION("""COMPUTED_VALUE"""),45821.0)</f>
        <v>45821</v>
      </c>
      <c r="F719" s="31"/>
      <c r="G719" s="85"/>
      <c r="H719" s="31"/>
      <c r="I719" s="31" t="str">
        <f>IFERROR(__xludf.DUMMYFUNCTION("""COMPUTED_VALUE"""),"Software Engineer- DevOps")</f>
        <v>Software Engineer- DevOps</v>
      </c>
      <c r="J719" s="31"/>
      <c r="K719" s="31"/>
      <c r="L719" s="31"/>
      <c r="M719" s="31"/>
      <c r="N719" s="31"/>
    </row>
    <row r="720">
      <c r="A720" s="31">
        <f>IFERROR(__xludf.DUMMYFUNCTION("""COMPUTED_VALUE"""),789.0)</f>
        <v>789</v>
      </c>
      <c r="B720" s="31" t="str">
        <f>IFERROR(__xludf.DUMMYFUNCTION("""COMPUTED_VALUE"""),"Rishabh Raj")</f>
        <v>Rishabh Raj</v>
      </c>
      <c r="C720" s="47" t="str">
        <f>IFERROR(__xludf.DUMMYFUNCTION("""COMPUTED_VALUE"""),"rishabh.nits2020@gmail.com")</f>
        <v>rishabh.nits2020@gmail.com</v>
      </c>
      <c r="D720" s="84">
        <f>IFERROR(__xludf.DUMMYFUNCTION("""COMPUTED_VALUE"""),9.12311998E9)</f>
        <v>9123119980</v>
      </c>
      <c r="E720" s="99">
        <f>IFERROR(__xludf.DUMMYFUNCTION("""COMPUTED_VALUE"""),45821.0)</f>
        <v>45821</v>
      </c>
      <c r="F720" s="31"/>
      <c r="G720" s="85"/>
      <c r="H720" s="31"/>
      <c r="I720" s="31" t="str">
        <f>IFERROR(__xludf.DUMMYFUNCTION("""COMPUTED_VALUE"""),"Senior Software Engineer - Android")</f>
        <v>Senior Software Engineer - Android</v>
      </c>
      <c r="J720" s="31"/>
      <c r="K720" s="31"/>
      <c r="L720" s="31"/>
      <c r="M720" s="31"/>
      <c r="N720" s="31"/>
    </row>
    <row r="721">
      <c r="A721" s="31">
        <f>IFERROR(__xludf.DUMMYFUNCTION("""COMPUTED_VALUE"""),790.0)</f>
        <v>790</v>
      </c>
      <c r="B721" s="31" t="str">
        <f>IFERROR(__xludf.DUMMYFUNCTION("""COMPUTED_VALUE"""),"Sushant Upadhyay")</f>
        <v>Sushant Upadhyay</v>
      </c>
      <c r="C721" s="31" t="str">
        <f>IFERROR(__xludf.DUMMYFUNCTION("""COMPUTED_VALUE"""),"sushantupadhyay00@gmail.com")</f>
        <v>sushantupadhyay00@gmail.com</v>
      </c>
      <c r="D721" s="84">
        <f>IFERROR(__xludf.DUMMYFUNCTION("""COMPUTED_VALUE"""),6.394419882E9)</f>
        <v>6394419882</v>
      </c>
      <c r="E721" s="99">
        <f>IFERROR(__xludf.DUMMYFUNCTION("""COMPUTED_VALUE"""),45824.0)</f>
        <v>45824</v>
      </c>
      <c r="F721" s="31"/>
      <c r="G721" s="85"/>
      <c r="H721" s="31"/>
      <c r="I721" s="31" t="str">
        <f>IFERROR(__xludf.DUMMYFUNCTION("""COMPUTED_VALUE"""),"Senior Data Scientist")</f>
        <v>Senior Data Scientist</v>
      </c>
      <c r="J721" s="31"/>
      <c r="K721" s="31"/>
      <c r="L721" s="31"/>
      <c r="M721" s="31"/>
      <c r="N721" s="31"/>
    </row>
    <row r="722">
      <c r="A722" s="31">
        <f>IFERROR(__xludf.DUMMYFUNCTION("""COMPUTED_VALUE"""),791.0)</f>
        <v>791</v>
      </c>
      <c r="B722" s="31" t="str">
        <f>IFERROR(__xludf.DUMMYFUNCTION("""COMPUTED_VALUE"""),"Goldee Arora")</f>
        <v>Goldee Arora</v>
      </c>
      <c r="C722" s="31" t="str">
        <f>IFERROR(__xludf.DUMMYFUNCTION("""COMPUTED_VALUE"""),"goldieearora26@gmail.com")</f>
        <v>goldieearora26@gmail.com</v>
      </c>
      <c r="D722" s="84">
        <f>IFERROR(__xludf.DUMMYFUNCTION("""COMPUTED_VALUE"""),8.69631967E9)</f>
        <v>8696319670</v>
      </c>
      <c r="E722" s="99">
        <f>IFERROR(__xludf.DUMMYFUNCTION("""COMPUTED_VALUE"""),45824.0)</f>
        <v>45824</v>
      </c>
      <c r="F722" s="31"/>
      <c r="G722" s="85"/>
      <c r="H722" s="31"/>
      <c r="I722" s="31" t="str">
        <f>IFERROR(__xludf.DUMMYFUNCTION("""COMPUTED_VALUE"""),"Software Engineer")</f>
        <v>Software Engineer</v>
      </c>
      <c r="J722" s="31"/>
      <c r="K722" s="31"/>
      <c r="L722" s="31"/>
      <c r="M722" s="31"/>
      <c r="N722" s="31"/>
    </row>
    <row r="723">
      <c r="A723" s="31">
        <f>IFERROR(__xludf.DUMMYFUNCTION("""COMPUTED_VALUE"""),792.0)</f>
        <v>792</v>
      </c>
      <c r="B723" s="31" t="str">
        <f>IFERROR(__xludf.DUMMYFUNCTION("""COMPUTED_VALUE"""),"Nitin Kaplas
")</f>
        <v>Nitin Kaplas
</v>
      </c>
      <c r="C723" s="47" t="str">
        <f>IFERROR(__xludf.DUMMYFUNCTION("""COMPUTED_VALUE"""),"nitinkaplas90643@gmail.com")</f>
        <v>nitinkaplas90643@gmail.com</v>
      </c>
      <c r="D723" s="84">
        <f>IFERROR(__xludf.DUMMYFUNCTION("""COMPUTED_VALUE"""),8.837700899E9)</f>
        <v>8837700899</v>
      </c>
      <c r="E723" s="99">
        <f>IFERROR(__xludf.DUMMYFUNCTION("""COMPUTED_VALUE"""),45824.0)</f>
        <v>45824</v>
      </c>
      <c r="F723" s="31"/>
      <c r="G723" s="85"/>
      <c r="H723" s="31"/>
      <c r="I723" s="31" t="str">
        <f>IFERROR(__xludf.DUMMYFUNCTION("""COMPUTED_VALUE"""),"Software Engineer")</f>
        <v>Software Engineer</v>
      </c>
      <c r="J723" s="31"/>
      <c r="K723" s="31"/>
      <c r="L723" s="31"/>
      <c r="M723" s="31"/>
      <c r="N723" s="31"/>
    </row>
    <row r="724">
      <c r="A724" s="31">
        <f>IFERROR(__xludf.DUMMYFUNCTION("""COMPUTED_VALUE"""),793.0)</f>
        <v>793</v>
      </c>
      <c r="B724" s="31" t="str">
        <f>IFERROR(__xludf.DUMMYFUNCTION("""COMPUTED_VALUE"""),"Mohim Singla")</f>
        <v>Mohim Singla</v>
      </c>
      <c r="C724" s="31" t="str">
        <f>IFERROR(__xludf.DUMMYFUNCTION("""COMPUTED_VALUE"""),"mohimsingla@gmail.com ")</f>
        <v>mohimsingla@gmail.com </v>
      </c>
      <c r="D724" s="84">
        <f>IFERROR(__xludf.DUMMYFUNCTION("""COMPUTED_VALUE"""),7.814693142E9)</f>
        <v>7814693142</v>
      </c>
      <c r="E724" s="99">
        <f>IFERROR(__xludf.DUMMYFUNCTION("""COMPUTED_VALUE"""),45824.0)</f>
        <v>45824</v>
      </c>
      <c r="F724" s="31"/>
      <c r="G724" s="85"/>
      <c r="H724" s="31"/>
      <c r="I724" s="31" t="str">
        <f>IFERROR(__xludf.DUMMYFUNCTION("""COMPUTED_VALUE"""),"Software Engineer")</f>
        <v>Software Engineer</v>
      </c>
      <c r="J724" s="31"/>
      <c r="K724" s="31"/>
      <c r="L724" s="31"/>
      <c r="M724" s="31"/>
      <c r="N724" s="31"/>
    </row>
    <row r="725">
      <c r="A725" s="31">
        <f>IFERROR(__xludf.DUMMYFUNCTION("""COMPUTED_VALUE"""),794.0)</f>
        <v>794</v>
      </c>
      <c r="B725" s="31" t="str">
        <f>IFERROR(__xludf.DUMMYFUNCTION("""COMPUTED_VALUE"""),"Pranjay Dhamija")</f>
        <v>Pranjay Dhamija</v>
      </c>
      <c r="C725" s="31" t="str">
        <f>IFERROR(__xludf.DUMMYFUNCTION("""COMPUTED_VALUE"""),"pranjaydhamija21@gmail.com")</f>
        <v>pranjaydhamija21@gmail.com</v>
      </c>
      <c r="D725" s="84">
        <f>IFERROR(__xludf.DUMMYFUNCTION("""COMPUTED_VALUE"""),8.556931584E9)</f>
        <v>8556931584</v>
      </c>
      <c r="E725" s="99">
        <f>IFERROR(__xludf.DUMMYFUNCTION("""COMPUTED_VALUE"""),45824.0)</f>
        <v>45824</v>
      </c>
      <c r="F725" s="31"/>
      <c r="G725" s="85"/>
      <c r="H725" s="31"/>
      <c r="I725" s="31" t="str">
        <f>IFERROR(__xludf.DUMMYFUNCTION("""COMPUTED_VALUE"""),"Senior Data Analyst")</f>
        <v>Senior Data Analyst</v>
      </c>
      <c r="J725" s="31"/>
      <c r="K725" s="31"/>
      <c r="L725" s="31"/>
      <c r="M725" s="31"/>
      <c r="N725" s="31"/>
    </row>
    <row r="726">
      <c r="A726" s="31">
        <f>IFERROR(__xludf.DUMMYFUNCTION("""COMPUTED_VALUE"""),795.0)</f>
        <v>795</v>
      </c>
      <c r="B726" s="31" t="str">
        <f>IFERROR(__xludf.DUMMYFUNCTION("""COMPUTED_VALUE"""),"Pooja Lunia")</f>
        <v>Pooja Lunia</v>
      </c>
      <c r="C726" s="31" t="str">
        <f>IFERROR(__xludf.DUMMYFUNCTION("""COMPUTED_VALUE"""),"luniap@gmail.com")</f>
        <v>luniap@gmail.com</v>
      </c>
      <c r="D726" s="84" t="str">
        <f>IFERROR(__xludf.DUMMYFUNCTION("""COMPUTED_VALUE"""),"73035 15566")</f>
        <v>73035 15566</v>
      </c>
      <c r="E726" s="99">
        <f>IFERROR(__xludf.DUMMYFUNCTION("""COMPUTED_VALUE"""),45824.0)</f>
        <v>45824</v>
      </c>
      <c r="F726" s="31"/>
      <c r="G726" s="85"/>
      <c r="H726" s="31"/>
      <c r="I726" s="31" t="str">
        <f>IFERROR(__xludf.DUMMYFUNCTION("""COMPUTED_VALUE"""),"Senior Manager- Consumer Insight")</f>
        <v>Senior Manager- Consumer Insight</v>
      </c>
      <c r="J726" s="31"/>
      <c r="K726" s="31"/>
      <c r="L726" s="31"/>
      <c r="M726" s="31"/>
      <c r="N726" s="31"/>
    </row>
    <row r="727">
      <c r="A727" s="31">
        <f>IFERROR(__xludf.DUMMYFUNCTION("""COMPUTED_VALUE"""),796.0)</f>
        <v>796</v>
      </c>
      <c r="B727" s="31" t="str">
        <f>IFERROR(__xludf.DUMMYFUNCTION("""COMPUTED_VALUE"""),"Mohit Garg")</f>
        <v>Mohit Garg</v>
      </c>
      <c r="C727" s="31" t="str">
        <f>IFERROR(__xludf.DUMMYFUNCTION("""COMPUTED_VALUE"""),"mohitgarg10999@gmail.com")</f>
        <v>mohitgarg10999@gmail.com</v>
      </c>
      <c r="D727" s="84">
        <f>IFERROR(__xludf.DUMMYFUNCTION("""COMPUTED_VALUE"""),8.88232818E9)</f>
        <v>8882328180</v>
      </c>
      <c r="E727" s="99">
        <f>IFERROR(__xludf.DUMMYFUNCTION("""COMPUTED_VALUE"""),45824.0)</f>
        <v>45824</v>
      </c>
      <c r="F727" s="31"/>
      <c r="G727" s="85"/>
      <c r="H727" s="31"/>
      <c r="I727" s="31" t="str">
        <f>IFERROR(__xludf.DUMMYFUNCTION("""COMPUTED_VALUE"""),"Director- Marketing")</f>
        <v>Director- Marketing</v>
      </c>
      <c r="J727" s="31"/>
      <c r="K727" s="31"/>
      <c r="L727" s="31"/>
      <c r="M727" s="31"/>
      <c r="N727" s="31"/>
    </row>
    <row r="728">
      <c r="A728" s="31">
        <f>IFERROR(__xludf.DUMMYFUNCTION("""COMPUTED_VALUE"""),797.0)</f>
        <v>797</v>
      </c>
      <c r="B728" s="31" t="str">
        <f>IFERROR(__xludf.DUMMYFUNCTION("""COMPUTED_VALUE"""),"Srishti Seth")</f>
        <v>Srishti Seth</v>
      </c>
      <c r="C728" s="31" t="str">
        <f>IFERROR(__xludf.DUMMYFUNCTION("""COMPUTED_VALUE"""),"srishtiseth47@gmail.com")</f>
        <v>srishtiseth47@gmail.com</v>
      </c>
      <c r="D728" s="84">
        <f>IFERROR(__xludf.DUMMYFUNCTION("""COMPUTED_VALUE"""),9.560372335E9)</f>
        <v>9560372335</v>
      </c>
      <c r="E728" s="99">
        <f>IFERROR(__xludf.DUMMYFUNCTION("""COMPUTED_VALUE"""),45824.0)</f>
        <v>45824</v>
      </c>
      <c r="F728" s="31"/>
      <c r="G728" s="85"/>
      <c r="H728" s="31"/>
      <c r="I728" s="31" t="str">
        <f>IFERROR(__xludf.DUMMYFUNCTION("""COMPUTED_VALUE"""),"Content Lead &amp; Strategist")</f>
        <v>Content Lead &amp; Strategist</v>
      </c>
      <c r="J728" s="31"/>
      <c r="K728" s="31"/>
      <c r="L728" s="31"/>
      <c r="M728" s="31"/>
      <c r="N728" s="31"/>
    </row>
    <row r="729">
      <c r="A729" s="31">
        <f>IFERROR(__xludf.DUMMYFUNCTION("""COMPUTED_VALUE"""),798.0)</f>
        <v>798</v>
      </c>
      <c r="B729" s="31" t="str">
        <f>IFERROR(__xludf.DUMMYFUNCTION("""COMPUTED_VALUE"""),"	Kushagra Agrawal")</f>
        <v>	Kushagra Agrawal</v>
      </c>
      <c r="C729" s="47" t="str">
        <f>IFERROR(__xludf.DUMMYFUNCTION("""COMPUTED_VALUE"""),"agrawalkush2023@gmail.com")</f>
        <v>agrawalkush2023@gmail.com</v>
      </c>
      <c r="D729" s="84">
        <f>IFERROR(__xludf.DUMMYFUNCTION("""COMPUTED_VALUE"""),8.529708049E9)</f>
        <v>8529708049</v>
      </c>
      <c r="E729" s="99">
        <f>IFERROR(__xludf.DUMMYFUNCTION("""COMPUTED_VALUE"""),45824.0)</f>
        <v>45824</v>
      </c>
      <c r="F729" s="31"/>
      <c r="G729" s="85"/>
      <c r="H729" s="31"/>
      <c r="I729" s="31" t="str">
        <f>IFERROR(__xludf.DUMMYFUNCTION("""COMPUTED_VALUE"""),"Software Engineer")</f>
        <v>Software Engineer</v>
      </c>
      <c r="J729" s="31"/>
      <c r="K729" s="31"/>
      <c r="L729" s="31"/>
      <c r="M729" s="31"/>
      <c r="N729" s="31"/>
    </row>
    <row r="730">
      <c r="A730" s="31">
        <f>IFERROR(__xludf.DUMMYFUNCTION("""COMPUTED_VALUE"""),799.0)</f>
        <v>799</v>
      </c>
      <c r="B730" s="31" t="str">
        <f>IFERROR(__xludf.DUMMYFUNCTION("""COMPUTED_VALUE"""),"Snigdha Tyagi")</f>
        <v>Snigdha Tyagi</v>
      </c>
      <c r="C730" s="31" t="str">
        <f>IFERROR(__xludf.DUMMYFUNCTION("""COMPUTED_VALUE"""),"snigdhatyagi2001@gmail.com ")</f>
        <v>snigdhatyagi2001@gmail.com </v>
      </c>
      <c r="D730" s="84">
        <f>IFERROR(__xludf.DUMMYFUNCTION("""COMPUTED_VALUE"""),7.895804128E9)</f>
        <v>7895804128</v>
      </c>
      <c r="E730" s="99">
        <f>IFERROR(__xludf.DUMMYFUNCTION("""COMPUTED_VALUE"""),45824.0)</f>
        <v>45824</v>
      </c>
      <c r="F730" s="31"/>
      <c r="G730" s="85"/>
      <c r="H730" s="31"/>
      <c r="I730" s="31" t="str">
        <f>IFERROR(__xludf.DUMMYFUNCTION("""COMPUTED_VALUE"""),"Software Engineer")</f>
        <v>Software Engineer</v>
      </c>
      <c r="J730" s="31"/>
      <c r="K730" s="31"/>
      <c r="L730" s="31"/>
      <c r="M730" s="31"/>
      <c r="N730" s="31"/>
    </row>
    <row r="731">
      <c r="A731" s="31">
        <f>IFERROR(__xludf.DUMMYFUNCTION("""COMPUTED_VALUE"""),800.0)</f>
        <v>800</v>
      </c>
      <c r="B731" s="31" t="str">
        <f>IFERROR(__xludf.DUMMYFUNCTION("""COMPUTED_VALUE"""),"Utkarsh Sharma")</f>
        <v>Utkarsh Sharma</v>
      </c>
      <c r="C731" s="31" t="str">
        <f>IFERROR(__xludf.DUMMYFUNCTION("""COMPUTED_VALUE"""),"utkarsharma020@gmail.com")</f>
        <v>utkarsharma020@gmail.com</v>
      </c>
      <c r="D731" s="84">
        <f>IFERROR(__xludf.DUMMYFUNCTION("""COMPUTED_VALUE"""),9.816696116E9)</f>
        <v>9816696116</v>
      </c>
      <c r="E731" s="99">
        <f>IFERROR(__xludf.DUMMYFUNCTION("""COMPUTED_VALUE"""),45825.0)</f>
        <v>45825</v>
      </c>
      <c r="F731" s="31"/>
      <c r="G731" s="85"/>
      <c r="H731" s="31"/>
      <c r="I731" s="31" t="str">
        <f>IFERROR(__xludf.DUMMYFUNCTION("""COMPUTED_VALUE"""),"Associate - SEO")</f>
        <v>Associate - SEO</v>
      </c>
      <c r="J731" s="31"/>
      <c r="K731" s="31"/>
      <c r="L731" s="31"/>
      <c r="M731" s="31"/>
      <c r="N731" s="31"/>
    </row>
    <row r="732">
      <c r="A732" s="31">
        <f>IFERROR(__xludf.DUMMYFUNCTION("""COMPUTED_VALUE"""),801.0)</f>
        <v>801</v>
      </c>
      <c r="B732" s="31" t="str">
        <f>IFERROR(__xludf.DUMMYFUNCTION("""COMPUTED_VALUE"""),"Nisha Yadav")</f>
        <v>Nisha Yadav</v>
      </c>
      <c r="C732" s="31" t="str">
        <f>IFERROR(__xludf.DUMMYFUNCTION("""COMPUTED_VALUE"""),"nishayadav17123@gmail.com")</f>
        <v>nishayadav17123@gmail.com</v>
      </c>
      <c r="D732" s="84">
        <f>IFERROR(__xludf.DUMMYFUNCTION("""COMPUTED_VALUE"""),7.905281157E9)</f>
        <v>7905281157</v>
      </c>
      <c r="E732" s="99">
        <f>IFERROR(__xludf.DUMMYFUNCTION("""COMPUTED_VALUE"""),45826.0)</f>
        <v>45826</v>
      </c>
      <c r="F732" s="31"/>
      <c r="G732" s="85" t="str">
        <f>IFERROR(__xludf.DUMMYFUNCTION("""COMPUTED_VALUE"""),"nishayadav17123@gmail.com")</f>
        <v>nishayadav17123@gmail.com</v>
      </c>
      <c r="H732" s="31"/>
      <c r="I732" s="31" t="str">
        <f>IFERROR(__xludf.DUMMYFUNCTION("""COMPUTED_VALUE"""),"Software Development Engineer in Test")</f>
        <v>Software Development Engineer in Test</v>
      </c>
      <c r="J732" s="31" t="str">
        <f>IFERROR(__xludf.DUMMYFUNCTION("""COMPUTED_VALUE"""),"Tech")</f>
        <v>Tech</v>
      </c>
      <c r="K732" s="31" t="str">
        <f>IFERROR(__xludf.DUMMYFUNCTION("""COMPUTED_VALUE"""),"Sahil Puri")</f>
        <v>Sahil Puri</v>
      </c>
      <c r="L732" s="31"/>
      <c r="M732" s="31"/>
      <c r="N732" s="31"/>
    </row>
    <row r="733">
      <c r="A733" s="31">
        <f>IFERROR(__xludf.DUMMYFUNCTION("""COMPUTED_VALUE"""),802.0)</f>
        <v>802</v>
      </c>
      <c r="B733" s="31" t="str">
        <f>IFERROR(__xludf.DUMMYFUNCTION("""COMPUTED_VALUE"""),"Sushmita Murlidhar Kannadi")</f>
        <v>Sushmita Murlidhar Kannadi</v>
      </c>
      <c r="C733" s="31" t="str">
        <f>IFERROR(__xludf.DUMMYFUNCTION("""COMPUTED_VALUE"""),"Jaysushmita1519@gmail.com")</f>
        <v>Jaysushmita1519@gmail.com</v>
      </c>
      <c r="D733" s="84">
        <f>IFERROR(__xludf.DUMMYFUNCTION("""COMPUTED_VALUE"""),9.620902465E9)</f>
        <v>9620902465</v>
      </c>
      <c r="E733" s="99">
        <f>IFERROR(__xludf.DUMMYFUNCTION("""COMPUTED_VALUE"""),45826.0)</f>
        <v>45826</v>
      </c>
      <c r="F733" s="31"/>
      <c r="G733" s="85" t="str">
        <f>IFERROR(__xludf.DUMMYFUNCTION("""COMPUTED_VALUE"""),"Jaysushmita1519@gmail.com")</f>
        <v>Jaysushmita1519@gmail.com</v>
      </c>
      <c r="H733" s="31"/>
      <c r="I733" s="31" t="str">
        <f>IFERROR(__xludf.DUMMYFUNCTION("""COMPUTED_VALUE"""),"Relationship Manager")</f>
        <v>Relationship Manager</v>
      </c>
      <c r="J733" s="31" t="str">
        <f>IFERROR(__xludf.DUMMYFUNCTION("""COMPUTED_VALUE"""),"CRM")</f>
        <v>CRM</v>
      </c>
      <c r="K733" s="31" t="str">
        <f>IFERROR(__xludf.DUMMYFUNCTION("""COMPUTED_VALUE"""),"Shivam Bali")</f>
        <v>Shivam Bali</v>
      </c>
      <c r="L733" s="31"/>
      <c r="M733" s="31"/>
      <c r="N733" s="31"/>
    </row>
    <row r="734">
      <c r="A734" s="31">
        <f>IFERROR(__xludf.DUMMYFUNCTION("""COMPUTED_VALUE"""),803.0)</f>
        <v>803</v>
      </c>
      <c r="B734" s="31" t="str">
        <f>IFERROR(__xludf.DUMMYFUNCTION("""COMPUTED_VALUE"""),"Varun Sahu")</f>
        <v>Varun Sahu</v>
      </c>
      <c r="C734" s="31" t="str">
        <f>IFERROR(__xludf.DUMMYFUNCTION("""COMPUTED_VALUE"""),"varunsahu29.vs@gmail.com")</f>
        <v>varunsahu29.vs@gmail.com</v>
      </c>
      <c r="D734" s="84">
        <f>IFERROR(__xludf.DUMMYFUNCTION("""COMPUTED_VALUE"""),9.425161255E9)</f>
        <v>9425161255</v>
      </c>
      <c r="E734" s="99">
        <f>IFERROR(__xludf.DUMMYFUNCTION("""COMPUTED_VALUE"""),45826.0)</f>
        <v>45826</v>
      </c>
      <c r="F734" s="31"/>
      <c r="G734" s="85" t="str">
        <f>IFERROR(__xludf.DUMMYFUNCTION("""COMPUTED_VALUE"""),"varunsahu29.vs@gmail.com")</f>
        <v>varunsahu29.vs@gmail.com</v>
      </c>
      <c r="H734" s="31"/>
      <c r="I734" s="31" t="str">
        <f>IFERROR(__xludf.DUMMYFUNCTION("""COMPUTED_VALUE"""),"Software Engineer")</f>
        <v>Software Engineer</v>
      </c>
      <c r="J734" s="31" t="str">
        <f>IFERROR(__xludf.DUMMYFUNCTION("""COMPUTED_VALUE"""),"Tech")</f>
        <v>Tech</v>
      </c>
      <c r="K734" s="31" t="str">
        <f>IFERROR(__xludf.DUMMYFUNCTION("""COMPUTED_VALUE"""),"Abhishek Gupta")</f>
        <v>Abhishek Gupta</v>
      </c>
      <c r="L734" s="31"/>
      <c r="M734" s="31"/>
      <c r="N734" s="31"/>
    </row>
    <row r="735">
      <c r="A735" s="31">
        <f>IFERROR(__xludf.DUMMYFUNCTION("""COMPUTED_VALUE"""),804.0)</f>
        <v>804</v>
      </c>
      <c r="B735" s="31" t="str">
        <f>IFERROR(__xludf.DUMMYFUNCTION("""COMPUTED_VALUE"""),"Aman Kumar Srivastav")</f>
        <v>Aman Kumar Srivastav</v>
      </c>
      <c r="C735" s="31" t="str">
        <f>IFERROR(__xludf.DUMMYFUNCTION("""COMPUTED_VALUE"""),"amansri29@gmail.com")</f>
        <v>amansri29@gmail.com</v>
      </c>
      <c r="D735" s="84">
        <f>IFERROR(__xludf.DUMMYFUNCTION("""COMPUTED_VALUE"""),8.707324037E9)</f>
        <v>8707324037</v>
      </c>
      <c r="E735" s="99">
        <f>IFERROR(__xludf.DUMMYFUNCTION("""COMPUTED_VALUE"""),45827.0)</f>
        <v>45827</v>
      </c>
      <c r="F735" s="31"/>
      <c r="G735" s="85" t="str">
        <f>IFERROR(__xludf.DUMMYFUNCTION("""COMPUTED_VALUE"""),"amansri29@gmail.com")</f>
        <v>amansri29@gmail.com</v>
      </c>
      <c r="H735" s="31"/>
      <c r="I735" s="31" t="str">
        <f>IFERROR(__xludf.DUMMYFUNCTION("""COMPUTED_VALUE"""),"Technical Lead")</f>
        <v>Technical Lead</v>
      </c>
      <c r="J735" s="31" t="str">
        <f>IFERROR(__xludf.DUMMYFUNCTION("""COMPUTED_VALUE"""),"Tech")</f>
        <v>Tech</v>
      </c>
      <c r="K735" s="31" t="str">
        <f>IFERROR(__xludf.DUMMYFUNCTION("""COMPUTED_VALUE"""),"Abhishek Gupta")</f>
        <v>Abhishek Gupta</v>
      </c>
      <c r="L735" s="31"/>
      <c r="M735" s="31"/>
      <c r="N735" s="31"/>
    </row>
    <row r="736">
      <c r="A736" s="31">
        <f>IFERROR(__xludf.DUMMYFUNCTION("""COMPUTED_VALUE"""),805.0)</f>
        <v>805</v>
      </c>
      <c r="B736" s="31" t="str">
        <f>IFERROR(__xludf.DUMMYFUNCTION("""COMPUTED_VALUE"""),"Neha Jain")</f>
        <v>Neha Jain</v>
      </c>
      <c r="C736" s="47" t="str">
        <f>IFERROR(__xludf.DUMMYFUNCTION("""COMPUTED_VALUE"""),"nj1404@gmail.com")</f>
        <v>nj1404@gmail.com</v>
      </c>
      <c r="D736" s="84">
        <f>IFERROR(__xludf.DUMMYFUNCTION("""COMPUTED_VALUE"""),9.71526573352E11)</f>
        <v>971526573352</v>
      </c>
      <c r="E736" s="99">
        <f>IFERROR(__xludf.DUMMYFUNCTION("""COMPUTED_VALUE"""),45827.0)</f>
        <v>45827</v>
      </c>
      <c r="F736" s="31"/>
      <c r="G736" s="85" t="str">
        <f>IFERROR(__xludf.DUMMYFUNCTION("""COMPUTED_VALUE"""),"Sairam Mushyam")</f>
        <v>Sairam Mushyam</v>
      </c>
      <c r="H736" s="31" t="str">
        <f>IFERROR(__xludf.DUMMYFUNCTION("""COMPUTED_VALUE"""),"Direct")</f>
        <v>Direct</v>
      </c>
      <c r="I736" s="31" t="str">
        <f>IFERROR(__xludf.DUMMYFUNCTION("""COMPUTED_VALUE"""),"Associate Director- Analytics")</f>
        <v>Associate Director- Analytics</v>
      </c>
      <c r="J736" s="31" t="str">
        <f>IFERROR(__xludf.DUMMYFUNCTION("""COMPUTED_VALUE"""),"Data Analytics")</f>
        <v>Data Analytics</v>
      </c>
      <c r="K736" s="31" t="str">
        <f>IFERROR(__xludf.DUMMYFUNCTION("""COMPUTED_VALUE"""),"Sairam Mushyam")</f>
        <v>Sairam Mushyam</v>
      </c>
      <c r="L736" s="31"/>
      <c r="M736" s="31"/>
      <c r="N736" s="31"/>
    </row>
    <row r="737">
      <c r="A737" s="31">
        <f>IFERROR(__xludf.DUMMYFUNCTION("""COMPUTED_VALUE"""),806.0)</f>
        <v>806</v>
      </c>
      <c r="B737" s="31" t="str">
        <f>IFERROR(__xludf.DUMMYFUNCTION("""COMPUTED_VALUE"""),"Harshil Dhawan")</f>
        <v>Harshil Dhawan</v>
      </c>
      <c r="C737" s="31" t="str">
        <f>IFERROR(__xludf.DUMMYFUNCTION("""COMPUTED_VALUE"""),"harshildhawan92@gmail.com ")</f>
        <v>harshildhawan92@gmail.com </v>
      </c>
      <c r="D737" s="84">
        <f>IFERROR(__xludf.DUMMYFUNCTION("""COMPUTED_VALUE"""),7.045656488E9)</f>
        <v>7045656488</v>
      </c>
      <c r="E737" s="99">
        <f>IFERROR(__xludf.DUMMYFUNCTION("""COMPUTED_VALUE"""),45826.0)</f>
        <v>45826</v>
      </c>
      <c r="F737" s="31"/>
      <c r="G737" s="85"/>
      <c r="H737" s="31"/>
      <c r="I737" s="31" t="str">
        <f>IFERROR(__xludf.DUMMYFUNCTION("""COMPUTED_VALUE"""),"Creative Director")</f>
        <v>Creative Director</v>
      </c>
      <c r="J737" s="31" t="str">
        <f>IFERROR(__xludf.DUMMYFUNCTION("""COMPUTED_VALUE"""),"Brand Marketing")</f>
        <v>Brand Marketing</v>
      </c>
      <c r="K737" s="31" t="str">
        <f>IFERROR(__xludf.DUMMYFUNCTION("""COMPUTED_VALUE"""),"Katha")</f>
        <v>Katha</v>
      </c>
      <c r="L737" s="31"/>
      <c r="M737" s="31"/>
      <c r="N737" s="31"/>
    </row>
    <row r="738">
      <c r="A738" s="31">
        <f>IFERROR(__xludf.DUMMYFUNCTION("""COMPUTED_VALUE"""),807.0)</f>
        <v>807</v>
      </c>
      <c r="B738" s="31" t="str">
        <f>IFERROR(__xludf.DUMMYFUNCTION("""COMPUTED_VALUE"""),"Bharat Gupta")</f>
        <v>Bharat Gupta</v>
      </c>
      <c r="C738" s="47" t="str">
        <f>IFERROR(__xludf.DUMMYFUNCTION("""COMPUTED_VALUE"""),"bharatgupta68823@gmail.com")</f>
        <v>bharatgupta68823@gmail.com</v>
      </c>
      <c r="D738" s="84">
        <f>IFERROR(__xludf.DUMMYFUNCTION("""COMPUTED_VALUE"""),6.377898557E9)</f>
        <v>6377898557</v>
      </c>
      <c r="E738" s="99">
        <f>IFERROR(__xludf.DUMMYFUNCTION("""COMPUTED_VALUE"""),45831.0)</f>
        <v>45831</v>
      </c>
      <c r="F738" s="31"/>
      <c r="G738" s="85"/>
      <c r="H738" s="31"/>
      <c r="I738" s="31" t="str">
        <f>IFERROR(__xludf.DUMMYFUNCTION("""COMPUTED_VALUE"""),"Software Engineer")</f>
        <v>Software Engineer</v>
      </c>
      <c r="J738" s="31" t="str">
        <f>IFERROR(__xludf.DUMMYFUNCTION("""COMPUTED_VALUE"""),"Tech")</f>
        <v>Tech</v>
      </c>
      <c r="K738" s="31" t="str">
        <f>IFERROR(__xludf.DUMMYFUNCTION("""COMPUTED_VALUE"""),"Abhishek Gupta")</f>
        <v>Abhishek Gupta</v>
      </c>
      <c r="L738" s="31"/>
      <c r="M738" s="31"/>
      <c r="N738" s="31"/>
    </row>
    <row r="739">
      <c r="A739" s="31">
        <f>IFERROR(__xludf.DUMMYFUNCTION("""COMPUTED_VALUE"""),808.0)</f>
        <v>808</v>
      </c>
      <c r="B739" s="31" t="str">
        <f>IFERROR(__xludf.DUMMYFUNCTION("""COMPUTED_VALUE"""),"Arti Mangla")</f>
        <v>Arti Mangla</v>
      </c>
      <c r="C739" s="31" t="str">
        <f>IFERROR(__xludf.DUMMYFUNCTION("""COMPUTED_VALUE"""),"artimangla2000@gmail.com")</f>
        <v>artimangla2000@gmail.com</v>
      </c>
      <c r="D739" s="84">
        <f>IFERROR(__xludf.DUMMYFUNCTION("""COMPUTED_VALUE"""),8.307508841E9)</f>
        <v>8307508841</v>
      </c>
      <c r="E739" s="99">
        <f>IFERROR(__xludf.DUMMYFUNCTION("""COMPUTED_VALUE"""),45831.0)</f>
        <v>45831</v>
      </c>
      <c r="F739" s="31"/>
      <c r="G739" s="85"/>
      <c r="H739" s="31"/>
      <c r="I739" s="31" t="str">
        <f>IFERROR(__xludf.DUMMYFUNCTION("""COMPUTED_VALUE"""),"Assistant Manager- Finance")</f>
        <v>Assistant Manager- Finance</v>
      </c>
      <c r="J739" s="31" t="str">
        <f>IFERROR(__xludf.DUMMYFUNCTION("""COMPUTED_VALUE"""),"Finance")</f>
        <v>Finance</v>
      </c>
      <c r="K739" s="31" t="str">
        <f>IFERROR(__xludf.DUMMYFUNCTION("""COMPUTED_VALUE"""),"Siddharth monga")</f>
        <v>Siddharth monga</v>
      </c>
      <c r="L739" s="31"/>
      <c r="M739" s="31"/>
      <c r="N739" s="31"/>
    </row>
    <row r="740">
      <c r="A740" s="31">
        <f>IFERROR(__xludf.DUMMYFUNCTION("""COMPUTED_VALUE"""),809.0)</f>
        <v>809</v>
      </c>
      <c r="B740" s="31" t="str">
        <f>IFERROR(__xludf.DUMMYFUNCTION("""COMPUTED_VALUE"""),"Cheshtha Sharma")</f>
        <v>Cheshtha Sharma</v>
      </c>
      <c r="C740" s="31" t="str">
        <f>IFERROR(__xludf.DUMMYFUNCTION("""COMPUTED_VALUE"""),"sharmacheshtha98@gmail.com")</f>
        <v>sharmacheshtha98@gmail.com</v>
      </c>
      <c r="D740" s="84">
        <f>IFERROR(__xludf.DUMMYFUNCTION("""COMPUTED_VALUE"""),8.920697235E9)</f>
        <v>8920697235</v>
      </c>
      <c r="E740" s="99">
        <f>IFERROR(__xludf.DUMMYFUNCTION("""COMPUTED_VALUE"""),45832.0)</f>
        <v>45832</v>
      </c>
      <c r="F740" s="31"/>
      <c r="G740" s="85"/>
      <c r="H740" s="31"/>
      <c r="I740" s="31" t="str">
        <f>IFERROR(__xludf.DUMMYFUNCTION("""COMPUTED_VALUE"""),"Associate - Talent Acquisition")</f>
        <v>Associate - Talent Acquisition</v>
      </c>
      <c r="J740" s="31" t="str">
        <f>IFERROR(__xludf.DUMMYFUNCTION("""COMPUTED_VALUE"""),"Talent Acquisition - HR")</f>
        <v>Talent Acquisition - HR</v>
      </c>
      <c r="K740" s="31" t="str">
        <f>IFERROR(__xludf.DUMMYFUNCTION("""COMPUTED_VALUE"""),"Sangeetha")</f>
        <v>Sangeetha</v>
      </c>
      <c r="L740" s="31"/>
      <c r="M740" s="31"/>
      <c r="N740" s="31"/>
    </row>
    <row r="741">
      <c r="A741" s="31">
        <f>IFERROR(__xludf.DUMMYFUNCTION("""COMPUTED_VALUE"""),810.0)</f>
        <v>810</v>
      </c>
      <c r="B741" s="31" t="str">
        <f>IFERROR(__xludf.DUMMYFUNCTION("""COMPUTED_VALUE"""),"Abhisar Gautam")</f>
        <v>Abhisar Gautam</v>
      </c>
      <c r="C741" s="31" t="str">
        <f>IFERROR(__xludf.DUMMYFUNCTION("""COMPUTED_VALUE"""),"abhisar.gautam1712@gmail.com")</f>
        <v>abhisar.gautam1712@gmail.com</v>
      </c>
      <c r="D741" s="84">
        <f>IFERROR(__xludf.DUMMYFUNCTION("""COMPUTED_VALUE"""),9.818721712E9)</f>
        <v>9818721712</v>
      </c>
      <c r="E741" s="99">
        <f>IFERROR(__xludf.DUMMYFUNCTION("""COMPUTED_VALUE"""),45832.0)</f>
        <v>45832</v>
      </c>
      <c r="F741" s="31"/>
      <c r="G741" s="85"/>
      <c r="H741" s="31"/>
      <c r="I741" s="31" t="str">
        <f>IFERROR(__xludf.DUMMYFUNCTION("""COMPUTED_VALUE"""),"Software Engineer")</f>
        <v>Software Engineer</v>
      </c>
      <c r="J741" s="31" t="str">
        <f>IFERROR(__xludf.DUMMYFUNCTION("""COMPUTED_VALUE"""),"Tech")</f>
        <v>Tech</v>
      </c>
      <c r="K741" s="31" t="str">
        <f>IFERROR(__xludf.DUMMYFUNCTION("""COMPUTED_VALUE"""),"Abhishek Gupta")</f>
        <v>Abhishek Gupta</v>
      </c>
      <c r="L741" s="31"/>
      <c r="M741" s="31"/>
      <c r="N741" s="31"/>
    </row>
    <row r="742">
      <c r="A742" s="31">
        <f>IFERROR(__xludf.DUMMYFUNCTION("""COMPUTED_VALUE"""),811.0)</f>
        <v>811</v>
      </c>
      <c r="B742" s="31" t="str">
        <f>IFERROR(__xludf.DUMMYFUNCTION("""COMPUTED_VALUE"""),"Rishabh Baid")</f>
        <v>Rishabh Baid</v>
      </c>
      <c r="C742" s="31" t="str">
        <f>IFERROR(__xludf.DUMMYFUNCTION("""COMPUTED_VALUE"""),"rishabh41095@gmail.com")</f>
        <v>rishabh41095@gmail.com</v>
      </c>
      <c r="D742" s="84" t="str">
        <f>IFERROR(__xludf.DUMMYFUNCTION("""COMPUTED_VALUE"""),"9650410727,")</f>
        <v>9650410727,</v>
      </c>
      <c r="E742" s="99">
        <f>IFERROR(__xludf.DUMMYFUNCTION("""COMPUTED_VALUE"""),45833.0)</f>
        <v>45833</v>
      </c>
      <c r="F742" s="31"/>
      <c r="G742" s="85"/>
      <c r="H742" s="31"/>
      <c r="I742" s="31" t="str">
        <f>IFERROR(__xludf.DUMMYFUNCTION("""COMPUTED_VALUE"""),"Manager - Strategy")</f>
        <v>Manager - Strategy</v>
      </c>
      <c r="J742" s="31" t="str">
        <f>IFERROR(__xludf.DUMMYFUNCTION("""COMPUTED_VALUE"""),"Strategy")</f>
        <v>Strategy</v>
      </c>
      <c r="K742" s="31" t="str">
        <f>IFERROR(__xludf.DUMMYFUNCTION("""COMPUTED_VALUE"""),"Ishank mehta")</f>
        <v>Ishank mehta</v>
      </c>
      <c r="L742" s="31"/>
      <c r="M742" s="31"/>
      <c r="N742" s="31"/>
    </row>
    <row r="743">
      <c r="A743" s="31">
        <f>IFERROR(__xludf.DUMMYFUNCTION("""COMPUTED_VALUE"""),812.0)</f>
        <v>812</v>
      </c>
      <c r="B743" s="31" t="str">
        <f>IFERROR(__xludf.DUMMYFUNCTION("""COMPUTED_VALUE"""),"Samir Halder")</f>
        <v>Samir Halder</v>
      </c>
      <c r="C743" s="31" t="str">
        <f>IFERROR(__xludf.DUMMYFUNCTION("""COMPUTED_VALUE"""),"haldersamir5447@gmail.com")</f>
        <v>haldersamir5447@gmail.com</v>
      </c>
      <c r="D743" s="84">
        <f>IFERROR(__xludf.DUMMYFUNCTION("""COMPUTED_VALUE"""),8.800929377E9)</f>
        <v>8800929377</v>
      </c>
      <c r="E743" s="99">
        <f>IFERROR(__xludf.DUMMYFUNCTION("""COMPUTED_VALUE"""),45833.0)</f>
        <v>45833</v>
      </c>
      <c r="F743" s="31"/>
      <c r="G743" s="85"/>
      <c r="H743" s="31"/>
      <c r="I743" s="31" t="str">
        <f>IFERROR(__xludf.DUMMYFUNCTION("""COMPUTED_VALUE"""),"Video Editor ")</f>
        <v>Video Editor </v>
      </c>
      <c r="J743" s="31"/>
      <c r="K743" s="31" t="str">
        <f>IFERROR(__xludf.DUMMYFUNCTION("""COMPUTED_VALUE"""),"Rijul Sehgal")</f>
        <v>Rijul Sehgal</v>
      </c>
      <c r="L743" s="31"/>
      <c r="M743" s="31"/>
      <c r="N743" s="31"/>
    </row>
    <row r="744">
      <c r="A744" s="31">
        <f>IFERROR(__xludf.DUMMYFUNCTION("""COMPUTED_VALUE"""),813.0)</f>
        <v>813</v>
      </c>
      <c r="B744" s="31" t="str">
        <f>IFERROR(__xludf.DUMMYFUNCTION("""COMPUTED_VALUE"""),"Gaurav Singh")</f>
        <v>Gaurav Singh</v>
      </c>
      <c r="C744" s="31" t="str">
        <f>IFERROR(__xludf.DUMMYFUNCTION("""COMPUTED_VALUE"""),"  singhgaurav8898@gmail.com")</f>
        <v>  singhgaurav8898@gmail.com</v>
      </c>
      <c r="D744" s="84">
        <f>IFERROR(__xludf.DUMMYFUNCTION("""COMPUTED_VALUE"""),8.860553986E9)</f>
        <v>8860553986</v>
      </c>
      <c r="E744" s="99">
        <f>IFERROR(__xludf.DUMMYFUNCTION("""COMPUTED_VALUE"""),45833.0)</f>
        <v>45833</v>
      </c>
      <c r="F744" s="31"/>
      <c r="G744" s="85"/>
      <c r="H744" s="31"/>
      <c r="I744" s="31" t="str">
        <f>IFERROR(__xludf.DUMMYFUNCTION("""COMPUTED_VALUE"""),"Associate - Talent Acquisition")</f>
        <v>Associate - Talent Acquisition</v>
      </c>
      <c r="J744" s="31" t="str">
        <f>IFERROR(__xludf.DUMMYFUNCTION("""COMPUTED_VALUE"""),"Talent Acquisition - HR")</f>
        <v>Talent Acquisition - HR</v>
      </c>
      <c r="K744" s="31" t="str">
        <f>IFERROR(__xludf.DUMMYFUNCTION("""COMPUTED_VALUE"""),"Sangeetha")</f>
        <v>Sangeetha</v>
      </c>
      <c r="L744" s="31"/>
      <c r="M744" s="31"/>
      <c r="N744" s="31"/>
    </row>
    <row r="745">
      <c r="A745" s="31">
        <f>IFERROR(__xludf.DUMMYFUNCTION("""COMPUTED_VALUE"""),814.0)</f>
        <v>814</v>
      </c>
      <c r="B745" s="31" t="str">
        <f>IFERROR(__xludf.DUMMYFUNCTION("""COMPUTED_VALUE"""),"Animesh Jain")</f>
        <v>Animesh Jain</v>
      </c>
      <c r="C745" s="31" t="str">
        <f>IFERROR(__xludf.DUMMYFUNCTION("""COMPUTED_VALUE"""),"animeshjain0706@gmail.com")</f>
        <v>animeshjain0706@gmail.com</v>
      </c>
      <c r="D745" s="84">
        <f>IFERROR(__xludf.DUMMYFUNCTION("""COMPUTED_VALUE"""),8.058777117E9)</f>
        <v>8058777117</v>
      </c>
      <c r="E745" s="99">
        <f>IFERROR(__xludf.DUMMYFUNCTION("""COMPUTED_VALUE"""),45839.0)</f>
        <v>45839</v>
      </c>
      <c r="F745" s="31"/>
      <c r="G745" s="85"/>
      <c r="H745" s="31"/>
      <c r="I745" s="31" t="str">
        <f>IFERROR(__xludf.DUMMYFUNCTION("""COMPUTED_VALUE"""),"Software Engineer")</f>
        <v>Software Engineer</v>
      </c>
      <c r="J745" s="31" t="str">
        <f>IFERROR(__xludf.DUMMYFUNCTION("""COMPUTED_VALUE"""),"Technology")</f>
        <v>Technology</v>
      </c>
      <c r="K745" s="31" t="str">
        <f>IFERROR(__xludf.DUMMYFUNCTION("""COMPUTED_VALUE"""),"Abhishek Gupta")</f>
        <v>Abhishek Gupta</v>
      </c>
      <c r="L745" s="31"/>
      <c r="M745" s="31"/>
      <c r="N745" s="31"/>
    </row>
    <row r="746">
      <c r="A746" s="31">
        <f>IFERROR(__xludf.DUMMYFUNCTION("""COMPUTED_VALUE"""),815.0)</f>
        <v>815</v>
      </c>
      <c r="B746" s="31" t="str">
        <f>IFERROR(__xludf.DUMMYFUNCTION("""COMPUTED_VALUE"""),"Kinjal Sharma")</f>
        <v>Kinjal Sharma</v>
      </c>
      <c r="C746" s="31" t="str">
        <f>IFERROR(__xludf.DUMMYFUNCTION("""COMPUTED_VALUE"""),"kinjal10oct@gmail.com")</f>
        <v>kinjal10oct@gmail.com</v>
      </c>
      <c r="D746" s="84">
        <f>IFERROR(__xludf.DUMMYFUNCTION("""COMPUTED_VALUE"""),6.306812055E9)</f>
        <v>6306812055</v>
      </c>
      <c r="E746" s="99">
        <f>IFERROR(__xludf.DUMMYFUNCTION("""COMPUTED_VALUE"""),45839.0)</f>
        <v>45839</v>
      </c>
      <c r="F746" s="31"/>
      <c r="G746" s="85"/>
      <c r="H746" s="31"/>
      <c r="I746" s="31" t="str">
        <f>IFERROR(__xludf.DUMMYFUNCTION("""COMPUTED_VALUE"""),"Associate - Content Writer ")</f>
        <v>Associate - Content Writer </v>
      </c>
      <c r="J746" s="31" t="str">
        <f>IFERROR(__xludf.DUMMYFUNCTION("""COMPUTED_VALUE"""),"Digital marketing")</f>
        <v>Digital marketing</v>
      </c>
      <c r="K746" s="31" t="str">
        <f>IFERROR(__xludf.DUMMYFUNCTION("""COMPUTED_VALUE"""),"Saumil Shah")</f>
        <v>Saumil Shah</v>
      </c>
      <c r="L746" s="31"/>
      <c r="M746" s="31"/>
      <c r="N746" s="31"/>
    </row>
    <row r="747">
      <c r="A747" s="31">
        <f>IFERROR(__xludf.DUMMYFUNCTION("""COMPUTED_VALUE"""),816.0)</f>
        <v>816</v>
      </c>
      <c r="B747" s="31" t="str">
        <f>IFERROR(__xludf.DUMMYFUNCTION("""COMPUTED_VALUE"""),"Pratham Bansal")</f>
        <v>Pratham Bansal</v>
      </c>
      <c r="C747" s="31" t="str">
        <f>IFERROR(__xludf.DUMMYFUNCTION("""COMPUTED_VALUE""")," bansalpratham8383@gmail.com")</f>
        <v> bansalpratham8383@gmail.com</v>
      </c>
      <c r="D747" s="84">
        <f>IFERROR(__xludf.DUMMYFUNCTION("""COMPUTED_VALUE"""),8.38381803E9)</f>
        <v>8383818030</v>
      </c>
      <c r="E747" s="99">
        <f>IFERROR(__xludf.DUMMYFUNCTION("""COMPUTED_VALUE"""),45839.0)</f>
        <v>45839</v>
      </c>
      <c r="F747" s="31"/>
      <c r="G747" s="85" t="str">
        <f>IFERROR(__xludf.DUMMYFUNCTION("""COMPUTED_VALUE""")," bansalpratham8383@gmail.com")</f>
        <v> bansalpratham8383@gmail.com</v>
      </c>
      <c r="H747" s="31"/>
      <c r="I747" s="31" t="str">
        <f>IFERROR(__xludf.DUMMYFUNCTION("""COMPUTED_VALUE"""),"Software Engineer")</f>
        <v>Software Engineer</v>
      </c>
      <c r="J747" s="31" t="str">
        <f>IFERROR(__xludf.DUMMYFUNCTION("""COMPUTED_VALUE"""),"Technology")</f>
        <v>Technology</v>
      </c>
      <c r="K747" s="31" t="str">
        <f>IFERROR(__xludf.DUMMYFUNCTION("""COMPUTED_VALUE"""),"Abhishek Gupta")</f>
        <v>Abhishek Gupta</v>
      </c>
      <c r="L747" s="31"/>
      <c r="M747" s="31"/>
      <c r="N747" s="31"/>
    </row>
    <row r="748">
      <c r="A748" s="31">
        <f>IFERROR(__xludf.DUMMYFUNCTION("""COMPUTED_VALUE"""),817.0)</f>
        <v>817</v>
      </c>
      <c r="B748" s="31" t="str">
        <f>IFERROR(__xludf.DUMMYFUNCTION("""COMPUTED_VALUE"""),"Arpan Garg")</f>
        <v>Arpan Garg</v>
      </c>
      <c r="C748" s="31" t="str">
        <f>IFERROR(__xludf.DUMMYFUNCTION("""COMPUTED_VALUE"""),"work.arpangarg@gmail.com")</f>
        <v>work.arpangarg@gmail.com</v>
      </c>
      <c r="D748" s="84">
        <f>IFERROR(__xludf.DUMMYFUNCTION("""COMPUTED_VALUE"""),7.08266058E9)</f>
        <v>7082660580</v>
      </c>
      <c r="E748" s="99">
        <f>IFERROR(__xludf.DUMMYFUNCTION("""COMPUTED_VALUE"""),45839.0)</f>
        <v>45839</v>
      </c>
      <c r="F748" s="31"/>
      <c r="G748" s="85"/>
      <c r="H748" s="31"/>
      <c r="I748" s="31" t="str">
        <f>IFERROR(__xludf.DUMMYFUNCTION("""COMPUTED_VALUE"""),"Software Engineer")</f>
        <v>Software Engineer</v>
      </c>
      <c r="J748" s="31" t="str">
        <f>IFERROR(__xludf.DUMMYFUNCTION("""COMPUTED_VALUE"""),"Technology")</f>
        <v>Technology</v>
      </c>
      <c r="K748" s="31" t="str">
        <f>IFERROR(__xludf.DUMMYFUNCTION("""COMPUTED_VALUE"""),"Abhishek Gupta")</f>
        <v>Abhishek Gupta</v>
      </c>
      <c r="L748" s="31"/>
      <c r="M748" s="31"/>
      <c r="N748" s="31"/>
    </row>
    <row r="749">
      <c r="A749" s="31">
        <f>IFERROR(__xludf.DUMMYFUNCTION("""COMPUTED_VALUE"""),818.0)</f>
        <v>818</v>
      </c>
      <c r="B749" s="31" t="str">
        <f>IFERROR(__xludf.DUMMYFUNCTION("""COMPUTED_VALUE"""),"Abhishek Rawat")</f>
        <v>Abhishek Rawat</v>
      </c>
      <c r="C749" s="31" t="str">
        <f>IFERROR(__xludf.DUMMYFUNCTION("""COMPUTED_VALUE"""),"abhiraw01995@gmail.com")</f>
        <v>abhiraw01995@gmail.com</v>
      </c>
      <c r="D749" s="84">
        <f>IFERROR(__xludf.DUMMYFUNCTION("""COMPUTED_VALUE"""),9.627856216E9)</f>
        <v>9627856216</v>
      </c>
      <c r="E749" s="99">
        <f>IFERROR(__xludf.DUMMYFUNCTION("""COMPUTED_VALUE"""),45839.0)</f>
        <v>45839</v>
      </c>
      <c r="F749" s="31"/>
      <c r="G749" s="85"/>
      <c r="H749" s="31"/>
      <c r="I749" s="31" t="str">
        <f>IFERROR(__xludf.DUMMYFUNCTION("""COMPUTED_VALUE"""),"Senior Software Engineer")</f>
        <v>Senior Software Engineer</v>
      </c>
      <c r="J749" s="31"/>
      <c r="K749" s="31"/>
      <c r="L749" s="31"/>
      <c r="M749" s="31"/>
      <c r="N749" s="31"/>
    </row>
    <row r="750">
      <c r="A750" s="31">
        <f>IFERROR(__xludf.DUMMYFUNCTION("""COMPUTED_VALUE"""),819.0)</f>
        <v>819</v>
      </c>
      <c r="B750" s="31" t="str">
        <f>IFERROR(__xludf.DUMMYFUNCTION("""COMPUTED_VALUE"""),"Lakshya Gupta")</f>
        <v>Lakshya Gupta</v>
      </c>
      <c r="C750" s="31" t="str">
        <f>IFERROR(__xludf.DUMMYFUNCTION("""COMPUTED_VALUE"""),"lakshyagupta432@gmail.com")</f>
        <v>lakshyagupta432@gmail.com</v>
      </c>
      <c r="D750" s="84">
        <f>IFERROR(__xludf.DUMMYFUNCTION("""COMPUTED_VALUE"""),9.91114076E9)</f>
        <v>9911140760</v>
      </c>
      <c r="E750" s="99">
        <f>IFERROR(__xludf.DUMMYFUNCTION("""COMPUTED_VALUE"""),45839.0)</f>
        <v>45839</v>
      </c>
      <c r="F750" s="31"/>
      <c r="G750" s="85" t="str">
        <f>IFERROR(__xludf.DUMMYFUNCTION("""COMPUTED_VALUE"""),"Rahul Sharma ")</f>
        <v>Rahul Sharma </v>
      </c>
      <c r="H750" s="31"/>
      <c r="I750" s="31" t="str">
        <f>IFERROR(__xludf.DUMMYFUNCTION("""COMPUTED_VALUE"""),"Software Engineer")</f>
        <v>Software Engineer</v>
      </c>
      <c r="J750" s="31" t="str">
        <f>IFERROR(__xludf.DUMMYFUNCTION("""COMPUTED_VALUE"""),"Technology")</f>
        <v>Technology</v>
      </c>
      <c r="K750" s="31" t="str">
        <f>IFERROR(__xludf.DUMMYFUNCTION("""COMPUTED_VALUE"""),"Abhishek Gupta")</f>
        <v>Abhishek Gupta</v>
      </c>
      <c r="L750" s="31"/>
      <c r="M750" s="31"/>
      <c r="N750" s="31"/>
    </row>
    <row r="751">
      <c r="A751" s="31">
        <f>IFERROR(__xludf.DUMMYFUNCTION("""COMPUTED_VALUE"""),820.0)</f>
        <v>820</v>
      </c>
      <c r="B751" s="31" t="str">
        <f>IFERROR(__xludf.DUMMYFUNCTION("""COMPUTED_VALUE"""),"Akansha Rajawat")</f>
        <v>Akansha Rajawat</v>
      </c>
      <c r="C751" s="31" t="str">
        <f>IFERROR(__xludf.DUMMYFUNCTION("""COMPUTED_VALUE"""),"akansha.rajawat99@gmail.com")</f>
        <v>akansha.rajawat99@gmail.com</v>
      </c>
      <c r="D751" s="84">
        <f>IFERROR(__xludf.DUMMYFUNCTION("""COMPUTED_VALUE"""),7.042560555E9)</f>
        <v>7042560555</v>
      </c>
      <c r="E751" s="99">
        <f>IFERROR(__xludf.DUMMYFUNCTION("""COMPUTED_VALUE"""),45839.0)</f>
        <v>45839</v>
      </c>
      <c r="F751" s="31"/>
      <c r="G751" s="85"/>
      <c r="H751" s="31"/>
      <c r="I751" s="31" t="str">
        <f>IFERROR(__xludf.DUMMYFUNCTION("""COMPUTED_VALUE"""),"Assistant Manager- Product Marketing")</f>
        <v>Assistant Manager- Product Marketing</v>
      </c>
      <c r="J751" s="31" t="str">
        <f>IFERROR(__xludf.DUMMYFUNCTION("""COMPUTED_VALUE"""),"Strategy")</f>
        <v>Strategy</v>
      </c>
      <c r="K751" s="31" t="str">
        <f>IFERROR(__xludf.DUMMYFUNCTION("""COMPUTED_VALUE"""),"Aditya Jha")</f>
        <v>Aditya Jha</v>
      </c>
      <c r="L751" s="31"/>
      <c r="M751" s="31"/>
      <c r="N751" s="31"/>
    </row>
    <row r="752">
      <c r="A752" s="31">
        <f>IFERROR(__xludf.DUMMYFUNCTION("""COMPUTED_VALUE"""),821.0)</f>
        <v>821</v>
      </c>
      <c r="B752" s="31" t="str">
        <f>IFERROR(__xludf.DUMMYFUNCTION("""COMPUTED_VALUE"""),"Priyanshu Tripathi")</f>
        <v>Priyanshu Tripathi</v>
      </c>
      <c r="C752" s="31" t="str">
        <f>IFERROR(__xludf.DUMMYFUNCTION("""COMPUTED_VALUE"""),"works.priyanshu@outlook.com")</f>
        <v>works.priyanshu@outlook.com</v>
      </c>
      <c r="D752" s="84">
        <f>IFERROR(__xludf.DUMMYFUNCTION("""COMPUTED_VALUE"""),8.052818224E9)</f>
        <v>8052818224</v>
      </c>
      <c r="E752" s="99">
        <f>IFERROR(__xludf.DUMMYFUNCTION("""COMPUTED_VALUE"""),45839.0)</f>
        <v>45839</v>
      </c>
      <c r="F752" s="31"/>
      <c r="G752" s="85" t="str">
        <f>IFERROR(__xludf.DUMMYFUNCTION("""COMPUTED_VALUE"""),"works.priyanshu@outlook.com")</f>
        <v>works.priyanshu@outlook.com</v>
      </c>
      <c r="H752" s="31"/>
      <c r="I752" s="31" t="str">
        <f>IFERROR(__xludf.DUMMYFUNCTION("""COMPUTED_VALUE"""),"Content Writer")</f>
        <v>Content Writer</v>
      </c>
      <c r="J752" s="31" t="str">
        <f>IFERROR(__xludf.DUMMYFUNCTION("""COMPUTED_VALUE"""),"Strategy")</f>
        <v>Strategy</v>
      </c>
      <c r="K752" s="31" t="str">
        <f>IFERROR(__xludf.DUMMYFUNCTION("""COMPUTED_VALUE"""),"Aditya Jha")</f>
        <v>Aditya Jha</v>
      </c>
      <c r="L752" s="31"/>
      <c r="M752" s="31"/>
      <c r="N752" s="31"/>
    </row>
    <row r="753">
      <c r="A753" s="31">
        <f>IFERROR(__xludf.DUMMYFUNCTION("""COMPUTED_VALUE"""),822.0)</f>
        <v>822</v>
      </c>
      <c r="B753" s="31" t="str">
        <f>IFERROR(__xludf.DUMMYFUNCTION("""COMPUTED_VALUE"""),"Saurav Atram")</f>
        <v>Saurav Atram</v>
      </c>
      <c r="C753" s="86" t="str">
        <f>IFERROR(__xludf.DUMMYFUNCTION("""COMPUTED_VALUE"""),"sourabhatram123@gmail.com")</f>
        <v>sourabhatram123@gmail.com</v>
      </c>
      <c r="D753" s="84">
        <f>IFERROR(__xludf.DUMMYFUNCTION("""COMPUTED_VALUE"""),9.284009176E9)</f>
        <v>9284009176</v>
      </c>
      <c r="E753" s="99">
        <f>IFERROR(__xludf.DUMMYFUNCTION("""COMPUTED_VALUE"""),45839.0)</f>
        <v>45839</v>
      </c>
      <c r="F753" s="31"/>
      <c r="G753" s="85"/>
      <c r="H753" s="31"/>
      <c r="I753" s="31" t="str">
        <f>IFERROR(__xludf.DUMMYFUNCTION("""COMPUTED_VALUE"""),"Contractual: Test Yantra")</f>
        <v>Contractual: Test Yantra</v>
      </c>
      <c r="J753" s="31" t="str">
        <f>IFERROR(__xludf.DUMMYFUNCTION("""COMPUTED_VALUE"""),"QA")</f>
        <v>QA</v>
      </c>
      <c r="K753" s="31" t="str">
        <f>IFERROR(__xludf.DUMMYFUNCTION("""COMPUTED_VALUE"""),"Vishal Aggarwal")</f>
        <v>Vishal Aggarwal</v>
      </c>
      <c r="L753" s="31"/>
      <c r="M753" s="31"/>
      <c r="N753" s="31"/>
    </row>
    <row r="754">
      <c r="A754" s="31">
        <f>IFERROR(__xludf.DUMMYFUNCTION("""COMPUTED_VALUE"""),823.0)</f>
        <v>823</v>
      </c>
      <c r="B754" s="31" t="str">
        <f>IFERROR(__xludf.DUMMYFUNCTION("""COMPUTED_VALUE"""),"Vivek Sharma")</f>
        <v>Vivek Sharma</v>
      </c>
      <c r="C754" s="86" t="str">
        <f>IFERROR(__xludf.DUMMYFUNCTION("""COMPUTED_VALUE"""),"sharma.1506vivek@gmail.com")</f>
        <v>sharma.1506vivek@gmail.com</v>
      </c>
      <c r="D754" s="84">
        <f>IFERROR(__xludf.DUMMYFUNCTION("""COMPUTED_VALUE"""),7.351995584E9)</f>
        <v>7351995584</v>
      </c>
      <c r="E754" s="99">
        <f>IFERROR(__xludf.DUMMYFUNCTION("""COMPUTED_VALUE"""),45839.0)</f>
        <v>45839</v>
      </c>
      <c r="F754" s="31"/>
      <c r="G754" s="85"/>
      <c r="H754" s="31"/>
      <c r="I754" s="31" t="str">
        <f>IFERROR(__xludf.DUMMYFUNCTION("""COMPUTED_VALUE"""),"Contractual: Test Yantra")</f>
        <v>Contractual: Test Yantra</v>
      </c>
      <c r="J754" s="31" t="str">
        <f>IFERROR(__xludf.DUMMYFUNCTION("""COMPUTED_VALUE"""),"QA")</f>
        <v>QA</v>
      </c>
      <c r="K754" s="31" t="str">
        <f>IFERROR(__xludf.DUMMYFUNCTION("""COMPUTED_VALUE"""),"Vishal Aggarwal")</f>
        <v>Vishal Aggarwal</v>
      </c>
      <c r="L754" s="31"/>
      <c r="M754" s="31"/>
      <c r="N754" s="31"/>
    </row>
    <row r="755">
      <c r="A755" s="31">
        <f>IFERROR(__xludf.DUMMYFUNCTION("""COMPUTED_VALUE"""),824.0)</f>
        <v>824</v>
      </c>
      <c r="B755" s="31" t="str">
        <f>IFERROR(__xludf.DUMMYFUNCTION("""COMPUTED_VALUE"""),"Siddharth Malviya")</f>
        <v>Siddharth Malviya</v>
      </c>
      <c r="C755" s="86" t="str">
        <f>IFERROR(__xludf.DUMMYFUNCTION("""COMPUTED_VALUE"""),"sidmlv43@gmail.com")</f>
        <v>sidmlv43@gmail.com</v>
      </c>
      <c r="D755" s="84">
        <f>IFERROR(__xludf.DUMMYFUNCTION("""COMPUTED_VALUE"""),9.454876178E9)</f>
        <v>9454876178</v>
      </c>
      <c r="E755" s="99">
        <f>IFERROR(__xludf.DUMMYFUNCTION("""COMPUTED_VALUE"""),45839.0)</f>
        <v>45839</v>
      </c>
      <c r="F755" s="31"/>
      <c r="G755" s="85"/>
      <c r="H755" s="31"/>
      <c r="I755" s="31" t="str">
        <f>IFERROR(__xludf.DUMMYFUNCTION("""COMPUTED_VALUE"""),"Contractual: Test Yantra")</f>
        <v>Contractual: Test Yantra</v>
      </c>
      <c r="J755" s="31" t="str">
        <f>IFERROR(__xludf.DUMMYFUNCTION("""COMPUTED_VALUE"""),"QA")</f>
        <v>QA</v>
      </c>
      <c r="K755" s="31" t="str">
        <f>IFERROR(__xludf.DUMMYFUNCTION("""COMPUTED_VALUE"""),"Vishal Aggarwal")</f>
        <v>Vishal Aggarwal</v>
      </c>
      <c r="L755" s="31"/>
      <c r="M755" s="31"/>
      <c r="N755" s="31"/>
    </row>
    <row r="756">
      <c r="A756" s="31">
        <f>IFERROR(__xludf.DUMMYFUNCTION("""COMPUTED_VALUE"""),825.0)</f>
        <v>825</v>
      </c>
      <c r="B756" s="31" t="str">
        <f>IFERROR(__xludf.DUMMYFUNCTION("""COMPUTED_VALUE"""),"Rohan Gauda")</f>
        <v>Rohan Gauda</v>
      </c>
      <c r="C756" s="86" t="str">
        <f>IFERROR(__xludf.DUMMYFUNCTION("""COMPUTED_VALUE"""),"rohangauda013@gmail.com")</f>
        <v>rohangauda013@gmail.com</v>
      </c>
      <c r="D756" s="84">
        <f>IFERROR(__xludf.DUMMYFUNCTION("""COMPUTED_VALUE"""),8.879837243E9)</f>
        <v>8879837243</v>
      </c>
      <c r="E756" s="99">
        <f>IFERROR(__xludf.DUMMYFUNCTION("""COMPUTED_VALUE"""),45839.0)</f>
        <v>45839</v>
      </c>
      <c r="F756" s="31"/>
      <c r="G756" s="85"/>
      <c r="H756" s="31"/>
      <c r="I756" s="31" t="str">
        <f>IFERROR(__xludf.DUMMYFUNCTION("""COMPUTED_VALUE"""),"Contractual: Test Yantra")</f>
        <v>Contractual: Test Yantra</v>
      </c>
      <c r="J756" s="31" t="str">
        <f>IFERROR(__xludf.DUMMYFUNCTION("""COMPUTED_VALUE"""),"QA")</f>
        <v>QA</v>
      </c>
      <c r="K756" s="31" t="str">
        <f>IFERROR(__xludf.DUMMYFUNCTION("""COMPUTED_VALUE"""),"Vishal Aggarwal")</f>
        <v>Vishal Aggarwal</v>
      </c>
      <c r="L756" s="31"/>
      <c r="M756" s="31"/>
      <c r="N756" s="31"/>
    </row>
    <row r="757">
      <c r="A757" s="31">
        <f>IFERROR(__xludf.DUMMYFUNCTION("""COMPUTED_VALUE"""),826.0)</f>
        <v>826</v>
      </c>
      <c r="B757" s="31" t="str">
        <f>IFERROR(__xludf.DUMMYFUNCTION("""COMPUTED_VALUE"""),"Shyam S Warrier")</f>
        <v>Shyam S Warrier</v>
      </c>
      <c r="C757" s="31" t="str">
        <f>IFERROR(__xludf.DUMMYFUNCTION("""COMPUTED_VALUE"""),"shyamshashiwarrier@gmail.com")</f>
        <v>shyamshashiwarrier@gmail.com</v>
      </c>
      <c r="D757" s="84">
        <f>IFERROR(__xludf.DUMMYFUNCTION("""COMPUTED_VALUE"""),8.28175943E9)</f>
        <v>8281759430</v>
      </c>
      <c r="E757" s="99">
        <f>IFERROR(__xludf.DUMMYFUNCTION("""COMPUTED_VALUE"""),45839.0)</f>
        <v>45839</v>
      </c>
      <c r="F757" s="31"/>
      <c r="G757" s="85" t="str">
        <f>IFERROR(__xludf.DUMMYFUNCTION("""COMPUTED_VALUE"""),"Ritwika Maitra")</f>
        <v>Ritwika Maitra</v>
      </c>
      <c r="H757" s="31"/>
      <c r="I757" s="31" t="str">
        <f>IFERROR(__xludf.DUMMYFUNCTION("""COMPUTED_VALUE"""),"Associate-Digital Marketing")</f>
        <v>Associate-Digital Marketing</v>
      </c>
      <c r="J757" s="31" t="str">
        <f>IFERROR(__xludf.DUMMYFUNCTION("""COMPUTED_VALUE"""),"Digital marketing")</f>
        <v>Digital marketing</v>
      </c>
      <c r="K757" s="31" t="str">
        <f>IFERROR(__xludf.DUMMYFUNCTION("""COMPUTED_VALUE"""),"Ritwika Maitra")</f>
        <v>Ritwika Maitra</v>
      </c>
      <c r="L757" s="31"/>
      <c r="M757" s="31"/>
      <c r="N757" s="31"/>
    </row>
    <row r="758">
      <c r="A758" s="31">
        <f>IFERROR(__xludf.DUMMYFUNCTION("""COMPUTED_VALUE"""),827.0)</f>
        <v>827</v>
      </c>
      <c r="B758" s="31" t="str">
        <f>IFERROR(__xludf.DUMMYFUNCTION("""COMPUTED_VALUE"""),"Ambika")</f>
        <v>Ambika</v>
      </c>
      <c r="C758" s="31" t="str">
        <f>IFERROR(__xludf.DUMMYFUNCTION("""COMPUTED_VALUE"""),"ambika.g0918@gmail.com")</f>
        <v>ambika.g0918@gmail.com</v>
      </c>
      <c r="D758" s="84">
        <f>IFERROR(__xludf.DUMMYFUNCTION("""COMPUTED_VALUE"""),7.300161616E9)</f>
        <v>7300161616</v>
      </c>
      <c r="E758" s="99">
        <f>IFERROR(__xludf.DUMMYFUNCTION("""COMPUTED_VALUE"""),45840.0)</f>
        <v>45840</v>
      </c>
      <c r="F758" s="31"/>
      <c r="G758" s="85"/>
      <c r="H758" s="31"/>
      <c r="I758" s="31" t="str">
        <f>IFERROR(__xludf.DUMMYFUNCTION("""COMPUTED_VALUE"""),"Senior Data Analyst")</f>
        <v>Senior Data Analyst</v>
      </c>
      <c r="J758" s="31" t="str">
        <f>IFERROR(__xludf.DUMMYFUNCTION("""COMPUTED_VALUE"""),"Data Analytics")</f>
        <v>Data Analytics</v>
      </c>
      <c r="K758" s="31" t="str">
        <f>IFERROR(__xludf.DUMMYFUNCTION("""COMPUTED_VALUE"""),"Raman Malik")</f>
        <v>Raman Malik</v>
      </c>
      <c r="L758" s="31"/>
      <c r="M758" s="31"/>
      <c r="N758" s="31"/>
    </row>
    <row r="759">
      <c r="A759" s="31">
        <f>IFERROR(__xludf.DUMMYFUNCTION("""COMPUTED_VALUE"""),828.0)</f>
        <v>828</v>
      </c>
      <c r="B759" s="31" t="str">
        <f>IFERROR(__xludf.DUMMYFUNCTION("""COMPUTED_VALUE"""),"Abhishek Bajiya")</f>
        <v>Abhishek Bajiya</v>
      </c>
      <c r="C759" s="31" t="str">
        <f>IFERROR(__xludf.DUMMYFUNCTION("""COMPUTED_VALUE"""),"abhishek.bajiya.che16@itbhu.ac.in")</f>
        <v>abhishek.bajiya.che16@itbhu.ac.in</v>
      </c>
      <c r="D759" s="84">
        <f>IFERROR(__xludf.DUMMYFUNCTION("""COMPUTED_VALUE"""),8.107707491E9)</f>
        <v>8107707491</v>
      </c>
      <c r="E759" s="99">
        <f>IFERROR(__xludf.DUMMYFUNCTION("""COMPUTED_VALUE"""),45840.0)</f>
        <v>45840</v>
      </c>
      <c r="F759" s="31"/>
      <c r="G759" s="85"/>
      <c r="H759" s="31"/>
      <c r="I759" s="31" t="str">
        <f>IFERROR(__xludf.DUMMYFUNCTION("""COMPUTED_VALUE"""),"Lead Data Analyst")</f>
        <v>Lead Data Analyst</v>
      </c>
      <c r="J759" s="31" t="str">
        <f>IFERROR(__xludf.DUMMYFUNCTION("""COMPUTED_VALUE"""),"Data Analytics")</f>
        <v>Data Analytics</v>
      </c>
      <c r="K759" s="31" t="str">
        <f>IFERROR(__xludf.DUMMYFUNCTION("""COMPUTED_VALUE"""),"Raman Malik")</f>
        <v>Raman Malik</v>
      </c>
      <c r="L759" s="31"/>
      <c r="M759" s="31"/>
      <c r="N759" s="31"/>
    </row>
    <row r="760">
      <c r="A760" s="31">
        <f>IFERROR(__xludf.DUMMYFUNCTION("""COMPUTED_VALUE"""),829.0)</f>
        <v>829</v>
      </c>
      <c r="B760" s="31" t="str">
        <f>IFERROR(__xludf.DUMMYFUNCTION("""COMPUTED_VALUE"""),"Akhil NR")</f>
        <v>Akhil NR</v>
      </c>
      <c r="C760" s="31" t="str">
        <f>IFERROR(__xludf.DUMMYFUNCTION("""COMPUTED_VALUE"""),"nrakhil17@gmail.com")</f>
        <v>nrakhil17@gmail.com</v>
      </c>
      <c r="D760" s="84">
        <f>IFERROR(__xludf.DUMMYFUNCTION("""COMPUTED_VALUE"""),8.377983498E9)</f>
        <v>8377983498</v>
      </c>
      <c r="E760" s="99">
        <f>IFERROR(__xludf.DUMMYFUNCTION("""COMPUTED_VALUE"""),45841.0)</f>
        <v>45841</v>
      </c>
      <c r="F760" s="31"/>
      <c r="G760" s="85"/>
      <c r="H760" s="31"/>
      <c r="I760" s="31" t="str">
        <f>IFERROR(__xludf.DUMMYFUNCTION("""COMPUTED_VALUE"""),"Manager- Government Affairs")</f>
        <v>Manager- Government Affairs</v>
      </c>
      <c r="J760" s="31"/>
      <c r="K760" s="31" t="str">
        <f>IFERROR(__xludf.DUMMYFUNCTION("""COMPUTED_VALUE"""),"Govind Mittal")</f>
        <v>Govind Mittal</v>
      </c>
      <c r="L760" s="31"/>
      <c r="M760" s="31"/>
      <c r="N760" s="31"/>
    </row>
    <row r="761">
      <c r="A761" s="31">
        <f>IFERROR(__xludf.DUMMYFUNCTION("""COMPUTED_VALUE"""),831.0)</f>
        <v>831</v>
      </c>
      <c r="B761" s="31" t="str">
        <f>IFERROR(__xludf.DUMMYFUNCTION("""COMPUTED_VALUE"""),"Chirag Goyal")</f>
        <v>Chirag Goyal</v>
      </c>
      <c r="C761" s="31" t="str">
        <f>IFERROR(__xludf.DUMMYFUNCTION("""COMPUTED_VALUE"""),"chiraggoyel98@gmail.com")</f>
        <v>chiraggoyel98@gmail.com</v>
      </c>
      <c r="D761" s="84">
        <f>IFERROR(__xludf.DUMMYFUNCTION("""COMPUTED_VALUE"""),9.91008153E9)</f>
        <v>9910081530</v>
      </c>
      <c r="E761" s="99">
        <f>IFERROR(__xludf.DUMMYFUNCTION("""COMPUTED_VALUE"""),45841.0)</f>
        <v>45841</v>
      </c>
      <c r="F761" s="31"/>
      <c r="G761" s="85"/>
      <c r="H761" s="31"/>
      <c r="I761" s="31" t="str">
        <f>IFERROR(__xludf.DUMMYFUNCTION("""COMPUTED_VALUE"""),"Software Engineer")</f>
        <v>Software Engineer</v>
      </c>
      <c r="J761" s="31"/>
      <c r="K761" s="31" t="str">
        <f>IFERROR(__xludf.DUMMYFUNCTION("""COMPUTED_VALUE"""),"Abhishek Gupta")</f>
        <v>Abhishek Gupta</v>
      </c>
      <c r="L761" s="31"/>
      <c r="M761" s="31"/>
      <c r="N761" s="31"/>
    </row>
    <row r="762">
      <c r="A762" s="31">
        <f>IFERROR(__xludf.DUMMYFUNCTION("""COMPUTED_VALUE"""),832.0)</f>
        <v>832</v>
      </c>
      <c r="B762" s="31" t="str">
        <f>IFERROR(__xludf.DUMMYFUNCTION("""COMPUTED_VALUE"""),"Rajnish Kumar")</f>
        <v>Rajnish Kumar</v>
      </c>
      <c r="C762" s="31" t="str">
        <f>IFERROR(__xludf.DUMMYFUNCTION("""COMPUTED_VALUE""")," rajnish4dba@gmail.com")</f>
        <v> rajnish4dba@gmail.com</v>
      </c>
      <c r="D762" s="84">
        <f>IFERROR(__xludf.DUMMYFUNCTION("""COMPUTED_VALUE"""),8.802988898E9)</f>
        <v>8802988898</v>
      </c>
      <c r="E762" s="99">
        <f>IFERROR(__xludf.DUMMYFUNCTION("""COMPUTED_VALUE"""),45841.0)</f>
        <v>45841</v>
      </c>
      <c r="F762" s="31"/>
      <c r="G762" s="85"/>
      <c r="H762" s="31"/>
      <c r="I762" s="31" t="str">
        <f>IFERROR(__xludf.DUMMYFUNCTION("""COMPUTED_VALUE"""),"Lead Database Administrator")</f>
        <v>Lead Database Administrator</v>
      </c>
      <c r="J762" s="31"/>
      <c r="K762" s="31" t="str">
        <f>IFERROR(__xludf.DUMMYFUNCTION("""COMPUTED_VALUE"""),"saurav yadav")</f>
        <v>saurav yadav</v>
      </c>
      <c r="L762" s="31"/>
      <c r="M762" s="31"/>
      <c r="N762" s="31"/>
    </row>
    <row r="763">
      <c r="A763" s="31">
        <f>IFERROR(__xludf.DUMMYFUNCTION("""COMPUTED_VALUE"""),833.0)</f>
        <v>833</v>
      </c>
      <c r="B763" s="31" t="str">
        <f>IFERROR(__xludf.DUMMYFUNCTION("""COMPUTED_VALUE"""),"Suyash Kumar")</f>
        <v>Suyash Kumar</v>
      </c>
      <c r="C763" s="31" t="str">
        <f>IFERROR(__xludf.DUMMYFUNCTION("""COMPUTED_VALUE"""),"suyashk869@gmail.com")</f>
        <v>suyashk869@gmail.com</v>
      </c>
      <c r="D763" s="84">
        <f>IFERROR(__xludf.DUMMYFUNCTION("""COMPUTED_VALUE"""),8.505851867E9)</f>
        <v>8505851867</v>
      </c>
      <c r="E763" s="99">
        <f>IFERROR(__xludf.DUMMYFUNCTION("""COMPUTED_VALUE"""),45845.0)</f>
        <v>45845</v>
      </c>
      <c r="F763" s="31"/>
      <c r="G763" s="85"/>
      <c r="H763" s="31"/>
      <c r="I763" s="31" t="str">
        <f>IFERROR(__xludf.DUMMYFUNCTION("""COMPUTED_VALUE"""),"Senior Data Scientist")</f>
        <v>Senior Data Scientist</v>
      </c>
      <c r="J763" s="31"/>
      <c r="K763" s="31" t="str">
        <f>IFERROR(__xludf.DUMMYFUNCTION("""COMPUTED_VALUE"""),"Deep Dwivedi ")</f>
        <v>Deep Dwivedi </v>
      </c>
      <c r="L763" s="31"/>
      <c r="M763" s="31"/>
      <c r="N763" s="31"/>
    </row>
    <row r="764">
      <c r="A764" s="31">
        <f>IFERROR(__xludf.DUMMYFUNCTION("""COMPUTED_VALUE"""),834.0)</f>
        <v>834</v>
      </c>
      <c r="B764" s="31" t="str">
        <f>IFERROR(__xludf.DUMMYFUNCTION("""COMPUTED_VALUE"""),"Vivek Pathak")</f>
        <v>Vivek Pathak</v>
      </c>
      <c r="C764" s="31" t="str">
        <f>IFERROR(__xludf.DUMMYFUNCTION("""COMPUTED_VALUE"""),"vivekpathak297@gmail.com")</f>
        <v>vivekpathak297@gmail.com</v>
      </c>
      <c r="D764" s="84">
        <f>IFERROR(__xludf.DUMMYFUNCTION("""COMPUTED_VALUE"""),9.717140985E9)</f>
        <v>9717140985</v>
      </c>
      <c r="E764" s="99">
        <f>IFERROR(__xludf.DUMMYFUNCTION("""COMPUTED_VALUE"""),45845.0)</f>
        <v>45845</v>
      </c>
      <c r="F764" s="31"/>
      <c r="G764" s="85"/>
      <c r="H764" s="31"/>
      <c r="I764" s="31" t="str">
        <f>IFERROR(__xludf.DUMMYFUNCTION("""COMPUTED_VALUE"""),"AM Strategy")</f>
        <v>AM Strategy</v>
      </c>
      <c r="J764" s="31"/>
      <c r="K764" s="31" t="str">
        <f>IFERROR(__xludf.DUMMYFUNCTION("""COMPUTED_VALUE"""),"Karan Aggarwal")</f>
        <v>Karan Aggarwal</v>
      </c>
      <c r="L764" s="31"/>
      <c r="M764" s="31"/>
      <c r="N764" s="31"/>
    </row>
    <row r="765">
      <c r="A765" s="31">
        <f>IFERROR(__xludf.DUMMYFUNCTION("""COMPUTED_VALUE"""),835.0)</f>
        <v>835</v>
      </c>
      <c r="B765" s="31" t="str">
        <f>IFERROR(__xludf.DUMMYFUNCTION("""COMPUTED_VALUE"""),"Jay Patel")</f>
        <v>Jay Patel</v>
      </c>
      <c r="C765" s="31" t="str">
        <f>IFERROR(__xludf.DUMMYFUNCTION("""COMPUTED_VALUE"""),"jaynpatel222@gmail.com")</f>
        <v>jaynpatel222@gmail.com</v>
      </c>
      <c r="D765" s="84">
        <f>IFERROR(__xludf.DUMMYFUNCTION("""COMPUTED_VALUE"""),7.016704521E9)</f>
        <v>7016704521</v>
      </c>
      <c r="E765" s="99">
        <f>IFERROR(__xludf.DUMMYFUNCTION("""COMPUTED_VALUE"""),45845.0)</f>
        <v>45845</v>
      </c>
      <c r="F765" s="31"/>
      <c r="G765" s="85"/>
      <c r="H765" s="31"/>
      <c r="I765" s="31" t="str">
        <f>IFERROR(__xludf.DUMMYFUNCTION("""COMPUTED_VALUE"""),"Software Engineer")</f>
        <v>Software Engineer</v>
      </c>
      <c r="J765" s="31"/>
      <c r="K765" s="31"/>
      <c r="L765" s="31"/>
      <c r="M765" s="31"/>
      <c r="N765" s="31"/>
    </row>
    <row r="766">
      <c r="A766" s="31">
        <f>IFERROR(__xludf.DUMMYFUNCTION("""COMPUTED_VALUE"""),836.0)</f>
        <v>836</v>
      </c>
      <c r="B766" s="31" t="str">
        <f>IFERROR(__xludf.DUMMYFUNCTION("""COMPUTED_VALUE"""),"Rishabh Sharma")</f>
        <v>Rishabh Sharma</v>
      </c>
      <c r="C766" s="31" t="str">
        <f>IFERROR(__xludf.DUMMYFUNCTION("""COMPUTED_VALUE"""),"ris096@gmail.com")</f>
        <v>ris096@gmail.com</v>
      </c>
      <c r="D766" s="84">
        <f>IFERROR(__xludf.DUMMYFUNCTION("""COMPUTED_VALUE"""),7.011994789E9)</f>
        <v>7011994789</v>
      </c>
      <c r="E766" s="99">
        <f>IFERROR(__xludf.DUMMYFUNCTION("""COMPUTED_VALUE"""),45845.0)</f>
        <v>45845</v>
      </c>
      <c r="F766" s="31"/>
      <c r="G766" s="85"/>
      <c r="H766" s="31"/>
      <c r="I766" s="31" t="str">
        <f>IFERROR(__xludf.DUMMYFUNCTION("""COMPUTED_VALUE"""),"Lead Data Analyst")</f>
        <v>Lead Data Analyst</v>
      </c>
      <c r="J766" s="31"/>
      <c r="K766" s="31" t="str">
        <f>IFERROR(__xludf.DUMMYFUNCTION("""COMPUTED_VALUE"""),"Raman Malik")</f>
        <v>Raman Malik</v>
      </c>
      <c r="L766" s="31"/>
      <c r="M766" s="31"/>
      <c r="N766" s="31"/>
    </row>
    <row r="767">
      <c r="A767" s="31">
        <f>IFERROR(__xludf.DUMMYFUNCTION("""COMPUTED_VALUE"""),837.0)</f>
        <v>837</v>
      </c>
      <c r="B767" s="31" t="str">
        <f>IFERROR(__xludf.DUMMYFUNCTION("""COMPUTED_VALUE"""),"Vaibhav Binaykiya")</f>
        <v>Vaibhav Binaykiya</v>
      </c>
      <c r="C767" s="31" t="str">
        <f>IFERROR(__xludf.DUMMYFUNCTION("""COMPUTED_VALUE"""),"v.k.binaykiya@gmail.com")</f>
        <v>v.k.binaykiya@gmail.com</v>
      </c>
      <c r="D767" s="84">
        <f>IFERROR(__xludf.DUMMYFUNCTION("""COMPUTED_VALUE"""),8.800139945E9)</f>
        <v>8800139945</v>
      </c>
      <c r="E767" s="99">
        <f>IFERROR(__xludf.DUMMYFUNCTION("""COMPUTED_VALUE"""),45845.0)</f>
        <v>45845</v>
      </c>
      <c r="F767" s="31"/>
      <c r="G767" s="85"/>
      <c r="H767" s="31"/>
      <c r="I767" s="31" t="str">
        <f>IFERROR(__xludf.DUMMYFUNCTION("""COMPUTED_VALUE"""),"Senior Product Manager")</f>
        <v>Senior Product Manager</v>
      </c>
      <c r="J767" s="31"/>
      <c r="K767" s="31" t="str">
        <f>IFERROR(__xludf.DUMMYFUNCTION("""COMPUTED_VALUE"""),"Naveen Kadyan")</f>
        <v>Naveen Kadyan</v>
      </c>
      <c r="L767" s="31"/>
      <c r="M767" s="31"/>
      <c r="N767" s="31"/>
    </row>
    <row r="768">
      <c r="A768" s="31">
        <f>IFERROR(__xludf.DUMMYFUNCTION("""COMPUTED_VALUE"""),838.0)</f>
        <v>838</v>
      </c>
      <c r="B768" s="31" t="str">
        <f>IFERROR(__xludf.DUMMYFUNCTION("""COMPUTED_VALUE"""),"Piyush Saraf")</f>
        <v>Piyush Saraf</v>
      </c>
      <c r="C768" s="31" t="str">
        <f>IFERROR(__xludf.DUMMYFUNCTION("""COMPUTED_VALUE""")," piyushsaraf76@gmail.com")</f>
        <v> piyushsaraf76@gmail.com</v>
      </c>
      <c r="D768" s="84">
        <f>IFERROR(__xludf.DUMMYFUNCTION("""COMPUTED_VALUE"""),9.079032566E9)</f>
        <v>9079032566</v>
      </c>
      <c r="E768" s="99">
        <f>IFERROR(__xludf.DUMMYFUNCTION("""COMPUTED_VALUE"""),45845.0)</f>
        <v>45845</v>
      </c>
      <c r="F768" s="31"/>
      <c r="G768" s="85" t="str">
        <f>IFERROR(__xludf.DUMMYFUNCTION("""COMPUTED_VALUE"""),"Saurav Yadav")</f>
        <v>Saurav Yadav</v>
      </c>
      <c r="H768" s="31"/>
      <c r="I768" s="31" t="str">
        <f>IFERROR(__xludf.DUMMYFUNCTION("""COMPUTED_VALUE"""),"Software Engineer-Devops")</f>
        <v>Software Engineer-Devops</v>
      </c>
      <c r="J768" s="31"/>
      <c r="K768" s="31" t="str">
        <f>IFERROR(__xludf.DUMMYFUNCTION("""COMPUTED_VALUE"""),"Saurav Yadav")</f>
        <v>Saurav Yadav</v>
      </c>
      <c r="L768" s="31"/>
      <c r="M768" s="31"/>
      <c r="N768" s="31"/>
    </row>
    <row r="769">
      <c r="A769" s="31">
        <f>IFERROR(__xludf.DUMMYFUNCTION("""COMPUTED_VALUE"""),839.0)</f>
        <v>839</v>
      </c>
      <c r="B769" s="31" t="str">
        <f>IFERROR(__xludf.DUMMYFUNCTION("""COMPUTED_VALUE"""),"Lovleen Thapar")</f>
        <v>Lovleen Thapar</v>
      </c>
      <c r="C769" s="31" t="str">
        <f>IFERROR(__xludf.DUMMYFUNCTION("""COMPUTED_VALUE""")," lovleenthapar15@gmail.com")</f>
        <v> lovleenthapar15@gmail.com</v>
      </c>
      <c r="D769" s="84">
        <f>IFERROR(__xludf.DUMMYFUNCTION("""COMPUTED_VALUE"""),9.810057361E9)</f>
        <v>9810057361</v>
      </c>
      <c r="E769" s="99">
        <f>IFERROR(__xludf.DUMMYFUNCTION("""COMPUTED_VALUE"""),45846.0)</f>
        <v>45846</v>
      </c>
      <c r="F769" s="31"/>
      <c r="G769" s="85"/>
      <c r="H769" s="31"/>
      <c r="I769" s="31" t="str">
        <f>IFERROR(__xludf.DUMMYFUNCTION("""COMPUTED_VALUE"""),"Product Designer")</f>
        <v>Product Designer</v>
      </c>
      <c r="J769" s="31"/>
      <c r="K769" s="31"/>
      <c r="L769" s="31"/>
      <c r="M769" s="31"/>
      <c r="N769" s="31"/>
    </row>
    <row r="770">
      <c r="A770" s="31">
        <f>IFERROR(__xludf.DUMMYFUNCTION("""COMPUTED_VALUE"""),840.0)</f>
        <v>840</v>
      </c>
      <c r="B770" s="31" t="str">
        <f>IFERROR(__xludf.DUMMYFUNCTION("""COMPUTED_VALUE"""),"Anuj Mittal   ")</f>
        <v>Anuj Mittal   </v>
      </c>
      <c r="C770" s="31" t="str">
        <f>IFERROR(__xludf.DUMMYFUNCTION("""COMPUTED_VALUE"""),"am431@snu.edu.in")</f>
        <v>am431@snu.edu.in</v>
      </c>
      <c r="D770" s="84">
        <f>IFERROR(__xludf.DUMMYFUNCTION("""COMPUTED_VALUE"""),8.800858905E9)</f>
        <v>8800858905</v>
      </c>
      <c r="E770" s="99">
        <f>IFERROR(__xludf.DUMMYFUNCTION("""COMPUTED_VALUE"""),45847.0)</f>
        <v>45847</v>
      </c>
      <c r="F770" s="31"/>
      <c r="G770" s="85"/>
      <c r="H770" s="31"/>
      <c r="I770" s="31" t="str">
        <f>IFERROR(__xludf.DUMMYFUNCTION("""COMPUTED_VALUE"""),"Lead Data Analyst")</f>
        <v>Lead Data Analyst</v>
      </c>
      <c r="J770" s="31"/>
      <c r="K770" s="31" t="str">
        <f>IFERROR(__xludf.DUMMYFUNCTION("""COMPUTED_VALUE"""),"Raman Malik")</f>
        <v>Raman Malik</v>
      </c>
      <c r="L770" s="31"/>
      <c r="M770" s="31"/>
      <c r="N770" s="31"/>
    </row>
    <row r="771">
      <c r="A771" s="31">
        <f>IFERROR(__xludf.DUMMYFUNCTION("""COMPUTED_VALUE"""),841.0)</f>
        <v>841</v>
      </c>
      <c r="B771" s="31" t="str">
        <f>IFERROR(__xludf.DUMMYFUNCTION("""COMPUTED_VALUE"""),"Urvashi Matta")</f>
        <v>Urvashi Matta</v>
      </c>
      <c r="C771" s="31" t="str">
        <f>IFERROR(__xludf.DUMMYFUNCTION("""COMPUTED_VALUE"""),"urvashimatta1404@gmail.com")</f>
        <v>urvashimatta1404@gmail.com</v>
      </c>
      <c r="D771" s="84">
        <f>IFERROR(__xludf.DUMMYFUNCTION("""COMPUTED_VALUE"""),9.811757816E9)</f>
        <v>9811757816</v>
      </c>
      <c r="E771" s="99">
        <f>IFERROR(__xludf.DUMMYFUNCTION("""COMPUTED_VALUE"""),45848.0)</f>
        <v>45848</v>
      </c>
      <c r="F771" s="31"/>
      <c r="G771" s="85"/>
      <c r="H771" s="31"/>
      <c r="I771" s="31" t="str">
        <f>IFERROR(__xludf.DUMMYFUNCTION("""COMPUTED_VALUE"""),"Senior User Researcher")</f>
        <v>Senior User Researcher</v>
      </c>
      <c r="J771" s="31" t="str">
        <f>IFERROR(__xludf.DUMMYFUNCTION("""COMPUTED_VALUE"""),"Product ")</f>
        <v>Product </v>
      </c>
      <c r="K771" s="31" t="str">
        <f>IFERROR(__xludf.DUMMYFUNCTION("""COMPUTED_VALUE"""),"Pareena Singh")</f>
        <v>Pareena Singh</v>
      </c>
      <c r="L771" s="31"/>
      <c r="M771" s="31"/>
      <c r="N771" s="31"/>
    </row>
    <row r="772">
      <c r="A772" s="31">
        <f>IFERROR(__xludf.DUMMYFUNCTION("""COMPUTED_VALUE"""),842.0)</f>
        <v>842</v>
      </c>
      <c r="B772" s="31" t="str">
        <f>IFERROR(__xludf.DUMMYFUNCTION("""COMPUTED_VALUE"""),"Yash Agrawal")</f>
        <v>Yash Agrawal</v>
      </c>
      <c r="C772" s="31" t="str">
        <f>IFERROR(__xludf.DUMMYFUNCTION("""COMPUTED_VALUE"""),"ya86442sh@gmail.com")</f>
        <v>ya86442sh@gmail.com</v>
      </c>
      <c r="D772" s="84">
        <f>IFERROR(__xludf.DUMMYFUNCTION("""COMPUTED_VALUE"""),8.290725134E9)</f>
        <v>8290725134</v>
      </c>
      <c r="E772" s="99">
        <f>IFERROR(__xludf.DUMMYFUNCTION("""COMPUTED_VALUE"""),45849.0)</f>
        <v>45849</v>
      </c>
      <c r="F772" s="31"/>
      <c r="G772" s="85"/>
      <c r="H772" s="31"/>
      <c r="I772" s="31" t="str">
        <f>IFERROR(__xludf.DUMMYFUNCTION("""COMPUTED_VALUE"""),"Senior Software Engineer")</f>
        <v>Senior Software Engineer</v>
      </c>
      <c r="J772" s="31" t="str">
        <f>IFERROR(__xludf.DUMMYFUNCTION("""COMPUTED_VALUE"""),"Tech")</f>
        <v>Tech</v>
      </c>
      <c r="K772" s="31" t="str">
        <f>IFERROR(__xludf.DUMMYFUNCTION("""COMPUTED_VALUE"""),"Abhishek Gupta")</f>
        <v>Abhishek Gupta</v>
      </c>
      <c r="L772" s="31"/>
      <c r="M772" s="31"/>
      <c r="N772" s="31"/>
    </row>
    <row r="773">
      <c r="A773" s="31">
        <f>IFERROR(__xludf.DUMMYFUNCTION("""COMPUTED_VALUE"""),843.0)</f>
        <v>843</v>
      </c>
      <c r="B773" s="31" t="str">
        <f>IFERROR(__xludf.DUMMYFUNCTION("""COMPUTED_VALUE"""),"Bhavya Arora ")</f>
        <v>Bhavya Arora </v>
      </c>
      <c r="C773" s="31" t="str">
        <f>IFERROR(__xludf.DUMMYFUNCTION("""COMPUTED_VALUE"""),"bhavyaarora1402@gmail.com")</f>
        <v>bhavyaarora1402@gmail.com</v>
      </c>
      <c r="D773" s="84">
        <f>IFERROR(__xludf.DUMMYFUNCTION("""COMPUTED_VALUE"""),8.218697445E9)</f>
        <v>8218697445</v>
      </c>
      <c r="E773" s="99">
        <f>IFERROR(__xludf.DUMMYFUNCTION("""COMPUTED_VALUE"""),45852.0)</f>
        <v>45852</v>
      </c>
      <c r="F773" s="31"/>
      <c r="G773" s="85"/>
      <c r="H773" s="31"/>
      <c r="I773" s="31" t="str">
        <f>IFERROR(__xludf.DUMMYFUNCTION("""COMPUTED_VALUE"""),"Assistant Manager")</f>
        <v>Assistant Manager</v>
      </c>
      <c r="J773" s="31"/>
      <c r="K773" s="31" t="str">
        <f>IFERROR(__xludf.DUMMYFUNCTION("""COMPUTED_VALUE"""),"Sarthak Jain")</f>
        <v>Sarthak Jain</v>
      </c>
      <c r="L773" s="31"/>
      <c r="M773" s="31"/>
      <c r="N773" s="31"/>
    </row>
    <row r="774">
      <c r="A774" s="31">
        <f>IFERROR(__xludf.DUMMYFUNCTION("""COMPUTED_VALUE"""),844.0)</f>
        <v>844</v>
      </c>
      <c r="B774" s="31" t="str">
        <f>IFERROR(__xludf.DUMMYFUNCTION("""COMPUTED_VALUE"""),"Jatin ")</f>
        <v>Jatin </v>
      </c>
      <c r="C774" s="31" t="str">
        <f>IFERROR(__xludf.DUMMYFUNCTION("""COMPUTED_VALUE"""),"jb775040@gmail.com ")</f>
        <v>jb775040@gmail.com </v>
      </c>
      <c r="D774" s="84">
        <f>IFERROR(__xludf.DUMMYFUNCTION("""COMPUTED_VALUE"""),8.76621264E9)</f>
        <v>8766212640</v>
      </c>
      <c r="E774" s="99">
        <f>IFERROR(__xludf.DUMMYFUNCTION("""COMPUTED_VALUE"""),45852.0)</f>
        <v>45852</v>
      </c>
      <c r="F774" s="31"/>
      <c r="G774" s="85"/>
      <c r="H774" s="31"/>
      <c r="I774" s="31" t="str">
        <f>IFERROR(__xludf.DUMMYFUNCTION("""COMPUTED_VALUE"""),"Banking &amp; Treasury Analyst ")</f>
        <v>Banking &amp; Treasury Analyst </v>
      </c>
      <c r="J774" s="31"/>
      <c r="K774" s="31" t="str">
        <f>IFERROR(__xludf.DUMMYFUNCTION("""COMPUTED_VALUE"""),"Mohit Arora")</f>
        <v>Mohit Arora</v>
      </c>
      <c r="L774" s="31"/>
      <c r="M774" s="31"/>
      <c r="N774" s="31"/>
    </row>
    <row r="775">
      <c r="A775" s="31">
        <f>IFERROR(__xludf.DUMMYFUNCTION("""COMPUTED_VALUE"""),845.0)</f>
        <v>845</v>
      </c>
      <c r="B775" s="31" t="str">
        <f>IFERROR(__xludf.DUMMYFUNCTION("""COMPUTED_VALUE"""),"Tarun Khandelwal")</f>
        <v>Tarun Khandelwal</v>
      </c>
      <c r="C775" s="31" t="str">
        <f>IFERROR(__xludf.DUMMYFUNCTION("""COMPUTED_VALUE"""),"tkhandelwal418@gmail.com")</f>
        <v>tkhandelwal418@gmail.com</v>
      </c>
      <c r="D775" s="84">
        <f>IFERROR(__xludf.DUMMYFUNCTION("""COMPUTED_VALUE"""),9.027131902E9)</f>
        <v>9027131902</v>
      </c>
      <c r="E775" s="99">
        <f>IFERROR(__xludf.DUMMYFUNCTION("""COMPUTED_VALUE"""),45852.0)</f>
        <v>45852</v>
      </c>
      <c r="F775" s="31"/>
      <c r="G775" s="85"/>
      <c r="H775" s="31"/>
      <c r="I775" s="31" t="str">
        <f>IFERROR(__xludf.DUMMYFUNCTION("""COMPUTED_VALUE"""),"Senior Data Analyst
")</f>
        <v>Senior Data Analyst
</v>
      </c>
      <c r="J775" s="31"/>
      <c r="K775" s="31" t="str">
        <f>IFERROR(__xludf.DUMMYFUNCTION("""COMPUTED_VALUE"""),"Raman Malik")</f>
        <v>Raman Malik</v>
      </c>
      <c r="L775" s="31"/>
      <c r="M775" s="31"/>
      <c r="N775" s="31"/>
    </row>
    <row r="776">
      <c r="A776" s="31">
        <f>IFERROR(__xludf.DUMMYFUNCTION("""COMPUTED_VALUE"""),846.0)</f>
        <v>846</v>
      </c>
      <c r="B776" s="31" t="str">
        <f>IFERROR(__xludf.DUMMYFUNCTION("""COMPUTED_VALUE"""),"Sarthak Chhabra")</f>
        <v>Sarthak Chhabra</v>
      </c>
      <c r="C776" s="31" t="str">
        <f>IFERROR(__xludf.DUMMYFUNCTION("""COMPUTED_VALUE"""),"
hello@sarthakchhabra.com")</f>
        <v>
hello@sarthakchhabra.com</v>
      </c>
      <c r="D776" s="84">
        <f>IFERROR(__xludf.DUMMYFUNCTION("""COMPUTED_VALUE"""),9.55772251E9)</f>
        <v>9557722510</v>
      </c>
      <c r="E776" s="99">
        <f>IFERROR(__xludf.DUMMYFUNCTION("""COMPUTED_VALUE"""),45852.0)</f>
        <v>45852</v>
      </c>
      <c r="F776" s="31"/>
      <c r="G776" s="85"/>
      <c r="H776" s="31"/>
      <c r="I776" s="31" t="str">
        <f>IFERROR(__xludf.DUMMYFUNCTION("""COMPUTED_VALUE"""),"Technical Lead")</f>
        <v>Technical Lead</v>
      </c>
      <c r="J776" s="31"/>
      <c r="K776" s="31" t="str">
        <f>IFERROR(__xludf.DUMMYFUNCTION("""COMPUTED_VALUE"""),"Ranjeet Kumar")</f>
        <v>Ranjeet Kumar</v>
      </c>
      <c r="L776" s="31"/>
      <c r="M776" s="31"/>
      <c r="N776" s="31"/>
    </row>
    <row r="777">
      <c r="A777" s="31">
        <f>IFERROR(__xludf.DUMMYFUNCTION("""COMPUTED_VALUE"""),847.0)</f>
        <v>847</v>
      </c>
      <c r="B777" s="31" t="str">
        <f>IFERROR(__xludf.DUMMYFUNCTION("""COMPUTED_VALUE"""),"Abhinav Pant")</f>
        <v>Abhinav Pant</v>
      </c>
      <c r="C777" s="47" t="str">
        <f>IFERROR(__xludf.DUMMYFUNCTION("""COMPUTED_VALUE"""),"abhinav.pant@hotmail.com")</f>
        <v>abhinav.pant@hotmail.com</v>
      </c>
      <c r="D777" s="84">
        <f>IFERROR(__xludf.DUMMYFUNCTION("""COMPUTED_VALUE"""),9.789930425E9)</f>
        <v>9789930425</v>
      </c>
      <c r="E777" s="99">
        <f>IFERROR(__xludf.DUMMYFUNCTION("""COMPUTED_VALUE"""),45852.0)</f>
        <v>45852</v>
      </c>
      <c r="F777" s="31"/>
      <c r="G777" s="85"/>
      <c r="H777" s="31"/>
      <c r="I777" s="31" t="str">
        <f>IFERROR(__xludf.DUMMYFUNCTION("""COMPUTED_VALUE"""),"Senior Manager Strategy")</f>
        <v>Senior Manager Strategy</v>
      </c>
      <c r="J777" s="31"/>
      <c r="K777" s="31"/>
      <c r="L777" s="31"/>
      <c r="M777" s="31"/>
      <c r="N777" s="31"/>
    </row>
    <row r="778">
      <c r="A778" s="31">
        <f>IFERROR(__xludf.DUMMYFUNCTION("""COMPUTED_VALUE"""),848.0)</f>
        <v>848</v>
      </c>
      <c r="B778" s="31" t="str">
        <f>IFERROR(__xludf.DUMMYFUNCTION("""COMPUTED_VALUE"""),"Divyanshu Rastogi")</f>
        <v>Divyanshu Rastogi</v>
      </c>
      <c r="C778" s="47" t="str">
        <f>IFERROR(__xludf.DUMMYFUNCTION("""COMPUTED_VALUE"""),"divyanshur2017@email.iimcal.ac.in")</f>
        <v>divyanshur2017@email.iimcal.ac.in</v>
      </c>
      <c r="D778" s="84">
        <f>IFERROR(__xludf.DUMMYFUNCTION("""COMPUTED_VALUE"""),8.336947134E9)</f>
        <v>8336947134</v>
      </c>
      <c r="E778" s="99">
        <f>IFERROR(__xludf.DUMMYFUNCTION("""COMPUTED_VALUE"""),45852.0)</f>
        <v>45852</v>
      </c>
      <c r="F778" s="31"/>
      <c r="G778" s="85"/>
      <c r="H778" s="31"/>
      <c r="I778" s="31" t="str">
        <f>IFERROR(__xludf.DUMMYFUNCTION("""COMPUTED_VALUE"""),"Principal Product manager")</f>
        <v>Principal Product manager</v>
      </c>
      <c r="J778" s="31"/>
      <c r="K778" s="31" t="str">
        <f>IFERROR(__xludf.DUMMYFUNCTION("""COMPUTED_VALUE"""),"Naveen Kadyan")</f>
        <v>Naveen Kadyan</v>
      </c>
      <c r="L778" s="31"/>
      <c r="M778" s="31"/>
      <c r="N778" s="31"/>
    </row>
    <row r="779">
      <c r="A779" s="31">
        <f>IFERROR(__xludf.DUMMYFUNCTION("""COMPUTED_VALUE"""),849.0)</f>
        <v>849</v>
      </c>
      <c r="B779" s="31" t="str">
        <f>IFERROR(__xludf.DUMMYFUNCTION("""COMPUTED_VALUE"""),"Abhishek Bithu")</f>
        <v>Abhishek Bithu</v>
      </c>
      <c r="C779" s="31" t="str">
        <f>IFERROR(__xludf.DUMMYFUNCTION("""COMPUTED_VALUE"""),"iit2019199@iiita.ac.in")</f>
        <v>iit2019199@iiita.ac.in</v>
      </c>
      <c r="D779" s="84">
        <f>IFERROR(__xludf.DUMMYFUNCTION("""COMPUTED_VALUE"""),6.376307503E9)</f>
        <v>6376307503</v>
      </c>
      <c r="E779" s="99">
        <f>IFERROR(__xludf.DUMMYFUNCTION("""COMPUTED_VALUE"""),45852.0)</f>
        <v>45852</v>
      </c>
      <c r="F779" s="31"/>
      <c r="G779" s="85"/>
      <c r="H779" s="31"/>
      <c r="I779" s="31" t="str">
        <f>IFERROR(__xludf.DUMMYFUNCTION("""COMPUTED_VALUE"""),"Software Engineer - Android")</f>
        <v>Software Engineer - Android</v>
      </c>
      <c r="J779" s="31"/>
      <c r="K779" s="31" t="str">
        <f>IFERROR(__xludf.DUMMYFUNCTION("""COMPUTED_VALUE"""),"Anshul Mittal")</f>
        <v>Anshul Mittal</v>
      </c>
      <c r="L779" s="31"/>
      <c r="M779" s="31"/>
      <c r="N779" s="31"/>
    </row>
    <row r="780">
      <c r="A780" s="31">
        <f>IFERROR(__xludf.DUMMYFUNCTION("""COMPUTED_VALUE"""),850.0)</f>
        <v>850</v>
      </c>
      <c r="B780" s="31" t="str">
        <f>IFERROR(__xludf.DUMMYFUNCTION("""COMPUTED_VALUE"""),"Shuvamoy Roy")</f>
        <v>Shuvamoy Roy</v>
      </c>
      <c r="C780" s="31" t="str">
        <f>IFERROR(__xludf.DUMMYFUNCTION("""COMPUTED_VALUE""")," shuvamoyroy98@gmail.com")</f>
        <v> shuvamoyroy98@gmail.com</v>
      </c>
      <c r="D780" s="84">
        <f>IFERROR(__xludf.DUMMYFUNCTION("""COMPUTED_VALUE"""),8.777536907E9)</f>
        <v>8777536907</v>
      </c>
      <c r="E780" s="99">
        <f>IFERROR(__xludf.DUMMYFUNCTION("""COMPUTED_VALUE"""),45853.0)</f>
        <v>45853</v>
      </c>
      <c r="F780" s="31"/>
      <c r="G780" s="85"/>
      <c r="H780" s="31"/>
      <c r="I780" s="31" t="str">
        <f>IFERROR(__xludf.DUMMYFUNCTION("""COMPUTED_VALUE"""),"Senior Security Engineer")</f>
        <v>Senior Security Engineer</v>
      </c>
      <c r="J780" s="31"/>
      <c r="K780" s="31" t="str">
        <f>IFERROR(__xludf.DUMMYFUNCTION("""COMPUTED_VALUE"""),"Saurav Yadav")</f>
        <v>Saurav Yadav</v>
      </c>
      <c r="L780" s="31"/>
      <c r="M780" s="31"/>
      <c r="N780" s="31"/>
    </row>
    <row r="781">
      <c r="A781" s="31">
        <f>IFERROR(__xludf.DUMMYFUNCTION("""COMPUTED_VALUE"""),851.0)</f>
        <v>851</v>
      </c>
      <c r="B781" s="31" t="str">
        <f>IFERROR(__xludf.DUMMYFUNCTION("""COMPUTED_VALUE"""),"Akrant Sharma")</f>
        <v>Akrant Sharma</v>
      </c>
      <c r="C781" s="31" t="str">
        <f>IFERROR(__xludf.DUMMYFUNCTION("""COMPUTED_VALUE"""),"akrant.sharma@gmail.com")</f>
        <v>akrant.sharma@gmail.com</v>
      </c>
      <c r="D781" s="84">
        <f>IFERROR(__xludf.DUMMYFUNCTION("""COMPUTED_VALUE"""),9.873871865E9)</f>
        <v>9873871865</v>
      </c>
      <c r="E781" s="99">
        <f>IFERROR(__xludf.DUMMYFUNCTION("""COMPUTED_VALUE"""),45853.0)</f>
        <v>45853</v>
      </c>
      <c r="F781" s="31"/>
      <c r="G781" s="85"/>
      <c r="H781" s="31"/>
      <c r="I781" s="31" t="str">
        <f>IFERROR(__xludf.DUMMYFUNCTION("""COMPUTED_VALUE"""),"Senior Associate- Digital Marketing")</f>
        <v>Senior Associate- Digital Marketing</v>
      </c>
      <c r="J781" s="31"/>
      <c r="K781" s="31" t="str">
        <f>IFERROR(__xludf.DUMMYFUNCTION("""COMPUTED_VALUE"""),"Ritwika Rai")</f>
        <v>Ritwika Rai</v>
      </c>
      <c r="L781" s="31"/>
      <c r="M781" s="31"/>
      <c r="N781" s="31"/>
    </row>
    <row r="782">
      <c r="A782" s="31">
        <f>IFERROR(__xludf.DUMMYFUNCTION("""COMPUTED_VALUE"""),852.0)</f>
        <v>852</v>
      </c>
      <c r="B782" s="31" t="str">
        <f>IFERROR(__xludf.DUMMYFUNCTION("""COMPUTED_VALUE"""),"Saumitra Raj")</f>
        <v>Saumitra Raj</v>
      </c>
      <c r="C782" s="31" t="str">
        <f>IFERROR(__xludf.DUMMYFUNCTION("""COMPUTED_VALUE"""),"raj.saumitra@gmail.com")</f>
        <v>raj.saumitra@gmail.com</v>
      </c>
      <c r="D782" s="84">
        <f>IFERROR(__xludf.DUMMYFUNCTION("""COMPUTED_VALUE"""),9.986516267E9)</f>
        <v>9986516267</v>
      </c>
      <c r="E782" s="99">
        <f>IFERROR(__xludf.DUMMYFUNCTION("""COMPUTED_VALUE"""),45853.0)</f>
        <v>45853</v>
      </c>
      <c r="F782" s="31"/>
      <c r="G782" s="85"/>
      <c r="H782" s="31"/>
      <c r="I782" s="31" t="str">
        <f>IFERROR(__xludf.DUMMYFUNCTION("""COMPUTED_VALUE"""),"Director- Revenue and Growth")</f>
        <v>Director- Revenue and Growth</v>
      </c>
      <c r="J782" s="31"/>
      <c r="K782" s="31" t="str">
        <f>IFERROR(__xludf.DUMMYFUNCTION("""COMPUTED_VALUE"""),"Akanksha Dhamija")</f>
        <v>Akanksha Dhamija</v>
      </c>
      <c r="L782" s="31"/>
      <c r="M782" s="31"/>
      <c r="N782" s="31"/>
    </row>
    <row r="783">
      <c r="A783" s="31">
        <f>IFERROR(__xludf.DUMMYFUNCTION("""COMPUTED_VALUE"""),853.0)</f>
        <v>853</v>
      </c>
      <c r="B783" s="31" t="str">
        <f>IFERROR(__xludf.DUMMYFUNCTION("""COMPUTED_VALUE"""),"Ankit Madan")</f>
        <v>Ankit Madan</v>
      </c>
      <c r="C783" s="31" t="str">
        <f>IFERROR(__xludf.DUMMYFUNCTION("""COMPUTED_VALUE"""),"ankitmadaan013@gmail.com")</f>
        <v>ankitmadaan013@gmail.com</v>
      </c>
      <c r="D783" s="84">
        <f>IFERROR(__xludf.DUMMYFUNCTION("""COMPUTED_VALUE"""),9.971165914E9)</f>
        <v>9971165914</v>
      </c>
      <c r="E783" s="99">
        <f>IFERROR(__xludf.DUMMYFUNCTION("""COMPUTED_VALUE"""),45854.0)</f>
        <v>45854</v>
      </c>
      <c r="F783" s="31"/>
      <c r="G783" s="85"/>
      <c r="H783" s="31"/>
      <c r="I783" s="31" t="str">
        <f>IFERROR(__xludf.DUMMYFUNCTION("""COMPUTED_VALUE"""),"Director- Strategy and Growth")</f>
        <v>Director- Strategy and Growth</v>
      </c>
      <c r="J783" s="31"/>
      <c r="K783" s="31" t="str">
        <f>IFERROR(__xludf.DUMMYFUNCTION("""COMPUTED_VALUE"""),"Akanksha Dhamija")</f>
        <v>Akanksha Dhamija</v>
      </c>
      <c r="L783" s="31"/>
      <c r="M783" s="31"/>
      <c r="N783" s="31"/>
    </row>
    <row r="784">
      <c r="A784" s="31">
        <f>IFERROR(__xludf.DUMMYFUNCTION("""COMPUTED_VALUE"""),854.0)</f>
        <v>854</v>
      </c>
      <c r="B784" s="31" t="str">
        <f>IFERROR(__xludf.DUMMYFUNCTION("""COMPUTED_VALUE"""),"Mohim Singla")</f>
        <v>Mohim Singla</v>
      </c>
      <c r="C784" s="31" t="str">
        <f>IFERROR(__xludf.DUMMYFUNCTION("""COMPUTED_VALUE"""),"mohimsingla@gmail.com ")</f>
        <v>mohimsingla@gmail.com </v>
      </c>
      <c r="D784" s="84">
        <f>IFERROR(__xludf.DUMMYFUNCTION("""COMPUTED_VALUE"""),7.814693142E9)</f>
        <v>7814693142</v>
      </c>
      <c r="E784" s="99">
        <f>IFERROR(__xludf.DUMMYFUNCTION("""COMPUTED_VALUE"""),45854.0)</f>
        <v>45854</v>
      </c>
      <c r="F784" s="31"/>
      <c r="G784" s="85"/>
      <c r="H784" s="31"/>
      <c r="I784" s="31" t="str">
        <f>IFERROR(__xludf.DUMMYFUNCTION("""COMPUTED_VALUE"""),"Software Engineer")</f>
        <v>Software Engineer</v>
      </c>
      <c r="J784" s="31"/>
      <c r="K784" s="31" t="str">
        <f>IFERROR(__xludf.DUMMYFUNCTION("""COMPUTED_VALUE"""),"Abhishek Gupta")</f>
        <v>Abhishek Gupta</v>
      </c>
      <c r="L784" s="31"/>
      <c r="M784" s="31"/>
      <c r="N784" s="31"/>
    </row>
    <row r="785">
      <c r="A785" s="31">
        <f>IFERROR(__xludf.DUMMYFUNCTION("""COMPUTED_VALUE"""),855.0)</f>
        <v>855</v>
      </c>
      <c r="B785" s="31" t="str">
        <f>IFERROR(__xludf.DUMMYFUNCTION("""COMPUTED_VALUE"""),"Prakrati Gupta")</f>
        <v>Prakrati Gupta</v>
      </c>
      <c r="C785" s="31" t="str">
        <f>IFERROR(__xludf.DUMMYFUNCTION("""COMPUTED_VALUE"""),"prakratigupta507@gmail.com")</f>
        <v>prakratigupta507@gmail.com</v>
      </c>
      <c r="D785" s="84">
        <f>IFERROR(__xludf.DUMMYFUNCTION("""COMPUTED_VALUE"""),8.989845685E9)</f>
        <v>8989845685</v>
      </c>
      <c r="E785" s="99">
        <f>IFERROR(__xludf.DUMMYFUNCTION("""COMPUTED_VALUE"""),45854.0)</f>
        <v>45854</v>
      </c>
      <c r="F785" s="31"/>
      <c r="G785" s="85"/>
      <c r="H785" s="31"/>
      <c r="I785" s="31" t="str">
        <f>IFERROR(__xludf.DUMMYFUNCTION("""COMPUTED_VALUE"""),"Senior Software Engineer")</f>
        <v>Senior Software Engineer</v>
      </c>
      <c r="J785" s="31"/>
      <c r="K785" s="31" t="str">
        <f>IFERROR(__xludf.DUMMYFUNCTION("""COMPUTED_VALUE"""),"Abhishek Gupta")</f>
        <v>Abhishek Gupta</v>
      </c>
      <c r="L785" s="31"/>
      <c r="M785" s="31"/>
      <c r="N785" s="31"/>
    </row>
    <row r="786">
      <c r="A786" s="31">
        <f>IFERROR(__xludf.DUMMYFUNCTION("""COMPUTED_VALUE"""),856.0)</f>
        <v>856</v>
      </c>
      <c r="B786" s="31" t="str">
        <f>IFERROR(__xludf.DUMMYFUNCTION("""COMPUTED_VALUE"""),"Kamini")</f>
        <v>Kamini</v>
      </c>
      <c r="C786" s="31" t="str">
        <f>IFERROR(__xludf.DUMMYFUNCTION("""COMPUTED_VALUE"""),"rathorekamini168@gmail.com")</f>
        <v>rathorekamini168@gmail.com</v>
      </c>
      <c r="D786" s="84">
        <f>IFERROR(__xludf.DUMMYFUNCTION("""COMPUTED_VALUE"""),8.799772124E9)</f>
        <v>8799772124</v>
      </c>
      <c r="E786" s="99">
        <f>IFERROR(__xludf.DUMMYFUNCTION("""COMPUTED_VALUE"""),45859.0)</f>
        <v>45859</v>
      </c>
      <c r="F786" s="31"/>
      <c r="G786" s="85"/>
      <c r="H786" s="31"/>
      <c r="I786" s="31" t="str">
        <f>IFERROR(__xludf.DUMMYFUNCTION("""COMPUTED_VALUE"""),"Customer Success Executive")</f>
        <v>Customer Success Executive</v>
      </c>
      <c r="J786" s="31"/>
      <c r="K786" s="31" t="str">
        <f>IFERROR(__xludf.DUMMYFUNCTION("""COMPUTED_VALUE"""),"Mrityunjay")</f>
        <v>Mrityunjay</v>
      </c>
      <c r="L786" s="31"/>
      <c r="M786" s="31"/>
      <c r="N786" s="31"/>
    </row>
    <row r="787">
      <c r="A787" s="31">
        <f>IFERROR(__xludf.DUMMYFUNCTION("""COMPUTED_VALUE"""),857.0)</f>
        <v>857</v>
      </c>
      <c r="B787" s="31" t="str">
        <f>IFERROR(__xludf.DUMMYFUNCTION("""COMPUTED_VALUE"""),"Durgesh Shukla")</f>
        <v>Durgesh Shukla</v>
      </c>
      <c r="C787" s="31" t="str">
        <f>IFERROR(__xludf.DUMMYFUNCTION("""COMPUTED_VALUE"""),"shuk9768@gmail.com")</f>
        <v>shuk9768@gmail.com</v>
      </c>
      <c r="D787" s="84">
        <f>IFERROR(__xludf.DUMMYFUNCTION("""COMPUTED_VALUE"""),9.517260232E9)</f>
        <v>9517260232</v>
      </c>
      <c r="E787" s="99">
        <f>IFERROR(__xludf.DUMMYFUNCTION("""COMPUTED_VALUE"""),45859.0)</f>
        <v>45859</v>
      </c>
      <c r="F787" s="31"/>
      <c r="G787" s="85"/>
      <c r="H787" s="31"/>
      <c r="I787" s="31" t="str">
        <f>IFERROR(__xludf.DUMMYFUNCTION("""COMPUTED_VALUE"""),"Customer Success Executive")</f>
        <v>Customer Success Executive</v>
      </c>
      <c r="J787" s="31"/>
      <c r="K787" s="31" t="str">
        <f>IFERROR(__xludf.DUMMYFUNCTION("""COMPUTED_VALUE"""),"Mrityunjay")</f>
        <v>Mrityunjay</v>
      </c>
      <c r="L787" s="31"/>
      <c r="M787" s="31"/>
      <c r="N787" s="31"/>
    </row>
    <row r="788">
      <c r="A788" s="31">
        <f>IFERROR(__xludf.DUMMYFUNCTION("""COMPUTED_VALUE"""),858.0)</f>
        <v>858</v>
      </c>
      <c r="B788" s="31" t="str">
        <f>IFERROR(__xludf.DUMMYFUNCTION("""COMPUTED_VALUE"""),"Jatin Solanki")</f>
        <v>Jatin Solanki</v>
      </c>
      <c r="C788" s="31" t="str">
        <f>IFERROR(__xludf.DUMMYFUNCTION("""COMPUTED_VALUE"""),"solankijai17@gmail.com")</f>
        <v>solankijai17@gmail.com</v>
      </c>
      <c r="D788" s="84">
        <f>IFERROR(__xludf.DUMMYFUNCTION("""COMPUTED_VALUE"""),9.911594894E9)</f>
        <v>9911594894</v>
      </c>
      <c r="E788" s="99">
        <f>IFERROR(__xludf.DUMMYFUNCTION("""COMPUTED_VALUE"""),45859.0)</f>
        <v>45859</v>
      </c>
      <c r="F788" s="31"/>
      <c r="G788" s="85"/>
      <c r="H788" s="31"/>
      <c r="I788" s="31" t="str">
        <f>IFERROR(__xludf.DUMMYFUNCTION("""COMPUTED_VALUE"""),"Customer Success Executive")</f>
        <v>Customer Success Executive</v>
      </c>
      <c r="J788" s="31"/>
      <c r="K788" s="31" t="str">
        <f>IFERROR(__xludf.DUMMYFUNCTION("""COMPUTED_VALUE"""),"Mrityunjay")</f>
        <v>Mrityunjay</v>
      </c>
      <c r="L788" s="31"/>
      <c r="M788" s="31"/>
      <c r="N788" s="31"/>
    </row>
    <row r="789">
      <c r="A789" s="31">
        <f>IFERROR(__xludf.DUMMYFUNCTION("""COMPUTED_VALUE"""),859.0)</f>
        <v>859</v>
      </c>
      <c r="B789" s="31" t="str">
        <f>IFERROR(__xludf.DUMMYFUNCTION("""COMPUTED_VALUE"""),"Laxmi")</f>
        <v>Laxmi</v>
      </c>
      <c r="C789" s="31" t="str">
        <f>IFERROR(__xludf.DUMMYFUNCTION("""COMPUTED_VALUE"""),"laxmirajput7042@gmail.com")</f>
        <v>laxmirajput7042@gmail.com</v>
      </c>
      <c r="D789" s="84">
        <f>IFERROR(__xludf.DUMMYFUNCTION("""COMPUTED_VALUE"""),7.042962369E9)</f>
        <v>7042962369</v>
      </c>
      <c r="E789" s="99">
        <f>IFERROR(__xludf.DUMMYFUNCTION("""COMPUTED_VALUE"""),45859.0)</f>
        <v>45859</v>
      </c>
      <c r="F789" s="31"/>
      <c r="G789" s="85"/>
      <c r="H789" s="31"/>
      <c r="I789" s="31" t="str">
        <f>IFERROR(__xludf.DUMMYFUNCTION("""COMPUTED_VALUE"""),"Customer Success Executive")</f>
        <v>Customer Success Executive</v>
      </c>
      <c r="J789" s="31"/>
      <c r="K789" s="31" t="str">
        <f>IFERROR(__xludf.DUMMYFUNCTION("""COMPUTED_VALUE"""),"Mrityunjay")</f>
        <v>Mrityunjay</v>
      </c>
      <c r="L789" s="31"/>
      <c r="M789" s="31"/>
      <c r="N789" s="31"/>
    </row>
    <row r="790">
      <c r="A790" s="31">
        <f>IFERROR(__xludf.DUMMYFUNCTION("""COMPUTED_VALUE"""),860.0)</f>
        <v>860</v>
      </c>
      <c r="B790" s="31" t="str">
        <f>IFERROR(__xludf.DUMMYFUNCTION("""COMPUTED_VALUE"""),"Mohd. Saad Khan")</f>
        <v>Mohd. Saad Khan</v>
      </c>
      <c r="C790" s="31" t="str">
        <f>IFERROR(__xludf.DUMMYFUNCTION("""COMPUTED_VALUE"""),"jmisaadkhan@gmail.com")</f>
        <v>jmisaadkhan@gmail.com</v>
      </c>
      <c r="D790" s="84">
        <f>IFERROR(__xludf.DUMMYFUNCTION("""COMPUTED_VALUE"""),9.760119031E9)</f>
        <v>9760119031</v>
      </c>
      <c r="E790" s="99">
        <f>IFERROR(__xludf.DUMMYFUNCTION("""COMPUTED_VALUE"""),45859.0)</f>
        <v>45859</v>
      </c>
      <c r="F790" s="31"/>
      <c r="G790" s="85"/>
      <c r="H790" s="31"/>
      <c r="I790" s="31" t="str">
        <f>IFERROR(__xludf.DUMMYFUNCTION("""COMPUTED_VALUE"""),"Customer Success Executive")</f>
        <v>Customer Success Executive</v>
      </c>
      <c r="J790" s="31"/>
      <c r="K790" s="31" t="str">
        <f>IFERROR(__xludf.DUMMYFUNCTION("""COMPUTED_VALUE"""),"Mrityunjay")</f>
        <v>Mrityunjay</v>
      </c>
      <c r="L790" s="31"/>
      <c r="M790" s="31"/>
      <c r="N790" s="31"/>
    </row>
    <row r="791">
      <c r="A791" s="31">
        <f>IFERROR(__xludf.DUMMYFUNCTION("""COMPUTED_VALUE"""),861.0)</f>
        <v>861</v>
      </c>
      <c r="B791" s="31" t="str">
        <f>IFERROR(__xludf.DUMMYFUNCTION("""COMPUTED_VALUE"""),"Sunil Pawar")</f>
        <v>Sunil Pawar</v>
      </c>
      <c r="C791" s="31" t="str">
        <f>IFERROR(__xludf.DUMMYFUNCTION("""COMPUTED_VALUE"""),"sunilpawarr@gmail.com")</f>
        <v>sunilpawarr@gmail.com</v>
      </c>
      <c r="D791" s="84">
        <f>IFERROR(__xludf.DUMMYFUNCTION("""COMPUTED_VALUE"""),9.740005642E9)</f>
        <v>9740005642</v>
      </c>
      <c r="E791" s="99">
        <f>IFERROR(__xludf.DUMMYFUNCTION("""COMPUTED_VALUE"""),45859.0)</f>
        <v>45859</v>
      </c>
      <c r="F791" s="31"/>
      <c r="G791" s="85"/>
      <c r="H791" s="31"/>
      <c r="I791" s="31" t="str">
        <f>IFERROR(__xludf.DUMMYFUNCTION("""COMPUTED_VALUE"""),"Customer Success Executive")</f>
        <v>Customer Success Executive</v>
      </c>
      <c r="J791" s="31"/>
      <c r="K791" s="31" t="str">
        <f>IFERROR(__xludf.DUMMYFUNCTION("""COMPUTED_VALUE"""),"Mrityunjay")</f>
        <v>Mrityunjay</v>
      </c>
      <c r="L791" s="31"/>
      <c r="M791" s="31"/>
      <c r="N791" s="31"/>
    </row>
    <row r="792">
      <c r="A792" s="31">
        <f>IFERROR(__xludf.DUMMYFUNCTION("""COMPUTED_VALUE"""),862.0)</f>
        <v>862</v>
      </c>
      <c r="B792" s="31" t="str">
        <f>IFERROR(__xludf.DUMMYFUNCTION("""COMPUTED_VALUE"""),"Mohammad Ubed")</f>
        <v>Mohammad Ubed</v>
      </c>
      <c r="C792" s="31" t="str">
        <f>IFERROR(__xludf.DUMMYFUNCTION("""COMPUTED_VALUE"""),"kubaid199@gmail.com")</f>
        <v>kubaid199@gmail.com</v>
      </c>
      <c r="D792" s="84">
        <f>IFERROR(__xludf.DUMMYFUNCTION("""COMPUTED_VALUE"""),9.990826708E9)</f>
        <v>9990826708</v>
      </c>
      <c r="E792" s="99">
        <f>IFERROR(__xludf.DUMMYFUNCTION("""COMPUTED_VALUE"""),45859.0)</f>
        <v>45859</v>
      </c>
      <c r="F792" s="31"/>
      <c r="G792" s="85"/>
      <c r="H792" s="31"/>
      <c r="I792" s="31" t="str">
        <f>IFERROR(__xludf.DUMMYFUNCTION("""COMPUTED_VALUE"""),"Customer Success Executive")</f>
        <v>Customer Success Executive</v>
      </c>
      <c r="J792" s="31"/>
      <c r="K792" s="31" t="str">
        <f>IFERROR(__xludf.DUMMYFUNCTION("""COMPUTED_VALUE"""),"Mrityunjay")</f>
        <v>Mrityunjay</v>
      </c>
      <c r="L792" s="31"/>
      <c r="M792" s="31"/>
      <c r="N792" s="31"/>
    </row>
    <row r="793">
      <c r="A793" s="31">
        <f>IFERROR(__xludf.DUMMYFUNCTION("""COMPUTED_VALUE"""),863.0)</f>
        <v>863</v>
      </c>
      <c r="B793" s="31" t="str">
        <f>IFERROR(__xludf.DUMMYFUNCTION("""COMPUTED_VALUE"""),"Vinod ")</f>
        <v>Vinod </v>
      </c>
      <c r="C793" s="31" t="str">
        <f>IFERROR(__xludf.DUMMYFUNCTION("""COMPUTED_VALUE"""),"sharmavinod9068@gmail.com")</f>
        <v>sharmavinod9068@gmail.com</v>
      </c>
      <c r="D793" s="84">
        <f>IFERROR(__xludf.DUMMYFUNCTION("""COMPUTED_VALUE"""),7.727823377E9)</f>
        <v>7727823377</v>
      </c>
      <c r="E793" s="99">
        <f>IFERROR(__xludf.DUMMYFUNCTION("""COMPUTED_VALUE"""),45859.0)</f>
        <v>45859</v>
      </c>
      <c r="F793" s="31"/>
      <c r="G793" s="85"/>
      <c r="H793" s="31"/>
      <c r="I793" s="31" t="str">
        <f>IFERROR(__xludf.DUMMYFUNCTION("""COMPUTED_VALUE"""),"Customer Success Executive")</f>
        <v>Customer Success Executive</v>
      </c>
      <c r="J793" s="31"/>
      <c r="K793" s="31" t="str">
        <f>IFERROR(__xludf.DUMMYFUNCTION("""COMPUTED_VALUE"""),"Mrityunjay")</f>
        <v>Mrityunjay</v>
      </c>
      <c r="L793" s="31"/>
      <c r="M793" s="31"/>
      <c r="N793" s="31"/>
    </row>
    <row r="794">
      <c r="A794" s="31">
        <f>IFERROR(__xludf.DUMMYFUNCTION("""COMPUTED_VALUE"""),864.0)</f>
        <v>864</v>
      </c>
      <c r="B794" s="31" t="str">
        <f>IFERROR(__xludf.DUMMYFUNCTION("""COMPUTED_VALUE"""),"Shubham")</f>
        <v>Shubham</v>
      </c>
      <c r="C794" s="31" t="str">
        <f>IFERROR(__xludf.DUMMYFUNCTION("""COMPUTED_VALUE"""),"ms2852605@gmail.com")</f>
        <v>ms2852605@gmail.com</v>
      </c>
      <c r="D794" s="84">
        <f>IFERROR(__xludf.DUMMYFUNCTION("""COMPUTED_VALUE"""),8.769859292E9)</f>
        <v>8769859292</v>
      </c>
      <c r="E794" s="99">
        <f>IFERROR(__xludf.DUMMYFUNCTION("""COMPUTED_VALUE"""),45859.0)</f>
        <v>45859</v>
      </c>
      <c r="F794" s="31"/>
      <c r="G794" s="85"/>
      <c r="H794" s="31"/>
      <c r="I794" s="31" t="str">
        <f>IFERROR(__xludf.DUMMYFUNCTION("""COMPUTED_VALUE"""),"Customer Success Executive")</f>
        <v>Customer Success Executive</v>
      </c>
      <c r="J794" s="31"/>
      <c r="K794" s="31" t="str">
        <f>IFERROR(__xludf.DUMMYFUNCTION("""COMPUTED_VALUE"""),"Mrityunjay")</f>
        <v>Mrityunjay</v>
      </c>
      <c r="L794" s="31"/>
      <c r="M794" s="31"/>
      <c r="N794" s="31"/>
    </row>
    <row r="795">
      <c r="A795" s="31">
        <f>IFERROR(__xludf.DUMMYFUNCTION("""COMPUTED_VALUE"""),865.0)</f>
        <v>865</v>
      </c>
      <c r="B795" s="31" t="str">
        <f>IFERROR(__xludf.DUMMYFUNCTION("""COMPUTED_VALUE"""),"Aditya Singh Jaswal")</f>
        <v>Aditya Singh Jaswal</v>
      </c>
      <c r="C795" s="47" t="str">
        <f>IFERROR(__xludf.DUMMYFUNCTION("""COMPUTED_VALUE"""),"aditya7807468001@gmail.com")</f>
        <v>aditya7807468001@gmail.com</v>
      </c>
      <c r="D795" s="84">
        <f>IFERROR(__xludf.DUMMYFUNCTION("""COMPUTED_VALUE"""),7.876400575E9)</f>
        <v>7876400575</v>
      </c>
      <c r="E795" s="99">
        <f>IFERROR(__xludf.DUMMYFUNCTION("""COMPUTED_VALUE"""),45859.0)</f>
        <v>45859</v>
      </c>
      <c r="F795" s="31"/>
      <c r="G795" s="85"/>
      <c r="H795" s="31"/>
      <c r="I795" s="31" t="str">
        <f>IFERROR(__xludf.DUMMYFUNCTION("""COMPUTED_VALUE"""),"Assistant Manager- Digital Marketing")</f>
        <v>Assistant Manager- Digital Marketing</v>
      </c>
      <c r="J795" s="31"/>
      <c r="K795" s="31" t="str">
        <f>IFERROR(__xludf.DUMMYFUNCTION("""COMPUTED_VALUE"""),"Ritwika Rai")</f>
        <v>Ritwika Rai</v>
      </c>
      <c r="L795" s="31"/>
      <c r="M795" s="31"/>
      <c r="N795" s="31"/>
    </row>
    <row r="796">
      <c r="A796" s="31">
        <f>IFERROR(__xludf.DUMMYFUNCTION("""COMPUTED_VALUE"""),866.0)</f>
        <v>866</v>
      </c>
      <c r="B796" s="31" t="str">
        <f>IFERROR(__xludf.DUMMYFUNCTION("""COMPUTED_VALUE"""),"Kunal Shivhare")</f>
        <v>Kunal Shivhare</v>
      </c>
      <c r="C796" s="31" t="str">
        <f>IFERROR(__xludf.DUMMYFUNCTION("""COMPUTED_VALUE"""),"Kunalshivhare58@gmail.com  ")</f>
        <v>Kunalshivhare58@gmail.com  </v>
      </c>
      <c r="D796" s="84">
        <f>IFERROR(__xludf.DUMMYFUNCTION("""COMPUTED_VALUE"""),7.724872387E9)</f>
        <v>7724872387</v>
      </c>
      <c r="E796" s="99">
        <f>IFERROR(__xludf.DUMMYFUNCTION("""COMPUTED_VALUE"""),45859.0)</f>
        <v>45859</v>
      </c>
      <c r="F796" s="31"/>
      <c r="G796" s="85"/>
      <c r="H796" s="31"/>
      <c r="I796" s="31" t="str">
        <f>IFERROR(__xludf.DUMMYFUNCTION("""COMPUTED_VALUE"""),"Software Engineer - React Native")</f>
        <v>Software Engineer - React Native</v>
      </c>
      <c r="J796" s="31"/>
      <c r="K796" s="31" t="str">
        <f>IFERROR(__xludf.DUMMYFUNCTION("""COMPUTED_VALUE"""),"Anshul Mittal")</f>
        <v>Anshul Mittal</v>
      </c>
      <c r="L796" s="31"/>
      <c r="M796" s="31"/>
      <c r="N796" s="31"/>
    </row>
    <row r="797">
      <c r="A797" s="31">
        <f>IFERROR(__xludf.DUMMYFUNCTION("""COMPUTED_VALUE"""),867.0)</f>
        <v>867</v>
      </c>
      <c r="B797" s="31" t="str">
        <f>IFERROR(__xludf.DUMMYFUNCTION("""COMPUTED_VALUE"""),"Harshit Singh Negi")</f>
        <v>Harshit Singh Negi</v>
      </c>
      <c r="C797" s="31" t="str">
        <f>IFERROR(__xludf.DUMMYFUNCTION("""COMPUTED_VALUE"""),"harshit280399@gmail.com")</f>
        <v>harshit280399@gmail.com</v>
      </c>
      <c r="D797" s="84">
        <f>IFERROR(__xludf.DUMMYFUNCTION("""COMPUTED_VALUE"""),8.756475324E9)</f>
        <v>8756475324</v>
      </c>
      <c r="E797" s="99">
        <f>IFERROR(__xludf.DUMMYFUNCTION("""COMPUTED_VALUE"""),45859.0)</f>
        <v>45859</v>
      </c>
      <c r="F797" s="31"/>
      <c r="G797" s="85"/>
      <c r="H797" s="31"/>
      <c r="I797" s="31" t="str">
        <f>IFERROR(__xludf.DUMMYFUNCTION("""COMPUTED_VALUE"""),"Senior Executive- Product Marketing")</f>
        <v>Senior Executive- Product Marketing</v>
      </c>
      <c r="J797" s="31"/>
      <c r="K797" s="31" t="str">
        <f>IFERROR(__xludf.DUMMYFUNCTION("""COMPUTED_VALUE"""),"Aditya Jha")</f>
        <v>Aditya Jha</v>
      </c>
      <c r="L797" s="31"/>
      <c r="M797" s="31"/>
      <c r="N797" s="31"/>
    </row>
    <row r="798">
      <c r="A798" s="31">
        <f>IFERROR(__xludf.DUMMYFUNCTION("""COMPUTED_VALUE"""),868.0)</f>
        <v>868</v>
      </c>
      <c r="B798" s="31" t="str">
        <f>IFERROR(__xludf.DUMMYFUNCTION("""COMPUTED_VALUE"""),"Nitish naidu")</f>
        <v>Nitish naidu</v>
      </c>
      <c r="C798" s="31" t="str">
        <f>IFERROR(__xludf.DUMMYFUNCTION("""COMPUTED_VALUE""")," nitishnaidu.iitb@gmail.com   ")</f>
        <v> nitishnaidu.iitb@gmail.com   </v>
      </c>
      <c r="D798" s="84">
        <f>IFERROR(__xludf.DUMMYFUNCTION("""COMPUTED_VALUE"""),9.960683139E9)</f>
        <v>9960683139</v>
      </c>
      <c r="E798" s="99">
        <f>IFERROR(__xludf.DUMMYFUNCTION("""COMPUTED_VALUE"""),45859.0)</f>
        <v>45859</v>
      </c>
      <c r="F798" s="31"/>
      <c r="G798" s="85"/>
      <c r="H798" s="31"/>
      <c r="I798" s="31" t="str">
        <f>IFERROR(__xludf.DUMMYFUNCTION("""COMPUTED_VALUE"""),"Software Engineer")</f>
        <v>Software Engineer</v>
      </c>
      <c r="J798" s="31"/>
      <c r="K798" s="31" t="str">
        <f>IFERROR(__xludf.DUMMYFUNCTION("""COMPUTED_VALUE"""),"Abhishek Gupta")</f>
        <v>Abhishek Gupta</v>
      </c>
      <c r="L798" s="31"/>
      <c r="M798" s="31"/>
      <c r="N798" s="31"/>
    </row>
    <row r="799">
      <c r="A799" s="31">
        <f>IFERROR(__xludf.DUMMYFUNCTION("""COMPUTED_VALUE"""),869.0)</f>
        <v>869</v>
      </c>
      <c r="B799" s="31" t="str">
        <f>IFERROR(__xludf.DUMMYFUNCTION("""COMPUTED_VALUE"""),"Varen Gupta")</f>
        <v>Varen Gupta</v>
      </c>
      <c r="C799" s="31" t="str">
        <f>IFERROR(__xludf.DUMMYFUNCTION("""COMPUTED_VALUE"""),"varen.du.or.17@gmail.com")</f>
        <v>varen.du.or.17@gmail.com</v>
      </c>
      <c r="D799" s="84">
        <f>IFERROR(__xludf.DUMMYFUNCTION("""COMPUTED_VALUE"""),9.452766237E9)</f>
        <v>9452766237</v>
      </c>
      <c r="E799" s="99">
        <f>IFERROR(__xludf.DUMMYFUNCTION("""COMPUTED_VALUE"""),45859.0)</f>
        <v>45859</v>
      </c>
      <c r="F799" s="31"/>
      <c r="G799" s="85"/>
      <c r="H799" s="31"/>
      <c r="I799" s="31" t="str">
        <f>IFERROR(__xludf.DUMMYFUNCTION("""COMPUTED_VALUE"""),"Lead Data Scientist")</f>
        <v>Lead Data Scientist</v>
      </c>
      <c r="J799" s="31"/>
      <c r="K799" s="31" t="str">
        <f>IFERROR(__xludf.DUMMYFUNCTION("""COMPUTED_VALUE"""),"Deep Dwivedi")</f>
        <v>Deep Dwivedi</v>
      </c>
      <c r="L799" s="31"/>
      <c r="M799" s="31"/>
      <c r="N799" s="31"/>
    </row>
    <row r="800">
      <c r="A800" s="31">
        <f>IFERROR(__xludf.DUMMYFUNCTION("""COMPUTED_VALUE"""),870.0)</f>
        <v>870</v>
      </c>
      <c r="B800" s="31" t="str">
        <f>IFERROR(__xludf.DUMMYFUNCTION("""COMPUTED_VALUE"""),"Kashish Baliyan")</f>
        <v>Kashish Baliyan</v>
      </c>
      <c r="C800" s="86" t="str">
        <f>IFERROR(__xludf.DUMMYFUNCTION("""COMPUTED_VALUE"""),"kashishbaliyan@gmail.com")</f>
        <v>kashishbaliyan@gmail.com</v>
      </c>
      <c r="D800" s="84">
        <f>IFERROR(__xludf.DUMMYFUNCTION("""COMPUTED_VALUE"""),7.037244374E9)</f>
        <v>7037244374</v>
      </c>
      <c r="E800" s="99">
        <f>IFERROR(__xludf.DUMMYFUNCTION("""COMPUTED_VALUE"""),45859.0)</f>
        <v>45859</v>
      </c>
      <c r="F800" s="31"/>
      <c r="G800" s="85"/>
      <c r="H800" s="31"/>
      <c r="I800" s="31" t="str">
        <f>IFERROR(__xludf.DUMMYFUNCTION("""COMPUTED_VALUE"""),"Contractual : Test Yantra")</f>
        <v>Contractual : Test Yantra</v>
      </c>
      <c r="J800" s="31"/>
      <c r="K800" s="31" t="str">
        <f>IFERROR(__xludf.DUMMYFUNCTION("""COMPUTED_VALUE"""),"Vishal Aggarwal ")</f>
        <v>Vishal Aggarwal </v>
      </c>
      <c r="L800" s="31"/>
      <c r="M800" s="31"/>
      <c r="N800" s="31"/>
    </row>
    <row r="801">
      <c r="A801" s="31">
        <f>IFERROR(__xludf.DUMMYFUNCTION("""COMPUTED_VALUE"""),871.0)</f>
        <v>871</v>
      </c>
      <c r="B801" s="31" t="str">
        <f>IFERROR(__xludf.DUMMYFUNCTION("""COMPUTED_VALUE"""),"Aditya Goswami ")</f>
        <v>Aditya Goswami </v>
      </c>
      <c r="C801" s="86" t="str">
        <f>IFERROR(__xludf.DUMMYFUNCTION("""COMPUTED_VALUE"""),"ag2881427@gmail.com")</f>
        <v>ag2881427@gmail.com</v>
      </c>
      <c r="D801" s="84">
        <f>IFERROR(__xludf.DUMMYFUNCTION("""COMPUTED_VALUE"""),7.004926261E9)</f>
        <v>7004926261</v>
      </c>
      <c r="E801" s="99">
        <f>IFERROR(__xludf.DUMMYFUNCTION("""COMPUTED_VALUE"""),45861.0)</f>
        <v>45861</v>
      </c>
      <c r="F801" s="31"/>
      <c r="G801" s="85"/>
      <c r="H801" s="31"/>
      <c r="I801" s="31" t="str">
        <f>IFERROR(__xludf.DUMMYFUNCTION("""COMPUTED_VALUE"""),"Contractual : Test Yantra")</f>
        <v>Contractual : Test Yantra</v>
      </c>
      <c r="J801" s="31"/>
      <c r="K801" s="31" t="str">
        <f>IFERROR(__xludf.DUMMYFUNCTION("""COMPUTED_VALUE"""),"Vishal Aggarwal ")</f>
        <v>Vishal Aggarwal </v>
      </c>
      <c r="L801" s="31"/>
      <c r="M801" s="31"/>
      <c r="N801" s="31"/>
    </row>
    <row r="802">
      <c r="A802" s="31">
        <f>IFERROR(__xludf.DUMMYFUNCTION("""COMPUTED_VALUE"""),872.0)</f>
        <v>872</v>
      </c>
      <c r="B802" s="31" t="str">
        <f>IFERROR(__xludf.DUMMYFUNCTION("""COMPUTED_VALUE"""),"Vivek Pal ")</f>
        <v>Vivek Pal </v>
      </c>
      <c r="C802" s="86" t="str">
        <f>IFERROR(__xludf.DUMMYFUNCTION("""COMPUTED_VALUE"""),"palv703@gmail.com")</f>
        <v>palv703@gmail.com</v>
      </c>
      <c r="D802" s="84">
        <f>IFERROR(__xludf.DUMMYFUNCTION("""COMPUTED_VALUE"""),9.729481062E9)</f>
        <v>9729481062</v>
      </c>
      <c r="E802" s="99">
        <f>IFERROR(__xludf.DUMMYFUNCTION("""COMPUTED_VALUE"""),45861.0)</f>
        <v>45861</v>
      </c>
      <c r="F802" s="31"/>
      <c r="G802" s="85"/>
      <c r="H802" s="31"/>
      <c r="I802" s="31" t="str">
        <f>IFERROR(__xludf.DUMMYFUNCTION("""COMPUTED_VALUE"""),"Contractual : Test Yantra")</f>
        <v>Contractual : Test Yantra</v>
      </c>
      <c r="J802" s="31"/>
      <c r="K802" s="31" t="str">
        <f>IFERROR(__xludf.DUMMYFUNCTION("""COMPUTED_VALUE"""),"Vishal Aggarwal ")</f>
        <v>Vishal Aggarwal </v>
      </c>
      <c r="L802" s="31"/>
      <c r="M802" s="31"/>
      <c r="N802" s="31"/>
    </row>
    <row r="803">
      <c r="A803" s="31">
        <f>IFERROR(__xludf.DUMMYFUNCTION("""COMPUTED_VALUE"""),873.0)</f>
        <v>873</v>
      </c>
      <c r="B803" s="31" t="str">
        <f>IFERROR(__xludf.DUMMYFUNCTION("""COMPUTED_VALUE"""),"Prateek Sharma")</f>
        <v>Prateek Sharma</v>
      </c>
      <c r="C803" s="31" t="str">
        <f>IFERROR(__xludf.DUMMYFUNCTION("""COMPUTED_VALUE"""),"prateeksharma1122111@gmail.com")</f>
        <v>prateeksharma1122111@gmail.com</v>
      </c>
      <c r="D803" s="84">
        <f>IFERROR(__xludf.DUMMYFUNCTION("""COMPUTED_VALUE"""),7.014710326E9)</f>
        <v>7014710326</v>
      </c>
      <c r="E803" s="99">
        <f>IFERROR(__xludf.DUMMYFUNCTION("""COMPUTED_VALUE"""),45861.0)</f>
        <v>45861</v>
      </c>
      <c r="F803" s="31"/>
      <c r="G803" s="85"/>
      <c r="H803" s="31"/>
      <c r="I803" s="31" t="str">
        <f>IFERROR(__xludf.DUMMYFUNCTION("""COMPUTED_VALUE"""),"Software Engineer")</f>
        <v>Software Engineer</v>
      </c>
      <c r="J803" s="31"/>
      <c r="K803" s="31" t="str">
        <f>IFERROR(__xludf.DUMMYFUNCTION("""COMPUTED_VALUE"""),"Abhishek Gupta")</f>
        <v>Abhishek Gupta</v>
      </c>
      <c r="L803" s="31"/>
      <c r="M803" s="31"/>
      <c r="N803" s="31"/>
    </row>
    <row r="804">
      <c r="A804" s="31">
        <f>IFERROR(__xludf.DUMMYFUNCTION("""COMPUTED_VALUE"""),874.0)</f>
        <v>874</v>
      </c>
      <c r="B804" s="31" t="str">
        <f>IFERROR(__xludf.DUMMYFUNCTION("""COMPUTED_VALUE"""),"Gaurav Prakash")</f>
        <v>Gaurav Prakash</v>
      </c>
      <c r="C804" s="31" t="str">
        <f>IFERROR(__xludf.DUMMYFUNCTION("""COMPUTED_VALUE"""),"gchamoli979@gmail.com")</f>
        <v>gchamoli979@gmail.com</v>
      </c>
      <c r="D804" s="84">
        <f>IFERROR(__xludf.DUMMYFUNCTION("""COMPUTED_VALUE"""),9.582029214E9)</f>
        <v>9582029214</v>
      </c>
      <c r="E804" s="99">
        <f>IFERROR(__xludf.DUMMYFUNCTION("""COMPUTED_VALUE"""),45861.0)</f>
        <v>45861</v>
      </c>
      <c r="F804" s="31"/>
      <c r="G804" s="85"/>
      <c r="H804" s="31"/>
      <c r="I804" s="31" t="str">
        <f>IFERROR(__xludf.DUMMYFUNCTION("""COMPUTED_VALUE"""),"Software Engineer")</f>
        <v>Software Engineer</v>
      </c>
      <c r="J804" s="31"/>
      <c r="K804" s="31" t="str">
        <f>IFERROR(__xludf.DUMMYFUNCTION("""COMPUTED_VALUE"""),"Sahil Puri")</f>
        <v>Sahil Puri</v>
      </c>
      <c r="L804" s="31"/>
      <c r="M804" s="31"/>
      <c r="N804" s="31"/>
    </row>
    <row r="805">
      <c r="A805" s="31">
        <f>IFERROR(__xludf.DUMMYFUNCTION("""COMPUTED_VALUE"""),875.0)</f>
        <v>875</v>
      </c>
      <c r="B805" s="31" t="str">
        <f>IFERROR(__xludf.DUMMYFUNCTION("""COMPUTED_VALUE"""),"Ishan Rajendra Margamwar")</f>
        <v>Ishan Rajendra Margamwar</v>
      </c>
      <c r="C805" s="31" t="str">
        <f>IFERROR(__xludf.DUMMYFUNCTION("""COMPUTED_VALUE"""),"margamwarishan@gmail.com")</f>
        <v>margamwarishan@gmail.com</v>
      </c>
      <c r="D805" s="84">
        <f>IFERROR(__xludf.DUMMYFUNCTION("""COMPUTED_VALUE"""),7.387728226E9)</f>
        <v>7387728226</v>
      </c>
      <c r="E805" s="99">
        <f>IFERROR(__xludf.DUMMYFUNCTION("""COMPUTED_VALUE"""),45861.0)</f>
        <v>45861</v>
      </c>
      <c r="F805" s="31"/>
      <c r="G805" s="85"/>
      <c r="H805" s="31"/>
      <c r="I805" s="31" t="str">
        <f>IFERROR(__xludf.DUMMYFUNCTION("""COMPUTED_VALUE"""),"Assistant Manager- FRM")</f>
        <v>Assistant Manager- FRM</v>
      </c>
      <c r="J805" s="31"/>
      <c r="K805" s="31" t="str">
        <f>IFERROR(__xludf.DUMMYFUNCTION("""COMPUTED_VALUE"""),"Aman Khare")</f>
        <v>Aman Khare</v>
      </c>
      <c r="L805" s="31"/>
      <c r="M805" s="31"/>
      <c r="N805" s="31"/>
    </row>
    <row r="806">
      <c r="A806" s="31">
        <f>IFERROR(__xludf.DUMMYFUNCTION("""COMPUTED_VALUE"""),876.0)</f>
        <v>876</v>
      </c>
      <c r="B806" s="31" t="str">
        <f>IFERROR(__xludf.DUMMYFUNCTION("""COMPUTED_VALUE"""),"Arham Ali")</f>
        <v>Arham Ali</v>
      </c>
      <c r="C806" s="31" t="str">
        <f>IFERROR(__xludf.DUMMYFUNCTION("""COMPUTED_VALUE"""),"arhamqwerty@gmail.com")</f>
        <v>arhamqwerty@gmail.com</v>
      </c>
      <c r="D806" s="84">
        <f>IFERROR(__xludf.DUMMYFUNCTION("""COMPUTED_VALUE"""),9.650747053E9)</f>
        <v>9650747053</v>
      </c>
      <c r="E806" s="99">
        <f>IFERROR(__xludf.DUMMYFUNCTION("""COMPUTED_VALUE"""),45862.0)</f>
        <v>45862</v>
      </c>
      <c r="F806" s="31"/>
      <c r="G806" s="85"/>
      <c r="H806" s="31"/>
      <c r="I806" s="31" t="str">
        <f>IFERROR(__xludf.DUMMYFUNCTION("""COMPUTED_VALUE"""),"Software Engineer- DevOps")</f>
        <v>Software Engineer- DevOps</v>
      </c>
      <c r="J806" s="31"/>
      <c r="K806" s="31" t="str">
        <f>IFERROR(__xludf.DUMMYFUNCTION("""COMPUTED_VALUE"""),"Saurav Yadav")</f>
        <v>Saurav Yadav</v>
      </c>
      <c r="L806" s="31"/>
      <c r="M806" s="31"/>
      <c r="N806" s="31"/>
    </row>
    <row r="807">
      <c r="A807" s="31">
        <f>IFERROR(__xludf.DUMMYFUNCTION("""COMPUTED_VALUE"""),877.0)</f>
        <v>877</v>
      </c>
      <c r="B807" s="31" t="str">
        <f>IFERROR(__xludf.DUMMYFUNCTION("""COMPUTED_VALUE"""),"Harshit Khanna")</f>
        <v>Harshit Khanna</v>
      </c>
      <c r="C807" s="31" t="str">
        <f>IFERROR(__xludf.DUMMYFUNCTION("""COMPUTED_VALUE"""),"harshitkhanna1010@gmail.com")</f>
        <v>harshitkhanna1010@gmail.com</v>
      </c>
      <c r="D807" s="84">
        <f>IFERROR(__xludf.DUMMYFUNCTION("""COMPUTED_VALUE"""),7.987784663E9)</f>
        <v>7987784663</v>
      </c>
      <c r="E807" s="99">
        <f>IFERROR(__xludf.DUMMYFUNCTION("""COMPUTED_VALUE"""),45862.0)</f>
        <v>45862</v>
      </c>
      <c r="F807" s="31"/>
      <c r="G807" s="85"/>
      <c r="H807" s="31"/>
      <c r="I807" s="31" t="str">
        <f>IFERROR(__xludf.DUMMYFUNCTION("""COMPUTED_VALUE"""),"Senior Software Engineer")</f>
        <v>Senior Software Engineer</v>
      </c>
      <c r="J807" s="31"/>
      <c r="K807" s="31" t="str">
        <f>IFERROR(__xludf.DUMMYFUNCTION("""COMPUTED_VALUE"""),"Ranjeet Kumar")</f>
        <v>Ranjeet Kumar</v>
      </c>
      <c r="L807" s="31"/>
      <c r="M807" s="31"/>
      <c r="N807" s="31"/>
    </row>
    <row r="808">
      <c r="A808" s="31">
        <f>IFERROR(__xludf.DUMMYFUNCTION("""COMPUTED_VALUE"""),878.0)</f>
        <v>878</v>
      </c>
      <c r="B808" s="31" t="str">
        <f>IFERROR(__xludf.DUMMYFUNCTION("""COMPUTED_VALUE"""),"Gaurav")</f>
        <v>Gaurav</v>
      </c>
      <c r="C808" s="31" t="str">
        <f>IFERROR(__xludf.DUMMYFUNCTION("""COMPUTED_VALUE"""),"gaurav1812003@gmail.com")</f>
        <v>gaurav1812003@gmail.com</v>
      </c>
      <c r="D808" s="84">
        <f>IFERROR(__xludf.DUMMYFUNCTION("""COMPUTED_VALUE"""),9.923966736E9)</f>
        <v>9923966736</v>
      </c>
      <c r="E808" s="99">
        <f>IFERROR(__xludf.DUMMYFUNCTION("""COMPUTED_VALUE"""),45862.0)</f>
        <v>45862</v>
      </c>
      <c r="F808" s="31"/>
      <c r="G808" s="85"/>
      <c r="H808" s="31"/>
      <c r="I808" s="31" t="str">
        <f>IFERROR(__xludf.DUMMYFUNCTION("""COMPUTED_VALUE"""),"Software Engineer")</f>
        <v>Software Engineer</v>
      </c>
      <c r="J808" s="31"/>
      <c r="K808" s="31" t="str">
        <f>IFERROR(__xludf.DUMMYFUNCTION("""COMPUTED_VALUE"""),"Abhishek Gupta")</f>
        <v>Abhishek Gupta</v>
      </c>
      <c r="L808" s="31"/>
      <c r="M808" s="31"/>
      <c r="N808" s="31"/>
    </row>
    <row r="809">
      <c r="A809" s="31">
        <f>IFERROR(__xludf.DUMMYFUNCTION("""COMPUTED_VALUE"""),879.0)</f>
        <v>879</v>
      </c>
      <c r="B809" s="31" t="str">
        <f>IFERROR(__xludf.DUMMYFUNCTION("""COMPUTED_VALUE"""),"Kulvinder Singh")</f>
        <v>Kulvinder Singh</v>
      </c>
      <c r="C809" s="31" t="str">
        <f>IFERROR(__xludf.DUMMYFUNCTION("""COMPUTED_VALUE""")," kulvindersonu@gmail.com")</f>
        <v> kulvindersonu@gmail.com</v>
      </c>
      <c r="D809" s="84">
        <f>IFERROR(__xludf.DUMMYFUNCTION("""COMPUTED_VALUE"""),9.871516081E9)</f>
        <v>9871516081</v>
      </c>
      <c r="E809" s="99">
        <f>IFERROR(__xludf.DUMMYFUNCTION("""COMPUTED_VALUE"""),45863.0)</f>
        <v>45863</v>
      </c>
      <c r="F809" s="31"/>
      <c r="G809" s="85"/>
      <c r="H809" s="31"/>
      <c r="I809" s="31" t="str">
        <f>IFERROR(__xludf.DUMMYFUNCTION("""COMPUTED_VALUE"""),"Senior Product Designer")</f>
        <v>Senior Product Designer</v>
      </c>
      <c r="J809" s="31"/>
      <c r="K809" s="31" t="str">
        <f>IFERROR(__xludf.DUMMYFUNCTION("""COMPUTED_VALUE"""),"Anish Abraham")</f>
        <v>Anish Abraham</v>
      </c>
      <c r="L809" s="31"/>
      <c r="M809" s="31"/>
      <c r="N809" s="31"/>
    </row>
    <row r="810">
      <c r="A810" s="31">
        <f>IFERROR(__xludf.DUMMYFUNCTION("""COMPUTED_VALUE"""),880.0)</f>
        <v>880</v>
      </c>
      <c r="B810" s="31" t="str">
        <f>IFERROR(__xludf.DUMMYFUNCTION("""COMPUTED_VALUE"""),"MD Irfan")</f>
        <v>MD Irfan</v>
      </c>
      <c r="C810" s="31" t="str">
        <f>IFERROR(__xludf.DUMMYFUNCTION("""COMPUTED_VALUE"""),"mdirfan76624@gmail.com")</f>
        <v>mdirfan76624@gmail.com</v>
      </c>
      <c r="D810" s="84">
        <f>IFERROR(__xludf.DUMMYFUNCTION("""COMPUTED_VALUE"""),8.510039493E9)</f>
        <v>8510039493</v>
      </c>
      <c r="E810" s="99">
        <f>IFERROR(__xludf.DUMMYFUNCTION("""COMPUTED_VALUE"""),45866.0)</f>
        <v>45866</v>
      </c>
      <c r="F810" s="31"/>
      <c r="G810" s="85"/>
      <c r="H810" s="31"/>
      <c r="I810" s="31" t="str">
        <f>IFERROR(__xludf.DUMMYFUNCTION("""COMPUTED_VALUE"""),"HRO - CRM")</f>
        <v>HRO - CRM</v>
      </c>
      <c r="J810" s="31"/>
      <c r="K810" s="31"/>
      <c r="L810" s="31"/>
      <c r="M810" s="31"/>
      <c r="N810" s="31"/>
    </row>
    <row r="811">
      <c r="A811" s="31">
        <f>IFERROR(__xludf.DUMMYFUNCTION("""COMPUTED_VALUE"""),881.0)</f>
        <v>881</v>
      </c>
      <c r="B811" s="31" t="str">
        <f>IFERROR(__xludf.DUMMYFUNCTION("""COMPUTED_VALUE"""),"Biswin K Binil")</f>
        <v>Biswin K Binil</v>
      </c>
      <c r="C811" s="31" t="str">
        <f>IFERROR(__xludf.DUMMYFUNCTION("""COMPUTED_VALUE"""),"biswinkbinil2002@gmail.com")</f>
        <v>biswinkbinil2002@gmail.com</v>
      </c>
      <c r="D811" s="84">
        <f>IFERROR(__xludf.DUMMYFUNCTION("""COMPUTED_VALUE"""),8.75061282E9)</f>
        <v>8750612820</v>
      </c>
      <c r="E811" s="99">
        <f>IFERROR(__xludf.DUMMYFUNCTION("""COMPUTED_VALUE"""),45866.0)</f>
        <v>45866</v>
      </c>
      <c r="F811" s="31"/>
      <c r="G811" s="85"/>
      <c r="H811" s="31"/>
      <c r="I811" s="31" t="str">
        <f>IFERROR(__xludf.DUMMYFUNCTION("""COMPUTED_VALUE"""),"HRO - CRM")</f>
        <v>HRO - CRM</v>
      </c>
      <c r="J811" s="31"/>
      <c r="K811" s="31"/>
      <c r="L811" s="31"/>
      <c r="M811" s="31"/>
      <c r="N811" s="31"/>
    </row>
    <row r="812">
      <c r="A812" s="31">
        <f>IFERROR(__xludf.DUMMYFUNCTION("""COMPUTED_VALUE"""),882.0)</f>
        <v>882</v>
      </c>
      <c r="B812" s="31" t="str">
        <f>IFERROR(__xludf.DUMMYFUNCTION("""COMPUTED_VALUE"""),"Sameer Qureshi")</f>
        <v>Sameer Qureshi</v>
      </c>
      <c r="C812" s="31" t="str">
        <f>IFERROR(__xludf.DUMMYFUNCTION("""COMPUTED_VALUE"""),"sq3021911@gmail.com")</f>
        <v>sq3021911@gmail.com</v>
      </c>
      <c r="D812" s="84">
        <f>IFERROR(__xludf.DUMMYFUNCTION("""COMPUTED_VALUE"""),7.668504605E9)</f>
        <v>7668504605</v>
      </c>
      <c r="E812" s="99">
        <f>IFERROR(__xludf.DUMMYFUNCTION("""COMPUTED_VALUE"""),45866.0)</f>
        <v>45866</v>
      </c>
      <c r="F812" s="31"/>
      <c r="G812" s="85"/>
      <c r="H812" s="31"/>
      <c r="I812" s="31" t="str">
        <f>IFERROR(__xludf.DUMMYFUNCTION("""COMPUTED_VALUE"""),"HRO - CRM")</f>
        <v>HRO - CRM</v>
      </c>
      <c r="J812" s="31"/>
      <c r="K812" s="31"/>
      <c r="L812" s="31"/>
      <c r="M812" s="31"/>
      <c r="N812" s="31"/>
    </row>
    <row r="813">
      <c r="A813" s="31">
        <f>IFERROR(__xludf.DUMMYFUNCTION("""COMPUTED_VALUE"""),883.0)</f>
        <v>883</v>
      </c>
      <c r="B813" s="31" t="str">
        <f>IFERROR(__xludf.DUMMYFUNCTION("""COMPUTED_VALUE"""),"Bhawna")</f>
        <v>Bhawna</v>
      </c>
      <c r="C813" s="31" t="str">
        <f>IFERROR(__xludf.DUMMYFUNCTION("""COMPUTED_VALUE"""),"xyzbhawna@gmail.com")</f>
        <v>xyzbhawna@gmail.com</v>
      </c>
      <c r="D813" s="84">
        <f>IFERROR(__xludf.DUMMYFUNCTION("""COMPUTED_VALUE"""),8.595622247E9)</f>
        <v>8595622247</v>
      </c>
      <c r="E813" s="99">
        <f>IFERROR(__xludf.DUMMYFUNCTION("""COMPUTED_VALUE"""),45866.0)</f>
        <v>45866</v>
      </c>
      <c r="F813" s="31"/>
      <c r="G813" s="85"/>
      <c r="H813" s="31"/>
      <c r="I813" s="31" t="str">
        <f>IFERROR(__xludf.DUMMYFUNCTION("""COMPUTED_VALUE"""),"HRO - CRM")</f>
        <v>HRO - CRM</v>
      </c>
      <c r="J813" s="31"/>
      <c r="K813" s="31"/>
      <c r="L813" s="31"/>
      <c r="M813" s="31"/>
      <c r="N813" s="31"/>
    </row>
    <row r="814">
      <c r="A814" s="31">
        <f>IFERROR(__xludf.DUMMYFUNCTION("""COMPUTED_VALUE"""),884.0)</f>
        <v>884</v>
      </c>
      <c r="B814" s="31" t="str">
        <f>IFERROR(__xludf.DUMMYFUNCTION("""COMPUTED_VALUE"""),"Mamta Yadav")</f>
        <v>Mamta Yadav</v>
      </c>
      <c r="C814" s="31" t="str">
        <f>IFERROR(__xludf.DUMMYFUNCTION("""COMPUTED_VALUE"""),"Mamta72@gmail.com")</f>
        <v>Mamta72@gmail.com</v>
      </c>
      <c r="D814" s="84">
        <f>IFERROR(__xludf.DUMMYFUNCTION("""COMPUTED_VALUE"""),9.718324386E9)</f>
        <v>9718324386</v>
      </c>
      <c r="E814" s="99">
        <f>IFERROR(__xludf.DUMMYFUNCTION("""COMPUTED_VALUE"""),45866.0)</f>
        <v>45866</v>
      </c>
      <c r="F814" s="31"/>
      <c r="G814" s="85"/>
      <c r="H814" s="31"/>
      <c r="I814" s="31" t="str">
        <f>IFERROR(__xludf.DUMMYFUNCTION("""COMPUTED_VALUE"""),"HRO - CRM")</f>
        <v>HRO - CRM</v>
      </c>
      <c r="J814" s="31"/>
      <c r="K814" s="31"/>
      <c r="L814" s="31"/>
      <c r="M814" s="31"/>
      <c r="N814" s="31"/>
    </row>
    <row r="815">
      <c r="A815" s="31">
        <f>IFERROR(__xludf.DUMMYFUNCTION("""COMPUTED_VALUE"""),885.0)</f>
        <v>885</v>
      </c>
      <c r="B815" s="31" t="str">
        <f>IFERROR(__xludf.DUMMYFUNCTION("""COMPUTED_VALUE"""),"Bhupendra Kumar")</f>
        <v>Bhupendra Kumar</v>
      </c>
      <c r="C815" s="31" t="str">
        <f>IFERROR(__xludf.DUMMYFUNCTION("""COMPUTED_VALUE"""),"bhupendrak2017@email.iimcal.ac.in")</f>
        <v>bhupendrak2017@email.iimcal.ac.in</v>
      </c>
      <c r="D815" s="84">
        <f>IFERROR(__xludf.DUMMYFUNCTION("""COMPUTED_VALUE"""),8.336947103E9)</f>
        <v>8336947103</v>
      </c>
      <c r="E815" s="99">
        <f>IFERROR(__xludf.DUMMYFUNCTION("""COMPUTED_VALUE"""),45870.0)</f>
        <v>45870</v>
      </c>
      <c r="F815" s="31"/>
      <c r="G815" s="85"/>
      <c r="H815" s="31"/>
      <c r="I815" s="31" t="str">
        <f>IFERROR(__xludf.DUMMYFUNCTION("""COMPUTED_VALUE"""),"Senior Manager Strategy")</f>
        <v>Senior Manager Strategy</v>
      </c>
      <c r="J815" s="31" t="str">
        <f>IFERROR(__xludf.DUMMYFUNCTION("""COMPUTED_VALUE"""),"Strategy")</f>
        <v>Strategy</v>
      </c>
      <c r="K815" s="31" t="str">
        <f>IFERROR(__xludf.DUMMYFUNCTION("""COMPUTED_VALUE"""),"Karan Aggarwal")</f>
        <v>Karan Aggarwal</v>
      </c>
      <c r="L815" s="31"/>
      <c r="M815" s="31"/>
      <c r="N815" s="31"/>
    </row>
    <row r="816">
      <c r="A816" s="31">
        <f>IFERROR(__xludf.DUMMYFUNCTION("""COMPUTED_VALUE"""),886.0)</f>
        <v>886</v>
      </c>
      <c r="B816" s="31" t="str">
        <f>IFERROR(__xludf.DUMMYFUNCTION("""COMPUTED_VALUE"""),"Shiv Kumar")</f>
        <v>Shiv Kumar</v>
      </c>
      <c r="C816" s="31" t="str">
        <f>IFERROR(__xludf.DUMMYFUNCTION("""COMPUTED_VALUE"""),"yshiv4573@gmail.com")</f>
        <v>yshiv4573@gmail.com</v>
      </c>
      <c r="D816" s="84">
        <f>IFERROR(__xludf.DUMMYFUNCTION("""COMPUTED_VALUE"""),9.306009854E9)</f>
        <v>9306009854</v>
      </c>
      <c r="E816" s="99">
        <f>IFERROR(__xludf.DUMMYFUNCTION("""COMPUTED_VALUE"""),45870.0)</f>
        <v>45870</v>
      </c>
      <c r="F816" s="31"/>
      <c r="G816" s="85"/>
      <c r="H816" s="31"/>
      <c r="I816" s="31" t="str">
        <f>IFERROR(__xludf.DUMMYFUNCTION("""COMPUTED_VALUE"""),"Software Engineer")</f>
        <v>Software Engineer</v>
      </c>
      <c r="J816" s="31" t="str">
        <f>IFERROR(__xludf.DUMMYFUNCTION("""COMPUTED_VALUE"""),"Technology")</f>
        <v>Technology</v>
      </c>
      <c r="K816" s="31" t="str">
        <f>IFERROR(__xludf.DUMMYFUNCTION("""COMPUTED_VALUE"""),"Piyush Shukla")</f>
        <v>Piyush Shukla</v>
      </c>
      <c r="L816" s="31"/>
      <c r="M816" s="31"/>
      <c r="N816" s="31"/>
    </row>
    <row r="817">
      <c r="A817" s="31">
        <f>IFERROR(__xludf.DUMMYFUNCTION("""COMPUTED_VALUE"""),887.0)</f>
        <v>887</v>
      </c>
      <c r="B817" s="31" t="str">
        <f>IFERROR(__xludf.DUMMYFUNCTION("""COMPUTED_VALUE"""),"Devansh Mittal")</f>
        <v>Devansh Mittal</v>
      </c>
      <c r="C817" s="31" t="str">
        <f>IFERROR(__xludf.DUMMYFUNCTION("""COMPUTED_VALUE"""),"mittaldevansh123@gmail.com")</f>
        <v>mittaldevansh123@gmail.com</v>
      </c>
      <c r="D817" s="84">
        <f>IFERROR(__xludf.DUMMYFUNCTION("""COMPUTED_VALUE"""),8.936991575E9)</f>
        <v>8936991575</v>
      </c>
      <c r="E817" s="99">
        <f>IFERROR(__xludf.DUMMYFUNCTION("""COMPUTED_VALUE"""),45870.0)</f>
        <v>45870</v>
      </c>
      <c r="F817" s="31"/>
      <c r="G817" s="85"/>
      <c r="H817" s="31"/>
      <c r="I817" s="31" t="str">
        <f>IFERROR(__xludf.DUMMYFUNCTION("""COMPUTED_VALUE"""),"Software Engineer- DevOps")</f>
        <v>Software Engineer- DevOps</v>
      </c>
      <c r="J817" s="31" t="str">
        <f>IFERROR(__xludf.DUMMYFUNCTION("""COMPUTED_VALUE"""),"Technology")</f>
        <v>Technology</v>
      </c>
      <c r="K817" s="31" t="str">
        <f>IFERROR(__xludf.DUMMYFUNCTION("""COMPUTED_VALUE"""),"Saurav Yadav")</f>
        <v>Saurav Yadav</v>
      </c>
      <c r="L817" s="31"/>
      <c r="M817" s="31"/>
      <c r="N817" s="31"/>
    </row>
    <row r="818">
      <c r="A818" s="31">
        <f>IFERROR(__xludf.DUMMYFUNCTION("""COMPUTED_VALUE"""),888.0)</f>
        <v>888</v>
      </c>
      <c r="B818" s="31" t="str">
        <f>IFERROR(__xludf.DUMMYFUNCTION("""COMPUTED_VALUE"""),"Aditya Gupta")</f>
        <v>Aditya Gupta</v>
      </c>
      <c r="C818" s="31" t="str">
        <f>IFERROR(__xludf.DUMMYFUNCTION("""COMPUTED_VALUE"""),"adityagupta97.ag@gmail.com")</f>
        <v>adityagupta97.ag@gmail.com</v>
      </c>
      <c r="D818" s="84">
        <f>IFERROR(__xludf.DUMMYFUNCTION("""COMPUTED_VALUE"""),9.31003049E9)</f>
        <v>9310030490</v>
      </c>
      <c r="E818" s="99">
        <f>IFERROR(__xludf.DUMMYFUNCTION("""COMPUTED_VALUE"""),45870.0)</f>
        <v>45870</v>
      </c>
      <c r="F818" s="31"/>
      <c r="G818" s="85"/>
      <c r="H818" s="31"/>
      <c r="I818" s="31" t="str">
        <f>IFERROR(__xludf.DUMMYFUNCTION("""COMPUTED_VALUE""")," Lead Data Analyst")</f>
        <v> Lead Data Analyst</v>
      </c>
      <c r="J818" s="31" t="str">
        <f>IFERROR(__xludf.DUMMYFUNCTION("""COMPUTED_VALUE"""),"Data Analytics")</f>
        <v>Data Analytics</v>
      </c>
      <c r="K818" s="31" t="str">
        <f>IFERROR(__xludf.DUMMYFUNCTION("""COMPUTED_VALUE"""),"Raman Malik    ")</f>
        <v>Raman Malik    </v>
      </c>
      <c r="L818" s="31"/>
      <c r="M818" s="31"/>
      <c r="N818" s="31"/>
    </row>
    <row r="819">
      <c r="A819" s="31">
        <f>IFERROR(__xludf.DUMMYFUNCTION("""COMPUTED_VALUE"""),889.0)</f>
        <v>889</v>
      </c>
      <c r="B819" s="31" t="str">
        <f>IFERROR(__xludf.DUMMYFUNCTION("""COMPUTED_VALUE"""),"Saransh Bankiwal")</f>
        <v>Saransh Bankiwal</v>
      </c>
      <c r="C819" s="31" t="str">
        <f>IFERROR(__xludf.DUMMYFUNCTION("""COMPUTED_VALUE"""),"saranshbankiwal@gmail.com")</f>
        <v>saranshbankiwal@gmail.com</v>
      </c>
      <c r="D819" s="84">
        <f>IFERROR(__xludf.DUMMYFUNCTION("""COMPUTED_VALUE"""),7.014410598E9)</f>
        <v>7014410598</v>
      </c>
      <c r="E819" s="99">
        <f>IFERROR(__xludf.DUMMYFUNCTION("""COMPUTED_VALUE"""),45870.0)</f>
        <v>45870</v>
      </c>
      <c r="F819" s="31"/>
      <c r="G819" s="85"/>
      <c r="H819" s="31"/>
      <c r="I819" s="31" t="str">
        <f>IFERROR(__xludf.DUMMYFUNCTION("""COMPUTED_VALUE"""),"Senior Software Engineer- DevOps")</f>
        <v>Senior Software Engineer- DevOps</v>
      </c>
      <c r="J819" s="31" t="str">
        <f>IFERROR(__xludf.DUMMYFUNCTION("""COMPUTED_VALUE"""),"Technology")</f>
        <v>Technology</v>
      </c>
      <c r="K819" s="31" t="str">
        <f>IFERROR(__xludf.DUMMYFUNCTION("""COMPUTED_VALUE"""),"Saurav Yadav")</f>
        <v>Saurav Yadav</v>
      </c>
      <c r="L819" s="31"/>
      <c r="M819" s="31"/>
      <c r="N819" s="31"/>
    </row>
    <row r="820">
      <c r="A820" s="31">
        <f>IFERROR(__xludf.DUMMYFUNCTION("""COMPUTED_VALUE"""),890.0)</f>
        <v>890</v>
      </c>
      <c r="B820" s="31" t="str">
        <f>IFERROR(__xludf.DUMMYFUNCTION("""COMPUTED_VALUE"""),"Hardik Kumar")</f>
        <v>Hardik Kumar</v>
      </c>
      <c r="C820" s="31" t="str">
        <f>IFERROR(__xludf.DUMMYFUNCTION("""COMPUTED_VALUE"""),"hardikkumardtu@gmail.com")</f>
        <v>hardikkumardtu@gmail.com</v>
      </c>
      <c r="D820" s="84">
        <f>IFERROR(__xludf.DUMMYFUNCTION("""COMPUTED_VALUE"""),9.654131905E9)</f>
        <v>9654131905</v>
      </c>
      <c r="E820" s="99">
        <f>IFERROR(__xludf.DUMMYFUNCTION("""COMPUTED_VALUE"""),45870.0)</f>
        <v>45870</v>
      </c>
      <c r="F820" s="31"/>
      <c r="G820" s="85"/>
      <c r="H820" s="31"/>
      <c r="I820" s="31" t="str">
        <f>IFERROR(__xludf.DUMMYFUNCTION("""COMPUTED_VALUE"""),"Senior Data Scientist")</f>
        <v>Senior Data Scientist</v>
      </c>
      <c r="J820" s="31" t="str">
        <f>IFERROR(__xludf.DUMMYFUNCTION("""COMPUTED_VALUE"""),"Data Science")</f>
        <v>Data Science</v>
      </c>
      <c r="K820" s="31" t="str">
        <f>IFERROR(__xludf.DUMMYFUNCTION("""COMPUTED_VALUE"""),"Deep Dwivedi")</f>
        <v>Deep Dwivedi</v>
      </c>
      <c r="L820" s="31"/>
      <c r="M820" s="31"/>
      <c r="N820" s="31"/>
    </row>
    <row r="821">
      <c r="A821" s="31">
        <f>IFERROR(__xludf.DUMMYFUNCTION("""COMPUTED_VALUE"""),891.0)</f>
        <v>891</v>
      </c>
      <c r="B821" s="31" t="str">
        <f>IFERROR(__xludf.DUMMYFUNCTION("""COMPUTED_VALUE"""),"Anuj Srivastava")</f>
        <v>Anuj Srivastava</v>
      </c>
      <c r="C821" s="31" t="str">
        <f>IFERROR(__xludf.DUMMYFUNCTION("""COMPUTED_VALUE"""),"anuj.srivastava.job@gmail.com")</f>
        <v>anuj.srivastava.job@gmail.com</v>
      </c>
      <c r="D821" s="84">
        <f>IFERROR(__xludf.DUMMYFUNCTION("""COMPUTED_VALUE"""),7.042028562E9)</f>
        <v>7042028562</v>
      </c>
      <c r="E821" s="99">
        <f>IFERROR(__xludf.DUMMYFUNCTION("""COMPUTED_VALUE"""),45870.0)</f>
        <v>45870</v>
      </c>
      <c r="F821" s="31"/>
      <c r="G821" s="85"/>
      <c r="H821" s="31"/>
      <c r="I821" s="31" t="str">
        <f>IFERROR(__xludf.DUMMYFUNCTION("""COMPUTED_VALUE"""),"Senior Software Engineer")</f>
        <v>Senior Software Engineer</v>
      </c>
      <c r="J821" s="31" t="str">
        <f>IFERROR(__xludf.DUMMYFUNCTION("""COMPUTED_VALUE"""),"Technology")</f>
        <v>Technology</v>
      </c>
      <c r="K821" s="31" t="str">
        <f>IFERROR(__xludf.DUMMYFUNCTION("""COMPUTED_VALUE"""),"Piyush Shukla")</f>
        <v>Piyush Shukla</v>
      </c>
      <c r="L821" s="31"/>
      <c r="M821" s="31"/>
      <c r="N821" s="31"/>
    </row>
    <row r="822">
      <c r="A822" s="31">
        <f>IFERROR(__xludf.DUMMYFUNCTION("""COMPUTED_VALUE"""),892.0)</f>
        <v>892</v>
      </c>
      <c r="B822" s="31" t="str">
        <f>IFERROR(__xludf.DUMMYFUNCTION("""COMPUTED_VALUE"""),"Madhav Gupta")</f>
        <v>Madhav Gupta</v>
      </c>
      <c r="C822" s="31" t="str">
        <f>IFERROR(__xludf.DUMMYFUNCTION("""COMPUTED_VALUE"""),"guptamadhav1729@gmail.com")</f>
        <v>guptamadhav1729@gmail.com</v>
      </c>
      <c r="D822" s="84">
        <f>IFERROR(__xludf.DUMMYFUNCTION("""COMPUTED_VALUE"""),9.729526265E9)</f>
        <v>9729526265</v>
      </c>
      <c r="E822" s="99">
        <f>IFERROR(__xludf.DUMMYFUNCTION("""COMPUTED_VALUE"""),45870.0)</f>
        <v>45870</v>
      </c>
      <c r="F822" s="31"/>
      <c r="G822" s="85"/>
      <c r="H822" s="31"/>
      <c r="I822" s="31" t="str">
        <f>IFERROR(__xludf.DUMMYFUNCTION("""COMPUTED_VALUE"""),"Software Engineer")</f>
        <v>Software Engineer</v>
      </c>
      <c r="J822" s="31" t="str">
        <f>IFERROR(__xludf.DUMMYFUNCTION("""COMPUTED_VALUE"""),"Technology")</f>
        <v>Technology</v>
      </c>
      <c r="K822" s="31" t="str">
        <f>IFERROR(__xludf.DUMMYFUNCTION("""COMPUTED_VALUE"""),"Rahul Sharma")</f>
        <v>Rahul Sharma</v>
      </c>
      <c r="L822" s="31"/>
      <c r="M822" s="31"/>
      <c r="N822" s="31"/>
    </row>
    <row r="823">
      <c r="A823" s="31">
        <f>IFERROR(__xludf.DUMMYFUNCTION("""COMPUTED_VALUE"""),893.0)</f>
        <v>893</v>
      </c>
      <c r="B823" s="31" t="str">
        <f>IFERROR(__xludf.DUMMYFUNCTION("""COMPUTED_VALUE"""),"Soyesh Dixit")</f>
        <v>Soyesh Dixit</v>
      </c>
      <c r="C823" s="31" t="str">
        <f>IFERROR(__xludf.DUMMYFUNCTION("""COMPUTED_VALUE"""),"Soyeshdixit@gmail.com")</f>
        <v>Soyeshdixit@gmail.com</v>
      </c>
      <c r="D823" s="84">
        <f>IFERROR(__xludf.DUMMYFUNCTION("""COMPUTED_VALUE"""),9.311807082E9)</f>
        <v>9311807082</v>
      </c>
      <c r="E823" s="99">
        <f>IFERROR(__xludf.DUMMYFUNCTION("""COMPUTED_VALUE"""),45870.0)</f>
        <v>45870</v>
      </c>
      <c r="F823" s="31"/>
      <c r="G823" s="85"/>
      <c r="H823" s="31"/>
      <c r="I823" s="31" t="str">
        <f>IFERROR(__xludf.DUMMYFUNCTION("""COMPUTED_VALUE"""),"Senior IT Executive")</f>
        <v>Senior IT Executive</v>
      </c>
      <c r="J823" s="31" t="str">
        <f>IFERROR(__xludf.DUMMYFUNCTION("""COMPUTED_VALUE"""),"IT Infra")</f>
        <v>IT Infra</v>
      </c>
      <c r="K823" s="31" t="str">
        <f>IFERROR(__xludf.DUMMYFUNCTION("""COMPUTED_VALUE"""),"Rahul Prasad Suman")</f>
        <v>Rahul Prasad Suman</v>
      </c>
      <c r="L823" s="31"/>
      <c r="M823" s="31"/>
      <c r="N823" s="31"/>
    </row>
    <row r="824">
      <c r="A824" s="31">
        <f>IFERROR(__xludf.DUMMYFUNCTION("""COMPUTED_VALUE"""),894.0)</f>
        <v>894</v>
      </c>
      <c r="B824" s="31" t="str">
        <f>IFERROR(__xludf.DUMMYFUNCTION("""COMPUTED_VALUE"""),"Rachit Sharma")</f>
        <v>Rachit Sharma</v>
      </c>
      <c r="C824" s="31" t="str">
        <f>IFERROR(__xludf.DUMMYFUNCTION("""COMPUTED_VALUE"""),"sharmarachit84488@gmail.com")</f>
        <v>sharmarachit84488@gmail.com</v>
      </c>
      <c r="D824" s="84">
        <f>IFERROR(__xludf.DUMMYFUNCTION("""COMPUTED_VALUE"""),8.44880063E9)</f>
        <v>8448800630</v>
      </c>
      <c r="E824" s="99">
        <f>IFERROR(__xludf.DUMMYFUNCTION("""COMPUTED_VALUE"""),45873.0)</f>
        <v>45873</v>
      </c>
      <c r="F824" s="31"/>
      <c r="G824" s="85"/>
      <c r="H824" s="31"/>
      <c r="I824" s="31" t="str">
        <f>IFERROR(__xludf.DUMMYFUNCTION("""COMPUTED_VALUE"""),"Intern- Data Analytics")</f>
        <v>Intern- Data Analytics</v>
      </c>
      <c r="J824" s="31" t="str">
        <f>IFERROR(__xludf.DUMMYFUNCTION("""COMPUTED_VALUE"""),"Data Analytics")</f>
        <v>Data Analytics</v>
      </c>
      <c r="K824" s="31" t="str">
        <f>IFERROR(__xludf.DUMMYFUNCTION("""COMPUTED_VALUE"""),"Neha Jain")</f>
        <v>Neha Jain</v>
      </c>
      <c r="L824" s="31"/>
      <c r="M824" s="31"/>
      <c r="N824" s="31"/>
    </row>
    <row r="825">
      <c r="A825" s="31">
        <f>IFERROR(__xludf.DUMMYFUNCTION("""COMPUTED_VALUE"""),895.0)</f>
        <v>895</v>
      </c>
      <c r="B825" s="31" t="str">
        <f>IFERROR(__xludf.DUMMYFUNCTION("""COMPUTED_VALUE"""),"Aditya Tamta")</f>
        <v>Aditya Tamta</v>
      </c>
      <c r="C825" s="31" t="str">
        <f>IFERROR(__xludf.DUMMYFUNCTION("""COMPUTED_VALUE"""),"ayushtamta411@gmail.com")</f>
        <v>ayushtamta411@gmail.com</v>
      </c>
      <c r="D825" s="84">
        <f>IFERROR(__xludf.DUMMYFUNCTION("""COMPUTED_VALUE"""),7.889073885E9)</f>
        <v>7889073885</v>
      </c>
      <c r="E825" s="99">
        <f>IFERROR(__xludf.DUMMYFUNCTION("""COMPUTED_VALUE"""),45873.0)</f>
        <v>45873</v>
      </c>
      <c r="F825" s="31"/>
      <c r="G825" s="85"/>
      <c r="H825" s="31"/>
      <c r="I825" s="31" t="str">
        <f>IFERROR(__xludf.DUMMYFUNCTION("""COMPUTED_VALUE"""),"Intern- Data Analytics")</f>
        <v>Intern- Data Analytics</v>
      </c>
      <c r="J825" s="31" t="str">
        <f>IFERROR(__xludf.DUMMYFUNCTION("""COMPUTED_VALUE"""),"Data Analytics")</f>
        <v>Data Analytics</v>
      </c>
      <c r="K825" s="31" t="str">
        <f>IFERROR(__xludf.DUMMYFUNCTION("""COMPUTED_VALUE"""),"Neha Jain")</f>
        <v>Neha Jain</v>
      </c>
      <c r="L825" s="31"/>
      <c r="M825" s="31"/>
      <c r="N825" s="31"/>
    </row>
    <row r="826">
      <c r="A826" s="31">
        <f>IFERROR(__xludf.DUMMYFUNCTION("""COMPUTED_VALUE"""),896.0)</f>
        <v>896</v>
      </c>
      <c r="B826" s="31" t="str">
        <f>IFERROR(__xludf.DUMMYFUNCTION("""COMPUTED_VALUE"""),"Harsh Dubey")</f>
        <v>Harsh Dubey</v>
      </c>
      <c r="C826" s="31" t="str">
        <f>IFERROR(__xludf.DUMMYFUNCTION("""COMPUTED_VALUE"""),"dubey.harsh2309@gmail.com")</f>
        <v>dubey.harsh2309@gmail.com</v>
      </c>
      <c r="D826" s="84">
        <f>IFERROR(__xludf.DUMMYFUNCTION("""COMPUTED_VALUE"""),7.355543935E9)</f>
        <v>7355543935</v>
      </c>
      <c r="E826" s="99">
        <f>IFERROR(__xludf.DUMMYFUNCTION("""COMPUTED_VALUE"""),45873.0)</f>
        <v>45873</v>
      </c>
      <c r="F826" s="31"/>
      <c r="G826" s="85"/>
      <c r="H826" s="31"/>
      <c r="I826" s="31" t="str">
        <f>IFERROR(__xludf.DUMMYFUNCTION("""COMPUTED_VALUE"""),"Intern- Data Analytics")</f>
        <v>Intern- Data Analytics</v>
      </c>
      <c r="J826" s="31" t="str">
        <f>IFERROR(__xludf.DUMMYFUNCTION("""COMPUTED_VALUE"""),"Data Analytics")</f>
        <v>Data Analytics</v>
      </c>
      <c r="K826" s="31" t="str">
        <f>IFERROR(__xludf.DUMMYFUNCTION("""COMPUTED_VALUE"""),"Neha Jain")</f>
        <v>Neha Jain</v>
      </c>
      <c r="L826" s="31"/>
      <c r="M826" s="31"/>
      <c r="N826" s="31"/>
    </row>
    <row r="827">
      <c r="A827" s="31">
        <f>IFERROR(__xludf.DUMMYFUNCTION("""COMPUTED_VALUE"""),897.0)</f>
        <v>897</v>
      </c>
      <c r="B827" s="31" t="str">
        <f>IFERROR(__xludf.DUMMYFUNCTION("""COMPUTED_VALUE"""),"Vinay")</f>
        <v>Vinay</v>
      </c>
      <c r="C827" s="31" t="str">
        <f>IFERROR(__xludf.DUMMYFUNCTION("""COMPUTED_VALUE"""),"singh00vinay@gmail.com")</f>
        <v>singh00vinay@gmail.com</v>
      </c>
      <c r="D827" s="84">
        <f>IFERROR(__xludf.DUMMYFUNCTION("""COMPUTED_VALUE"""),8.287276145E9)</f>
        <v>8287276145</v>
      </c>
      <c r="E827" s="99">
        <f>IFERROR(__xludf.DUMMYFUNCTION("""COMPUTED_VALUE"""),45873.0)</f>
        <v>45873</v>
      </c>
      <c r="F827" s="31"/>
      <c r="G827" s="85"/>
      <c r="H827" s="31"/>
      <c r="I827" s="31" t="str">
        <f>IFERROR(__xludf.DUMMYFUNCTION("""COMPUTED_VALUE"""),"Senior Data Analyst")</f>
        <v>Senior Data Analyst</v>
      </c>
      <c r="J827" s="31" t="str">
        <f>IFERROR(__xludf.DUMMYFUNCTION("""COMPUTED_VALUE"""),"Data Analytics")</f>
        <v>Data Analytics</v>
      </c>
      <c r="K827" s="31" t="str">
        <f>IFERROR(__xludf.DUMMYFUNCTION("""COMPUTED_VALUE"""),"Neha Jain")</f>
        <v>Neha Jain</v>
      </c>
      <c r="L827" s="31"/>
      <c r="M827" s="31"/>
      <c r="N827" s="31"/>
    </row>
    <row r="828">
      <c r="A828" s="31">
        <f>IFERROR(__xludf.DUMMYFUNCTION("""COMPUTED_VALUE"""),898.0)</f>
        <v>898</v>
      </c>
      <c r="B828" s="31" t="str">
        <f>IFERROR(__xludf.DUMMYFUNCTION("""COMPUTED_VALUE"""),"Rishi Patidar")</f>
        <v>Rishi Patidar</v>
      </c>
      <c r="C828" s="31" t="str">
        <f>IFERROR(__xludf.DUMMYFUNCTION("""COMPUTED_VALUE""")," rishipatidar1810@gmail.com")</f>
        <v> rishipatidar1810@gmail.com</v>
      </c>
      <c r="D828" s="84">
        <f>IFERROR(__xludf.DUMMYFUNCTION("""COMPUTED_VALUE"""),7.879651191E9)</f>
        <v>7879651191</v>
      </c>
      <c r="E828" s="99">
        <f>IFERROR(__xludf.DUMMYFUNCTION("""COMPUTED_VALUE"""),45873.0)</f>
        <v>45873</v>
      </c>
      <c r="F828" s="31"/>
      <c r="G828" s="85"/>
      <c r="H828" s="31"/>
      <c r="I828" s="31" t="str">
        <f>IFERROR(__xludf.DUMMYFUNCTION("""COMPUTED_VALUE"""),"Endpoint Security Engineer")</f>
        <v>Endpoint Security Engineer</v>
      </c>
      <c r="J828" s="31"/>
      <c r="K828" s="31" t="str">
        <f>IFERROR(__xludf.DUMMYFUNCTION("""COMPUTED_VALUE"""),"Rajkumar Singh")</f>
        <v>Rajkumar Singh</v>
      </c>
      <c r="L828" s="31"/>
      <c r="M828" s="31"/>
      <c r="N828" s="31"/>
    </row>
    <row r="829">
      <c r="A829" s="31">
        <f>IFERROR(__xludf.DUMMYFUNCTION("""COMPUTED_VALUE"""),899.0)</f>
        <v>899</v>
      </c>
      <c r="B829" s="31" t="str">
        <f>IFERROR(__xludf.DUMMYFUNCTION("""COMPUTED_VALUE"""),"Dhruv Bisht")</f>
        <v>Dhruv Bisht</v>
      </c>
      <c r="C829" s="31" t="str">
        <f>IFERROR(__xludf.DUMMYFUNCTION("""COMPUTED_VALUE"""),"dhruvbisht19jul@gmail.com")</f>
        <v>dhruvbisht19jul@gmail.com</v>
      </c>
      <c r="D829" s="84">
        <f>IFERROR(__xludf.DUMMYFUNCTION("""COMPUTED_VALUE"""),9.760734315E9)</f>
        <v>9760734315</v>
      </c>
      <c r="E829" s="99">
        <f>IFERROR(__xludf.DUMMYFUNCTION("""COMPUTED_VALUE"""),45873.0)</f>
        <v>45873</v>
      </c>
      <c r="F829" s="31"/>
      <c r="G829" s="85"/>
      <c r="H829" s="31"/>
      <c r="I829" s="31" t="str">
        <f>IFERROR(__xludf.DUMMYFUNCTION("""COMPUTED_VALUE"""),"Copywriter")</f>
        <v>Copywriter</v>
      </c>
      <c r="J829" s="31"/>
      <c r="K829" s="31" t="str">
        <f>IFERROR(__xludf.DUMMYFUNCTION("""COMPUTED_VALUE"""),"Srishti das")</f>
        <v>Srishti das</v>
      </c>
      <c r="L829" s="31"/>
      <c r="M829" s="31"/>
      <c r="N829" s="31"/>
    </row>
    <row r="830">
      <c r="A830" s="31">
        <f>IFERROR(__xludf.DUMMYFUNCTION("""COMPUTED_VALUE"""),900.0)</f>
        <v>900</v>
      </c>
      <c r="B830" s="31" t="str">
        <f>IFERROR(__xludf.DUMMYFUNCTION("""COMPUTED_VALUE"""),"Rishav Bansal")</f>
        <v>Rishav Bansal</v>
      </c>
      <c r="C830" s="31" t="str">
        <f>IFERROR(__xludf.DUMMYFUNCTION("""COMPUTED_VALUE"""),"rishav1706@gmail.com")</f>
        <v>rishav1706@gmail.com</v>
      </c>
      <c r="D830" s="84">
        <f>IFERROR(__xludf.DUMMYFUNCTION("""COMPUTED_VALUE"""),8.901166654E9)</f>
        <v>8901166654</v>
      </c>
      <c r="E830" s="99">
        <f>IFERROR(__xludf.DUMMYFUNCTION("""COMPUTED_VALUE"""),45873.0)</f>
        <v>45873</v>
      </c>
      <c r="F830" s="31"/>
      <c r="G830" s="85"/>
      <c r="H830" s="31"/>
      <c r="I830" s="31" t="str">
        <f>IFERROR(__xludf.DUMMYFUNCTION("""COMPUTED_VALUE"""),"Lead Software Development Engineer in Test")</f>
        <v>Lead Software Development Engineer in Test</v>
      </c>
      <c r="J830" s="31" t="str">
        <f>IFERROR(__xludf.DUMMYFUNCTION("""COMPUTED_VALUE"""),"Technology")</f>
        <v>Technology</v>
      </c>
      <c r="K830" s="31" t="str">
        <f>IFERROR(__xludf.DUMMYFUNCTION("""COMPUTED_VALUE"""),"Sahil Puri")</f>
        <v>Sahil Puri</v>
      </c>
      <c r="L830" s="31"/>
      <c r="M830" s="31"/>
      <c r="N830" s="31"/>
    </row>
    <row r="831">
      <c r="A831" s="31">
        <f>IFERROR(__xludf.DUMMYFUNCTION("""COMPUTED_VALUE"""),901.0)</f>
        <v>901</v>
      </c>
      <c r="B831" s="31" t="str">
        <f>IFERROR(__xludf.DUMMYFUNCTION("""COMPUTED_VALUE"""),"Rahul Yadav")</f>
        <v>Rahul Yadav</v>
      </c>
      <c r="C831" s="31" t="str">
        <f>IFERROR(__xludf.DUMMYFUNCTION("""COMPUTED_VALUE"""),"19rahulyadav38@gmail.com")</f>
        <v>19rahulyadav38@gmail.com</v>
      </c>
      <c r="D831" s="84">
        <f>IFERROR(__xludf.DUMMYFUNCTION("""COMPUTED_VALUE"""),6.306875871E9)</f>
        <v>6306875871</v>
      </c>
      <c r="E831" s="99">
        <f>IFERROR(__xludf.DUMMYFUNCTION("""COMPUTED_VALUE"""),45873.0)</f>
        <v>45873</v>
      </c>
      <c r="F831" s="31"/>
      <c r="G831" s="85"/>
      <c r="H831" s="31"/>
      <c r="I831" s="31" t="str">
        <f>IFERROR(__xludf.DUMMYFUNCTION("""COMPUTED_VALUE"""),"Software Engineer")</f>
        <v>Software Engineer</v>
      </c>
      <c r="J831" s="31" t="str">
        <f>IFERROR(__xludf.DUMMYFUNCTION("""COMPUTED_VALUE"""),"Technology")</f>
        <v>Technology</v>
      </c>
      <c r="K831" s="31" t="str">
        <f>IFERROR(__xludf.DUMMYFUNCTION("""COMPUTED_VALUE"""),"Anshul Mittal")</f>
        <v>Anshul Mittal</v>
      </c>
      <c r="L831" s="31"/>
      <c r="M831" s="31"/>
      <c r="N831" s="31"/>
    </row>
    <row r="832">
      <c r="A832" s="31">
        <f>IFERROR(__xludf.DUMMYFUNCTION("""COMPUTED_VALUE"""),902.0)</f>
        <v>902</v>
      </c>
      <c r="B832" s="31" t="str">
        <f>IFERROR(__xludf.DUMMYFUNCTION("""COMPUTED_VALUE"""),"Khalique Firoz")</f>
        <v>Khalique Firoz</v>
      </c>
      <c r="C832" s="31" t="str">
        <f>IFERROR(__xludf.DUMMYFUNCTION("""COMPUTED_VALUE"""),"khaliquefiroz@gmail.com")</f>
        <v>khaliquefiroz@gmail.com</v>
      </c>
      <c r="D832" s="84">
        <f>IFERROR(__xludf.DUMMYFUNCTION("""COMPUTED_VALUE"""),8.603546937E9)</f>
        <v>8603546937</v>
      </c>
      <c r="E832" s="99">
        <f>IFERROR(__xludf.DUMMYFUNCTION("""COMPUTED_VALUE"""),45873.0)</f>
        <v>45873</v>
      </c>
      <c r="F832" s="31"/>
      <c r="G832" s="85"/>
      <c r="H832" s="31"/>
      <c r="I832" s="31" t="str">
        <f>IFERROR(__xludf.DUMMYFUNCTION("""COMPUTED_VALUE"""),"Software Engineer")</f>
        <v>Software Engineer</v>
      </c>
      <c r="J832" s="31" t="str">
        <f>IFERROR(__xludf.DUMMYFUNCTION("""COMPUTED_VALUE"""),"Technology")</f>
        <v>Technology</v>
      </c>
      <c r="K832" s="31" t="str">
        <f>IFERROR(__xludf.DUMMYFUNCTION("""COMPUTED_VALUE"""),"Piyush Shukla")</f>
        <v>Piyush Shukla</v>
      </c>
      <c r="L832" s="31"/>
      <c r="M832" s="31"/>
      <c r="N832" s="31"/>
    </row>
    <row r="833">
      <c r="A833" s="31">
        <f>IFERROR(__xludf.DUMMYFUNCTION("""COMPUTED_VALUE"""),903.0)</f>
        <v>903</v>
      </c>
      <c r="B833" s="31" t="str">
        <f>IFERROR(__xludf.DUMMYFUNCTION("""COMPUTED_VALUE"""),"Gagandeep Singh")</f>
        <v>Gagandeep Singh</v>
      </c>
      <c r="C833" s="31" t="str">
        <f>IFERROR(__xludf.DUMMYFUNCTION("""COMPUTED_VALUE"""),"gagandeepsingh30560@gmail.com")</f>
        <v>gagandeepsingh30560@gmail.com</v>
      </c>
      <c r="D833" s="84">
        <f>IFERROR(__xludf.DUMMYFUNCTION("""COMPUTED_VALUE"""),9.87191995E9)</f>
        <v>9871919950</v>
      </c>
      <c r="E833" s="99">
        <f>IFERROR(__xludf.DUMMYFUNCTION("""COMPUTED_VALUE"""),45873.0)</f>
        <v>45873</v>
      </c>
      <c r="F833" s="31"/>
      <c r="G833" s="85"/>
      <c r="H833" s="31"/>
      <c r="I833" s="31" t="str">
        <f>IFERROR(__xludf.DUMMYFUNCTION("""COMPUTED_VALUE"""),"Senior Executive - Finance")</f>
        <v>Senior Executive - Finance</v>
      </c>
      <c r="J833" s="31" t="str">
        <f>IFERROR(__xludf.DUMMYFUNCTION("""COMPUTED_VALUE"""),"Finance")</f>
        <v>Finance</v>
      </c>
      <c r="K833" s="31" t="str">
        <f>IFERROR(__xludf.DUMMYFUNCTION("""COMPUTED_VALUE"""),"Pulkit Sehgal")</f>
        <v>Pulkit Sehgal</v>
      </c>
      <c r="L833" s="31"/>
      <c r="M833" s="31"/>
      <c r="N833" s="31"/>
    </row>
    <row r="834">
      <c r="A834" s="31">
        <f>IFERROR(__xludf.DUMMYFUNCTION("""COMPUTED_VALUE"""),904.0)</f>
        <v>904</v>
      </c>
      <c r="B834" s="31" t="str">
        <f>IFERROR(__xludf.DUMMYFUNCTION("""COMPUTED_VALUE"""),"Deepankar Rao")</f>
        <v>Deepankar Rao</v>
      </c>
      <c r="C834" s="31" t="str">
        <f>IFERROR(__xludf.DUMMYFUNCTION("""COMPUTED_VALUE"""),"deepankar.dakshana16@gmail.com")</f>
        <v>deepankar.dakshana16@gmail.com</v>
      </c>
      <c r="D834" s="84">
        <f>IFERROR(__xludf.DUMMYFUNCTION("""COMPUTED_VALUE"""),7.052070386E9)</f>
        <v>7052070386</v>
      </c>
      <c r="E834" s="99">
        <f>IFERROR(__xludf.DUMMYFUNCTION("""COMPUTED_VALUE"""),45873.0)</f>
        <v>45873</v>
      </c>
      <c r="F834" s="31"/>
      <c r="G834" s="85"/>
      <c r="H834" s="31"/>
      <c r="I834" s="31" t="str">
        <f>IFERROR(__xludf.DUMMYFUNCTION("""COMPUTED_VALUE"""),"Senior Data Engineer")</f>
        <v>Senior Data Engineer</v>
      </c>
      <c r="J834" s="31" t="str">
        <f>IFERROR(__xludf.DUMMYFUNCTION("""COMPUTED_VALUE"""),"Data Engineering")</f>
        <v>Data Engineering</v>
      </c>
      <c r="K834" s="31" t="str">
        <f>IFERROR(__xludf.DUMMYFUNCTION("""COMPUTED_VALUE"""),"Rahul Sharma")</f>
        <v>Rahul Sharma</v>
      </c>
      <c r="L834" s="31"/>
      <c r="M834" s="31"/>
      <c r="N834" s="31"/>
    </row>
    <row r="835">
      <c r="A835" s="31">
        <f>IFERROR(__xludf.DUMMYFUNCTION("""COMPUTED_VALUE"""),905.0)</f>
        <v>905</v>
      </c>
      <c r="B835" s="31" t="str">
        <f>IFERROR(__xludf.DUMMYFUNCTION("""COMPUTED_VALUE"""),"Vaishnav")</f>
        <v>Vaishnav</v>
      </c>
      <c r="C835" s="31" t="str">
        <f>IFERROR(__xludf.DUMMYFUNCTION("""COMPUTED_VALUE"""),"vaishnav@me.iitr.ac.in")</f>
        <v>vaishnav@me.iitr.ac.in</v>
      </c>
      <c r="D835" s="84">
        <f>IFERROR(__xludf.DUMMYFUNCTION("""COMPUTED_VALUE"""),9.778736778E9)</f>
        <v>9778736778</v>
      </c>
      <c r="E835" s="99">
        <f>IFERROR(__xludf.DUMMYFUNCTION("""COMPUTED_VALUE"""),45873.0)</f>
        <v>45873</v>
      </c>
      <c r="F835" s="31"/>
      <c r="G835" s="85"/>
      <c r="H835" s="31"/>
      <c r="I835" s="31" t="str">
        <f>IFERROR(__xludf.DUMMYFUNCTION("""COMPUTED_VALUE"""),"Executive - founder's office")</f>
        <v>Executive - founder's office</v>
      </c>
      <c r="J835" s="31" t="str">
        <f>IFERROR(__xludf.DUMMYFUNCTION("""COMPUTED_VALUE"""),"Founder's office")</f>
        <v>Founder's office</v>
      </c>
      <c r="K835" s="31"/>
      <c r="L835" s="31"/>
      <c r="M835" s="31"/>
      <c r="N835" s="31"/>
    </row>
    <row r="836">
      <c r="A836" s="31">
        <f>IFERROR(__xludf.DUMMYFUNCTION("""COMPUTED_VALUE"""),906.0)</f>
        <v>906</v>
      </c>
      <c r="B836" s="31" t="str">
        <f>IFERROR(__xludf.DUMMYFUNCTION("""COMPUTED_VALUE"""),"Aditya Gandhi")</f>
        <v>Aditya Gandhi</v>
      </c>
      <c r="C836" s="31" t="str">
        <f>IFERROR(__xludf.DUMMYFUNCTION("""COMPUTED_VALUE"""),"adigandhi011@gmail.com")</f>
        <v>adigandhi011@gmail.com</v>
      </c>
      <c r="D836" s="84">
        <f>IFERROR(__xludf.DUMMYFUNCTION("""COMPUTED_VALUE"""),7.60210894E9)</f>
        <v>7602108940</v>
      </c>
      <c r="E836" s="99">
        <f>IFERROR(__xludf.DUMMYFUNCTION("""COMPUTED_VALUE"""),45873.0)</f>
        <v>45873</v>
      </c>
      <c r="F836" s="31"/>
      <c r="G836" s="85"/>
      <c r="H836" s="31"/>
      <c r="I836" s="31" t="str">
        <f>IFERROR(__xludf.DUMMYFUNCTION("""COMPUTED_VALUE"""),"Executive - founder's office")</f>
        <v>Executive - founder's office</v>
      </c>
      <c r="J836" s="31" t="str">
        <f>IFERROR(__xludf.DUMMYFUNCTION("""COMPUTED_VALUE"""),"Founder's office")</f>
        <v>Founder's office</v>
      </c>
      <c r="K836" s="31"/>
      <c r="L836" s="31"/>
      <c r="M836" s="31"/>
      <c r="N836" s="31"/>
    </row>
    <row r="837">
      <c r="A837" s="31">
        <f>IFERROR(__xludf.DUMMYFUNCTION("""COMPUTED_VALUE"""),907.0)</f>
        <v>907</v>
      </c>
      <c r="B837" s="31" t="str">
        <f>IFERROR(__xludf.DUMMYFUNCTION("""COMPUTED_VALUE"""),"Vishal Raj")</f>
        <v>Vishal Raj</v>
      </c>
      <c r="C837" s="31" t="str">
        <f>IFERROR(__xludf.DUMMYFUNCTION("""COMPUTED_VALUE"""),"vishalr.ug18.cs@nitp.ac.in")</f>
        <v>vishalr.ug18.cs@nitp.ac.in</v>
      </c>
      <c r="D837" s="84">
        <f>IFERROR(__xludf.DUMMYFUNCTION("""COMPUTED_VALUE"""),6.20524417E9)</f>
        <v>6205244170</v>
      </c>
      <c r="E837" s="99">
        <f>IFERROR(__xludf.DUMMYFUNCTION("""COMPUTED_VALUE"""),45874.0)</f>
        <v>45874</v>
      </c>
      <c r="F837" s="31"/>
      <c r="G837" s="85"/>
      <c r="H837" s="31"/>
      <c r="I837" s="31" t="str">
        <f>IFERROR(__xludf.DUMMYFUNCTION("""COMPUTED_VALUE"""),"Senior Data Engineer")</f>
        <v>Senior Data Engineer</v>
      </c>
      <c r="J837" s="31" t="str">
        <f>IFERROR(__xludf.DUMMYFUNCTION("""COMPUTED_VALUE"""),"Data Engineering")</f>
        <v>Data Engineering</v>
      </c>
      <c r="K837" s="31" t="str">
        <f>IFERROR(__xludf.DUMMYFUNCTION("""COMPUTED_VALUE"""),"Rahul Sharma")</f>
        <v>Rahul Sharma</v>
      </c>
      <c r="L837" s="31"/>
      <c r="M837" s="31"/>
      <c r="N837" s="31"/>
    </row>
    <row r="838">
      <c r="A838" s="31">
        <f>IFERROR(__xludf.DUMMYFUNCTION("""COMPUTED_VALUE"""),908.0)</f>
        <v>908</v>
      </c>
      <c r="B838" s="31" t="str">
        <f>IFERROR(__xludf.DUMMYFUNCTION("""COMPUTED_VALUE"""),"Prabhat Kumar")</f>
        <v>Prabhat Kumar</v>
      </c>
      <c r="C838" s="47" t="str">
        <f>IFERROR(__xludf.DUMMYFUNCTION("""COMPUTED_VALUE""")," prabhatkumar944@gmail.com")</f>
        <v> prabhatkumar944@gmail.com</v>
      </c>
      <c r="D838" s="84">
        <f>IFERROR(__xludf.DUMMYFUNCTION("""COMPUTED_VALUE"""),9.939147728E9)</f>
        <v>9939147728</v>
      </c>
      <c r="E838" s="99">
        <f>IFERROR(__xludf.DUMMYFUNCTION("""COMPUTED_VALUE"""),45874.0)</f>
        <v>45874</v>
      </c>
      <c r="F838" s="31"/>
      <c r="G838" s="85"/>
      <c r="H838" s="31"/>
      <c r="I838" s="31" t="str">
        <f>IFERROR(__xludf.DUMMYFUNCTION("""COMPUTED_VALUE"""),"Software Engineer")</f>
        <v>Software Engineer</v>
      </c>
      <c r="J838" s="31" t="str">
        <f>IFERROR(__xludf.DUMMYFUNCTION("""COMPUTED_VALUE"""),"Technology")</f>
        <v>Technology</v>
      </c>
      <c r="K838" s="31" t="str">
        <f>IFERROR(__xludf.DUMMYFUNCTION("""COMPUTED_VALUE"""),"Anshul Mittal")</f>
        <v>Anshul Mittal</v>
      </c>
      <c r="L838" s="31"/>
      <c r="M838" s="31"/>
      <c r="N838" s="31"/>
    </row>
    <row r="839">
      <c r="A839" s="31">
        <f>IFERROR(__xludf.DUMMYFUNCTION("""COMPUTED_VALUE"""),909.0)</f>
        <v>909</v>
      </c>
      <c r="B839" s="31" t="str">
        <f>IFERROR(__xludf.DUMMYFUNCTION("""COMPUTED_VALUE"""),"Akhil Mudgal")</f>
        <v>Akhil Mudgal</v>
      </c>
      <c r="C839" s="31" t="str">
        <f>IFERROR(__xludf.DUMMYFUNCTION("""COMPUTED_VALUE"""),"akhil.mud@gmail.com")</f>
        <v>akhil.mud@gmail.com</v>
      </c>
      <c r="D839" s="84">
        <f>IFERROR(__xludf.DUMMYFUNCTION("""COMPUTED_VALUE"""),9.810385222E9)</f>
        <v>9810385222</v>
      </c>
      <c r="E839" s="99">
        <f>IFERROR(__xludf.DUMMYFUNCTION("""COMPUTED_VALUE"""),45875.0)</f>
        <v>45875</v>
      </c>
      <c r="F839" s="31"/>
      <c r="G839" s="85"/>
      <c r="H839" s="31"/>
      <c r="I839" s="31" t="str">
        <f>IFERROR(__xludf.DUMMYFUNCTION("""COMPUTED_VALUE"""),"Engineering Manager- DevOps")</f>
        <v>Engineering Manager- DevOps</v>
      </c>
      <c r="J839" s="31" t="str">
        <f>IFERROR(__xludf.DUMMYFUNCTION("""COMPUTED_VALUE"""),"Technology")</f>
        <v>Technology</v>
      </c>
      <c r="K839" s="31" t="str">
        <f>IFERROR(__xludf.DUMMYFUNCTION("""COMPUTED_VALUE"""),"Saurav Yadav")</f>
        <v>Saurav Yadav</v>
      </c>
      <c r="L839" s="31"/>
      <c r="M839" s="31"/>
      <c r="N839" s="31"/>
    </row>
    <row r="840">
      <c r="A840" s="31">
        <f>IFERROR(__xludf.DUMMYFUNCTION("""COMPUTED_VALUE"""),910.0)</f>
        <v>910</v>
      </c>
      <c r="B840" s="31" t="str">
        <f>IFERROR(__xludf.DUMMYFUNCTION("""COMPUTED_VALUE"""),"Mohit Kumar")</f>
        <v>Mohit Kumar</v>
      </c>
      <c r="C840" s="31" t="str">
        <f>IFERROR(__xludf.DUMMYFUNCTION("""COMPUTED_VALUE"""),"mohit.mk@outlook.com")</f>
        <v>mohit.mk@outlook.com</v>
      </c>
      <c r="D840" s="84">
        <f>IFERROR(__xludf.DUMMYFUNCTION("""COMPUTED_VALUE"""),9.910449161E9)</f>
        <v>9910449161</v>
      </c>
      <c r="E840" s="99">
        <f>IFERROR(__xludf.DUMMYFUNCTION("""COMPUTED_VALUE"""),45880.0)</f>
        <v>45880</v>
      </c>
      <c r="F840" s="31"/>
      <c r="G840" s="85"/>
      <c r="H840" s="31"/>
      <c r="I840" s="31" t="str">
        <f>IFERROR(__xludf.DUMMYFUNCTION("""COMPUTED_VALUE"""),"IT Infra Lead")</f>
        <v>IT Infra Lead</v>
      </c>
      <c r="J840" s="31"/>
      <c r="K840" s="31" t="str">
        <f>IFERROR(__xludf.DUMMYFUNCTION("""COMPUTED_VALUE"""),"Rajkumar Singh")</f>
        <v>Rajkumar Singh</v>
      </c>
      <c r="L840" s="31"/>
      <c r="M840" s="31"/>
      <c r="N840" s="31"/>
    </row>
    <row r="841">
      <c r="A841" s="31">
        <f>IFERROR(__xludf.DUMMYFUNCTION("""COMPUTED_VALUE"""),911.0)</f>
        <v>911</v>
      </c>
      <c r="B841" s="31"/>
      <c r="C841" s="31"/>
      <c r="D841" s="84"/>
      <c r="E841" s="85"/>
      <c r="F841" s="31"/>
      <c r="G841" s="85"/>
      <c r="H841" s="31"/>
      <c r="I841" s="31"/>
      <c r="J841" s="31"/>
      <c r="K841" s="31"/>
      <c r="L841" s="31"/>
      <c r="M841" s="31"/>
      <c r="N841" s="31"/>
    </row>
    <row r="842">
      <c r="A842" s="31">
        <f>IFERROR(__xludf.DUMMYFUNCTION("""COMPUTED_VALUE"""),912.0)</f>
        <v>912</v>
      </c>
      <c r="B842" s="31" t="str">
        <f>IFERROR(__xludf.DUMMYFUNCTION("""COMPUTED_VALUE"""),"Srishty Gagneja")</f>
        <v>Srishty Gagneja</v>
      </c>
      <c r="C842" s="31" t="str">
        <f>IFERROR(__xludf.DUMMYFUNCTION("""COMPUTED_VALUE"""),"srishtygagneja2000@gmail.com")</f>
        <v>srishtygagneja2000@gmail.com</v>
      </c>
      <c r="D842" s="84">
        <f>IFERROR(__xludf.DUMMYFUNCTION("""COMPUTED_VALUE"""),7.017828698E9)</f>
        <v>7017828698</v>
      </c>
      <c r="E842" s="99">
        <f>IFERROR(__xludf.DUMMYFUNCTION("""COMPUTED_VALUE"""),45880.0)</f>
        <v>45880</v>
      </c>
      <c r="F842" s="31"/>
      <c r="G842" s="85"/>
      <c r="H842" s="31"/>
      <c r="I842" s="31" t="str">
        <f>IFERROR(__xludf.DUMMYFUNCTION("""COMPUTED_VALUE"""),"Software Development Engineer in Test")</f>
        <v>Software Development Engineer in Test</v>
      </c>
      <c r="J842" s="31"/>
      <c r="K842" s="31" t="str">
        <f>IFERROR(__xludf.DUMMYFUNCTION("""COMPUTED_VALUE"""),"Sahil Puri")</f>
        <v>Sahil Puri</v>
      </c>
      <c r="L842" s="31"/>
      <c r="M842" s="31"/>
      <c r="N842" s="31"/>
    </row>
    <row r="843">
      <c r="A843" s="31">
        <f>IFERROR(__xludf.DUMMYFUNCTION("""COMPUTED_VALUE"""),913.0)</f>
        <v>913</v>
      </c>
      <c r="B843" s="31" t="str">
        <f>IFERROR(__xludf.DUMMYFUNCTION("""COMPUTED_VALUE"""),"Madhavam Saxena")</f>
        <v>Madhavam Saxena</v>
      </c>
      <c r="C843" s="31" t="str">
        <f>IFERROR(__xludf.DUMMYFUNCTION("""COMPUTED_VALUE"""),"madhavamsaxena14@gmail.com")</f>
        <v>madhavamsaxena14@gmail.com</v>
      </c>
      <c r="D843" s="84">
        <f>IFERROR(__xludf.DUMMYFUNCTION("""COMPUTED_VALUE"""),6.386695044E9)</f>
        <v>6386695044</v>
      </c>
      <c r="E843" s="99">
        <f>IFERROR(__xludf.DUMMYFUNCTION("""COMPUTED_VALUE"""),45880.0)</f>
        <v>45880</v>
      </c>
      <c r="F843" s="31"/>
      <c r="G843" s="85"/>
      <c r="H843" s="31"/>
      <c r="I843" s="31" t="str">
        <f>IFERROR(__xludf.DUMMYFUNCTION("""COMPUTED_VALUE"""),"Software Engineer- DevOps")</f>
        <v>Software Engineer- DevOps</v>
      </c>
      <c r="J843" s="31"/>
      <c r="K843" s="31" t="str">
        <f>IFERROR(__xludf.DUMMYFUNCTION("""COMPUTED_VALUE"""),"Saurav Yadav")</f>
        <v>Saurav Yadav</v>
      </c>
      <c r="L843" s="31"/>
      <c r="M843" s="31"/>
      <c r="N843" s="31"/>
    </row>
    <row r="844">
      <c r="A844" s="31">
        <f>IFERROR(__xludf.DUMMYFUNCTION("""COMPUTED_VALUE"""),914.0)</f>
        <v>914</v>
      </c>
      <c r="B844" s="31" t="str">
        <f>IFERROR(__xludf.DUMMYFUNCTION("""COMPUTED_VALUE"""),"Palak Dua")</f>
        <v>Palak Dua</v>
      </c>
      <c r="C844" s="31" t="str">
        <f>IFERROR(__xludf.DUMMYFUNCTION("""COMPUTED_VALUE"""),"palakdua31@gmail.com")</f>
        <v>palakdua31@gmail.com</v>
      </c>
      <c r="D844" s="84">
        <f>IFERROR(__xludf.DUMMYFUNCTION("""COMPUTED_VALUE"""),7.017021315E9)</f>
        <v>7017021315</v>
      </c>
      <c r="E844" s="99">
        <f>IFERROR(__xludf.DUMMYFUNCTION("""COMPUTED_VALUE"""),45881.0)</f>
        <v>45881</v>
      </c>
      <c r="F844" s="31"/>
      <c r="G844" s="85"/>
      <c r="H844" s="31"/>
      <c r="I844" s="31" t="str">
        <f>IFERROR(__xludf.DUMMYFUNCTION("""COMPUTED_VALUE"""),"Engineering Manager- Frontend")</f>
        <v>Engineering Manager- Frontend</v>
      </c>
      <c r="J844" s="31"/>
      <c r="K844" s="31" t="str">
        <f>IFERROR(__xludf.DUMMYFUNCTION("""COMPUTED_VALUE"""),"Anshul Mittal")</f>
        <v>Anshul Mittal</v>
      </c>
      <c r="L844" s="31"/>
      <c r="M844" s="31"/>
      <c r="N844" s="31"/>
    </row>
    <row r="845">
      <c r="A845" s="31">
        <f>IFERROR(__xludf.DUMMYFUNCTION("""COMPUTED_VALUE"""),915.0)</f>
        <v>915</v>
      </c>
      <c r="B845" s="31" t="str">
        <f>IFERROR(__xludf.DUMMYFUNCTION("""COMPUTED_VALUE"""),"Khushank Tayal")</f>
        <v>Khushank Tayal</v>
      </c>
      <c r="C845" s="31" t="str">
        <f>IFERROR(__xludf.DUMMYFUNCTION("""COMPUTED_VALUE"""),"khushank94@gmail.com ")</f>
        <v>khushank94@gmail.com </v>
      </c>
      <c r="D845" s="84">
        <f>IFERROR(__xludf.DUMMYFUNCTION("""COMPUTED_VALUE"""),9.65028027E9)</f>
        <v>9650280270</v>
      </c>
      <c r="E845" s="99">
        <f>IFERROR(__xludf.DUMMYFUNCTION("""COMPUTED_VALUE"""),45880.0)</f>
        <v>45880</v>
      </c>
      <c r="F845" s="31"/>
      <c r="G845" s="85"/>
      <c r="H845" s="31"/>
      <c r="I845" s="31" t="str">
        <f>IFERROR(__xludf.DUMMYFUNCTION("""COMPUTED_VALUE""")," Lead Data Analyst")</f>
        <v> Lead Data Analyst</v>
      </c>
      <c r="J845" s="31"/>
      <c r="K845" s="31" t="str">
        <f>IFERROR(__xludf.DUMMYFUNCTION("""COMPUTED_VALUE"""),"Neha Jain")</f>
        <v>Neha Jain</v>
      </c>
      <c r="L845" s="31"/>
      <c r="M845" s="31"/>
      <c r="N845" s="31"/>
    </row>
    <row r="846">
      <c r="A846" s="31">
        <f>IFERROR(__xludf.DUMMYFUNCTION("""COMPUTED_VALUE"""),916.0)</f>
        <v>916</v>
      </c>
      <c r="B846" s="31" t="str">
        <f>IFERROR(__xludf.DUMMYFUNCTION("""COMPUTED_VALUE"""),"Gauravjit Singh")</f>
        <v>Gauravjit Singh</v>
      </c>
      <c r="C846" s="31" t="str">
        <f>IFERROR(__xludf.DUMMYFUNCTION("""COMPUTED_VALUE"""),"mail.gauravjit@gmail.com")</f>
        <v>mail.gauravjit@gmail.com</v>
      </c>
      <c r="D846" s="84">
        <f>IFERROR(__xludf.DUMMYFUNCTION("""COMPUTED_VALUE"""),7.838050853E9)</f>
        <v>7838050853</v>
      </c>
      <c r="E846" s="99">
        <f>IFERROR(__xludf.DUMMYFUNCTION("""COMPUTED_VALUE"""),45880.0)</f>
        <v>45880</v>
      </c>
      <c r="F846" s="31"/>
      <c r="G846" s="85"/>
      <c r="H846" s="31"/>
      <c r="I846" s="31" t="str">
        <f>IFERROR(__xludf.DUMMYFUNCTION("""COMPUTED_VALUE"""),"Senior Manager- Experiential Marketing")</f>
        <v>Senior Manager- Experiential Marketing</v>
      </c>
      <c r="J846" s="31"/>
      <c r="K846" s="31" t="str">
        <f>IFERROR(__xludf.DUMMYFUNCTION("""COMPUTED_VALUE"""),"Katha Tara")</f>
        <v>Katha Tara</v>
      </c>
      <c r="L846" s="31"/>
      <c r="M846" s="31"/>
      <c r="N846" s="31"/>
    </row>
    <row r="847">
      <c r="A847" s="31">
        <f>IFERROR(__xludf.DUMMYFUNCTION("""COMPUTED_VALUE"""),917.0)</f>
        <v>917</v>
      </c>
      <c r="B847" s="31" t="str">
        <f>IFERROR(__xludf.DUMMYFUNCTION("""COMPUTED_VALUE"""),"Shubham Srivastava")</f>
        <v>Shubham Srivastava</v>
      </c>
      <c r="C847" s="31" t="str">
        <f>IFERROR(__xludf.DUMMYFUNCTION("""COMPUTED_VALUE"""),"shubhams.careers@gmail.com")</f>
        <v>shubhams.careers@gmail.com</v>
      </c>
      <c r="D847" s="84">
        <f>IFERROR(__xludf.DUMMYFUNCTION("""COMPUTED_VALUE"""),9.170647101E9)</f>
        <v>9170647101</v>
      </c>
      <c r="E847" s="99">
        <f>IFERROR(__xludf.DUMMYFUNCTION("""COMPUTED_VALUE"""),45880.0)</f>
        <v>45880</v>
      </c>
      <c r="F847" s="31"/>
      <c r="G847" s="85"/>
      <c r="H847" s="31"/>
      <c r="I847" s="31" t="str">
        <f>IFERROR(__xludf.DUMMYFUNCTION("""COMPUTED_VALUE"""),"Senior Software Engineer")</f>
        <v>Senior Software Engineer</v>
      </c>
      <c r="J847" s="31"/>
      <c r="K847" s="31" t="str">
        <f>IFERROR(__xludf.DUMMYFUNCTION("""COMPUTED_VALUE"""),"Arun Prabhakaran")</f>
        <v>Arun Prabhakaran</v>
      </c>
      <c r="L847" s="31"/>
      <c r="M847" s="31"/>
      <c r="N847" s="31"/>
    </row>
    <row r="848">
      <c r="A848" s="31">
        <f>IFERROR(__xludf.DUMMYFUNCTION("""COMPUTED_VALUE"""),918.0)</f>
        <v>918</v>
      </c>
      <c r="B848" s="31" t="str">
        <f>IFERROR(__xludf.DUMMYFUNCTION("""COMPUTED_VALUE"""),"Garvit Bhatia")</f>
        <v>Garvit Bhatia</v>
      </c>
      <c r="C848" s="31" t="str">
        <f>IFERROR(__xludf.DUMMYFUNCTION("""COMPUTED_VALUE"""),"garvitbhatia2412001@gmail.com")</f>
        <v>garvitbhatia2412001@gmail.com</v>
      </c>
      <c r="D848" s="84">
        <f>IFERROR(__xludf.DUMMYFUNCTION("""COMPUTED_VALUE"""),9.818843226E9)</f>
        <v>9818843226</v>
      </c>
      <c r="E848" s="99">
        <f>IFERROR(__xludf.DUMMYFUNCTION("""COMPUTED_VALUE"""),45880.0)</f>
        <v>45880</v>
      </c>
      <c r="F848" s="31"/>
      <c r="G848" s="85"/>
      <c r="H848" s="31"/>
      <c r="I848" s="31" t="str">
        <f>IFERROR(__xludf.DUMMYFUNCTION("""COMPUTED_VALUE"""),"Senior Software Engineer")</f>
        <v>Senior Software Engineer</v>
      </c>
      <c r="J848" s="31"/>
      <c r="K848" s="31" t="str">
        <f>IFERROR(__xludf.DUMMYFUNCTION("""COMPUTED_VALUE"""),"Anshul Mittal")</f>
        <v>Anshul Mittal</v>
      </c>
      <c r="L848" s="31"/>
      <c r="M848" s="31"/>
      <c r="N848" s="31"/>
    </row>
    <row r="849">
      <c r="A849" s="31">
        <f>IFERROR(__xludf.DUMMYFUNCTION("""COMPUTED_VALUE"""),919.0)</f>
        <v>919</v>
      </c>
      <c r="B849" s="31" t="str">
        <f>IFERROR(__xludf.DUMMYFUNCTION("""COMPUTED_VALUE""")," Rahul Modi
")</f>
        <v> Rahul Modi
</v>
      </c>
      <c r="C849" s="31" t="str">
        <f>IFERROR(__xludf.DUMMYFUNCTION("""COMPUTED_VALUE"""),"rahul.rm.modi@gmail.com")</f>
        <v>rahul.rm.modi@gmail.com</v>
      </c>
      <c r="D849" s="84">
        <f>IFERROR(__xludf.DUMMYFUNCTION("""COMPUTED_VALUE"""),7.062198344E9)</f>
        <v>7062198344</v>
      </c>
      <c r="E849" s="99">
        <f>IFERROR(__xludf.DUMMYFUNCTION("""COMPUTED_VALUE"""),45880.0)</f>
        <v>45880</v>
      </c>
      <c r="F849" s="31"/>
      <c r="G849" s="85"/>
      <c r="H849" s="31"/>
      <c r="I849" s="31" t="str">
        <f>IFERROR(__xludf.DUMMYFUNCTION("""COMPUTED_VALUE"""),"Manager Data Analyst")</f>
        <v>Manager Data Analyst</v>
      </c>
      <c r="J849" s="31"/>
      <c r="K849" s="31" t="str">
        <f>IFERROR(__xludf.DUMMYFUNCTION("""COMPUTED_VALUE"""),"Saumitra Raj")</f>
        <v>Saumitra Raj</v>
      </c>
      <c r="L849" s="31"/>
      <c r="M849" s="31"/>
      <c r="N849" s="31"/>
    </row>
    <row r="850">
      <c r="A850" s="31">
        <f>IFERROR(__xludf.DUMMYFUNCTION("""COMPUTED_VALUE"""),920.0)</f>
        <v>920</v>
      </c>
      <c r="B850" s="31" t="str">
        <f>IFERROR(__xludf.DUMMYFUNCTION("""COMPUTED_VALUE"""),"Aashit Dua")</f>
        <v>Aashit Dua</v>
      </c>
      <c r="C850" s="31" t="str">
        <f>IFERROR(__xludf.DUMMYFUNCTION("""COMPUTED_VALUE"""),"aashitdua@gmail.com")</f>
        <v>aashitdua@gmail.com</v>
      </c>
      <c r="D850" s="84">
        <f>IFERROR(__xludf.DUMMYFUNCTION("""COMPUTED_VALUE"""),9.18585925454E11)</f>
        <v>918585925454</v>
      </c>
      <c r="E850" s="99">
        <f>IFERROR(__xludf.DUMMYFUNCTION("""COMPUTED_VALUE"""),45881.0)</f>
        <v>45881</v>
      </c>
      <c r="F850" s="31"/>
      <c r="G850" s="85"/>
      <c r="H850" s="31"/>
      <c r="I850" s="31" t="str">
        <f>IFERROR(__xludf.DUMMYFUNCTION("""COMPUTED_VALUE"""),"Senior Data Analyst")</f>
        <v>Senior Data Analyst</v>
      </c>
      <c r="J850" s="31"/>
      <c r="K850" s="31" t="str">
        <f>IFERROR(__xludf.DUMMYFUNCTION("""COMPUTED_VALUE"""),"Raman Malik")</f>
        <v>Raman Malik</v>
      </c>
      <c r="L850" s="31"/>
      <c r="M850" s="31"/>
      <c r="N850" s="31"/>
    </row>
    <row r="851">
      <c r="A851" s="31">
        <f>IFERROR(__xludf.DUMMYFUNCTION("""COMPUTED_VALUE"""),921.0)</f>
        <v>921</v>
      </c>
      <c r="B851" s="31" t="str">
        <f>IFERROR(__xludf.DUMMYFUNCTION("""COMPUTED_VALUE"""),"Harshit Varshney")</f>
        <v>Harshit Varshney</v>
      </c>
      <c r="C851" s="31" t="str">
        <f>IFERROR(__xludf.DUMMYFUNCTION("""COMPUTED_VALUE"""),"harshitvarshney78@gmail.com")</f>
        <v>harshitvarshney78@gmail.com</v>
      </c>
      <c r="D851" s="84">
        <f>IFERROR(__xludf.DUMMYFUNCTION("""COMPUTED_VALUE"""),6.39720539E9)</f>
        <v>6397205390</v>
      </c>
      <c r="E851" s="99">
        <f>IFERROR(__xludf.DUMMYFUNCTION("""COMPUTED_VALUE"""),45882.0)</f>
        <v>45882</v>
      </c>
      <c r="F851" s="31"/>
      <c r="G851" s="85"/>
      <c r="H851" s="31"/>
      <c r="I851" s="31" t="str">
        <f>IFERROR(__xludf.DUMMYFUNCTION("""COMPUTED_VALUE"""),"Senior Software Engineer")</f>
        <v>Senior Software Engineer</v>
      </c>
      <c r="J851" s="31"/>
      <c r="K851" s="31" t="str">
        <f>IFERROR(__xludf.DUMMYFUNCTION("""COMPUTED_VALUE"""),"Amit Garg")</f>
        <v>Amit Garg</v>
      </c>
      <c r="L851" s="31"/>
      <c r="M851" s="31"/>
      <c r="N851" s="31"/>
    </row>
    <row r="852">
      <c r="A852" s="31">
        <f>IFERROR(__xludf.DUMMYFUNCTION("""COMPUTED_VALUE"""),922.0)</f>
        <v>922</v>
      </c>
      <c r="B852" s="31" t="str">
        <f>IFERROR(__xludf.DUMMYFUNCTION("""COMPUTED_VALUE"""),"Aniket Goel")</f>
        <v>Aniket Goel</v>
      </c>
      <c r="C852" s="31" t="str">
        <f>IFERROR(__xludf.DUMMYFUNCTION("""COMPUTED_VALUE"""),"aniketgoel100@gmail.com")</f>
        <v>aniketgoel100@gmail.com</v>
      </c>
      <c r="D852" s="84">
        <f>IFERROR(__xludf.DUMMYFUNCTION("""COMPUTED_VALUE"""),9.899750971E9)</f>
        <v>9899750971</v>
      </c>
      <c r="E852" s="99">
        <f>IFERROR(__xludf.DUMMYFUNCTION("""COMPUTED_VALUE"""),45882.0)</f>
        <v>45882</v>
      </c>
      <c r="F852" s="31"/>
      <c r="G852" s="85"/>
      <c r="H852" s="31"/>
      <c r="I852" s="31" t="str">
        <f>IFERROR(__xludf.DUMMYFUNCTION("""COMPUTED_VALUE"""),"Staff Data Engineer")</f>
        <v>Staff Data Engineer</v>
      </c>
      <c r="J852" s="31"/>
      <c r="K852" s="31" t="str">
        <f>IFERROR(__xludf.DUMMYFUNCTION("""COMPUTED_VALUE"""),"Rahul Sharma")</f>
        <v>Rahul Sharma</v>
      </c>
      <c r="L852" s="31"/>
      <c r="M852" s="31"/>
      <c r="N852" s="31"/>
    </row>
    <row r="853">
      <c r="A853" s="31">
        <f>IFERROR(__xludf.DUMMYFUNCTION("""COMPUTED_VALUE"""),923.0)</f>
        <v>923</v>
      </c>
      <c r="B853" s="31" t="str">
        <f>IFERROR(__xludf.DUMMYFUNCTION("""COMPUTED_VALUE"""),"Ritik Asati")</f>
        <v>Ritik Asati</v>
      </c>
      <c r="C853" s="86" t="str">
        <f>IFERROR(__xludf.DUMMYFUNCTION("""COMPUTED_VALUE"""),"ritikasati1212@gmail.com")</f>
        <v>ritikasati1212@gmail.com</v>
      </c>
      <c r="D853" s="84">
        <f>IFERROR(__xludf.DUMMYFUNCTION("""COMPUTED_VALUE"""),9.112271103E9)</f>
        <v>9112271103</v>
      </c>
      <c r="E853" s="99">
        <f>IFERROR(__xludf.DUMMYFUNCTION("""COMPUTED_VALUE"""),45883.0)</f>
        <v>45883</v>
      </c>
      <c r="F853" s="31"/>
      <c r="G853" s="85"/>
      <c r="H853" s="31"/>
      <c r="I853" s="31" t="str">
        <f>IFERROR(__xludf.DUMMYFUNCTION("""COMPUTED_VALUE"""),"Contract: Testyantra")</f>
        <v>Contract: Testyantra</v>
      </c>
      <c r="J853" s="31"/>
      <c r="K853" s="31" t="str">
        <f>IFERROR(__xludf.DUMMYFUNCTION("""COMPUTED_VALUE"""),"Vishal Agarwal")</f>
        <v>Vishal Agarwal</v>
      </c>
      <c r="L853" s="31"/>
      <c r="M853" s="31"/>
      <c r="N853" s="31"/>
    </row>
    <row r="854">
      <c r="A854" s="31">
        <f>IFERROR(__xludf.DUMMYFUNCTION("""COMPUTED_VALUE"""),924.0)</f>
        <v>924</v>
      </c>
      <c r="B854" s="31" t="str">
        <f>IFERROR(__xludf.DUMMYFUNCTION("""COMPUTED_VALUE"""),"Vidit Mathur")</f>
        <v>Vidit Mathur</v>
      </c>
      <c r="C854" s="31" t="str">
        <f>IFERROR(__xludf.DUMMYFUNCTION("""COMPUTED_VALUE"""),"viditmathur575@gmail.com")</f>
        <v>viditmathur575@gmail.com</v>
      </c>
      <c r="D854" s="84">
        <f>IFERROR(__xludf.DUMMYFUNCTION("""COMPUTED_VALUE"""),8.586910575E9)</f>
        <v>8586910575</v>
      </c>
      <c r="E854" s="99">
        <f>IFERROR(__xludf.DUMMYFUNCTION("""COMPUTED_VALUE"""),45883.0)</f>
        <v>45883</v>
      </c>
      <c r="F854" s="31"/>
      <c r="G854" s="85"/>
      <c r="H854" s="31"/>
      <c r="I854" s="31" t="str">
        <f>IFERROR(__xludf.DUMMYFUNCTION("""COMPUTED_VALUE"""),"Senior Software Engineer")</f>
        <v>Senior Software Engineer</v>
      </c>
      <c r="J854" s="31"/>
      <c r="K854" s="31" t="str">
        <f>IFERROR(__xludf.DUMMYFUNCTION("""COMPUTED_VALUE"""),"Amit Garg")</f>
        <v>Amit Garg</v>
      </c>
      <c r="L854" s="31"/>
      <c r="M854" s="31"/>
      <c r="N854" s="31"/>
    </row>
    <row r="855">
      <c r="A855" s="31">
        <f>IFERROR(__xludf.DUMMYFUNCTION("""COMPUTED_VALUE"""),925.0)</f>
        <v>925</v>
      </c>
      <c r="B855" s="31" t="str">
        <f>IFERROR(__xludf.DUMMYFUNCTION("""COMPUTED_VALUE"""),"Sahil Bajaj")</f>
        <v>Sahil Bajaj</v>
      </c>
      <c r="C855" s="31" t="str">
        <f>IFERROR(__xludf.DUMMYFUNCTION("""COMPUTED_VALUE"""),"sahilbajaj85@yahoo.com ")</f>
        <v>sahilbajaj85@yahoo.com </v>
      </c>
      <c r="D855" s="84">
        <f>IFERROR(__xludf.DUMMYFUNCTION("""COMPUTED_VALUE"""),9.868079082E9)</f>
        <v>9868079082</v>
      </c>
      <c r="E855" s="99">
        <f>IFERROR(__xludf.DUMMYFUNCTION("""COMPUTED_VALUE"""),45883.0)</f>
        <v>45883</v>
      </c>
      <c r="F855" s="31"/>
      <c r="G855" s="85"/>
      <c r="H855" s="31"/>
      <c r="I855" s="31" t="str">
        <f>IFERROR(__xludf.DUMMYFUNCTION("""COMPUTED_VALUE"""),"Technical Lead")</f>
        <v>Technical Lead</v>
      </c>
      <c r="J855" s="31"/>
      <c r="K855" s="31" t="str">
        <f>IFERROR(__xludf.DUMMYFUNCTION("""COMPUTED_VALUE"""),"Piyush Shukla")</f>
        <v>Piyush Shukla</v>
      </c>
      <c r="L855" s="31"/>
      <c r="M855" s="31"/>
      <c r="N855" s="31"/>
    </row>
    <row r="856">
      <c r="A856" s="31">
        <f>IFERROR(__xludf.DUMMYFUNCTION("""COMPUTED_VALUE"""),926.0)</f>
        <v>926</v>
      </c>
      <c r="B856" s="31" t="str">
        <f>IFERROR(__xludf.DUMMYFUNCTION("""COMPUTED_VALUE"""),"DeepakKumar")</f>
        <v>DeepakKumar</v>
      </c>
      <c r="C856" s="31" t="str">
        <f>IFERROR(__xludf.DUMMYFUNCTION("""COMPUTED_VALUE"""),"deepakiitr2015@gmail.com")</f>
        <v>deepakiitr2015@gmail.com</v>
      </c>
      <c r="D856" s="84">
        <f>IFERROR(__xludf.DUMMYFUNCTION("""COMPUTED_VALUE"""),7.669583772E9)</f>
        <v>7669583772</v>
      </c>
      <c r="E856" s="99">
        <f>IFERROR(__xludf.DUMMYFUNCTION("""COMPUTED_VALUE"""),45887.0)</f>
        <v>45887</v>
      </c>
      <c r="F856" s="31"/>
      <c r="G856" s="85"/>
      <c r="H856" s="31"/>
      <c r="I856" s="31" t="str">
        <f>IFERROR(__xludf.DUMMYFUNCTION("""COMPUTED_VALUE"""),"Technical Architect")</f>
        <v>Technical Architect</v>
      </c>
      <c r="J856" s="31"/>
      <c r="K856" s="31" t="str">
        <f>IFERROR(__xludf.DUMMYFUNCTION("""COMPUTED_VALUE"""),"Abhishek Gupta")</f>
        <v>Abhishek Gupta</v>
      </c>
      <c r="L856" s="31" t="str">
        <f>IFERROR(__xludf.DUMMYFUNCTION("""COMPUTED_VALUE"""),"Address: B-107, Vijetha Gardenia, Hosapalaya, Muneshwara Nagar, Bengaluru, Karnataka 
PIN: 560068")</f>
        <v>Address: B-107, Vijetha Gardenia, Hosapalaya, Muneshwara Nagar, Bengaluru, Karnataka 
PIN: 560068</v>
      </c>
      <c r="M856" s="31"/>
      <c r="N856" s="31"/>
    </row>
    <row r="857">
      <c r="A857" s="31">
        <f>IFERROR(__xludf.DUMMYFUNCTION("""COMPUTED_VALUE"""),927.0)</f>
        <v>927</v>
      </c>
      <c r="B857" s="31" t="str">
        <f>IFERROR(__xludf.DUMMYFUNCTION("""COMPUTED_VALUE"""),"Divas Gupta")</f>
        <v>Divas Gupta</v>
      </c>
      <c r="C857" s="31" t="str">
        <f>IFERROR(__xludf.DUMMYFUNCTION("""COMPUTED_VALUE"""),"divasgupta.enggr@gmail.com")</f>
        <v>divasgupta.enggr@gmail.com</v>
      </c>
      <c r="D857" s="84">
        <f>IFERROR(__xludf.DUMMYFUNCTION("""COMPUTED_VALUE"""),7.09093892E9)</f>
        <v>7090938920</v>
      </c>
      <c r="E857" s="99">
        <f>IFERROR(__xludf.DUMMYFUNCTION("""COMPUTED_VALUE"""),45887.0)</f>
        <v>45887</v>
      </c>
      <c r="F857" s="31"/>
      <c r="G857" s="85"/>
      <c r="H857" s="31"/>
      <c r="I857" s="31" t="str">
        <f>IFERROR(__xludf.DUMMYFUNCTION("""COMPUTED_VALUE"""),"Senior Software Engineer")</f>
        <v>Senior Software Engineer</v>
      </c>
      <c r="J857" s="31"/>
      <c r="K857" s="31" t="str">
        <f>IFERROR(__xludf.DUMMYFUNCTION("""COMPUTED_VALUE"""),"Abhishek Gupta")</f>
        <v>Abhishek Gupta</v>
      </c>
      <c r="L857" s="31" t="str">
        <f>IFERROR(__xludf.DUMMYFUNCTION("""COMPUTED_VALUE"""),"Rahul Sharma")</f>
        <v>Rahul Sharma</v>
      </c>
      <c r="M857" s="31"/>
      <c r="N857" s="31"/>
    </row>
    <row r="858">
      <c r="A858" s="31">
        <f>IFERROR(__xludf.DUMMYFUNCTION("""COMPUTED_VALUE"""),928.0)</f>
        <v>928</v>
      </c>
      <c r="B858" s="31" t="str">
        <f>IFERROR(__xludf.DUMMYFUNCTION("""COMPUTED_VALUE"""),"Navneet Lohia")</f>
        <v>Navneet Lohia</v>
      </c>
      <c r="C858" s="31" t="str">
        <f>IFERROR(__xludf.DUMMYFUNCTION("""COMPUTED_VALUE"""),"lohianav8@gmail.com")</f>
        <v>lohianav8@gmail.com</v>
      </c>
      <c r="D858" s="84">
        <f>IFERROR(__xludf.DUMMYFUNCTION("""COMPUTED_VALUE"""),7.011326999E9)</f>
        <v>7011326999</v>
      </c>
      <c r="E858" s="99">
        <f>IFERROR(__xludf.DUMMYFUNCTION("""COMPUTED_VALUE"""),45887.0)</f>
        <v>45887</v>
      </c>
      <c r="F858" s="31"/>
      <c r="G858" s="85"/>
      <c r="H858" s="31"/>
      <c r="I858" s="31" t="str">
        <f>IFERROR(__xludf.DUMMYFUNCTION("""COMPUTED_VALUE"""),"Senior Software Engineer")</f>
        <v>Senior Software Engineer</v>
      </c>
      <c r="J858" s="31"/>
      <c r="K858" s="31" t="str">
        <f>IFERROR(__xludf.DUMMYFUNCTION("""COMPUTED_VALUE"""),"Piyush Shukla")</f>
        <v>Piyush Shukla</v>
      </c>
      <c r="L858" s="31"/>
      <c r="M858" s="31"/>
      <c r="N858" s="31"/>
    </row>
    <row r="859">
      <c r="A859" s="31">
        <f>IFERROR(__xludf.DUMMYFUNCTION("""COMPUTED_VALUE"""),929.0)</f>
        <v>929</v>
      </c>
      <c r="B859" s="31" t="str">
        <f>IFERROR(__xludf.DUMMYFUNCTION("""COMPUTED_VALUE"""),"Sarthak Saluja ")</f>
        <v>Sarthak Saluja </v>
      </c>
      <c r="C859" s="31" t="str">
        <f>IFERROR(__xludf.DUMMYFUNCTION("""COMPUTED_VALUE"""),"salujas.1296@gmail.com")</f>
        <v>salujas.1296@gmail.com</v>
      </c>
      <c r="D859" s="84">
        <f>IFERROR(__xludf.DUMMYFUNCTION("""COMPUTED_VALUE"""),9.999761847E9)</f>
        <v>9999761847</v>
      </c>
      <c r="E859" s="99">
        <f>IFERROR(__xludf.DUMMYFUNCTION("""COMPUTED_VALUE"""),45887.0)</f>
        <v>45887</v>
      </c>
      <c r="F859" s="31"/>
      <c r="G859" s="85"/>
      <c r="H859" s="31"/>
      <c r="I859" s="31" t="str">
        <f>IFERROR(__xludf.DUMMYFUNCTION("""COMPUTED_VALUE"""),"Lead Data Analyst")</f>
        <v>Lead Data Analyst</v>
      </c>
      <c r="J859" s="31"/>
      <c r="K859" s="31" t="str">
        <f>IFERROR(__xludf.DUMMYFUNCTION("""COMPUTED_VALUE"""),"Raman Malik")</f>
        <v>Raman Malik</v>
      </c>
      <c r="L859" s="31"/>
      <c r="M859" s="31"/>
      <c r="N859" s="31"/>
    </row>
    <row r="860">
      <c r="A860" s="31">
        <f>IFERROR(__xludf.DUMMYFUNCTION("""COMPUTED_VALUE"""),930.0)</f>
        <v>930</v>
      </c>
      <c r="B860" s="31" t="str">
        <f>IFERROR(__xludf.DUMMYFUNCTION("""COMPUTED_VALUE"""),"Suraj Kumar")</f>
        <v>Suraj Kumar</v>
      </c>
      <c r="C860" s="31" t="str">
        <f>IFERROR(__xludf.DUMMYFUNCTION("""COMPUTED_VALUE"""),"surajsingh.rajput007@gmail.com")</f>
        <v>surajsingh.rajput007@gmail.com</v>
      </c>
      <c r="D860" s="84">
        <f>IFERROR(__xludf.DUMMYFUNCTION("""COMPUTED_VALUE"""),8.527549214E9)</f>
        <v>8527549214</v>
      </c>
      <c r="E860" s="99">
        <f>IFERROR(__xludf.DUMMYFUNCTION("""COMPUTED_VALUE"""),45887.0)</f>
        <v>45887</v>
      </c>
      <c r="F860" s="31"/>
      <c r="G860" s="85"/>
      <c r="H860" s="31"/>
      <c r="I860" s="31" t="str">
        <f>IFERROR(__xludf.DUMMYFUNCTION("""COMPUTED_VALUE"""),"Senior IT Executive")</f>
        <v>Senior IT Executive</v>
      </c>
      <c r="J860" s="31"/>
      <c r="K860" s="31" t="str">
        <f>IFERROR(__xludf.DUMMYFUNCTION("""COMPUTED_VALUE"""),"Mohit Kumar")</f>
        <v>Mohit Kumar</v>
      </c>
      <c r="L860" s="31"/>
      <c r="M860" s="31"/>
      <c r="N860" s="31"/>
    </row>
    <row r="861">
      <c r="A861" s="31">
        <f>IFERROR(__xludf.DUMMYFUNCTION("""COMPUTED_VALUE"""),931.0)</f>
        <v>931</v>
      </c>
      <c r="B861" s="31" t="str">
        <f>IFERROR(__xludf.DUMMYFUNCTION("""COMPUTED_VALUE"""),"Praveen Kumar")</f>
        <v>Praveen Kumar</v>
      </c>
      <c r="C861" s="31" t="str">
        <f>IFERROR(__xludf.DUMMYFUNCTION("""COMPUTED_VALUE"""),"praveenkumar.nitb11@gmail.com")</f>
        <v>praveenkumar.nitb11@gmail.com</v>
      </c>
      <c r="D861" s="84">
        <f>IFERROR(__xludf.DUMMYFUNCTION("""COMPUTED_VALUE"""),8.769021407E9)</f>
        <v>8769021407</v>
      </c>
      <c r="E861" s="99">
        <f>IFERROR(__xludf.DUMMYFUNCTION("""COMPUTED_VALUE"""),45887.0)</f>
        <v>45887</v>
      </c>
      <c r="F861" s="31"/>
      <c r="G861" s="85"/>
      <c r="H861" s="31"/>
      <c r="I861" s="31" t="str">
        <f>IFERROR(__xludf.DUMMYFUNCTION("""COMPUTED_VALUE"""),"Senior Software Engineer")</f>
        <v>Senior Software Engineer</v>
      </c>
      <c r="J861" s="31"/>
      <c r="K861" s="31" t="str">
        <f>IFERROR(__xludf.DUMMYFUNCTION("""COMPUTED_VALUE"""),"Amit Garg")</f>
        <v>Amit Garg</v>
      </c>
      <c r="L861" s="31"/>
      <c r="M861" s="31"/>
      <c r="N861" s="31"/>
    </row>
    <row r="862">
      <c r="A862" s="31">
        <f>IFERROR(__xludf.DUMMYFUNCTION("""COMPUTED_VALUE"""),932.0)</f>
        <v>932</v>
      </c>
      <c r="B862" s="31" t="str">
        <f>IFERROR(__xludf.DUMMYFUNCTION("""COMPUTED_VALUE"""),"A Chakravarthy Thalluri")</f>
        <v>A Chakravarthy Thalluri</v>
      </c>
      <c r="C862" s="31" t="str">
        <f>IFERROR(__xludf.DUMMYFUNCTION("""COMPUTED_VALUE"""),"abhinay.chekry@gmail.com")</f>
        <v>abhinay.chekry@gmail.com</v>
      </c>
      <c r="D862" s="84">
        <f>IFERROR(__xludf.DUMMYFUNCTION("""COMPUTED_VALUE"""),9.599776805E9)</f>
        <v>9599776805</v>
      </c>
      <c r="E862" s="99">
        <f>IFERROR(__xludf.DUMMYFUNCTION("""COMPUTED_VALUE"""),45887.0)</f>
        <v>45887</v>
      </c>
      <c r="F862" s="31"/>
      <c r="G862" s="85"/>
      <c r="H862" s="31"/>
      <c r="I862" s="31" t="str">
        <f>IFERROR(__xludf.DUMMYFUNCTION("""COMPUTED_VALUE"""),"h")</f>
        <v>h</v>
      </c>
      <c r="J862" s="31"/>
      <c r="K862" s="31" t="str">
        <f>IFERROR(__xludf.DUMMYFUNCTION("""COMPUTED_VALUE"""),"Raman Malik")</f>
        <v>Raman Malik</v>
      </c>
      <c r="L862" s="31"/>
      <c r="M862" s="31"/>
      <c r="N862" s="31"/>
    </row>
    <row r="863">
      <c r="A863" s="31">
        <f>IFERROR(__xludf.DUMMYFUNCTION("""COMPUTED_VALUE"""),933.0)</f>
        <v>933</v>
      </c>
      <c r="B863" s="31" t="str">
        <f>IFERROR(__xludf.DUMMYFUNCTION("""COMPUTED_VALUE"""),"Ashutosh Wadhwani")</f>
        <v>Ashutosh Wadhwani</v>
      </c>
      <c r="C863" s="31" t="str">
        <f>IFERROR(__xludf.DUMMYFUNCTION("""COMPUTED_VALUE"""),"ashutosh.wadhwani@gmail.com")</f>
        <v>ashutosh.wadhwani@gmail.com</v>
      </c>
      <c r="D863" s="84">
        <f>IFERROR(__xludf.DUMMYFUNCTION("""COMPUTED_VALUE"""),9.619239003E9)</f>
        <v>9619239003</v>
      </c>
      <c r="E863" s="99">
        <f>IFERROR(__xludf.DUMMYFUNCTION("""COMPUTED_VALUE"""),45887.0)</f>
        <v>45887</v>
      </c>
      <c r="F863" s="31"/>
      <c r="G863" s="85"/>
      <c r="H863" s="31"/>
      <c r="I863" s="31" t="str">
        <f>IFERROR(__xludf.DUMMYFUNCTION("""COMPUTED_VALUE"""),"Director- Growth")</f>
        <v>Director- Growth</v>
      </c>
      <c r="J863" s="31"/>
      <c r="K863" s="31" t="str">
        <f>IFERROR(__xludf.DUMMYFUNCTION("""COMPUTED_VALUE"""),"Akanksha Dhamija")</f>
        <v>Akanksha Dhamija</v>
      </c>
      <c r="L863" s="31"/>
      <c r="M863" s="31"/>
      <c r="N863" s="31"/>
    </row>
    <row r="864">
      <c r="A864" s="31">
        <f>IFERROR(__xludf.DUMMYFUNCTION("""COMPUTED_VALUE"""),934.0)</f>
        <v>934</v>
      </c>
      <c r="B864" s="31" t="str">
        <f>IFERROR(__xludf.DUMMYFUNCTION("""COMPUTED_VALUE"""),"Kamya Aggarwal")</f>
        <v>Kamya Aggarwal</v>
      </c>
      <c r="C864" s="31" t="str">
        <f>IFERROR(__xludf.DUMMYFUNCTION("""COMPUTED_VALUE"""),"kamyaaggarwal07@gmail.com")</f>
        <v>kamyaaggarwal07@gmail.com</v>
      </c>
      <c r="D864" s="84">
        <f>IFERROR(__xludf.DUMMYFUNCTION("""COMPUTED_VALUE"""),9.599759157E9)</f>
        <v>9599759157</v>
      </c>
      <c r="E864" s="99">
        <f>IFERROR(__xludf.DUMMYFUNCTION("""COMPUTED_VALUE"""),45887.0)</f>
        <v>45887</v>
      </c>
      <c r="F864" s="31"/>
      <c r="G864" s="85"/>
      <c r="H864" s="31"/>
      <c r="I864" s="31" t="str">
        <f>IFERROR(__xludf.DUMMYFUNCTION("""COMPUTED_VALUE"""),"Assistant Manager - Marketing Analytics")</f>
        <v>Assistant Manager - Marketing Analytics</v>
      </c>
      <c r="J864" s="31"/>
      <c r="K864" s="31" t="str">
        <f>IFERROR(__xludf.DUMMYFUNCTION("""COMPUTED_VALUE"""),"Mohit Garg")</f>
        <v>Mohit Garg</v>
      </c>
      <c r="L864" s="31"/>
      <c r="M864" s="31"/>
      <c r="N864" s="31"/>
    </row>
    <row r="865">
      <c r="A865" s="31">
        <f>IFERROR(__xludf.DUMMYFUNCTION("""COMPUTED_VALUE"""),935.0)</f>
        <v>935</v>
      </c>
      <c r="B865" s="31" t="str">
        <f>IFERROR(__xludf.DUMMYFUNCTION("""COMPUTED_VALUE"""),"Vikas Pandey")</f>
        <v>Vikas Pandey</v>
      </c>
      <c r="C865" s="31" t="str">
        <f>IFERROR(__xludf.DUMMYFUNCTION("""COMPUTED_VALUE"""),"	vikaspnd.af@gmail.com")</f>
        <v>	vikaspnd.af@gmail.com</v>
      </c>
      <c r="D865" s="84">
        <f>IFERROR(__xludf.DUMMYFUNCTION("""COMPUTED_VALUE"""),9.935710677E9)</f>
        <v>9935710677</v>
      </c>
      <c r="E865" s="99">
        <f>IFERROR(__xludf.DUMMYFUNCTION("""COMPUTED_VALUE"""),45887.0)</f>
        <v>45887</v>
      </c>
      <c r="F865" s="31"/>
      <c r="G865" s="85"/>
      <c r="H865" s="31"/>
      <c r="I865" s="31" t="str">
        <f>IFERROR(__xludf.DUMMYFUNCTION("""COMPUTED_VALUE"""),"Software Engineer")</f>
        <v>Software Engineer</v>
      </c>
      <c r="J865" s="31"/>
      <c r="K865" s="31" t="str">
        <f>IFERROR(__xludf.DUMMYFUNCTION("""COMPUTED_VALUE"""),"Rahul Sharma")</f>
        <v>Rahul Sharma</v>
      </c>
      <c r="L865" s="31"/>
      <c r="M865" s="31"/>
      <c r="N865" s="31"/>
    </row>
    <row r="866">
      <c r="A866" s="31">
        <f>IFERROR(__xludf.DUMMYFUNCTION("""COMPUTED_VALUE"""),936.0)</f>
        <v>936</v>
      </c>
      <c r="B866" s="31" t="str">
        <f>IFERROR(__xludf.DUMMYFUNCTION("""COMPUTED_VALUE"""),"Abhishek Saxena")</f>
        <v>Abhishek Saxena</v>
      </c>
      <c r="C866" s="31" t="str">
        <f>IFERROR(__xludf.DUMMYFUNCTION("""COMPUTED_VALUE"""),"saxenaabhishek378@gmail.com")</f>
        <v>saxenaabhishek378@gmail.com</v>
      </c>
      <c r="D866" s="84">
        <f>IFERROR(__xludf.DUMMYFUNCTION("""COMPUTED_VALUE"""),7.61819085E9)</f>
        <v>7618190850</v>
      </c>
      <c r="E866" s="99">
        <f>IFERROR(__xludf.DUMMYFUNCTION("""COMPUTED_VALUE"""),45887.0)</f>
        <v>45887</v>
      </c>
      <c r="F866" s="31"/>
      <c r="G866" s="85"/>
      <c r="H866" s="31"/>
      <c r="I866" s="31" t="str">
        <f>IFERROR(__xludf.DUMMYFUNCTION("""COMPUTED_VALUE"""),"Software Engineer")</f>
        <v>Software Engineer</v>
      </c>
      <c r="J866" s="31"/>
      <c r="K866" s="31" t="str">
        <f>IFERROR(__xludf.DUMMYFUNCTION("""COMPUTED_VALUE"""),"Piyush Shukla")</f>
        <v>Piyush Shukla</v>
      </c>
      <c r="L866" s="31"/>
      <c r="M866" s="31"/>
      <c r="N866" s="31"/>
    </row>
    <row r="867">
      <c r="A867" s="31">
        <f>IFERROR(__xludf.DUMMYFUNCTION("""COMPUTED_VALUE"""),937.0)</f>
        <v>937</v>
      </c>
      <c r="B867" s="31" t="str">
        <f>IFERROR(__xludf.DUMMYFUNCTION("""COMPUTED_VALUE"""),"Nitesh Gupta")</f>
        <v>Nitesh Gupta</v>
      </c>
      <c r="C867" s="31" t="str">
        <f>IFERROR(__xludf.DUMMYFUNCTION("""COMPUTED_VALUE"""),"niteshg2000@gmail.com")</f>
        <v>niteshg2000@gmail.com</v>
      </c>
      <c r="D867" s="84">
        <f>IFERROR(__xludf.DUMMYFUNCTION("""COMPUTED_VALUE"""),8.860377218E9)</f>
        <v>8860377218</v>
      </c>
      <c r="E867" s="99">
        <f>IFERROR(__xludf.DUMMYFUNCTION("""COMPUTED_VALUE"""),45887.0)</f>
        <v>45887</v>
      </c>
      <c r="F867" s="31"/>
      <c r="G867" s="85"/>
      <c r="H867" s="31"/>
      <c r="I867" s="31" t="str">
        <f>IFERROR(__xludf.DUMMYFUNCTION("""COMPUTED_VALUE"""),"Software Engineer-Android")</f>
        <v>Software Engineer-Android</v>
      </c>
      <c r="J867" s="31"/>
      <c r="K867" s="31" t="str">
        <f>IFERROR(__xludf.DUMMYFUNCTION("""COMPUTED_VALUE"""),"Anshul Mittal")</f>
        <v>Anshul Mittal</v>
      </c>
      <c r="L867" s="31"/>
      <c r="M867" s="31"/>
      <c r="N867" s="31"/>
    </row>
    <row r="868">
      <c r="A868" s="31">
        <f>IFERROR(__xludf.DUMMYFUNCTION("""COMPUTED_VALUE"""),938.0)</f>
        <v>938</v>
      </c>
      <c r="B868" s="31" t="str">
        <f>IFERROR(__xludf.DUMMYFUNCTION("""COMPUTED_VALUE"""),"Shah Faizal Khan")</f>
        <v>Shah Faizal Khan</v>
      </c>
      <c r="C868" s="31" t="str">
        <f>IFERROR(__xludf.DUMMYFUNCTION("""COMPUTED_VALUE"""),"fk2224542@gmail.com")</f>
        <v>fk2224542@gmail.com</v>
      </c>
      <c r="D868" s="84">
        <f>IFERROR(__xludf.DUMMYFUNCTION("""COMPUTED_VALUE"""),8.368534075E9)</f>
        <v>8368534075</v>
      </c>
      <c r="E868" s="99">
        <f>IFERROR(__xludf.DUMMYFUNCTION("""COMPUTED_VALUE"""),45887.0)</f>
        <v>45887</v>
      </c>
      <c r="F868" s="31"/>
      <c r="G868" s="85"/>
      <c r="H868" s="31"/>
      <c r="I868" s="31" t="str">
        <f>IFERROR(__xludf.DUMMYFUNCTION("""COMPUTED_VALUE"""),"Software Engineer")</f>
        <v>Software Engineer</v>
      </c>
      <c r="J868" s="31"/>
      <c r="K868" s="31" t="str">
        <f>IFERROR(__xludf.DUMMYFUNCTION("""COMPUTED_VALUE"""),"Rahul Sharma")</f>
        <v>Rahul Sharma</v>
      </c>
      <c r="L868" s="31"/>
      <c r="M868" s="31"/>
      <c r="N868" s="31"/>
    </row>
    <row r="869">
      <c r="A869" s="31">
        <f>IFERROR(__xludf.DUMMYFUNCTION("""COMPUTED_VALUE"""),939.0)</f>
        <v>939</v>
      </c>
      <c r="B869" s="31" t="str">
        <f>IFERROR(__xludf.DUMMYFUNCTION("""COMPUTED_VALUE"""),"Shivam Goel")</f>
        <v>Shivam Goel</v>
      </c>
      <c r="C869" s="31" t="str">
        <f>IFERROR(__xludf.DUMMYFUNCTION("""COMPUTED_VALUE"""),"goel.shivam805@gmail.coml")</f>
        <v>goel.shivam805@gmail.coml</v>
      </c>
      <c r="D869" s="84">
        <f>IFERROR(__xludf.DUMMYFUNCTION("""COMPUTED_VALUE"""),7.355291522E9)</f>
        <v>7355291522</v>
      </c>
      <c r="E869" s="99">
        <f>IFERROR(__xludf.DUMMYFUNCTION("""COMPUTED_VALUE"""),45887.0)</f>
        <v>45887</v>
      </c>
      <c r="F869" s="31"/>
      <c r="G869" s="85"/>
      <c r="H869" s="31"/>
      <c r="I869" s="31" t="str">
        <f>IFERROR(__xludf.DUMMYFUNCTION("""COMPUTED_VALUE"""),"Assistant Manager - Strategy")</f>
        <v>Assistant Manager - Strategy</v>
      </c>
      <c r="J869" s="31"/>
      <c r="K869" s="31" t="str">
        <f>IFERROR(__xludf.DUMMYFUNCTION("""COMPUTED_VALUE"""),"Sauimtra Raj")</f>
        <v>Sauimtra Raj</v>
      </c>
      <c r="L869" s="31"/>
      <c r="M869" s="31"/>
      <c r="N869" s="31"/>
    </row>
    <row r="870">
      <c r="A870" s="31">
        <f>IFERROR(__xludf.DUMMYFUNCTION("""COMPUTED_VALUE"""),940.0)</f>
        <v>940</v>
      </c>
      <c r="B870" s="31" t="str">
        <f>IFERROR(__xludf.DUMMYFUNCTION("""COMPUTED_VALUE"""),"Sunny Shanker Anand")</f>
        <v>Sunny Shanker Anand</v>
      </c>
      <c r="C870" s="31" t="str">
        <f>IFERROR(__xludf.DUMMYFUNCTION("""COMPUTED_VALUE"""),"Sunny31jul@gmail.com")</f>
        <v>Sunny31jul@gmail.com</v>
      </c>
      <c r="D870" s="84">
        <f>IFERROR(__xludf.DUMMYFUNCTION("""COMPUTED_VALUE"""),8.130311217E9)</f>
        <v>8130311217</v>
      </c>
      <c r="E870" s="99">
        <f>IFERROR(__xludf.DUMMYFUNCTION("""COMPUTED_VALUE"""),45887.0)</f>
        <v>45887</v>
      </c>
      <c r="F870" s="31"/>
      <c r="G870" s="85"/>
      <c r="H870" s="31"/>
      <c r="I870" s="31" t="str">
        <f>IFERROR(__xludf.DUMMYFUNCTION("""COMPUTED_VALUE"""),"Manager-Public Policy")</f>
        <v>Manager-Public Policy</v>
      </c>
      <c r="J870" s="31"/>
      <c r="K870" s="31" t="str">
        <f>IFERROR(__xludf.DUMMYFUNCTION("""COMPUTED_VALUE"""),"Ravi Jha ")</f>
        <v>Ravi Jha </v>
      </c>
      <c r="L870" s="31"/>
      <c r="M870" s="31"/>
      <c r="N870" s="31"/>
    </row>
    <row r="871">
      <c r="A871" s="31">
        <f>IFERROR(__xludf.DUMMYFUNCTION("""COMPUTED_VALUE"""),941.0)</f>
        <v>941</v>
      </c>
      <c r="B871" s="31" t="str">
        <f>IFERROR(__xludf.DUMMYFUNCTION("""COMPUTED_VALUE"""),"Anmol Rawlani")</f>
        <v>Anmol Rawlani</v>
      </c>
      <c r="C871" s="31" t="str">
        <f>IFERROR(__xludf.DUMMYFUNCTION("""COMPUTED_VALUE"""),"anmolrawlani20@gmail.com")</f>
        <v>anmolrawlani20@gmail.com</v>
      </c>
      <c r="D871" s="84">
        <f>IFERROR(__xludf.DUMMYFUNCTION("""COMPUTED_VALUE"""),7.704087737E9)</f>
        <v>7704087737</v>
      </c>
      <c r="E871" s="99">
        <f>IFERROR(__xludf.DUMMYFUNCTION("""COMPUTED_VALUE"""),45889.0)</f>
        <v>45889</v>
      </c>
      <c r="F871" s="31"/>
      <c r="G871" s="85"/>
      <c r="H871" s="31"/>
      <c r="I871" s="31" t="str">
        <f>IFERROR(__xludf.DUMMYFUNCTION("""COMPUTED_VALUE"""),"Brand Manager")</f>
        <v>Brand Manager</v>
      </c>
      <c r="J871" s="31"/>
      <c r="K871" s="31" t="str">
        <f>IFERROR(__xludf.DUMMYFUNCTION("""COMPUTED_VALUE"""),"Katha Tara")</f>
        <v>Katha Tara</v>
      </c>
      <c r="L871" s="31"/>
      <c r="M871" s="31"/>
      <c r="N871" s="31"/>
    </row>
    <row r="872">
      <c r="A872" s="31">
        <f>IFERROR(__xludf.DUMMYFUNCTION("""COMPUTED_VALUE"""),942.0)</f>
        <v>942</v>
      </c>
      <c r="B872" s="31" t="str">
        <f>IFERROR(__xludf.DUMMYFUNCTION("""COMPUTED_VALUE"""),"Amrit Raj Jha")</f>
        <v>Amrit Raj Jha</v>
      </c>
      <c r="C872" s="31" t="str">
        <f>IFERROR(__xludf.DUMMYFUNCTION("""COMPUTED_VALUE"""),"amritrajjha74@gmail.com")</f>
        <v>amritrajjha74@gmail.com</v>
      </c>
      <c r="D872" s="84">
        <f>IFERROR(__xludf.DUMMYFUNCTION("""COMPUTED_VALUE"""),9.681080862E9)</f>
        <v>9681080862</v>
      </c>
      <c r="E872" s="99">
        <f>IFERROR(__xludf.DUMMYFUNCTION("""COMPUTED_VALUE"""),45931.0)</f>
        <v>45931</v>
      </c>
      <c r="F872" s="31"/>
      <c r="G872" s="85"/>
      <c r="H872" s="31"/>
      <c r="I872" s="31" t="str">
        <f>IFERROR(__xludf.DUMMYFUNCTION("""COMPUTED_VALUE"""),"Content Operations Lead")</f>
        <v>Content Operations Lead</v>
      </c>
      <c r="J872" s="31"/>
      <c r="K872" s="31" t="str">
        <f>IFERROR(__xludf.DUMMYFUNCTION("""COMPUTED_VALUE"""),"Katha Tara")</f>
        <v>Katha Tara</v>
      </c>
      <c r="L872" s="31"/>
      <c r="M872" s="31"/>
      <c r="N872" s="31"/>
    </row>
    <row r="873">
      <c r="A873" s="31">
        <f>IFERROR(__xludf.DUMMYFUNCTION("""COMPUTED_VALUE"""),943.0)</f>
        <v>943</v>
      </c>
      <c r="B873" s="31" t="str">
        <f>IFERROR(__xludf.DUMMYFUNCTION("""COMPUTED_VALUE"""),"Avinash Kumar")</f>
        <v>Avinash Kumar</v>
      </c>
      <c r="C873" s="31" t="str">
        <f>IFERROR(__xludf.DUMMYFUNCTION("""COMPUTED_VALUE"""),"avin.076nash@gmail.com")</f>
        <v>avin.076nash@gmail.com</v>
      </c>
      <c r="D873" s="84">
        <f>IFERROR(__xludf.DUMMYFUNCTION("""COMPUTED_VALUE"""),8.951540776E9)</f>
        <v>8951540776</v>
      </c>
      <c r="E873" s="99">
        <f>IFERROR(__xludf.DUMMYFUNCTION("""COMPUTED_VALUE"""),45931.0)</f>
        <v>45931</v>
      </c>
      <c r="F873" s="31"/>
      <c r="G873" s="85"/>
      <c r="H873" s="31"/>
      <c r="I873" s="31" t="str">
        <f>IFERROR(__xludf.DUMMYFUNCTION("""COMPUTED_VALUE"""),"Creative Head")</f>
        <v>Creative Head</v>
      </c>
      <c r="J873" s="31"/>
      <c r="K873" s="31" t="str">
        <f>IFERROR(__xludf.DUMMYFUNCTION("""COMPUTED_VALUE"""),"Katha Tara")</f>
        <v>Katha Tara</v>
      </c>
      <c r="L873" s="31"/>
      <c r="M873" s="31"/>
      <c r="N873" s="31"/>
    </row>
    <row r="874">
      <c r="A874" s="31">
        <f>IFERROR(__xludf.DUMMYFUNCTION("""COMPUTED_VALUE"""),944.0)</f>
        <v>944</v>
      </c>
      <c r="B874" s="31" t="str">
        <f>IFERROR(__xludf.DUMMYFUNCTION("""COMPUTED_VALUE"""),"Gaurav Mishra ")</f>
        <v>Gaurav Mishra </v>
      </c>
      <c r="C874" s="31" t="str">
        <f>IFERROR(__xludf.DUMMYFUNCTION("""COMPUTED_VALUE"""),"grvmishra123@gmail.com")</f>
        <v>grvmishra123@gmail.com</v>
      </c>
      <c r="D874" s="84">
        <f>IFERROR(__xludf.DUMMYFUNCTION("""COMPUTED_VALUE"""),8.982834662E9)</f>
        <v>8982834662</v>
      </c>
      <c r="E874" s="99">
        <f>IFERROR(__xludf.DUMMYFUNCTION("""COMPUTED_VALUE"""),45937.0)</f>
        <v>45937</v>
      </c>
      <c r="F874" s="31"/>
      <c r="G874" s="85" t="str">
        <f>IFERROR(__xludf.DUMMYFUNCTION("""COMPUTED_VALUE"""),"grvmishra123@gmail.com")</f>
        <v>grvmishra123@gmail.com</v>
      </c>
      <c r="H874" s="31"/>
      <c r="I874" s="31" t="str">
        <f>IFERROR(__xludf.DUMMYFUNCTION("""COMPUTED_VALUE"""),"Promo Lead")</f>
        <v>Promo Lead</v>
      </c>
      <c r="J874" s="31"/>
      <c r="K874" s="31" t="str">
        <f>IFERROR(__xludf.DUMMYFUNCTION("""COMPUTED_VALUE"""),"Katha Pankaj Tara")</f>
        <v>Katha Pankaj Tara</v>
      </c>
      <c r="L874" s="31"/>
      <c r="M874" s="31"/>
      <c r="N874" s="31"/>
    </row>
    <row r="875">
      <c r="A875" s="31">
        <f>IFERROR(__xludf.DUMMYFUNCTION("""COMPUTED_VALUE"""),945.0)</f>
        <v>945</v>
      </c>
      <c r="B875" s="31" t="str">
        <f>IFERROR(__xludf.DUMMYFUNCTION("""COMPUTED_VALUE"""),"Nivedita Sharma")</f>
        <v>Nivedita Sharma</v>
      </c>
      <c r="C875" s="31" t="str">
        <f>IFERROR(__xludf.DUMMYFUNCTION("""COMPUTED_VALUE"""),"niveditalsr@gmail.com")</f>
        <v>niveditalsr@gmail.com</v>
      </c>
      <c r="D875" s="84">
        <f>IFERROR(__xludf.DUMMYFUNCTION("""COMPUTED_VALUE"""),9.818458488E9)</f>
        <v>9818458488</v>
      </c>
      <c r="E875" s="99">
        <f>IFERROR(__xludf.DUMMYFUNCTION("""COMPUTED_VALUE"""),45937.0)</f>
        <v>45937</v>
      </c>
      <c r="F875" s="31"/>
      <c r="G875" s="85" t="str">
        <f>IFERROR(__xludf.DUMMYFUNCTION("""COMPUTED_VALUE"""),"niveditalsr@gmail.com")</f>
        <v>niveditalsr@gmail.com</v>
      </c>
      <c r="H875" s="31"/>
      <c r="I875" s="31" t="str">
        <f>IFERROR(__xludf.DUMMYFUNCTION("""COMPUTED_VALUE"""),"Promo Writer")</f>
        <v>Promo Writer</v>
      </c>
      <c r="J875" s="31"/>
      <c r="K875" s="31" t="str">
        <f>IFERROR(__xludf.DUMMYFUNCTION("""COMPUTED_VALUE"""),"Katha Pankaj Tara")</f>
        <v>Katha Pankaj Tara</v>
      </c>
      <c r="L875" s="31"/>
      <c r="M875" s="31"/>
      <c r="N875" s="31"/>
    </row>
    <row r="876">
      <c r="A876" s="31">
        <f>IFERROR(__xludf.DUMMYFUNCTION("""COMPUTED_VALUE"""),946.0)</f>
        <v>946</v>
      </c>
      <c r="B876" s="31" t="str">
        <f>IFERROR(__xludf.DUMMYFUNCTION("""COMPUTED_VALUE"""),"Rishab Pratap Singh")</f>
        <v>Rishab Pratap Singh</v>
      </c>
      <c r="C876" s="86" t="str">
        <f>IFERROR(__xludf.DUMMYFUNCTION("""COMPUTED_VALUE"""),"rishabhpratap20995@gmail.com")</f>
        <v>rishabhpratap20995@gmail.com</v>
      </c>
      <c r="D876" s="84" t="str">
        <f>IFERROR(__xludf.DUMMYFUNCTION("""COMPUTED_VALUE"""),"80763 62663")</f>
        <v>80763 62663</v>
      </c>
      <c r="E876" s="99">
        <f>IFERROR(__xludf.DUMMYFUNCTION("""COMPUTED_VALUE"""),45943.0)</f>
        <v>45943</v>
      </c>
      <c r="F876" s="31"/>
      <c r="G876" s="85"/>
      <c r="H876" s="31"/>
      <c r="I876" s="31" t="str">
        <f>IFERROR(__xludf.DUMMYFUNCTION("""COMPUTED_VALUE"""),"Graphic Designer - contract")</f>
        <v>Graphic Designer - contract</v>
      </c>
      <c r="J876" s="31"/>
      <c r="K876" s="31" t="str">
        <f>IFERROR(__xludf.DUMMYFUNCTION("""COMPUTED_VALUE"""),"abhishek srivastava")</f>
        <v>abhishek srivastava</v>
      </c>
      <c r="L876" s="31"/>
      <c r="M876" s="31"/>
      <c r="N876" s="31"/>
    </row>
    <row r="877">
      <c r="A877" s="31">
        <f>IFERROR(__xludf.DUMMYFUNCTION("""COMPUTED_VALUE"""),947.0)</f>
        <v>947</v>
      </c>
      <c r="B877" s="31" t="str">
        <f>IFERROR(__xludf.DUMMYFUNCTION("""COMPUTED_VALUE"""),"Tina Khurana")</f>
        <v>Tina Khurana</v>
      </c>
      <c r="C877" s="31" t="str">
        <f>IFERROR(__xludf.DUMMYFUNCTION("""COMPUTED_VALUE"""),"tina.khurana93@gmail.com")</f>
        <v>tina.khurana93@gmail.com</v>
      </c>
      <c r="D877" s="84">
        <f>IFERROR(__xludf.DUMMYFUNCTION("""COMPUTED_VALUE"""),9.999902551E9)</f>
        <v>9999902551</v>
      </c>
      <c r="E877" s="99">
        <f>IFERROR(__xludf.DUMMYFUNCTION("""COMPUTED_VALUE"""),45947.0)</f>
        <v>45947</v>
      </c>
      <c r="F877" s="31" t="str">
        <f>IFERROR(__xludf.DUMMYFUNCTION("""COMPUTED_VALUE"""),"Zupee")</f>
        <v>Zupee</v>
      </c>
      <c r="G877" s="85"/>
      <c r="H877" s="31"/>
      <c r="I877" s="31" t="str">
        <f>IFERROR(__xludf.DUMMYFUNCTION("""COMPUTED_VALUE"""),"Senior Brand Manager")</f>
        <v>Senior Brand Manager</v>
      </c>
      <c r="J877" s="31"/>
      <c r="K877" s="31" t="str">
        <f>IFERROR(__xludf.DUMMYFUNCTION("""COMPUTED_VALUE"""),"Katha Pankaj Tara")</f>
        <v>Katha Pankaj Tara</v>
      </c>
      <c r="L877" s="31"/>
      <c r="M877" s="31"/>
      <c r="N877" s="31"/>
    </row>
    <row r="878">
      <c r="A878" s="31">
        <f>IFERROR(__xludf.DUMMYFUNCTION("""COMPUTED_VALUE"""),948.0)</f>
        <v>948</v>
      </c>
      <c r="B878" s="31" t="str">
        <f>IFERROR(__xludf.DUMMYFUNCTION("""COMPUTED_VALUE"""),"Lovenith S Rampure")</f>
        <v>Lovenith S Rampure</v>
      </c>
      <c r="C878" s="86" t="str">
        <f>IFERROR(__xludf.DUMMYFUNCTION("""COMPUTED_VALUE"""),"lovenithsrampure@gmail.com")</f>
        <v>lovenithsrampure@gmail.com</v>
      </c>
      <c r="D878" s="84">
        <f>IFERROR(__xludf.DUMMYFUNCTION("""COMPUTED_VALUE"""),9.071355544E9)</f>
        <v>9071355544</v>
      </c>
      <c r="E878" s="99">
        <f>IFERROR(__xludf.DUMMYFUNCTION("""COMPUTED_VALUE"""),45957.0)</f>
        <v>45957</v>
      </c>
      <c r="F878" s="31" t="str">
        <f>IFERROR(__xludf.DUMMYFUNCTION("""COMPUTED_VALUE"""),"Zupee")</f>
        <v>Zupee</v>
      </c>
      <c r="G878" s="85"/>
      <c r="H878" s="31"/>
      <c r="I878" s="31" t="str">
        <f>IFERROR(__xludf.DUMMYFUNCTION("""COMPUTED_VALUE"""),"Creative Head")</f>
        <v>Creative Head</v>
      </c>
      <c r="J878" s="31"/>
      <c r="K878" s="31" t="str">
        <f>IFERROR(__xludf.DUMMYFUNCTION("""COMPUTED_VALUE"""),"Katha Pankaj Tara")</f>
        <v>Katha Pankaj Tara</v>
      </c>
      <c r="L878" s="31"/>
      <c r="M878" s="31"/>
      <c r="N878" s="31"/>
    </row>
    <row r="879">
      <c r="A879" s="31">
        <f>IFERROR(__xludf.DUMMYFUNCTION("""COMPUTED_VALUE"""),949.0)</f>
        <v>949</v>
      </c>
      <c r="B879" s="31" t="str">
        <f>IFERROR(__xludf.DUMMYFUNCTION("""COMPUTED_VALUE"""),"Nikhil Goswami")</f>
        <v>Nikhil Goswami</v>
      </c>
      <c r="C879" s="31" t="str">
        <f>IFERROR(__xludf.DUMMYFUNCTION("""COMPUTED_VALUE"""),"amangoswami1128@gmail.com")</f>
        <v>amangoswami1128@gmail.com</v>
      </c>
      <c r="D879" s="84">
        <f>IFERROR(__xludf.DUMMYFUNCTION("""COMPUTED_VALUE"""),8.700190151E9)</f>
        <v>8700190151</v>
      </c>
      <c r="E879" s="99">
        <f>IFERROR(__xludf.DUMMYFUNCTION("""COMPUTED_VALUE"""),45965.0)</f>
        <v>45965</v>
      </c>
      <c r="F879" s="31" t="str">
        <f>IFERROR(__xludf.DUMMYFUNCTION("""COMPUTED_VALUE"""),"Zupee")</f>
        <v>Zupee</v>
      </c>
      <c r="G879" s="85"/>
      <c r="H879" s="31"/>
      <c r="I879" s="31" t="str">
        <f>IFERROR(__xludf.DUMMYFUNCTION("""COMPUTED_VALUE"""),"Senior Associate- Digital Marketing")</f>
        <v>Senior Associate- Digital Marketing</v>
      </c>
      <c r="J879" s="31"/>
      <c r="K879" s="31" t="str">
        <f>IFERROR(__xludf.DUMMYFUNCTION("""COMPUTED_VALUE"""),"Sahil Brahmania")</f>
        <v>Sahil Brahmania</v>
      </c>
      <c r="L879" s="31"/>
      <c r="M879" s="31"/>
      <c r="N879" s="31"/>
    </row>
    <row r="880">
      <c r="A880" s="31">
        <f>IFERROR(__xludf.DUMMYFUNCTION("""COMPUTED_VALUE"""),950.0)</f>
        <v>950</v>
      </c>
      <c r="B880" s="31" t="str">
        <f>IFERROR(__xludf.DUMMYFUNCTION("""COMPUTED_VALUE"""),"Nishant Pandey")</f>
        <v>Nishant Pandey</v>
      </c>
      <c r="C880" s="31" t="str">
        <f>IFERROR(__xludf.DUMMYFUNCTION("""COMPUTED_VALUE"""),"nishantpandey7689@gmail.com")</f>
        <v>nishantpandey7689@gmail.com</v>
      </c>
      <c r="D880" s="84">
        <f>IFERROR(__xludf.DUMMYFUNCTION("""COMPUTED_VALUE"""),8.076687289E9)</f>
        <v>8076687289</v>
      </c>
      <c r="E880" s="99">
        <f>IFERROR(__xludf.DUMMYFUNCTION("""COMPUTED_VALUE"""),45965.0)</f>
        <v>45965</v>
      </c>
      <c r="F880" s="31" t="str">
        <f>IFERROR(__xludf.DUMMYFUNCTION("""COMPUTED_VALUE"""),"Zupee")</f>
        <v>Zupee</v>
      </c>
      <c r="G880" s="85"/>
      <c r="H880" s="31"/>
      <c r="I880" s="31" t="str">
        <f>IFERROR(__xludf.DUMMYFUNCTION("""COMPUTED_VALUE"""),"Content Operations Intern")</f>
        <v>Content Operations Intern</v>
      </c>
      <c r="J880" s="31"/>
      <c r="K880" s="31" t="str">
        <f>IFERROR(__xludf.DUMMYFUNCTION("""COMPUTED_VALUE"""),"Chiragkumar Sabhadiya")</f>
        <v>Chiragkumar Sabhadiya</v>
      </c>
      <c r="L880" s="31"/>
      <c r="M880" s="31"/>
      <c r="N880" s="31"/>
    </row>
    <row r="881">
      <c r="A881" s="31">
        <f>IFERROR(__xludf.DUMMYFUNCTION("""COMPUTED_VALUE"""),951.0)</f>
        <v>951</v>
      </c>
      <c r="B881" s="31" t="str">
        <f>IFERROR(__xludf.DUMMYFUNCTION("""COMPUTED_VALUE"""),"Khushboo Bansal")</f>
        <v>Khushboo Bansal</v>
      </c>
      <c r="C881" s="31" t="str">
        <f>IFERROR(__xludf.DUMMYFUNCTION("""COMPUTED_VALUE"""),"khushboo.bansal0404@gmail.com")</f>
        <v>khushboo.bansal0404@gmail.com</v>
      </c>
      <c r="D881" s="84">
        <f>IFERROR(__xludf.DUMMYFUNCTION("""COMPUTED_VALUE"""),8.584006871E9)</f>
        <v>8584006871</v>
      </c>
      <c r="E881" s="99">
        <f>IFERROR(__xludf.DUMMYFUNCTION("""COMPUTED_VALUE"""),45965.0)</f>
        <v>45965</v>
      </c>
      <c r="F881" s="31" t="str">
        <f>IFERROR(__xludf.DUMMYFUNCTION("""COMPUTED_VALUE"""),"Vertical TV")</f>
        <v>Vertical TV</v>
      </c>
      <c r="G881" s="85"/>
      <c r="H881" s="31"/>
      <c r="I881" s="31" t="str">
        <f>IFERROR(__xludf.DUMMYFUNCTION("""COMPUTED_VALUE"""),"Promo Producer")</f>
        <v>Promo Producer</v>
      </c>
      <c r="J881" s="31"/>
      <c r="K881" s="31"/>
      <c r="L881" s="31"/>
      <c r="M881" s="31"/>
      <c r="N881" s="31"/>
    </row>
    <row r="882">
      <c r="A882" s="31">
        <f>IFERROR(__xludf.DUMMYFUNCTION("""COMPUTED_VALUE"""),952.0)</f>
        <v>952</v>
      </c>
      <c r="B882" s="31" t="str">
        <f>IFERROR(__xludf.DUMMYFUNCTION("""COMPUTED_VALUE"""),"Sajiya")</f>
        <v>Sajiya</v>
      </c>
      <c r="C882" s="31" t="str">
        <f>IFERROR(__xludf.DUMMYFUNCTION("""COMPUTED_VALUE"""),"life123with@gmail.com")</f>
        <v>life123with@gmail.com</v>
      </c>
      <c r="D882" s="84">
        <f>IFERROR(__xludf.DUMMYFUNCTION("""COMPUTED_VALUE"""),8.86006598E9)</f>
        <v>8860065980</v>
      </c>
      <c r="E882" s="99">
        <f>IFERROR(__xludf.DUMMYFUNCTION("""COMPUTED_VALUE"""),45965.0)</f>
        <v>45965</v>
      </c>
      <c r="F882" s="31" t="str">
        <f>IFERROR(__xludf.DUMMYFUNCTION("""COMPUTED_VALUE"""),"Vertical TV")</f>
        <v>Vertical TV</v>
      </c>
      <c r="G882" s="85"/>
      <c r="H882" s="31"/>
      <c r="I882" s="31" t="str">
        <f>IFERROR(__xludf.DUMMYFUNCTION("""COMPUTED_VALUE"""),"Promo Producer")</f>
        <v>Promo Producer</v>
      </c>
      <c r="J882" s="31"/>
      <c r="K882" s="31"/>
      <c r="L882" s="31"/>
      <c r="M882" s="31"/>
      <c r="N882" s="31"/>
    </row>
    <row r="883">
      <c r="A883" s="31">
        <f>IFERROR(__xludf.DUMMYFUNCTION("""COMPUTED_VALUE"""),953.0)</f>
        <v>953</v>
      </c>
      <c r="B883" s="31" t="str">
        <f>IFERROR(__xludf.DUMMYFUNCTION("""COMPUTED_VALUE"""),"Mukul Vikram")</f>
        <v>Mukul Vikram</v>
      </c>
      <c r="C883" s="31" t="str">
        <f>IFERROR(__xludf.DUMMYFUNCTION("""COMPUTED_VALUE"""),"mukul.vg@gmail.com")</f>
        <v>mukul.vg@gmail.com</v>
      </c>
      <c r="D883" s="84">
        <f>IFERROR(__xludf.DUMMYFUNCTION("""COMPUTED_VALUE"""),9.769789207E9)</f>
        <v>9769789207</v>
      </c>
      <c r="E883" s="99">
        <f>IFERROR(__xludf.DUMMYFUNCTION("""COMPUTED_VALUE"""),45966.0)</f>
        <v>45966</v>
      </c>
      <c r="F883" s="31" t="str">
        <f>IFERROR(__xludf.DUMMYFUNCTION("""COMPUTED_VALUE"""),"Vertical TV")</f>
        <v>Vertical TV</v>
      </c>
      <c r="G883" s="85"/>
      <c r="H883" s="31"/>
      <c r="I883" s="31" t="str">
        <f>IFERROR(__xludf.DUMMYFUNCTION("""COMPUTED_VALUE"""),"Sr Producer")</f>
        <v>Sr Producer</v>
      </c>
      <c r="J883" s="31"/>
      <c r="K883" s="31"/>
      <c r="L883" s="31"/>
      <c r="M883" s="31"/>
      <c r="N883" s="31"/>
    </row>
    <row r="884">
      <c r="A884" s="31">
        <f>IFERROR(__xludf.DUMMYFUNCTION("""COMPUTED_VALUE"""),954.0)</f>
        <v>954</v>
      </c>
      <c r="B884" s="31" t="str">
        <f>IFERROR(__xludf.DUMMYFUNCTION("""COMPUTED_VALUE"""),"Aman Maurya")</f>
        <v>Aman Maurya</v>
      </c>
      <c r="C884" s="31" t="str">
        <f>IFERROR(__xludf.DUMMYFUNCTION("""COMPUTED_VALUE"""),"amanmaurya4527@gmail.com")</f>
        <v>amanmaurya4527@gmail.com</v>
      </c>
      <c r="D884" s="84">
        <f>IFERROR(__xludf.DUMMYFUNCTION("""COMPUTED_VALUE"""),9.625572595E9)</f>
        <v>9625572595</v>
      </c>
      <c r="E884" s="99">
        <f>IFERROR(__xludf.DUMMYFUNCTION("""COMPUTED_VALUE"""),45971.0)</f>
        <v>45971</v>
      </c>
      <c r="F884" s="31" t="str">
        <f>IFERROR(__xludf.DUMMYFUNCTION("""COMPUTED_VALUE"""),"Zupee")</f>
        <v>Zupee</v>
      </c>
      <c r="G884" s="85"/>
      <c r="H884" s="31"/>
      <c r="I884" s="31" t="str">
        <f>IFERROR(__xludf.DUMMYFUNCTION("""COMPUTED_VALUE"""),"Machine Learning Intern")</f>
        <v>Machine Learning Intern</v>
      </c>
      <c r="J884" s="31"/>
      <c r="K884" s="31"/>
      <c r="L884" s="31"/>
      <c r="M884" s="31"/>
      <c r="N884" s="31"/>
    </row>
    <row r="885">
      <c r="A885" s="31">
        <f>IFERROR(__xludf.DUMMYFUNCTION("""COMPUTED_VALUE"""),955.0)</f>
        <v>955</v>
      </c>
      <c r="B885" s="31" t="str">
        <f>IFERROR(__xludf.DUMMYFUNCTION("""COMPUTED_VALUE"""),"Divyansh Shrivastava")</f>
        <v>Divyansh Shrivastava</v>
      </c>
      <c r="C885" s="31" t="str">
        <f>IFERROR(__xludf.DUMMYFUNCTION("""COMPUTED_VALUE"""),"xstudiosyt@gmail.com")</f>
        <v>xstudiosyt@gmail.com</v>
      </c>
      <c r="D885" s="84">
        <f>IFERROR(__xludf.DUMMYFUNCTION("""COMPUTED_VALUE"""),7.290890045E9)</f>
        <v>7290890045</v>
      </c>
      <c r="E885" s="99">
        <f>IFERROR(__xludf.DUMMYFUNCTION("""COMPUTED_VALUE"""),45971.0)</f>
        <v>45971</v>
      </c>
      <c r="F885" s="31" t="str">
        <f>IFERROR(__xludf.DUMMYFUNCTION("""COMPUTED_VALUE"""),"Vertical TV")</f>
        <v>Vertical TV</v>
      </c>
      <c r="G885" s="85"/>
      <c r="H885" s="31"/>
      <c r="I885" s="31" t="str">
        <f>IFERROR(__xludf.DUMMYFUNCTION("""COMPUTED_VALUE"""),"Sound Engineer")</f>
        <v>Sound Engineer</v>
      </c>
      <c r="J885" s="31"/>
      <c r="K885" s="31"/>
      <c r="L885" s="31"/>
      <c r="M885" s="31"/>
      <c r="N885" s="31"/>
    </row>
    <row r="886">
      <c r="A886" s="31">
        <f>IFERROR(__xludf.DUMMYFUNCTION("""COMPUTED_VALUE"""),956.0)</f>
        <v>956</v>
      </c>
      <c r="B886" s="31" t="str">
        <f>IFERROR(__xludf.DUMMYFUNCTION("""COMPUTED_VALUE"""),"Sujal Verma")</f>
        <v>Sujal Verma</v>
      </c>
      <c r="C886" s="31" t="str">
        <f>IFERROR(__xludf.DUMMYFUNCTION("""COMPUTED_VALUE"""),"sujalv84@gmail.com")</f>
        <v>sujalv84@gmail.com</v>
      </c>
      <c r="D886" s="84">
        <f>IFERROR(__xludf.DUMMYFUNCTION("""COMPUTED_VALUE"""),8.585997401E9)</f>
        <v>8585997401</v>
      </c>
      <c r="E886" s="99">
        <f>IFERROR(__xludf.DUMMYFUNCTION("""COMPUTED_VALUE"""),45971.0)</f>
        <v>45971</v>
      </c>
      <c r="F886" s="31" t="str">
        <f>IFERROR(__xludf.DUMMYFUNCTION("""COMPUTED_VALUE"""),"Vertical TV")</f>
        <v>Vertical TV</v>
      </c>
      <c r="G886" s="85"/>
      <c r="H886" s="31"/>
      <c r="I886" s="31" t="str">
        <f>IFERROR(__xludf.DUMMYFUNCTION("""COMPUTED_VALUE"""),"Sound Engineer")</f>
        <v>Sound Engineer</v>
      </c>
      <c r="J886" s="31"/>
      <c r="K886" s="31"/>
      <c r="L886" s="31"/>
      <c r="M886" s="31"/>
      <c r="N886" s="31"/>
    </row>
    <row r="887">
      <c r="A887" s="31">
        <f>IFERROR(__xludf.DUMMYFUNCTION("""COMPUTED_VALUE"""),957.0)</f>
        <v>957</v>
      </c>
      <c r="B887" s="31" t="str">
        <f>IFERROR(__xludf.DUMMYFUNCTION("""COMPUTED_VALUE"""),"Anand Dayama ")</f>
        <v>Anand Dayama </v>
      </c>
      <c r="C887" s="31"/>
      <c r="D887" s="84">
        <f>IFERROR(__xludf.DUMMYFUNCTION("""COMPUTED_VALUE"""),9.892599976E9)</f>
        <v>9892599976</v>
      </c>
      <c r="E887" s="99">
        <f>IFERROR(__xludf.DUMMYFUNCTION("""COMPUTED_VALUE"""),45973.0)</f>
        <v>45973</v>
      </c>
      <c r="F887" s="31" t="str">
        <f>IFERROR(__xludf.DUMMYFUNCTION("""COMPUTED_VALUE"""),"Vertical TV")</f>
        <v>Vertical TV</v>
      </c>
      <c r="G887" s="85"/>
      <c r="H887" s="31"/>
      <c r="I887" s="31" t="str">
        <f>IFERROR(__xludf.DUMMYFUNCTION("""COMPUTED_VALUE"""),"Creative Team Lead (Post Production)")</f>
        <v>Creative Team Lead (Post Production)</v>
      </c>
      <c r="J887" s="31"/>
      <c r="K887" s="31"/>
      <c r="L887" s="31"/>
      <c r="M887" s="31"/>
      <c r="N887" s="31"/>
    </row>
    <row r="888">
      <c r="A888" s="31">
        <f>IFERROR(__xludf.DUMMYFUNCTION("""COMPUTED_VALUE"""),958.0)</f>
        <v>958</v>
      </c>
      <c r="B888" s="31" t="str">
        <f>IFERROR(__xludf.DUMMYFUNCTION("""COMPUTED_VALUE"""),"Siddartha Verma")</f>
        <v>Siddartha Verma</v>
      </c>
      <c r="C888" s="31" t="str">
        <f>IFERROR(__xludf.DUMMYFUNCTION("""COMPUTED_VALUE"""),"Siddharthakv@hotmail.com")</f>
        <v>Siddharthakv@hotmail.com</v>
      </c>
      <c r="D888" s="84">
        <f>IFERROR(__xludf.DUMMYFUNCTION("""COMPUTED_VALUE"""),9.990333493E9)</f>
        <v>9990333493</v>
      </c>
      <c r="E888" s="99">
        <f>IFERROR(__xludf.DUMMYFUNCTION("""COMPUTED_VALUE"""),45979.0)</f>
        <v>45979</v>
      </c>
      <c r="F888" s="31" t="str">
        <f>IFERROR(__xludf.DUMMYFUNCTION("""COMPUTED_VALUE"""),"Zupee")</f>
        <v>Zupee</v>
      </c>
      <c r="G888" s="85"/>
      <c r="H888" s="31"/>
      <c r="I888" s="31" t="str">
        <f>IFERROR(__xludf.DUMMYFUNCTION("""COMPUTED_VALUE"""),"Assistant Manager- Payroll &amp; Compliance")</f>
        <v>Assistant Manager- Payroll &amp; Compliance</v>
      </c>
      <c r="J888" s="31"/>
      <c r="K888" s="31" t="str">
        <f>IFERROR(__xludf.DUMMYFUNCTION("""COMPUTED_VALUE"""),"Sushil Patel")</f>
        <v>Sushil Patel</v>
      </c>
      <c r="L888" s="31"/>
      <c r="M888" s="31"/>
      <c r="N888" s="31"/>
    </row>
    <row r="889">
      <c r="A889" s="31">
        <f>IFERROR(__xludf.DUMMYFUNCTION("""COMPUTED_VALUE"""),959.0)</f>
        <v>959</v>
      </c>
      <c r="B889" s="31" t="str">
        <f>IFERROR(__xludf.DUMMYFUNCTION("""COMPUTED_VALUE"""),"Aditya Kumar Sinha")</f>
        <v>Aditya Kumar Sinha</v>
      </c>
      <c r="C889" s="31" t="str">
        <f>IFERROR(__xludf.DUMMYFUNCTION("""COMPUTED_VALUE"""),"sinhaak99@gmail.com")</f>
        <v>sinhaak99@gmail.com</v>
      </c>
      <c r="D889" s="84">
        <f>IFERROR(__xludf.DUMMYFUNCTION("""COMPUTED_VALUE"""),8.825309443E9)</f>
        <v>8825309443</v>
      </c>
      <c r="E889" s="99">
        <f>IFERROR(__xludf.DUMMYFUNCTION("""COMPUTED_VALUE"""),45979.0)</f>
        <v>45979</v>
      </c>
      <c r="F889" s="31" t="str">
        <f>IFERROR(__xludf.DUMMYFUNCTION("""COMPUTED_VALUE"""),"Zupee")</f>
        <v>Zupee</v>
      </c>
      <c r="G889" s="85"/>
      <c r="H889" s="31"/>
      <c r="I889" s="31" t="str">
        <f>IFERROR(__xludf.DUMMYFUNCTION("""COMPUTED_VALUE"""),"Content Operations Associate")</f>
        <v>Content Operations Associate</v>
      </c>
      <c r="J889" s="31"/>
      <c r="K889" s="31" t="str">
        <f>IFERROR(__xludf.DUMMYFUNCTION("""COMPUTED_VALUE"""),"Chiragkumar Sabhadiya")</f>
        <v>Chiragkumar Sabhadiya</v>
      </c>
      <c r="L889" s="31"/>
      <c r="M889" s="31"/>
      <c r="N889" s="31"/>
    </row>
    <row r="890">
      <c r="A890" s="31">
        <f>IFERROR(__xludf.DUMMYFUNCTION("""COMPUTED_VALUE"""),960.0)</f>
        <v>960</v>
      </c>
      <c r="B890" s="31" t="str">
        <f>IFERROR(__xludf.DUMMYFUNCTION("""COMPUTED_VALUE"""),"Abhishek Mohapatra")</f>
        <v>Abhishek Mohapatra</v>
      </c>
      <c r="C890" s="31" t="str">
        <f>IFERROR(__xludf.DUMMYFUNCTION("""COMPUTED_VALUE"""),"mohapatraabhishek57@gmail.com")</f>
        <v>mohapatraabhishek57@gmail.com</v>
      </c>
      <c r="D890" s="84">
        <f>IFERROR(__xludf.DUMMYFUNCTION("""COMPUTED_VALUE"""),6.370265585E9)</f>
        <v>6370265585</v>
      </c>
      <c r="E890" s="99">
        <f>IFERROR(__xludf.DUMMYFUNCTION("""COMPUTED_VALUE"""),45980.0)</f>
        <v>45980</v>
      </c>
      <c r="F890" s="31" t="str">
        <f>IFERROR(__xludf.DUMMYFUNCTION("""COMPUTED_VALUE"""),"Zupee")</f>
        <v>Zupee</v>
      </c>
      <c r="G890" s="85"/>
      <c r="H890" s="31"/>
      <c r="I890" s="31" t="str">
        <f>IFERROR(__xludf.DUMMYFUNCTION("""COMPUTED_VALUE"""),"Content Operations Associate")</f>
        <v>Content Operations Associate</v>
      </c>
      <c r="J890" s="31"/>
      <c r="K890" s="31"/>
      <c r="L890" s="31"/>
      <c r="M890" s="31"/>
      <c r="N890" s="31"/>
    </row>
    <row r="891">
      <c r="A891" s="31">
        <f>IFERROR(__xludf.DUMMYFUNCTION("""COMPUTED_VALUE"""),961.0)</f>
        <v>961</v>
      </c>
      <c r="B891" s="31" t="str">
        <f>IFERROR(__xludf.DUMMYFUNCTION("""COMPUTED_VALUE""")," Ankit Anil Waghela")</f>
        <v> Ankit Anil Waghela</v>
      </c>
      <c r="C891" s="31" t="str">
        <f>IFERROR(__xludf.DUMMYFUNCTION("""COMPUTED_VALUE""")," ANKITWAGHELA93@GMAIL.COM")</f>
        <v> ANKITWAGHELA93@GMAIL.COM</v>
      </c>
      <c r="D891" s="84">
        <f>IFERROR(__xludf.DUMMYFUNCTION("""COMPUTED_VALUE"""),9.699882199E9)</f>
        <v>9699882199</v>
      </c>
      <c r="E891" s="99">
        <f>IFERROR(__xludf.DUMMYFUNCTION("""COMPUTED_VALUE"""),45982.0)</f>
        <v>45982</v>
      </c>
      <c r="F891" s="31" t="str">
        <f>IFERROR(__xludf.DUMMYFUNCTION("""COMPUTED_VALUE"""),"Vertical TV")</f>
        <v>Vertical TV</v>
      </c>
      <c r="G891" s="85"/>
      <c r="H891" s="31"/>
      <c r="I891" s="31" t="str">
        <f>IFERROR(__xludf.DUMMYFUNCTION("""COMPUTED_VALUE"""),"Senior Producer")</f>
        <v>Senior Producer</v>
      </c>
      <c r="J891" s="31"/>
      <c r="K891" s="31" t="str">
        <f>IFERROR(__xludf.DUMMYFUNCTION("""COMPUTED_VALUE"""),"Anup Thanvi")</f>
        <v>Anup Thanvi</v>
      </c>
      <c r="L891" s="31"/>
      <c r="M891" s="31"/>
      <c r="N891" s="31"/>
    </row>
    <row r="892">
      <c r="A892" s="31">
        <f>IFERROR(__xludf.DUMMYFUNCTION("""COMPUTED_VALUE"""),962.0)</f>
        <v>962</v>
      </c>
      <c r="B892" s="31" t="str">
        <f>IFERROR(__xludf.DUMMYFUNCTION("""COMPUTED_VALUE"""),"Rohan Ray")</f>
        <v>Rohan Ray</v>
      </c>
      <c r="C892" s="31" t="str">
        <f>IFERROR(__xludf.DUMMYFUNCTION("""COMPUTED_VALUE"""),"rayrohan798@gmail.com")</f>
        <v>rayrohan798@gmail.com</v>
      </c>
      <c r="D892" s="84">
        <f>IFERROR(__xludf.DUMMYFUNCTION("""COMPUTED_VALUE"""),7.022967608E9)</f>
        <v>7022967608</v>
      </c>
      <c r="E892" s="99">
        <f>IFERROR(__xludf.DUMMYFUNCTION("""COMPUTED_VALUE"""),45985.0)</f>
        <v>45985</v>
      </c>
      <c r="F892" s="31" t="str">
        <f>IFERROR(__xludf.DUMMYFUNCTION("""COMPUTED_VALUE"""),"Zupee")</f>
        <v>Zupee</v>
      </c>
      <c r="G892" s="85"/>
      <c r="H892" s="31"/>
      <c r="I892" s="31" t="str">
        <f>IFERROR(__xludf.DUMMYFUNCTION("""COMPUTED_VALUE"""),"Content Operations Associate")</f>
        <v>Content Operations Associate</v>
      </c>
      <c r="J892" s="31"/>
      <c r="K892" s="31" t="str">
        <f>IFERROR(__xludf.DUMMYFUNCTION("""COMPUTED_VALUE"""),"Chiragkumar Sabhadiya")</f>
        <v>Chiragkumar Sabhadiya</v>
      </c>
      <c r="L892" s="31"/>
      <c r="M892" s="31"/>
      <c r="N892" s="31"/>
    </row>
    <row r="893">
      <c r="A893" s="31">
        <f>IFERROR(__xludf.DUMMYFUNCTION("""COMPUTED_VALUE"""),963.0)</f>
        <v>963</v>
      </c>
      <c r="B893" s="31" t="str">
        <f>IFERROR(__xludf.DUMMYFUNCTION("""COMPUTED_VALUE"""),"Ashwini Suresh Gaikwad")</f>
        <v>Ashwini Suresh Gaikwad</v>
      </c>
      <c r="C893" s="31" t="str">
        <f>IFERROR(__xludf.DUMMYFUNCTION("""COMPUTED_VALUE"""),"ashwini.gkwd2899@gmail.com")</f>
        <v>ashwini.gkwd2899@gmail.com</v>
      </c>
      <c r="D893" s="84">
        <f>IFERROR(__xludf.DUMMYFUNCTION("""COMPUTED_VALUE"""),8.433626104E9)</f>
        <v>8433626104</v>
      </c>
      <c r="E893" s="99">
        <f>IFERROR(__xludf.DUMMYFUNCTION("""COMPUTED_VALUE"""),45985.0)</f>
        <v>45985</v>
      </c>
      <c r="F893" s="31" t="str">
        <f>IFERROR(__xludf.DUMMYFUNCTION("""COMPUTED_VALUE"""),"Vertical TV")</f>
        <v>Vertical TV</v>
      </c>
      <c r="G893" s="85"/>
      <c r="H893" s="31"/>
      <c r="I893" s="31" t="str">
        <f>IFERROR(__xludf.DUMMYFUNCTION("""COMPUTED_VALUE"""),"Associate Video Editor")</f>
        <v>Associate Video Editor</v>
      </c>
      <c r="J893" s="31"/>
      <c r="K893" s="31" t="str">
        <f>IFERROR(__xludf.DUMMYFUNCTION("""COMPUTED_VALUE"""),"Mohit Shandilya")</f>
        <v>Mohit Shandilya</v>
      </c>
      <c r="L893" s="31"/>
      <c r="M893" s="31"/>
      <c r="N893" s="31"/>
    </row>
    <row r="894">
      <c r="A894" s="31">
        <f>IFERROR(__xludf.DUMMYFUNCTION("""COMPUTED_VALUE"""),964.0)</f>
        <v>964</v>
      </c>
      <c r="B894" s="31" t="str">
        <f>IFERROR(__xludf.DUMMYFUNCTION("""COMPUTED_VALUE"""),"Rohit Abhay Sawant")</f>
        <v>Rohit Abhay Sawant</v>
      </c>
      <c r="C894" s="86" t="str">
        <f>IFERROR(__xludf.DUMMYFUNCTION("""COMPUTED_VALUE"""),"rrohitsawant24@gmail.com")</f>
        <v>rrohitsawant24@gmail.com</v>
      </c>
      <c r="D894" s="84">
        <f>IFERROR(__xludf.DUMMYFUNCTION("""COMPUTED_VALUE"""),9.892727454E9)</f>
        <v>9892727454</v>
      </c>
      <c r="E894" s="99">
        <f>IFERROR(__xludf.DUMMYFUNCTION("""COMPUTED_VALUE"""),45985.0)</f>
        <v>45985</v>
      </c>
      <c r="F894" s="31" t="str">
        <f>IFERROR(__xludf.DUMMYFUNCTION("""COMPUTED_VALUE"""),"Vertical TV")</f>
        <v>Vertical TV</v>
      </c>
      <c r="G894" s="85"/>
      <c r="H894" s="31"/>
      <c r="I894" s="31" t="str">
        <f>IFERROR(__xludf.DUMMYFUNCTION("""COMPUTED_VALUE"""),"Associate Video Editor")</f>
        <v>Associate Video Editor</v>
      </c>
      <c r="J894" s="31"/>
      <c r="K894" s="31"/>
      <c r="L894" s="31"/>
      <c r="M894" s="31"/>
      <c r="N894" s="31"/>
    </row>
    <row r="895">
      <c r="A895" s="31">
        <f>IFERROR(__xludf.DUMMYFUNCTION("""COMPUTED_VALUE"""),965.0)</f>
        <v>965</v>
      </c>
      <c r="B895" s="31" t="str">
        <f>IFERROR(__xludf.DUMMYFUNCTION("""COMPUTED_VALUE"""),"Arpan Kapadia")</f>
        <v>Arpan Kapadia</v>
      </c>
      <c r="C895" s="47" t="str">
        <f>IFERROR(__xludf.DUMMYFUNCTION("""COMPUTED_VALUE"""),"arpankapadia13@gmail.com")</f>
        <v>arpankapadia13@gmail.com</v>
      </c>
      <c r="D895" s="84">
        <f>IFERROR(__xludf.DUMMYFUNCTION("""COMPUTED_VALUE"""),8.905239578E9)</f>
        <v>8905239578</v>
      </c>
      <c r="E895" s="99">
        <f>IFERROR(__xludf.DUMMYFUNCTION("""COMPUTED_VALUE"""),45985.0)</f>
        <v>45985</v>
      </c>
      <c r="F895" s="31" t="str">
        <f>IFERROR(__xludf.DUMMYFUNCTION("""COMPUTED_VALUE"""),"Vertical TV")</f>
        <v>Vertical TV</v>
      </c>
      <c r="G895" s="85"/>
      <c r="H895" s="31"/>
      <c r="I895" s="31" t="str">
        <f>IFERROR(__xludf.DUMMYFUNCTION("""COMPUTED_VALUE"""),"Associate Video Editor")</f>
        <v>Associate Video Editor</v>
      </c>
      <c r="J895" s="31"/>
      <c r="K895" s="31"/>
      <c r="L895" s="31"/>
      <c r="M895" s="31"/>
      <c r="N895" s="31"/>
    </row>
    <row r="896">
      <c r="A896" s="31">
        <f>IFERROR(__xludf.DUMMYFUNCTION("""COMPUTED_VALUE"""),966.0)</f>
        <v>966</v>
      </c>
      <c r="B896" s="31" t="str">
        <f>IFERROR(__xludf.DUMMYFUNCTION("""COMPUTED_VALUE"""),"Omkar Sanjay Palkar")</f>
        <v>Omkar Sanjay Palkar</v>
      </c>
      <c r="C896" s="31" t="str">
        <f>IFERROR(__xludf.DUMMYFUNCTION("""COMPUTED_VALUE"""),"omkar.palkar6@gmail.com")</f>
        <v>omkar.palkar6@gmail.com</v>
      </c>
      <c r="D896" s="84">
        <f>IFERROR(__xludf.DUMMYFUNCTION("""COMPUTED_VALUE"""),8.149243177E9)</f>
        <v>8149243177</v>
      </c>
      <c r="E896" s="99">
        <f>IFERROR(__xludf.DUMMYFUNCTION("""COMPUTED_VALUE"""),45986.0)</f>
        <v>45986</v>
      </c>
      <c r="F896" s="31" t="str">
        <f>IFERROR(__xludf.DUMMYFUNCTION("""COMPUTED_VALUE"""),"Vertical TV")</f>
        <v>Vertical TV</v>
      </c>
      <c r="G896" s="85"/>
      <c r="H896" s="31"/>
      <c r="I896" s="31" t="str">
        <f>IFERROR(__xludf.DUMMYFUNCTION("""COMPUTED_VALUE"""),"QC Engineer (Promo) - Contractual")</f>
        <v>QC Engineer (Promo) - Contractual</v>
      </c>
      <c r="J896" s="31"/>
      <c r="K896" s="31"/>
      <c r="L896" s="31"/>
      <c r="M896" s="31"/>
      <c r="N896" s="31"/>
    </row>
    <row r="897">
      <c r="A897" s="31">
        <f>IFERROR(__xludf.DUMMYFUNCTION("""COMPUTED_VALUE"""),967.0)</f>
        <v>967</v>
      </c>
      <c r="B897" s="31" t="str">
        <f>IFERROR(__xludf.DUMMYFUNCTION("""COMPUTED_VALUE"""),"Deepak Upadhayay")</f>
        <v>Deepak Upadhayay</v>
      </c>
      <c r="C897" s="31" t="str">
        <f>IFERROR(__xludf.DUMMYFUNCTION("""COMPUTED_VALUE""")," deepakkumar0224@gmail.com")</f>
        <v> deepakkumar0224@gmail.com</v>
      </c>
      <c r="D897" s="84">
        <f>IFERROR(__xludf.DUMMYFUNCTION("""COMPUTED_VALUE"""),7.011820266E9)</f>
        <v>7011820266</v>
      </c>
      <c r="E897" s="99">
        <f>IFERROR(__xludf.DUMMYFUNCTION("""COMPUTED_VALUE"""),45992.0)</f>
        <v>45992</v>
      </c>
      <c r="F897" s="31" t="str">
        <f>IFERROR(__xludf.DUMMYFUNCTION("""COMPUTED_VALUE"""),"Zupee")</f>
        <v>Zupee</v>
      </c>
      <c r="G897" s="85"/>
      <c r="H897" s="31"/>
      <c r="I897" s="31" t="str">
        <f>IFERROR(__xludf.DUMMYFUNCTION("""COMPUTED_VALUE"""),"Operations Lead-Contractual")</f>
        <v>Operations Lead-Contractual</v>
      </c>
      <c r="J897" s="31"/>
      <c r="K897" s="31" t="str">
        <f>IFERROR(__xludf.DUMMYFUNCTION("""COMPUTED_VALUE"""),"Hitesh Vats")</f>
        <v>Hitesh Vats</v>
      </c>
      <c r="L897" s="31"/>
      <c r="M897" s="31"/>
      <c r="N897" s="31"/>
    </row>
    <row r="898">
      <c r="A898" s="31">
        <f>IFERROR(__xludf.DUMMYFUNCTION("""COMPUTED_VALUE"""),968.0)</f>
        <v>968</v>
      </c>
      <c r="B898" s="31" t="str">
        <f>IFERROR(__xludf.DUMMYFUNCTION("""COMPUTED_VALUE"""),"Naman")</f>
        <v>Naman</v>
      </c>
      <c r="C898" s="31" t="str">
        <f>IFERROR(__xludf.DUMMYFUNCTION("""COMPUTED_VALUE"""),"namanranga06@gmail.com")</f>
        <v>namanranga06@gmail.com</v>
      </c>
      <c r="D898" s="84">
        <f>IFERROR(__xludf.DUMMYFUNCTION("""COMPUTED_VALUE"""),7.009298327E9)</f>
        <v>7009298327</v>
      </c>
      <c r="E898" s="99">
        <f>IFERROR(__xludf.DUMMYFUNCTION("""COMPUTED_VALUE"""),45992.0)</f>
        <v>45992</v>
      </c>
      <c r="F898" s="31" t="str">
        <f>IFERROR(__xludf.DUMMYFUNCTION("""COMPUTED_VALUE"""),"Zupee")</f>
        <v>Zupee</v>
      </c>
      <c r="G898" s="85"/>
      <c r="H898" s="31"/>
      <c r="I898" s="31" t="str">
        <f>IFERROR(__xludf.DUMMYFUNCTION("""COMPUTED_VALUE"""),"Junior SEO Executive")</f>
        <v>Junior SEO Executive</v>
      </c>
      <c r="J898" s="31"/>
      <c r="K898" s="31" t="str">
        <f>IFERROR(__xludf.DUMMYFUNCTION("""COMPUTED_VALUE"""),"Saumil Shah")</f>
        <v>Saumil Shah</v>
      </c>
      <c r="L898" s="31"/>
      <c r="M898" s="31"/>
      <c r="N898" s="31"/>
    </row>
    <row r="899">
      <c r="A899" s="31">
        <f>IFERROR(__xludf.DUMMYFUNCTION("""COMPUTED_VALUE"""),969.0)</f>
        <v>969</v>
      </c>
      <c r="B899" s="31" t="str">
        <f>IFERROR(__xludf.DUMMYFUNCTION("""COMPUTED_VALUE"""),"Bahneman Saikia")</f>
        <v>Bahneman Saikia</v>
      </c>
      <c r="C899" s="31" t="str">
        <f>IFERROR(__xludf.DUMMYFUNCTION("""COMPUTED_VALUE"""),"bahneman.saikia@gmail.com")</f>
        <v>bahneman.saikia@gmail.com</v>
      </c>
      <c r="D899" s="84">
        <f>IFERROR(__xludf.DUMMYFUNCTION("""COMPUTED_VALUE"""),8.011638948E9)</f>
        <v>8011638948</v>
      </c>
      <c r="E899" s="99">
        <f>IFERROR(__xludf.DUMMYFUNCTION("""COMPUTED_VALUE"""),45992.0)</f>
        <v>45992</v>
      </c>
      <c r="F899" s="31" t="str">
        <f>IFERROR(__xludf.DUMMYFUNCTION("""COMPUTED_VALUE"""),"Vertical TV")</f>
        <v>Vertical TV</v>
      </c>
      <c r="G899" s="85"/>
      <c r="H899" s="31"/>
      <c r="I899" s="31" t="str">
        <f>IFERROR(__xludf.DUMMYFUNCTION("""COMPUTED_VALUE"""),"Sound Designer")</f>
        <v>Sound Designer</v>
      </c>
      <c r="J899" s="31"/>
      <c r="K899" s="31" t="str">
        <f>IFERROR(__xludf.DUMMYFUNCTION("""COMPUTED_VALUE"""),"Mohit Shandilya")</f>
        <v>Mohit Shandilya</v>
      </c>
      <c r="L899" s="31"/>
      <c r="M899" s="31"/>
      <c r="N899" s="31"/>
    </row>
    <row r="900">
      <c r="A900" s="31">
        <f>IFERROR(__xludf.DUMMYFUNCTION("""COMPUTED_VALUE"""),970.0)</f>
        <v>970</v>
      </c>
      <c r="B900" s="31" t="str">
        <f>IFERROR(__xludf.DUMMYFUNCTION("""COMPUTED_VALUE"""),"Aastha Vimal Shah")</f>
        <v>Aastha Vimal Shah</v>
      </c>
      <c r="C900" s="31" t="str">
        <f>IFERROR(__xludf.DUMMYFUNCTION("""COMPUTED_VALUE"""),"aasthashah214@gmail.com")</f>
        <v>aasthashah214@gmail.com</v>
      </c>
      <c r="D900" s="84">
        <f>IFERROR(__xludf.DUMMYFUNCTION("""COMPUTED_VALUE"""),8.082699754E9)</f>
        <v>8082699754</v>
      </c>
      <c r="E900" s="99">
        <f>IFERROR(__xludf.DUMMYFUNCTION("""COMPUTED_VALUE"""),45992.0)</f>
        <v>45992</v>
      </c>
      <c r="F900" s="31" t="str">
        <f>IFERROR(__xludf.DUMMYFUNCTION("""COMPUTED_VALUE"""),"Vertical TV")</f>
        <v>Vertical TV</v>
      </c>
      <c r="G900" s="85"/>
      <c r="H900" s="31"/>
      <c r="I900" s="31" t="str">
        <f>IFERROR(__xludf.DUMMYFUNCTION("""COMPUTED_VALUE"""),"Senior Creative Lead")</f>
        <v>Senior Creative Lead</v>
      </c>
      <c r="J900" s="31"/>
      <c r="K900" s="31" t="str">
        <f>IFERROR(__xludf.DUMMYFUNCTION("""COMPUTED_VALUE"""),"Mohit Paliwal")</f>
        <v>Mohit Paliwal</v>
      </c>
      <c r="L900" s="31"/>
      <c r="M900" s="31"/>
      <c r="N900" s="31"/>
    </row>
    <row r="901">
      <c r="A901" s="31">
        <f>IFERROR(__xludf.DUMMYFUNCTION("""COMPUTED_VALUE"""),971.0)</f>
        <v>971</v>
      </c>
      <c r="B901" s="31" t="str">
        <f>IFERROR(__xludf.DUMMYFUNCTION("""COMPUTED_VALUE"""),"Manov Bhowmick")</f>
        <v>Manov Bhowmick</v>
      </c>
      <c r="C901" s="31" t="str">
        <f>IFERROR(__xludf.DUMMYFUNCTION("""COMPUTED_VALUE"""),"manov.bhowmick@gmail.com")</f>
        <v>manov.bhowmick@gmail.com</v>
      </c>
      <c r="D901" s="84">
        <f>IFERROR(__xludf.DUMMYFUNCTION("""COMPUTED_VALUE"""),9.790908296E9)</f>
        <v>9790908296</v>
      </c>
      <c r="E901" s="99">
        <f>IFERROR(__xludf.DUMMYFUNCTION("""COMPUTED_VALUE"""),45993.0)</f>
        <v>45993</v>
      </c>
      <c r="F901" s="31" t="str">
        <f>IFERROR(__xludf.DUMMYFUNCTION("""COMPUTED_VALUE"""),"Vertical TV")</f>
        <v>Vertical TV</v>
      </c>
      <c r="G901" s="85"/>
      <c r="H901" s="31"/>
      <c r="I901" s="31" t="str">
        <f>IFERROR(__xludf.DUMMYFUNCTION("""COMPUTED_VALUE"""),"Sound Engineer- Contractual ")</f>
        <v>Sound Engineer- Contractual </v>
      </c>
      <c r="J901" s="31"/>
      <c r="K901" s="31"/>
      <c r="L901" s="31"/>
      <c r="M901" s="31"/>
      <c r="N901" s="31"/>
    </row>
    <row r="902">
      <c r="A902" s="31">
        <f>IFERROR(__xludf.DUMMYFUNCTION("""COMPUTED_VALUE"""),972.0)</f>
        <v>972</v>
      </c>
      <c r="B902" s="31" t="str">
        <f>IFERROR(__xludf.DUMMYFUNCTION("""COMPUTED_VALUE""")," Dattatraya Prahlad Ghodke")</f>
        <v> Dattatraya Prahlad Ghodke</v>
      </c>
      <c r="C902" s="31" t="str">
        <f>IFERROR(__xludf.DUMMYFUNCTION("""COMPUTED_VALUE"""),"dattatraya.g@gmail.com")</f>
        <v>dattatraya.g@gmail.com</v>
      </c>
      <c r="D902" s="84">
        <f>IFERROR(__xludf.DUMMYFUNCTION("""COMPUTED_VALUE"""),9.819233193E9)</f>
        <v>9819233193</v>
      </c>
      <c r="E902" s="99">
        <f>IFERROR(__xludf.DUMMYFUNCTION("""COMPUTED_VALUE"""),45994.0)</f>
        <v>45994</v>
      </c>
      <c r="F902" s="31" t="str">
        <f>IFERROR(__xludf.DUMMYFUNCTION("""COMPUTED_VALUE"""),"Vertical TV")</f>
        <v>Vertical TV</v>
      </c>
      <c r="G902" s="85"/>
      <c r="H902" s="31"/>
      <c r="I902" s="31" t="str">
        <f>IFERROR(__xludf.DUMMYFUNCTION("""COMPUTED_VALUE"""),"Creative Team Lead (Post Production)")</f>
        <v>Creative Team Lead (Post Production)</v>
      </c>
      <c r="J902" s="31"/>
      <c r="K902" s="31"/>
      <c r="L902" s="31"/>
      <c r="M902" s="31"/>
      <c r="N902" s="31"/>
    </row>
    <row r="903">
      <c r="A903" s="31">
        <f>IFERROR(__xludf.DUMMYFUNCTION("""COMPUTED_VALUE"""),973.0)</f>
        <v>973</v>
      </c>
      <c r="B903" s="31" t="str">
        <f>IFERROR(__xludf.DUMMYFUNCTION("""COMPUTED_VALUE"""),"Rohit Kumar Sharma")</f>
        <v>Rohit Kumar Sharma</v>
      </c>
      <c r="C903" s="31" t="str">
        <f>IFERROR(__xludf.DUMMYFUNCTION("""COMPUTED_VALUE"""),"rohit41ciicii@gmail.com")</f>
        <v>rohit41ciicii@gmail.com</v>
      </c>
      <c r="D903" s="84">
        <f>IFERROR(__xludf.DUMMYFUNCTION("""COMPUTED_VALUE"""),7.906868262E9)</f>
        <v>7906868262</v>
      </c>
      <c r="E903" s="99">
        <f>IFERROR(__xludf.DUMMYFUNCTION("""COMPUTED_VALUE"""),45999.0)</f>
        <v>45999</v>
      </c>
      <c r="F903" s="31" t="str">
        <f>IFERROR(__xludf.DUMMYFUNCTION("""COMPUTED_VALUE"""),"Nucanon")</f>
        <v>Nucanon</v>
      </c>
      <c r="G903" s="85"/>
      <c r="H903" s="31"/>
      <c r="I903" s="31" t="str">
        <f>IFERROR(__xludf.DUMMYFUNCTION("""COMPUTED_VALUE"""),"UI/UX Engineer")</f>
        <v>UI/UX Engineer</v>
      </c>
      <c r="J903" s="31"/>
      <c r="K903" s="31" t="str">
        <f>IFERROR(__xludf.DUMMYFUNCTION("""COMPUTED_VALUE"""),"Nilu ")</f>
        <v>Nilu </v>
      </c>
      <c r="L903" s="31"/>
      <c r="M903" s="31"/>
      <c r="N903" s="31"/>
    </row>
    <row r="904">
      <c r="A904" s="31">
        <f>IFERROR(__xludf.DUMMYFUNCTION("""COMPUTED_VALUE"""),974.0)</f>
        <v>974</v>
      </c>
      <c r="B904" s="31" t="str">
        <f>IFERROR(__xludf.DUMMYFUNCTION("""COMPUTED_VALUE"""),"Suraj Jalindar Pol")</f>
        <v>Suraj Jalindar Pol</v>
      </c>
      <c r="C904" s="86" t="str">
        <f>IFERROR(__xludf.DUMMYFUNCTION("""COMPUTED_VALUE"""),"surajpol1518@gmail.com")</f>
        <v>surajpol1518@gmail.com</v>
      </c>
      <c r="D904" s="84" t="str">
        <f>IFERROR(__xludf.DUMMYFUNCTION("""COMPUTED_VALUE"""),"81080 78304")</f>
        <v>81080 78304</v>
      </c>
      <c r="E904" s="99">
        <f>IFERROR(__xludf.DUMMYFUNCTION("""COMPUTED_VALUE"""),45999.0)</f>
        <v>45999</v>
      </c>
      <c r="F904" s="31" t="str">
        <f>IFERROR(__xludf.DUMMYFUNCTION("""COMPUTED_VALUE"""),"Vertical TV")</f>
        <v>Vertical TV</v>
      </c>
      <c r="G904" s="85"/>
      <c r="H904" s="31"/>
      <c r="I904" s="31" t="str">
        <f>IFERROR(__xludf.DUMMYFUNCTION("""COMPUTED_VALUE"""),"Associate Video Editor")</f>
        <v>Associate Video Editor</v>
      </c>
      <c r="J904" s="31"/>
      <c r="K904" s="31"/>
      <c r="L904" s="31"/>
      <c r="M904" s="31"/>
      <c r="N904" s="31"/>
    </row>
    <row r="905">
      <c r="A905" s="31">
        <f>IFERROR(__xludf.DUMMYFUNCTION("""COMPUTED_VALUE"""),975.0)</f>
        <v>975</v>
      </c>
      <c r="B905" s="31" t="str">
        <f>IFERROR(__xludf.DUMMYFUNCTION("""COMPUTED_VALUE"""),"Nikhil Chand")</f>
        <v>Nikhil Chand</v>
      </c>
      <c r="C905" s="47" t="str">
        <f>IFERROR(__xludf.DUMMYFUNCTION("""COMPUTED_VALUE"""),"rajwar.nikhil123@gmail.com")</f>
        <v>rajwar.nikhil123@gmail.com</v>
      </c>
      <c r="D905" s="84">
        <f>IFERROR(__xludf.DUMMYFUNCTION("""COMPUTED_VALUE"""),7.818919531E9)</f>
        <v>7818919531</v>
      </c>
      <c r="E905" s="99">
        <f>IFERROR(__xludf.DUMMYFUNCTION("""COMPUTED_VALUE"""),46000.0)</f>
        <v>46000</v>
      </c>
      <c r="F905" s="31" t="str">
        <f>IFERROR(__xludf.DUMMYFUNCTION("""COMPUTED_VALUE"""),"Vertical TV")</f>
        <v>Vertical TV</v>
      </c>
      <c r="G905" s="85"/>
      <c r="H905" s="31"/>
      <c r="I905" s="31" t="str">
        <f>IFERROR(__xludf.DUMMYFUNCTION("""COMPUTED_VALUE"""),"Promo Writer")</f>
        <v>Promo Writer</v>
      </c>
      <c r="J905" s="31"/>
      <c r="K905" s="31"/>
      <c r="L905" s="31"/>
      <c r="M905" s="31"/>
      <c r="N905" s="31"/>
    </row>
    <row r="906">
      <c r="A906" s="31">
        <f>IFERROR(__xludf.DUMMYFUNCTION("""COMPUTED_VALUE"""),976.0)</f>
        <v>976</v>
      </c>
      <c r="B906" s="31" t="str">
        <f>IFERROR(__xludf.DUMMYFUNCTION("""COMPUTED_VALUE"""),"Abhijeet Purohit")</f>
        <v>Abhijeet Purohit</v>
      </c>
      <c r="C906" s="31" t="str">
        <f>IFERROR(__xludf.DUMMYFUNCTION("""COMPUTED_VALUE"""),"purohit.abhijeet020795@gmail.com")</f>
        <v>purohit.abhijeet020795@gmail.com</v>
      </c>
      <c r="D906" s="84">
        <f>IFERROR(__xludf.DUMMYFUNCTION("""COMPUTED_VALUE"""),8.058018483E9)</f>
        <v>8058018483</v>
      </c>
      <c r="E906" s="99">
        <f>IFERROR(__xludf.DUMMYFUNCTION("""COMPUTED_VALUE"""),46001.0)</f>
        <v>46001</v>
      </c>
      <c r="F906" s="31" t="str">
        <f>IFERROR(__xludf.DUMMYFUNCTION("""COMPUTED_VALUE"""),"Vertical TV")</f>
        <v>Vertical TV</v>
      </c>
      <c r="G906" s="85"/>
      <c r="H906" s="31"/>
      <c r="I906" s="31" t="str">
        <f>IFERROR(__xludf.DUMMYFUNCTION("""COMPUTED_VALUE"""),"Creative Producer (promo)")</f>
        <v>Creative Producer (promo)</v>
      </c>
      <c r="J906" s="31"/>
      <c r="K906" s="31"/>
      <c r="L906" s="31"/>
      <c r="M906" s="31"/>
      <c r="N906" s="31"/>
    </row>
    <row r="907">
      <c r="A907" s="31">
        <f>IFERROR(__xludf.DUMMYFUNCTION("""COMPUTED_VALUE"""),977.0)</f>
        <v>977</v>
      </c>
      <c r="B907" s="31" t="str">
        <f>IFERROR(__xludf.DUMMYFUNCTION("""COMPUTED_VALUE"""),"Prashant Kumar")</f>
        <v>Prashant Kumar</v>
      </c>
      <c r="C907" s="31" t="str">
        <f>IFERROR(__xludf.DUMMYFUNCTION("""COMPUTED_VALUE"""),"prashantsingh161510@gmail.com")</f>
        <v>prashantsingh161510@gmail.com</v>
      </c>
      <c r="D907" s="84">
        <f>IFERROR(__xludf.DUMMYFUNCTION("""COMPUTED_VALUE"""),8.587095641E9)</f>
        <v>8587095641</v>
      </c>
      <c r="E907" s="99">
        <f>IFERROR(__xludf.DUMMYFUNCTION("""COMPUTED_VALUE"""),46001.0)</f>
        <v>46001</v>
      </c>
      <c r="F907" s="31" t="str">
        <f>IFERROR(__xludf.DUMMYFUNCTION("""COMPUTED_VALUE"""),"Vertical TV")</f>
        <v>Vertical TV</v>
      </c>
      <c r="G907" s="85"/>
      <c r="H907" s="31"/>
      <c r="I907" s="31" t="str">
        <f>IFERROR(__xludf.DUMMYFUNCTION("""COMPUTED_VALUE"""),"Promo Writer ")</f>
        <v>Promo Writer </v>
      </c>
      <c r="J907" s="31"/>
      <c r="K907" s="31" t="str">
        <f>IFERROR(__xludf.DUMMYFUNCTION("""COMPUTED_VALUE"""),"Nishant Jaiswal")</f>
        <v>Nishant Jaiswal</v>
      </c>
      <c r="L907" s="31"/>
      <c r="M907" s="31"/>
      <c r="N907" s="31"/>
    </row>
    <row r="908">
      <c r="A908" s="31">
        <f>IFERROR(__xludf.DUMMYFUNCTION("""COMPUTED_VALUE"""),978.0)</f>
        <v>978</v>
      </c>
      <c r="B908" s="31" t="str">
        <f>IFERROR(__xludf.DUMMYFUNCTION("""COMPUTED_VALUE"""),"Aashita Jain")</f>
        <v>Aashita Jain</v>
      </c>
      <c r="C908" s="31" t="str">
        <f>IFERROR(__xludf.DUMMYFUNCTION("""COMPUTED_VALUE"""),"aashitajaindm@gmail.com")</f>
        <v>aashitajaindm@gmail.com</v>
      </c>
      <c r="D908" s="84">
        <f>IFERROR(__xludf.DUMMYFUNCTION("""COMPUTED_VALUE"""),8.447961977E9)</f>
        <v>8447961977</v>
      </c>
      <c r="E908" s="99">
        <f>IFERROR(__xludf.DUMMYFUNCTION("""COMPUTED_VALUE"""),46002.0)</f>
        <v>46002</v>
      </c>
      <c r="F908" s="31" t="str">
        <f>IFERROR(__xludf.DUMMYFUNCTION("""COMPUTED_VALUE"""),"Zupee")</f>
        <v>Zupee</v>
      </c>
      <c r="G908" s="85"/>
      <c r="H908" s="31"/>
      <c r="I908" s="31" t="str">
        <f>IFERROR(__xludf.DUMMYFUNCTION("""COMPUTED_VALUE"""),"Assistant Manager- Digital Marketing")</f>
        <v>Assistant Manager- Digital Marketing</v>
      </c>
      <c r="J908" s="31"/>
      <c r="K908" s="31" t="str">
        <f>IFERROR(__xludf.DUMMYFUNCTION("""COMPUTED_VALUE"""),"Anup Thanvi")</f>
        <v>Anup Thanvi</v>
      </c>
      <c r="L908" s="31"/>
      <c r="M908" s="31"/>
      <c r="N908" s="31"/>
    </row>
    <row r="909">
      <c r="A909" s="31">
        <f>IFERROR(__xludf.DUMMYFUNCTION("""COMPUTED_VALUE"""),979.0)</f>
        <v>979</v>
      </c>
      <c r="B909" s="31" t="str">
        <f>IFERROR(__xludf.DUMMYFUNCTION("""COMPUTED_VALUE"""),"Raunak Rajawant Singh")</f>
        <v>Raunak Rajawant Singh</v>
      </c>
      <c r="C909" s="31" t="str">
        <f>IFERROR(__xludf.DUMMYFUNCTION("""COMPUTED_VALUE"""),"ronysingh3007@gmail.com")</f>
        <v>ronysingh3007@gmail.com</v>
      </c>
      <c r="D909" s="84">
        <f>IFERROR(__xludf.DUMMYFUNCTION("""COMPUTED_VALUE"""),9.76952029E9)</f>
        <v>9769520290</v>
      </c>
      <c r="E909" s="99">
        <f>IFERROR(__xludf.DUMMYFUNCTION("""COMPUTED_VALUE"""),46002.0)</f>
        <v>46002</v>
      </c>
      <c r="F909" s="31" t="str">
        <f>IFERROR(__xludf.DUMMYFUNCTION("""COMPUTED_VALUE"""),"Vertical TV")</f>
        <v>Vertical TV</v>
      </c>
      <c r="G909" s="85"/>
      <c r="H909" s="31"/>
      <c r="I909" s="31" t="str">
        <f>IFERROR(__xludf.DUMMYFUNCTION("""COMPUTED_VALUE"""),"Producer")</f>
        <v>Producer</v>
      </c>
      <c r="J909" s="31"/>
      <c r="K909" s="31"/>
      <c r="L909" s="31"/>
      <c r="M909" s="31"/>
      <c r="N909" s="31"/>
    </row>
    <row r="910">
      <c r="A910" s="31">
        <f>IFERROR(__xludf.DUMMYFUNCTION("""COMPUTED_VALUE"""),980.0)</f>
        <v>980</v>
      </c>
      <c r="B910" s="31" t="str">
        <f>IFERROR(__xludf.DUMMYFUNCTION("""COMPUTED_VALUE"""),"Albina Chishty")</f>
        <v>Albina Chishty</v>
      </c>
      <c r="C910" s="31" t="str">
        <f>IFERROR(__xludf.DUMMYFUNCTION("""COMPUTED_VALUE"""),"chishtyalbina2@gmail.com")</f>
        <v>chishtyalbina2@gmail.com</v>
      </c>
      <c r="D910" s="84">
        <f>IFERROR(__xludf.DUMMYFUNCTION("""COMPUTED_VALUE"""),9.827629787E9)</f>
        <v>9827629787</v>
      </c>
      <c r="E910" s="99">
        <f>IFERROR(__xludf.DUMMYFUNCTION("""COMPUTED_VALUE"""),46006.0)</f>
        <v>46006</v>
      </c>
      <c r="F910" s="31" t="str">
        <f>IFERROR(__xludf.DUMMYFUNCTION("""COMPUTED_VALUE"""),"Vertical TV")</f>
        <v>Vertical TV</v>
      </c>
      <c r="G910" s="85"/>
      <c r="H910" s="31"/>
      <c r="I910" s="31" t="str">
        <f>IFERROR(__xludf.DUMMYFUNCTION("""COMPUTED_VALUE"""),"Senior Promo Writer")</f>
        <v>Senior Promo Writer</v>
      </c>
      <c r="J910" s="31"/>
      <c r="K910" s="31"/>
      <c r="L910" s="31"/>
      <c r="M910" s="31"/>
      <c r="N910" s="31"/>
    </row>
    <row r="911">
      <c r="A911" s="31">
        <f>IFERROR(__xludf.DUMMYFUNCTION("""COMPUTED_VALUE"""),981.0)</f>
        <v>981</v>
      </c>
      <c r="B911" s="31" t="str">
        <f>IFERROR(__xludf.DUMMYFUNCTION("""COMPUTED_VALUE"""),"Nupur Aggarwal")</f>
        <v>Nupur Aggarwal</v>
      </c>
      <c r="C911" s="31" t="str">
        <f>IFERROR(__xludf.DUMMYFUNCTION("""COMPUTED_VALUE"""),"nupur.aggarwwal@gmail.com")</f>
        <v>nupur.aggarwwal@gmail.com</v>
      </c>
      <c r="D911" s="84">
        <f>IFERROR(__xludf.DUMMYFUNCTION("""COMPUTED_VALUE"""),8.779156357E9)</f>
        <v>8779156357</v>
      </c>
      <c r="E911" s="99">
        <f>IFERROR(__xludf.DUMMYFUNCTION("""COMPUTED_VALUE"""),46006.0)</f>
        <v>46006</v>
      </c>
      <c r="F911" s="31" t="str">
        <f>IFERROR(__xludf.DUMMYFUNCTION("""COMPUTED_VALUE"""),"Vertical TV")</f>
        <v>Vertical TV</v>
      </c>
      <c r="G911" s="85"/>
      <c r="H911" s="31"/>
      <c r="I911" s="31" t="str">
        <f>IFERROR(__xludf.DUMMYFUNCTION("""COMPUTED_VALUE"""),"Procurement Manager")</f>
        <v>Procurement Manager</v>
      </c>
      <c r="J911" s="31"/>
      <c r="K911" s="31"/>
      <c r="L911" s="31"/>
      <c r="M911" s="31"/>
      <c r="N911" s="31"/>
    </row>
    <row r="912">
      <c r="A912" s="31">
        <f>IFERROR(__xludf.DUMMYFUNCTION("""COMPUTED_VALUE"""),982.0)</f>
        <v>982</v>
      </c>
      <c r="B912" s="31" t="str">
        <f>IFERROR(__xludf.DUMMYFUNCTION("""COMPUTED_VALUE"""),"Pranay Kumar")</f>
        <v>Pranay Kumar</v>
      </c>
      <c r="C912" s="31" t="str">
        <f>IFERROR(__xludf.DUMMYFUNCTION("""COMPUTED_VALUE"""),"pranayisall@gmail.com")</f>
        <v>pranayisall@gmail.com</v>
      </c>
      <c r="D912" s="84">
        <f>IFERROR(__xludf.DUMMYFUNCTION("""COMPUTED_VALUE"""),9.304936192E9)</f>
        <v>9304936192</v>
      </c>
      <c r="E912" s="99">
        <f>IFERROR(__xludf.DUMMYFUNCTION("""COMPUTED_VALUE"""),46006.0)</f>
        <v>46006</v>
      </c>
      <c r="F912" s="31" t="str">
        <f>IFERROR(__xludf.DUMMYFUNCTION("""COMPUTED_VALUE"""),"Vertical TV")</f>
        <v>Vertical TV</v>
      </c>
      <c r="G912" s="85"/>
      <c r="H912" s="31"/>
      <c r="I912" s="31" t="str">
        <f>IFERROR(__xludf.DUMMYFUNCTION("""COMPUTED_VALUE"""),"Promo Writer- Contractual")</f>
        <v>Promo Writer- Contractual</v>
      </c>
      <c r="J912" s="31"/>
      <c r="K912" s="31"/>
      <c r="L912" s="31"/>
      <c r="M912" s="31"/>
      <c r="N912" s="31"/>
    </row>
    <row r="913">
      <c r="A913" s="31">
        <f>IFERROR(__xludf.DUMMYFUNCTION("""COMPUTED_VALUE"""),983.0)</f>
        <v>983</v>
      </c>
      <c r="B913" s="31" t="str">
        <f>IFERROR(__xludf.DUMMYFUNCTION("""COMPUTED_VALUE"""),"Tushar Gulati")</f>
        <v>Tushar Gulati</v>
      </c>
      <c r="C913" s="31" t="str">
        <f>IFERROR(__xludf.DUMMYFUNCTION("""COMPUTED_VALUE"""),"tushargulati.333@gmail.com")</f>
        <v>tushargulati.333@gmail.com</v>
      </c>
      <c r="D913" s="84">
        <f>IFERROR(__xludf.DUMMYFUNCTION("""COMPUTED_VALUE"""),8.851276396E9)</f>
        <v>8851276396</v>
      </c>
      <c r="E913" s="99">
        <f>IFERROR(__xludf.DUMMYFUNCTION("""COMPUTED_VALUE"""),46006.0)</f>
        <v>46006</v>
      </c>
      <c r="F913" s="31" t="str">
        <f>IFERROR(__xludf.DUMMYFUNCTION("""COMPUTED_VALUE"""),"Vertical TV")</f>
        <v>Vertical TV</v>
      </c>
      <c r="G913" s="85"/>
      <c r="H913" s="31"/>
      <c r="I913" s="31" t="str">
        <f>IFERROR(__xludf.DUMMYFUNCTION("""COMPUTED_VALUE"""),"Producer")</f>
        <v>Producer</v>
      </c>
      <c r="J913" s="31"/>
      <c r="K913" s="31" t="str">
        <f>IFERROR(__xludf.DUMMYFUNCTION("""COMPUTED_VALUE"""),"Anup Thanvi")</f>
        <v>Anup Thanvi</v>
      </c>
      <c r="L913" s="31"/>
      <c r="M913" s="31"/>
      <c r="N913" s="31"/>
    </row>
    <row r="914">
      <c r="A914" s="31">
        <f>IFERROR(__xludf.DUMMYFUNCTION("""COMPUTED_VALUE"""),984.0)</f>
        <v>984</v>
      </c>
      <c r="B914" s="31" t="str">
        <f>IFERROR(__xludf.DUMMYFUNCTION("""COMPUTED_VALUE"""),"Ganesh Balaso Karande")</f>
        <v>Ganesh Balaso Karande</v>
      </c>
      <c r="C914" s="86" t="str">
        <f>IFERROR(__xludf.DUMMYFUNCTION("""COMPUTED_VALUE"""),"ganesh.psmedia@gmail.com")</f>
        <v>ganesh.psmedia@gmail.com</v>
      </c>
      <c r="D914" s="84">
        <f>IFERROR(__xludf.DUMMYFUNCTION("""COMPUTED_VALUE"""),9.59429584E9)</f>
        <v>9594295840</v>
      </c>
      <c r="E914" s="99">
        <f>IFERROR(__xludf.DUMMYFUNCTION("""COMPUTED_VALUE"""),46006.0)</f>
        <v>46006</v>
      </c>
      <c r="F914" s="31" t="str">
        <f>IFERROR(__xludf.DUMMYFUNCTION("""COMPUTED_VALUE"""),"Vertical TV")</f>
        <v>Vertical TV</v>
      </c>
      <c r="G914" s="85"/>
      <c r="H914" s="31"/>
      <c r="I914" s="31" t="str">
        <f>IFERROR(__xludf.DUMMYFUNCTION("""COMPUTED_VALUE"""),"Associate Video Editor")</f>
        <v>Associate Video Editor</v>
      </c>
      <c r="J914" s="31"/>
      <c r="K914" s="31"/>
      <c r="L914" s="31"/>
      <c r="M914" s="31"/>
      <c r="N914" s="31"/>
    </row>
    <row r="915">
      <c r="A915" s="31">
        <f>IFERROR(__xludf.DUMMYFUNCTION("""COMPUTED_VALUE"""),985.0)</f>
        <v>985</v>
      </c>
      <c r="B915" s="31" t="str">
        <f>IFERROR(__xludf.DUMMYFUNCTION("""COMPUTED_VALUE"""),"Jahanvi Bhagat")</f>
        <v>Jahanvi Bhagat</v>
      </c>
      <c r="C915" s="31" t="str">
        <f>IFERROR(__xludf.DUMMYFUNCTION("""COMPUTED_VALUE"""),"bhagatjahanvi07@gmail.com")</f>
        <v>bhagatjahanvi07@gmail.com</v>
      </c>
      <c r="D915" s="84">
        <f>IFERROR(__xludf.DUMMYFUNCTION("""COMPUTED_VALUE"""),9.321313054E9)</f>
        <v>9321313054</v>
      </c>
      <c r="E915" s="99">
        <f>IFERROR(__xludf.DUMMYFUNCTION("""COMPUTED_VALUE"""),46006.0)</f>
        <v>46006</v>
      </c>
      <c r="F915" s="31" t="str">
        <f>IFERROR(__xludf.DUMMYFUNCTION("""COMPUTED_VALUE"""),"Vertical TV")</f>
        <v>Vertical TV</v>
      </c>
      <c r="G915" s="85"/>
      <c r="H915" s="31"/>
      <c r="I915" s="31" t="str">
        <f>IFERROR(__xludf.DUMMYFUNCTION("""COMPUTED_VALUE"""),"Producer")</f>
        <v>Producer</v>
      </c>
      <c r="J915" s="31"/>
      <c r="K915" s="31"/>
      <c r="L915" s="31"/>
      <c r="M915" s="31"/>
      <c r="N915" s="31"/>
    </row>
    <row r="916">
      <c r="A916" s="31">
        <f>IFERROR(__xludf.DUMMYFUNCTION("""COMPUTED_VALUE"""),986.0)</f>
        <v>986</v>
      </c>
      <c r="B916" s="31" t="str">
        <f>IFERROR(__xludf.DUMMYFUNCTION("""COMPUTED_VALUE"""),"Pratik Anil Toradmal")</f>
        <v>Pratik Anil Toradmal</v>
      </c>
      <c r="C916" s="31" t="str">
        <f>IFERROR(__xludf.DUMMYFUNCTION("""COMPUTED_VALUE"""),"pratiktoradmal101@gmail.com")</f>
        <v>pratiktoradmal101@gmail.com</v>
      </c>
      <c r="D916" s="84">
        <f>IFERROR(__xludf.DUMMYFUNCTION("""COMPUTED_VALUE"""),9.503728282E9)</f>
        <v>9503728282</v>
      </c>
      <c r="E916" s="99">
        <f>IFERROR(__xludf.DUMMYFUNCTION("""COMPUTED_VALUE"""),46008.0)</f>
        <v>46008</v>
      </c>
      <c r="F916" s="31" t="str">
        <f>IFERROR(__xludf.DUMMYFUNCTION("""COMPUTED_VALUE"""),"Vertical TV")</f>
        <v>Vertical TV</v>
      </c>
      <c r="G916" s="85"/>
      <c r="H916" s="31"/>
      <c r="I916" s="31" t="str">
        <f>IFERROR(__xludf.DUMMYFUNCTION("""COMPUTED_VALUE"""),"Promo Writer")</f>
        <v>Promo Writer</v>
      </c>
      <c r="J916" s="31"/>
      <c r="K916" s="31"/>
      <c r="L916" s="31"/>
      <c r="M916" s="31"/>
      <c r="N916" s="31"/>
    </row>
    <row r="917">
      <c r="A917" s="31">
        <f>IFERROR(__xludf.DUMMYFUNCTION("""COMPUTED_VALUE"""),987.0)</f>
        <v>987</v>
      </c>
      <c r="B917" s="31" t="str">
        <f>IFERROR(__xludf.DUMMYFUNCTION("""COMPUTED_VALUE"""),"Suneel Kumar")</f>
        <v>Suneel Kumar</v>
      </c>
      <c r="C917" s="31" t="str">
        <f>IFERROR(__xludf.DUMMYFUNCTION("""COMPUTED_VALUE"""),"suneelkb029@gmail.com")</f>
        <v>suneelkb029@gmail.com</v>
      </c>
      <c r="D917" s="84">
        <f>IFERROR(__xludf.DUMMYFUNCTION("""COMPUTED_VALUE"""),9.654319629E9)</f>
        <v>9654319629</v>
      </c>
      <c r="E917" s="99">
        <f>IFERROR(__xludf.DUMMYFUNCTION("""COMPUTED_VALUE"""),46008.0)</f>
        <v>46008</v>
      </c>
      <c r="F917" s="31" t="str">
        <f>IFERROR(__xludf.DUMMYFUNCTION("""COMPUTED_VALUE"""),"Vertical TV")</f>
        <v>Vertical TV</v>
      </c>
      <c r="G917" s="85"/>
      <c r="H917" s="31"/>
      <c r="I917" s="31" t="str">
        <f>IFERROR(__xludf.DUMMYFUNCTION("""COMPUTED_VALUE"""),"Promo Writer- Contractual")</f>
        <v>Promo Writer- Contractual</v>
      </c>
      <c r="J917" s="31"/>
      <c r="K917" s="31"/>
      <c r="L917" s="31"/>
      <c r="M917" s="31"/>
      <c r="N917" s="31"/>
    </row>
    <row r="918">
      <c r="A918" s="31">
        <f>IFERROR(__xludf.DUMMYFUNCTION("""COMPUTED_VALUE"""),988.0)</f>
        <v>988</v>
      </c>
      <c r="B918" s="31"/>
      <c r="C918" s="31"/>
      <c r="D918" s="84"/>
      <c r="E918" s="85"/>
      <c r="F918" s="31"/>
      <c r="G918" s="85"/>
      <c r="H918" s="31"/>
      <c r="I918" s="31"/>
      <c r="J918" s="31"/>
      <c r="K918" s="31"/>
      <c r="L918" s="31"/>
      <c r="M918" s="31"/>
      <c r="N918" s="31"/>
    </row>
    <row r="919">
      <c r="A919" s="31">
        <f>IFERROR(__xludf.DUMMYFUNCTION("""COMPUTED_VALUE"""),989.0)</f>
        <v>989</v>
      </c>
      <c r="B919" s="31"/>
      <c r="C919" s="31"/>
      <c r="D919" s="84"/>
      <c r="E919" s="85"/>
      <c r="F919" s="31"/>
      <c r="G919" s="85"/>
      <c r="H919" s="31"/>
      <c r="I919" s="31"/>
      <c r="J919" s="31"/>
      <c r="K919" s="31"/>
      <c r="L919" s="31"/>
      <c r="M919" s="31"/>
      <c r="N919" s="31"/>
    </row>
    <row r="920">
      <c r="A920" s="31">
        <f>IFERROR(__xludf.DUMMYFUNCTION("""COMPUTED_VALUE"""),990.0)</f>
        <v>990</v>
      </c>
      <c r="B920" s="31"/>
      <c r="C920" s="31"/>
      <c r="D920" s="84"/>
      <c r="E920" s="85"/>
      <c r="F920" s="31"/>
      <c r="G920" s="85"/>
      <c r="H920" s="31"/>
      <c r="I920" s="31"/>
      <c r="J920" s="31"/>
      <c r="K920" s="31"/>
      <c r="L920" s="31"/>
      <c r="M920" s="31"/>
      <c r="N920" s="31"/>
    </row>
    <row r="921">
      <c r="A921" s="31">
        <f>IFERROR(__xludf.DUMMYFUNCTION("""COMPUTED_VALUE"""),991.0)</f>
        <v>991</v>
      </c>
      <c r="B921" s="31"/>
      <c r="C921" s="31"/>
      <c r="D921" s="84"/>
      <c r="E921" s="85"/>
      <c r="F921" s="31"/>
      <c r="G921" s="85"/>
      <c r="H921" s="31"/>
      <c r="I921" s="31"/>
      <c r="J921" s="31"/>
      <c r="K921" s="31"/>
      <c r="L921" s="31"/>
      <c r="M921" s="31"/>
      <c r="N921" s="31"/>
    </row>
    <row r="922">
      <c r="A922" s="31">
        <f>IFERROR(__xludf.DUMMYFUNCTION("""COMPUTED_VALUE"""),992.0)</f>
        <v>992</v>
      </c>
      <c r="B922" s="31"/>
      <c r="C922" s="31"/>
      <c r="D922" s="84"/>
      <c r="E922" s="85"/>
      <c r="F922" s="31"/>
      <c r="G922" s="85"/>
      <c r="H922" s="31"/>
      <c r="I922" s="31"/>
      <c r="J922" s="31"/>
      <c r="K922" s="31"/>
      <c r="L922" s="31"/>
      <c r="M922" s="31"/>
      <c r="N922" s="31"/>
    </row>
    <row r="923">
      <c r="A923" s="31">
        <f>IFERROR(__xludf.DUMMYFUNCTION("""COMPUTED_VALUE"""),993.0)</f>
        <v>993</v>
      </c>
      <c r="B923" s="31"/>
      <c r="C923" s="31"/>
      <c r="D923" s="84"/>
      <c r="E923" s="85"/>
      <c r="F923" s="31"/>
      <c r="G923" s="85"/>
      <c r="H923" s="31"/>
      <c r="I923" s="31"/>
      <c r="J923" s="31"/>
      <c r="K923" s="31"/>
      <c r="L923" s="31"/>
      <c r="M923" s="31"/>
      <c r="N923" s="31"/>
    </row>
    <row r="924">
      <c r="A924" s="31">
        <f>IFERROR(__xludf.DUMMYFUNCTION("""COMPUTED_VALUE"""),994.0)</f>
        <v>994</v>
      </c>
      <c r="B924" s="31"/>
      <c r="C924" s="31"/>
      <c r="D924" s="84"/>
      <c r="E924" s="85"/>
      <c r="F924" s="31"/>
      <c r="G924" s="85"/>
      <c r="H924" s="31"/>
      <c r="I924" s="31"/>
      <c r="J924" s="31"/>
      <c r="K924" s="31"/>
      <c r="L924" s="31"/>
      <c r="M924" s="31"/>
      <c r="N924" s="31"/>
    </row>
    <row r="925">
      <c r="A925" s="31">
        <f>IFERROR(__xludf.DUMMYFUNCTION("""COMPUTED_VALUE"""),995.0)</f>
        <v>995</v>
      </c>
      <c r="B925" s="31"/>
      <c r="C925" s="31"/>
      <c r="D925" s="84"/>
      <c r="E925" s="85"/>
      <c r="F925" s="31"/>
      <c r="G925" s="85"/>
      <c r="H925" s="31"/>
      <c r="I925" s="31"/>
      <c r="J925" s="31"/>
      <c r="K925" s="31"/>
      <c r="L925" s="31"/>
      <c r="M925" s="31"/>
      <c r="N925" s="31"/>
    </row>
    <row r="926">
      <c r="A926" s="31">
        <f>IFERROR(__xludf.DUMMYFUNCTION("""COMPUTED_VALUE"""),996.0)</f>
        <v>996</v>
      </c>
      <c r="B926" s="31"/>
      <c r="C926" s="31"/>
      <c r="D926" s="84"/>
      <c r="E926" s="85"/>
      <c r="F926" s="31"/>
      <c r="G926" s="85"/>
      <c r="H926" s="31"/>
      <c r="I926" s="31"/>
      <c r="J926" s="31"/>
      <c r="K926" s="31"/>
      <c r="L926" s="31"/>
      <c r="M926" s="31"/>
      <c r="N926" s="31"/>
    </row>
    <row r="927">
      <c r="A927" s="31">
        <f>IFERROR(__xludf.DUMMYFUNCTION("""COMPUTED_VALUE"""),997.0)</f>
        <v>997</v>
      </c>
      <c r="B927" s="31"/>
      <c r="C927" s="31"/>
      <c r="D927" s="84"/>
      <c r="E927" s="85"/>
      <c r="F927" s="31"/>
      <c r="G927" s="85"/>
      <c r="H927" s="31"/>
      <c r="I927" s="31"/>
      <c r="J927" s="31"/>
      <c r="K927" s="31"/>
      <c r="L927" s="31"/>
      <c r="M927" s="31"/>
      <c r="N927" s="31"/>
    </row>
    <row r="928">
      <c r="A928" s="31">
        <f>IFERROR(__xludf.DUMMYFUNCTION("""COMPUTED_VALUE"""),998.0)</f>
        <v>998</v>
      </c>
      <c r="B928" s="31"/>
      <c r="C928" s="31"/>
      <c r="D928" s="84"/>
      <c r="E928" s="85"/>
      <c r="F928" s="31"/>
      <c r="G928" s="85"/>
      <c r="H928" s="31"/>
      <c r="I928" s="31"/>
      <c r="J928" s="31"/>
      <c r="K928" s="31"/>
      <c r="L928" s="31"/>
      <c r="M928" s="31"/>
      <c r="N928" s="31"/>
    </row>
    <row r="929">
      <c r="A929" s="31">
        <f>IFERROR(__xludf.DUMMYFUNCTION("""COMPUTED_VALUE"""),999.0)</f>
        <v>999</v>
      </c>
      <c r="B929" s="31"/>
      <c r="C929" s="31"/>
      <c r="D929" s="84"/>
      <c r="E929" s="85"/>
      <c r="F929" s="31"/>
      <c r="G929" s="85"/>
      <c r="H929" s="31"/>
      <c r="I929" s="31"/>
      <c r="J929" s="31"/>
      <c r="K929" s="31"/>
      <c r="L929" s="31"/>
      <c r="M929" s="31"/>
      <c r="N929" s="31"/>
    </row>
    <row r="930">
      <c r="A930" s="31">
        <f>IFERROR(__xludf.DUMMYFUNCTION("""COMPUTED_VALUE"""),1000.0)</f>
        <v>1000</v>
      </c>
      <c r="B930" s="31"/>
      <c r="C930" s="31"/>
      <c r="D930" s="84"/>
      <c r="E930" s="85"/>
      <c r="F930" s="31"/>
      <c r="G930" s="85"/>
      <c r="H930" s="31"/>
      <c r="I930" s="31"/>
      <c r="J930" s="31"/>
      <c r="K930" s="31"/>
      <c r="L930" s="31"/>
      <c r="M930" s="31"/>
      <c r="N930" s="31"/>
    </row>
    <row r="931">
      <c r="A931" s="31">
        <f>IFERROR(__xludf.DUMMYFUNCTION("""COMPUTED_VALUE"""),1001.0)</f>
        <v>1001</v>
      </c>
      <c r="B931" s="31"/>
      <c r="C931" s="31"/>
      <c r="D931" s="84"/>
      <c r="E931" s="85"/>
      <c r="F931" s="31"/>
      <c r="G931" s="85"/>
      <c r="H931" s="31"/>
      <c r="I931" s="31"/>
      <c r="J931" s="31"/>
      <c r="K931" s="31"/>
      <c r="L931" s="31"/>
      <c r="M931" s="31"/>
      <c r="N931" s="31"/>
    </row>
    <row r="932">
      <c r="A932" s="31">
        <f>IFERROR(__xludf.DUMMYFUNCTION("""COMPUTED_VALUE"""),1002.0)</f>
        <v>1002</v>
      </c>
      <c r="B932" s="31"/>
      <c r="C932" s="31"/>
      <c r="D932" s="84"/>
      <c r="E932" s="85"/>
      <c r="F932" s="31"/>
      <c r="G932" s="85"/>
      <c r="H932" s="31"/>
      <c r="I932" s="31"/>
      <c r="J932" s="31"/>
      <c r="K932" s="31"/>
      <c r="L932" s="31"/>
      <c r="M932" s="31"/>
      <c r="N932" s="31"/>
    </row>
    <row r="933">
      <c r="A933" s="31">
        <f>IFERROR(__xludf.DUMMYFUNCTION("""COMPUTED_VALUE"""),1003.0)</f>
        <v>1003</v>
      </c>
      <c r="B933" s="31"/>
      <c r="C933" s="31"/>
      <c r="D933" s="84"/>
      <c r="E933" s="85"/>
      <c r="F933" s="31"/>
      <c r="G933" s="85"/>
      <c r="H933" s="31"/>
      <c r="I933" s="31"/>
      <c r="J933" s="31"/>
      <c r="K933" s="31"/>
      <c r="L933" s="31"/>
      <c r="M933" s="31"/>
      <c r="N933" s="31"/>
    </row>
    <row r="934">
      <c r="A934" s="31">
        <f>IFERROR(__xludf.DUMMYFUNCTION("""COMPUTED_VALUE"""),1004.0)</f>
        <v>1004</v>
      </c>
      <c r="B934" s="31"/>
      <c r="C934" s="31"/>
      <c r="D934" s="84"/>
      <c r="E934" s="85"/>
      <c r="F934" s="31"/>
      <c r="G934" s="85"/>
      <c r="H934" s="31"/>
      <c r="I934" s="31"/>
      <c r="J934" s="31"/>
      <c r="K934" s="31"/>
      <c r="L934" s="31"/>
      <c r="M934" s="31"/>
      <c r="N934" s="31"/>
    </row>
    <row r="935">
      <c r="A935" s="31">
        <f>IFERROR(__xludf.DUMMYFUNCTION("""COMPUTED_VALUE"""),1005.0)</f>
        <v>1005</v>
      </c>
      <c r="B935" s="31"/>
      <c r="C935" s="31"/>
      <c r="D935" s="84"/>
      <c r="E935" s="85"/>
      <c r="F935" s="31"/>
      <c r="G935" s="85"/>
      <c r="H935" s="31"/>
      <c r="I935" s="31"/>
      <c r="J935" s="31"/>
      <c r="K935" s="31"/>
      <c r="L935" s="31"/>
      <c r="M935" s="31"/>
      <c r="N935" s="31"/>
    </row>
    <row r="936">
      <c r="A936" s="31">
        <f>IFERROR(__xludf.DUMMYFUNCTION("""COMPUTED_VALUE"""),1006.0)</f>
        <v>1006</v>
      </c>
      <c r="B936" s="31"/>
      <c r="C936" s="31"/>
      <c r="D936" s="84"/>
      <c r="E936" s="85"/>
      <c r="F936" s="31"/>
      <c r="G936" s="85"/>
      <c r="H936" s="31"/>
      <c r="I936" s="31"/>
      <c r="J936" s="31"/>
      <c r="K936" s="31"/>
      <c r="L936" s="31"/>
      <c r="M936" s="31"/>
      <c r="N936" s="31"/>
    </row>
    <row r="937">
      <c r="A937" s="31">
        <f>IFERROR(__xludf.DUMMYFUNCTION("""COMPUTED_VALUE"""),1007.0)</f>
        <v>1007</v>
      </c>
      <c r="B937" s="31"/>
      <c r="C937" s="31"/>
      <c r="D937" s="84"/>
      <c r="E937" s="85"/>
      <c r="F937" s="31"/>
      <c r="G937" s="85"/>
      <c r="H937" s="31"/>
      <c r="I937" s="31"/>
      <c r="J937" s="31"/>
      <c r="K937" s="31"/>
      <c r="L937" s="31"/>
      <c r="M937" s="31"/>
      <c r="N937" s="31"/>
    </row>
    <row r="938">
      <c r="A938" s="31">
        <f>IFERROR(__xludf.DUMMYFUNCTION("""COMPUTED_VALUE"""),1008.0)</f>
        <v>1008</v>
      </c>
      <c r="B938" s="31"/>
      <c r="C938" s="31"/>
      <c r="D938" s="84"/>
      <c r="E938" s="85"/>
      <c r="F938" s="31"/>
      <c r="G938" s="85"/>
      <c r="H938" s="31"/>
      <c r="I938" s="31"/>
      <c r="J938" s="31"/>
      <c r="K938" s="31"/>
      <c r="L938" s="31"/>
      <c r="M938" s="31"/>
      <c r="N938" s="31"/>
    </row>
    <row r="939">
      <c r="A939" s="31">
        <f>IFERROR(__xludf.DUMMYFUNCTION("""COMPUTED_VALUE"""),1009.0)</f>
        <v>1009</v>
      </c>
      <c r="B939" s="31"/>
      <c r="C939" s="31"/>
      <c r="D939" s="84"/>
      <c r="E939" s="85"/>
      <c r="F939" s="31"/>
      <c r="G939" s="85"/>
      <c r="H939" s="31"/>
      <c r="I939" s="31"/>
      <c r="J939" s="31"/>
      <c r="K939" s="31"/>
      <c r="L939" s="31"/>
      <c r="M939" s="31"/>
      <c r="N939" s="31"/>
    </row>
    <row r="940">
      <c r="A940" s="31">
        <f>IFERROR(__xludf.DUMMYFUNCTION("""COMPUTED_VALUE"""),1010.0)</f>
        <v>1010</v>
      </c>
      <c r="B940" s="31"/>
      <c r="C940" s="31"/>
      <c r="D940" s="84"/>
      <c r="E940" s="85"/>
      <c r="F940" s="31"/>
      <c r="G940" s="85"/>
      <c r="H940" s="31"/>
      <c r="I940" s="31"/>
      <c r="J940" s="31"/>
      <c r="K940" s="31"/>
      <c r="L940" s="31"/>
      <c r="M940" s="31"/>
      <c r="N940" s="31"/>
    </row>
    <row r="941">
      <c r="A941" s="31">
        <f>IFERROR(__xludf.DUMMYFUNCTION("""COMPUTED_VALUE"""),1011.0)</f>
        <v>1011</v>
      </c>
      <c r="B941" s="31"/>
      <c r="C941" s="31"/>
      <c r="D941" s="84"/>
      <c r="E941" s="85"/>
      <c r="F941" s="31"/>
      <c r="G941" s="85"/>
      <c r="H941" s="31"/>
      <c r="I941" s="31"/>
      <c r="J941" s="31"/>
      <c r="K941" s="31"/>
      <c r="L941" s="31"/>
      <c r="M941" s="31"/>
      <c r="N941" s="31"/>
    </row>
    <row r="942">
      <c r="A942" s="31">
        <f>IFERROR(__xludf.DUMMYFUNCTION("""COMPUTED_VALUE"""),1012.0)</f>
        <v>1012</v>
      </c>
      <c r="B942" s="31"/>
      <c r="C942" s="31"/>
      <c r="D942" s="84"/>
      <c r="E942" s="85"/>
      <c r="F942" s="31"/>
      <c r="G942" s="85"/>
      <c r="H942" s="31"/>
      <c r="I942" s="31"/>
      <c r="J942" s="31"/>
      <c r="K942" s="31"/>
      <c r="L942" s="31"/>
      <c r="M942" s="31"/>
      <c r="N942" s="31"/>
    </row>
    <row r="943">
      <c r="A943" s="31">
        <f>IFERROR(__xludf.DUMMYFUNCTION("""COMPUTED_VALUE"""),1013.0)</f>
        <v>1013</v>
      </c>
      <c r="B943" s="31"/>
      <c r="C943" s="31"/>
      <c r="D943" s="84"/>
      <c r="E943" s="85"/>
      <c r="F943" s="31"/>
      <c r="G943" s="85"/>
      <c r="H943" s="31"/>
      <c r="I943" s="31"/>
      <c r="J943" s="31"/>
      <c r="K943" s="31"/>
      <c r="L943" s="31"/>
      <c r="M943" s="31"/>
      <c r="N943" s="31"/>
    </row>
    <row r="944">
      <c r="A944" s="31">
        <f>IFERROR(__xludf.DUMMYFUNCTION("""COMPUTED_VALUE"""),1014.0)</f>
        <v>1014</v>
      </c>
      <c r="B944" s="31"/>
      <c r="C944" s="31"/>
      <c r="D944" s="84"/>
      <c r="E944" s="85"/>
      <c r="F944" s="31"/>
      <c r="G944" s="85"/>
      <c r="H944" s="31"/>
      <c r="I944" s="31"/>
      <c r="J944" s="31"/>
      <c r="K944" s="31"/>
      <c r="L944" s="31"/>
      <c r="M944" s="31"/>
      <c r="N944" s="31"/>
    </row>
    <row r="945">
      <c r="A945" s="31">
        <f>IFERROR(__xludf.DUMMYFUNCTION("""COMPUTED_VALUE"""),1015.0)</f>
        <v>1015</v>
      </c>
      <c r="B945" s="31"/>
      <c r="C945" s="31"/>
      <c r="D945" s="84"/>
      <c r="E945" s="85"/>
      <c r="F945" s="31"/>
      <c r="G945" s="85"/>
      <c r="H945" s="31"/>
      <c r="I945" s="31"/>
      <c r="J945" s="31"/>
      <c r="K945" s="31"/>
      <c r="L945" s="31"/>
      <c r="M945" s="31"/>
      <c r="N945" s="31"/>
    </row>
    <row r="946">
      <c r="A946" s="31">
        <f>IFERROR(__xludf.DUMMYFUNCTION("""COMPUTED_VALUE"""),1016.0)</f>
        <v>1016</v>
      </c>
      <c r="B946" s="31"/>
      <c r="C946" s="31"/>
      <c r="D946" s="84"/>
      <c r="E946" s="85"/>
      <c r="F946" s="31"/>
      <c r="G946" s="85"/>
      <c r="H946" s="31"/>
      <c r="I946" s="31"/>
      <c r="J946" s="31"/>
      <c r="K946" s="31"/>
      <c r="L946" s="31"/>
      <c r="M946" s="31"/>
      <c r="N946" s="31"/>
    </row>
    <row r="947">
      <c r="A947" s="31">
        <f>IFERROR(__xludf.DUMMYFUNCTION("""COMPUTED_VALUE"""),1017.0)</f>
        <v>1017</v>
      </c>
      <c r="B947" s="31"/>
      <c r="C947" s="31"/>
      <c r="D947" s="84"/>
      <c r="E947" s="85"/>
      <c r="F947" s="31"/>
      <c r="G947" s="85"/>
      <c r="H947" s="31"/>
      <c r="I947" s="31"/>
      <c r="J947" s="31"/>
      <c r="K947" s="31"/>
      <c r="L947" s="31"/>
      <c r="M947" s="31"/>
      <c r="N947" s="31"/>
    </row>
    <row r="948">
      <c r="A948" s="31">
        <f>IFERROR(__xludf.DUMMYFUNCTION("""COMPUTED_VALUE"""),1018.0)</f>
        <v>1018</v>
      </c>
      <c r="B948" s="31"/>
      <c r="C948" s="31"/>
      <c r="D948" s="84"/>
      <c r="E948" s="85"/>
      <c r="F948" s="31"/>
      <c r="G948" s="85"/>
      <c r="H948" s="31"/>
      <c r="I948" s="31"/>
      <c r="J948" s="31"/>
      <c r="K948" s="31"/>
      <c r="L948" s="31"/>
      <c r="M948" s="31"/>
      <c r="N948" s="31"/>
    </row>
    <row r="949">
      <c r="A949" s="31">
        <f>IFERROR(__xludf.DUMMYFUNCTION("""COMPUTED_VALUE"""),1019.0)</f>
        <v>1019</v>
      </c>
      <c r="B949" s="31"/>
      <c r="C949" s="31"/>
      <c r="D949" s="84"/>
      <c r="E949" s="85"/>
      <c r="F949" s="31"/>
      <c r="G949" s="85"/>
      <c r="H949" s="31"/>
      <c r="I949" s="31"/>
      <c r="J949" s="31"/>
      <c r="K949" s="31"/>
      <c r="L949" s="31"/>
      <c r="M949" s="31"/>
      <c r="N949" s="31"/>
    </row>
    <row r="950">
      <c r="A950" s="31">
        <f>IFERROR(__xludf.DUMMYFUNCTION("""COMPUTED_VALUE"""),1020.0)</f>
        <v>1020</v>
      </c>
      <c r="B950" s="31"/>
      <c r="C950" s="31"/>
      <c r="D950" s="84"/>
      <c r="E950" s="85"/>
      <c r="F950" s="31"/>
      <c r="G950" s="85"/>
      <c r="H950" s="31"/>
      <c r="I950" s="31"/>
      <c r="J950" s="31"/>
      <c r="K950" s="31"/>
      <c r="L950" s="31"/>
      <c r="M950" s="31"/>
      <c r="N950" s="31"/>
    </row>
    <row r="951">
      <c r="A951" s="31">
        <f>IFERROR(__xludf.DUMMYFUNCTION("""COMPUTED_VALUE"""),1021.0)</f>
        <v>1021</v>
      </c>
      <c r="B951" s="31"/>
      <c r="C951" s="31"/>
      <c r="D951" s="84"/>
      <c r="E951" s="85"/>
      <c r="F951" s="31"/>
      <c r="G951" s="85"/>
      <c r="H951" s="31"/>
      <c r="I951" s="31"/>
      <c r="J951" s="31"/>
      <c r="K951" s="31"/>
      <c r="L951" s="31"/>
      <c r="M951" s="31"/>
      <c r="N951" s="31"/>
    </row>
    <row r="952">
      <c r="A952" s="31">
        <f>IFERROR(__xludf.DUMMYFUNCTION("""COMPUTED_VALUE"""),1022.0)</f>
        <v>1022</v>
      </c>
      <c r="B952" s="31"/>
      <c r="C952" s="31"/>
      <c r="D952" s="84"/>
      <c r="E952" s="85"/>
      <c r="F952" s="31"/>
      <c r="G952" s="85"/>
      <c r="H952" s="31"/>
      <c r="I952" s="31"/>
      <c r="J952" s="31"/>
      <c r="K952" s="31"/>
      <c r="L952" s="31"/>
      <c r="M952" s="31"/>
      <c r="N952" s="31"/>
    </row>
    <row r="953">
      <c r="A953" s="31">
        <f>IFERROR(__xludf.DUMMYFUNCTION("""COMPUTED_VALUE"""),1023.0)</f>
        <v>1023</v>
      </c>
      <c r="B953" s="31"/>
      <c r="C953" s="31"/>
      <c r="D953" s="84"/>
      <c r="E953" s="85"/>
      <c r="F953" s="31"/>
      <c r="G953" s="85"/>
      <c r="H953" s="31"/>
      <c r="I953" s="31"/>
      <c r="J953" s="31"/>
      <c r="K953" s="31"/>
      <c r="L953" s="31"/>
      <c r="M953" s="31"/>
      <c r="N953" s="31"/>
    </row>
    <row r="954">
      <c r="A954" s="31">
        <f>IFERROR(__xludf.DUMMYFUNCTION("""COMPUTED_VALUE"""),1024.0)</f>
        <v>1024</v>
      </c>
      <c r="B954" s="31"/>
      <c r="C954" s="31"/>
      <c r="D954" s="84"/>
      <c r="E954" s="85"/>
      <c r="F954" s="31"/>
      <c r="G954" s="85"/>
      <c r="H954" s="31"/>
      <c r="I954" s="31"/>
      <c r="J954" s="31"/>
      <c r="K954" s="31"/>
      <c r="L954" s="31"/>
      <c r="M954" s="31"/>
      <c r="N954" s="31"/>
    </row>
    <row r="955">
      <c r="A955" s="31">
        <f>IFERROR(__xludf.DUMMYFUNCTION("""COMPUTED_VALUE"""),1025.0)</f>
        <v>1025</v>
      </c>
      <c r="B955" s="31"/>
      <c r="C955" s="31"/>
      <c r="D955" s="84"/>
      <c r="E955" s="85"/>
      <c r="F955" s="31"/>
      <c r="G955" s="85"/>
      <c r="H955" s="31"/>
      <c r="I955" s="31"/>
      <c r="J955" s="31"/>
      <c r="K955" s="31"/>
      <c r="L955" s="31"/>
      <c r="M955" s="31"/>
      <c r="N955" s="31"/>
    </row>
    <row r="956">
      <c r="A956" s="31">
        <f>IFERROR(__xludf.DUMMYFUNCTION("""COMPUTED_VALUE"""),1026.0)</f>
        <v>1026</v>
      </c>
      <c r="B956" s="31"/>
      <c r="C956" s="31"/>
      <c r="D956" s="84"/>
      <c r="E956" s="85"/>
      <c r="F956" s="31"/>
      <c r="G956" s="85"/>
      <c r="H956" s="31"/>
      <c r="I956" s="31"/>
      <c r="J956" s="31"/>
      <c r="K956" s="31"/>
      <c r="L956" s="31"/>
      <c r="M956" s="31"/>
      <c r="N956" s="31"/>
    </row>
    <row r="957">
      <c r="A957" s="31">
        <f>IFERROR(__xludf.DUMMYFUNCTION("""COMPUTED_VALUE"""),1027.0)</f>
        <v>1027</v>
      </c>
      <c r="B957" s="31"/>
      <c r="C957" s="31"/>
      <c r="D957" s="84"/>
      <c r="E957" s="85"/>
      <c r="F957" s="31"/>
      <c r="G957" s="85"/>
      <c r="H957" s="31"/>
      <c r="I957" s="31"/>
      <c r="J957" s="31"/>
      <c r="K957" s="31"/>
      <c r="L957" s="31"/>
      <c r="M957" s="31"/>
      <c r="N957" s="31"/>
    </row>
    <row r="958">
      <c r="A958" s="31">
        <f>IFERROR(__xludf.DUMMYFUNCTION("""COMPUTED_VALUE"""),1028.0)</f>
        <v>1028</v>
      </c>
      <c r="B958" s="31"/>
      <c r="C958" s="31"/>
      <c r="D958" s="84"/>
      <c r="E958" s="85"/>
      <c r="F958" s="31"/>
      <c r="G958" s="85"/>
      <c r="H958" s="31"/>
      <c r="I958" s="31"/>
      <c r="J958" s="31"/>
      <c r="K958" s="31"/>
      <c r="L958" s="31"/>
      <c r="M958" s="31"/>
      <c r="N958" s="31"/>
    </row>
    <row r="959">
      <c r="A959" s="31">
        <f>IFERROR(__xludf.DUMMYFUNCTION("""COMPUTED_VALUE"""),1029.0)</f>
        <v>1029</v>
      </c>
      <c r="B959" s="31"/>
      <c r="C959" s="31"/>
      <c r="D959" s="84"/>
      <c r="E959" s="85"/>
      <c r="F959" s="31"/>
      <c r="G959" s="85"/>
      <c r="H959" s="31"/>
      <c r="I959" s="31"/>
      <c r="J959" s="31"/>
      <c r="K959" s="31"/>
      <c r="L959" s="31"/>
      <c r="M959" s="31"/>
      <c r="N959" s="31"/>
    </row>
    <row r="960">
      <c r="A960" s="31">
        <f>IFERROR(__xludf.DUMMYFUNCTION("""COMPUTED_VALUE"""),1030.0)</f>
        <v>1030</v>
      </c>
      <c r="B960" s="31"/>
      <c r="C960" s="31"/>
      <c r="D960" s="84"/>
      <c r="E960" s="85"/>
      <c r="F960" s="31"/>
      <c r="G960" s="85"/>
      <c r="H960" s="31"/>
      <c r="I960" s="31"/>
      <c r="J960" s="31"/>
      <c r="K960" s="31"/>
      <c r="L960" s="31"/>
      <c r="M960" s="31"/>
      <c r="N960" s="31"/>
    </row>
    <row r="961">
      <c r="A961" s="31">
        <f>IFERROR(__xludf.DUMMYFUNCTION("""COMPUTED_VALUE"""),1031.0)</f>
        <v>1031</v>
      </c>
      <c r="B961" s="31"/>
      <c r="C961" s="31"/>
      <c r="D961" s="84"/>
      <c r="E961" s="85"/>
      <c r="F961" s="31"/>
      <c r="G961" s="85"/>
      <c r="H961" s="31"/>
      <c r="I961" s="31"/>
      <c r="J961" s="31"/>
      <c r="K961" s="31"/>
      <c r="L961" s="31"/>
      <c r="M961" s="31"/>
      <c r="N961" s="31"/>
    </row>
    <row r="962">
      <c r="A962" s="31">
        <f>IFERROR(__xludf.DUMMYFUNCTION("""COMPUTED_VALUE"""),1032.0)</f>
        <v>1032</v>
      </c>
      <c r="B962" s="31"/>
      <c r="C962" s="31"/>
      <c r="D962" s="84"/>
      <c r="E962" s="85"/>
      <c r="F962" s="31"/>
      <c r="G962" s="85"/>
      <c r="H962" s="31"/>
      <c r="I962" s="31"/>
      <c r="J962" s="31"/>
      <c r="K962" s="31"/>
      <c r="L962" s="31"/>
      <c r="M962" s="31"/>
      <c r="N962" s="31"/>
    </row>
    <row r="963">
      <c r="A963" s="31">
        <f>IFERROR(__xludf.DUMMYFUNCTION("""COMPUTED_VALUE"""),1033.0)</f>
        <v>1033</v>
      </c>
      <c r="B963" s="31"/>
      <c r="C963" s="31"/>
      <c r="D963" s="84"/>
      <c r="E963" s="85"/>
      <c r="F963" s="31"/>
      <c r="G963" s="85"/>
      <c r="H963" s="31"/>
      <c r="I963" s="31"/>
      <c r="J963" s="31"/>
      <c r="K963" s="31"/>
      <c r="L963" s="31"/>
      <c r="M963" s="31"/>
      <c r="N963" s="31"/>
    </row>
    <row r="964">
      <c r="A964" s="31">
        <f>IFERROR(__xludf.DUMMYFUNCTION("""COMPUTED_VALUE"""),1034.0)</f>
        <v>1034</v>
      </c>
      <c r="B964" s="31"/>
      <c r="C964" s="31"/>
      <c r="D964" s="84"/>
      <c r="E964" s="85"/>
      <c r="F964" s="31"/>
      <c r="G964" s="85"/>
      <c r="H964" s="31"/>
      <c r="I964" s="31"/>
      <c r="J964" s="31"/>
      <c r="K964" s="31"/>
      <c r="L964" s="31"/>
      <c r="M964" s="31"/>
      <c r="N964" s="31"/>
    </row>
    <row r="965">
      <c r="A965" s="31">
        <f>IFERROR(__xludf.DUMMYFUNCTION("""COMPUTED_VALUE"""),1035.0)</f>
        <v>1035</v>
      </c>
      <c r="B965" s="31"/>
      <c r="C965" s="31"/>
      <c r="D965" s="84"/>
      <c r="E965" s="85"/>
      <c r="F965" s="31"/>
      <c r="G965" s="85"/>
      <c r="H965" s="31"/>
      <c r="I965" s="31"/>
      <c r="J965" s="31"/>
      <c r="K965" s="31"/>
      <c r="L965" s="31"/>
      <c r="M965" s="31"/>
      <c r="N965" s="31"/>
    </row>
    <row r="966">
      <c r="A966" s="31">
        <f>IFERROR(__xludf.DUMMYFUNCTION("""COMPUTED_VALUE"""),1036.0)</f>
        <v>1036</v>
      </c>
      <c r="B966" s="31"/>
      <c r="C966" s="31"/>
      <c r="D966" s="84"/>
      <c r="E966" s="85"/>
      <c r="F966" s="31"/>
      <c r="G966" s="85"/>
      <c r="H966" s="31"/>
      <c r="I966" s="31"/>
      <c r="J966" s="31"/>
      <c r="K966" s="31"/>
      <c r="L966" s="31"/>
      <c r="M966" s="31"/>
      <c r="N966" s="31"/>
    </row>
    <row r="967">
      <c r="A967" s="31">
        <f>IFERROR(__xludf.DUMMYFUNCTION("""COMPUTED_VALUE"""),1037.0)</f>
        <v>1037</v>
      </c>
      <c r="B967" s="31"/>
      <c r="C967" s="31"/>
      <c r="D967" s="84"/>
      <c r="E967" s="85"/>
      <c r="F967" s="31"/>
      <c r="G967" s="85"/>
      <c r="H967" s="31"/>
      <c r="I967" s="31"/>
      <c r="J967" s="31"/>
      <c r="K967" s="31"/>
      <c r="L967" s="31"/>
      <c r="M967" s="31"/>
      <c r="N967" s="31"/>
    </row>
    <row r="968">
      <c r="A968" s="31">
        <f>IFERROR(__xludf.DUMMYFUNCTION("""COMPUTED_VALUE"""),1038.0)</f>
        <v>1038</v>
      </c>
      <c r="B968" s="31"/>
      <c r="C968" s="31"/>
      <c r="D968" s="84"/>
      <c r="E968" s="85"/>
      <c r="F968" s="31"/>
      <c r="G968" s="85"/>
      <c r="H968" s="31"/>
      <c r="I968" s="31"/>
      <c r="J968" s="31"/>
      <c r="K968" s="31"/>
      <c r="L968" s="31"/>
      <c r="M968" s="31"/>
      <c r="N968" s="31"/>
    </row>
    <row r="969">
      <c r="A969" s="31">
        <f>IFERROR(__xludf.DUMMYFUNCTION("""COMPUTED_VALUE"""),1039.0)</f>
        <v>1039</v>
      </c>
      <c r="B969" s="31"/>
      <c r="C969" s="31"/>
      <c r="D969" s="84"/>
      <c r="E969" s="85"/>
      <c r="F969" s="31"/>
      <c r="G969" s="85"/>
      <c r="H969" s="31"/>
      <c r="I969" s="31"/>
      <c r="J969" s="31"/>
      <c r="K969" s="31"/>
      <c r="L969" s="31"/>
      <c r="M969" s="31"/>
      <c r="N969" s="31"/>
    </row>
    <row r="970">
      <c r="A970" s="31">
        <f>IFERROR(__xludf.DUMMYFUNCTION("""COMPUTED_VALUE"""),1040.0)</f>
        <v>1040</v>
      </c>
      <c r="B970" s="31"/>
      <c r="C970" s="31"/>
      <c r="D970" s="84"/>
      <c r="E970" s="85"/>
      <c r="F970" s="31"/>
      <c r="G970" s="85"/>
      <c r="H970" s="31"/>
      <c r="I970" s="31"/>
      <c r="J970" s="31"/>
      <c r="K970" s="31"/>
      <c r="L970" s="31"/>
      <c r="M970" s="31"/>
      <c r="N970" s="31"/>
    </row>
    <row r="971">
      <c r="A971" s="31">
        <f>IFERROR(__xludf.DUMMYFUNCTION("""COMPUTED_VALUE"""),1041.0)</f>
        <v>1041</v>
      </c>
      <c r="B971" s="31"/>
      <c r="C971" s="31"/>
      <c r="D971" s="84"/>
      <c r="E971" s="85"/>
      <c r="F971" s="31"/>
      <c r="G971" s="85"/>
      <c r="H971" s="31"/>
      <c r="I971" s="31"/>
      <c r="J971" s="31"/>
      <c r="K971" s="31"/>
      <c r="L971" s="31"/>
      <c r="M971" s="31"/>
      <c r="N971" s="31"/>
    </row>
    <row r="972">
      <c r="A972" s="31">
        <f>IFERROR(__xludf.DUMMYFUNCTION("""COMPUTED_VALUE"""),1042.0)</f>
        <v>1042</v>
      </c>
      <c r="B972" s="31"/>
      <c r="C972" s="31"/>
      <c r="D972" s="84"/>
      <c r="E972" s="85"/>
      <c r="F972" s="31"/>
      <c r="G972" s="85"/>
      <c r="H972" s="31"/>
      <c r="I972" s="31"/>
      <c r="J972" s="31"/>
      <c r="K972" s="31"/>
      <c r="L972" s="31"/>
      <c r="M972" s="31"/>
      <c r="N972" s="31"/>
    </row>
    <row r="973">
      <c r="A973" s="31">
        <f>IFERROR(__xludf.DUMMYFUNCTION("""COMPUTED_VALUE"""),1043.0)</f>
        <v>1043</v>
      </c>
      <c r="B973" s="31"/>
      <c r="C973" s="31"/>
      <c r="D973" s="84"/>
      <c r="E973" s="85"/>
      <c r="F973" s="31"/>
      <c r="G973" s="85"/>
      <c r="H973" s="31"/>
      <c r="I973" s="31"/>
      <c r="J973" s="31"/>
      <c r="K973" s="31"/>
      <c r="L973" s="31"/>
      <c r="M973" s="31"/>
      <c r="N973" s="31"/>
    </row>
    <row r="974">
      <c r="A974" s="31">
        <f>IFERROR(__xludf.DUMMYFUNCTION("""COMPUTED_VALUE"""),1044.0)</f>
        <v>1044</v>
      </c>
      <c r="B974" s="31"/>
      <c r="C974" s="31"/>
      <c r="D974" s="84"/>
      <c r="E974" s="85"/>
      <c r="F974" s="31"/>
      <c r="G974" s="85"/>
      <c r="H974" s="31"/>
      <c r="I974" s="31"/>
      <c r="J974" s="31"/>
      <c r="K974" s="31"/>
      <c r="L974" s="31"/>
      <c r="M974" s="31"/>
      <c r="N974" s="31"/>
    </row>
    <row r="975">
      <c r="A975" s="31">
        <f>IFERROR(__xludf.DUMMYFUNCTION("""COMPUTED_VALUE"""),1045.0)</f>
        <v>1045</v>
      </c>
      <c r="B975" s="31"/>
      <c r="C975" s="31"/>
      <c r="D975" s="84"/>
      <c r="E975" s="85"/>
      <c r="F975" s="31"/>
      <c r="G975" s="85"/>
      <c r="H975" s="31"/>
      <c r="I975" s="31"/>
      <c r="J975" s="31"/>
      <c r="K975" s="31"/>
      <c r="L975" s="31"/>
      <c r="M975" s="31"/>
      <c r="N975" s="31"/>
    </row>
    <row r="976">
      <c r="A976" s="31">
        <f>IFERROR(__xludf.DUMMYFUNCTION("""COMPUTED_VALUE"""),1046.0)</f>
        <v>1046</v>
      </c>
      <c r="B976" s="31"/>
      <c r="C976" s="31"/>
      <c r="D976" s="84"/>
      <c r="E976" s="85"/>
      <c r="F976" s="31"/>
      <c r="G976" s="85"/>
      <c r="H976" s="31"/>
      <c r="I976" s="31"/>
      <c r="J976" s="31"/>
      <c r="K976" s="31"/>
      <c r="L976" s="31"/>
      <c r="M976" s="31"/>
      <c r="N976" s="31"/>
    </row>
    <row r="977">
      <c r="A977" s="31">
        <f>IFERROR(__xludf.DUMMYFUNCTION("""COMPUTED_VALUE"""),1047.0)</f>
        <v>1047</v>
      </c>
      <c r="B977" s="31"/>
      <c r="C977" s="31"/>
      <c r="D977" s="84"/>
      <c r="E977" s="85"/>
      <c r="F977" s="31"/>
      <c r="G977" s="85"/>
      <c r="H977" s="31"/>
      <c r="I977" s="31"/>
      <c r="J977" s="31"/>
      <c r="K977" s="31"/>
      <c r="L977" s="31"/>
      <c r="M977" s="31"/>
      <c r="N977" s="31"/>
    </row>
    <row r="978">
      <c r="A978" s="31">
        <f>IFERROR(__xludf.DUMMYFUNCTION("""COMPUTED_VALUE"""),1048.0)</f>
        <v>1048</v>
      </c>
      <c r="B978" s="31"/>
      <c r="C978" s="31"/>
      <c r="D978" s="84"/>
      <c r="E978" s="85"/>
      <c r="F978" s="31"/>
      <c r="G978" s="85"/>
      <c r="H978" s="31"/>
      <c r="I978" s="31"/>
      <c r="J978" s="31"/>
      <c r="K978" s="31"/>
      <c r="L978" s="31"/>
      <c r="M978" s="31"/>
      <c r="N978" s="31"/>
    </row>
    <row r="979">
      <c r="A979" s="31">
        <f>IFERROR(__xludf.DUMMYFUNCTION("""COMPUTED_VALUE"""),1049.0)</f>
        <v>1049</v>
      </c>
      <c r="B979" s="31"/>
      <c r="C979" s="31"/>
      <c r="D979" s="84"/>
      <c r="E979" s="85"/>
      <c r="F979" s="31"/>
      <c r="G979" s="85"/>
      <c r="H979" s="31"/>
      <c r="I979" s="31"/>
      <c r="J979" s="31"/>
      <c r="K979" s="31"/>
      <c r="L979" s="31"/>
      <c r="M979" s="31"/>
      <c r="N979" s="31"/>
    </row>
    <row r="980">
      <c r="A980" s="31">
        <f>IFERROR(__xludf.DUMMYFUNCTION("""COMPUTED_VALUE"""),1050.0)</f>
        <v>1050</v>
      </c>
      <c r="B980" s="31"/>
      <c r="C980" s="31"/>
      <c r="D980" s="84"/>
      <c r="E980" s="85"/>
      <c r="F980" s="31"/>
      <c r="G980" s="85"/>
      <c r="H980" s="31"/>
      <c r="I980" s="31"/>
      <c r="J980" s="31"/>
      <c r="K980" s="31"/>
      <c r="L980" s="31"/>
      <c r="M980" s="31"/>
      <c r="N980" s="31"/>
    </row>
    <row r="981">
      <c r="A981" s="31">
        <f>IFERROR(__xludf.DUMMYFUNCTION("""COMPUTED_VALUE"""),1051.0)</f>
        <v>1051</v>
      </c>
      <c r="B981" s="31"/>
      <c r="C981" s="31"/>
      <c r="D981" s="84"/>
      <c r="E981" s="85"/>
      <c r="F981" s="31"/>
      <c r="G981" s="85"/>
      <c r="H981" s="31"/>
      <c r="I981" s="31"/>
      <c r="J981" s="31"/>
      <c r="K981" s="31"/>
      <c r="L981" s="31"/>
      <c r="M981" s="31"/>
      <c r="N981" s="31"/>
    </row>
    <row r="982">
      <c r="A982" s="31">
        <f>IFERROR(__xludf.DUMMYFUNCTION("""COMPUTED_VALUE"""),1051.0)</f>
        <v>1051</v>
      </c>
      <c r="B982" s="31"/>
      <c r="C982" s="31"/>
      <c r="D982" s="84"/>
      <c r="E982" s="85"/>
      <c r="F982" s="31"/>
      <c r="G982" s="85"/>
      <c r="H982" s="31"/>
      <c r="I982" s="31"/>
      <c r="J982" s="31"/>
      <c r="K982" s="31"/>
      <c r="L982" s="31"/>
      <c r="M982" s="31"/>
      <c r="N982" s="31"/>
    </row>
    <row r="983">
      <c r="A983" s="31">
        <f>IFERROR(__xludf.DUMMYFUNCTION("""COMPUTED_VALUE"""),1052.0)</f>
        <v>1052</v>
      </c>
      <c r="B983" s="31"/>
      <c r="C983" s="31"/>
      <c r="D983" s="84"/>
      <c r="E983" s="85"/>
      <c r="F983" s="31"/>
      <c r="G983" s="85"/>
      <c r="H983" s="31"/>
      <c r="I983" s="31"/>
      <c r="J983" s="31"/>
      <c r="K983" s="31"/>
      <c r="L983" s="31"/>
      <c r="M983" s="31"/>
      <c r="N983" s="31"/>
    </row>
    <row r="984">
      <c r="A984" s="31">
        <f>IFERROR(__xludf.DUMMYFUNCTION("""COMPUTED_VALUE"""),1053.0)</f>
        <v>1053</v>
      </c>
      <c r="B984" s="31"/>
      <c r="C984" s="31"/>
      <c r="D984" s="84"/>
      <c r="E984" s="85"/>
      <c r="F984" s="31"/>
      <c r="G984" s="85"/>
      <c r="H984" s="31"/>
      <c r="I984" s="31"/>
      <c r="J984" s="31"/>
      <c r="K984" s="31"/>
      <c r="L984" s="31"/>
      <c r="M984" s="31"/>
      <c r="N984" s="31"/>
    </row>
    <row r="985">
      <c r="A985" s="31">
        <f>IFERROR(__xludf.DUMMYFUNCTION("""COMPUTED_VALUE"""),1054.0)</f>
        <v>1054</v>
      </c>
      <c r="B985" s="31"/>
      <c r="C985" s="31"/>
      <c r="D985" s="84"/>
      <c r="E985" s="85"/>
      <c r="F985" s="31"/>
      <c r="G985" s="85"/>
      <c r="H985" s="31"/>
      <c r="I985" s="31"/>
      <c r="J985" s="31"/>
      <c r="K985" s="31"/>
      <c r="L985" s="31"/>
      <c r="M985" s="31"/>
      <c r="N985" s="31"/>
    </row>
    <row r="986">
      <c r="A986" s="31">
        <f>IFERROR(__xludf.DUMMYFUNCTION("""COMPUTED_VALUE"""),1055.0)</f>
        <v>1055</v>
      </c>
      <c r="B986" s="31"/>
      <c r="C986" s="31"/>
      <c r="D986" s="84"/>
      <c r="E986" s="85"/>
      <c r="F986" s="31"/>
      <c r="G986" s="85"/>
      <c r="H986" s="31"/>
      <c r="I986" s="31"/>
      <c r="J986" s="31"/>
      <c r="K986" s="31"/>
      <c r="L986" s="31"/>
      <c r="M986" s="31"/>
      <c r="N986" s="31"/>
    </row>
    <row r="987">
      <c r="A987" s="31">
        <f>IFERROR(__xludf.DUMMYFUNCTION("""COMPUTED_VALUE"""),1056.0)</f>
        <v>1056</v>
      </c>
      <c r="B987" s="31"/>
      <c r="C987" s="31"/>
      <c r="D987" s="84"/>
      <c r="E987" s="85"/>
      <c r="F987" s="31"/>
      <c r="G987" s="85"/>
      <c r="H987" s="31"/>
      <c r="I987" s="31"/>
      <c r="J987" s="31"/>
      <c r="K987" s="31"/>
      <c r="L987" s="31"/>
      <c r="M987" s="31"/>
      <c r="N987" s="31"/>
    </row>
    <row r="988">
      <c r="A988" s="31">
        <f>IFERROR(__xludf.DUMMYFUNCTION("""COMPUTED_VALUE"""),1057.0)</f>
        <v>1057</v>
      </c>
      <c r="B988" s="31"/>
      <c r="C988" s="31"/>
      <c r="D988" s="84"/>
      <c r="E988" s="85"/>
      <c r="F988" s="31"/>
      <c r="G988" s="85"/>
      <c r="H988" s="31"/>
      <c r="I988" s="31"/>
      <c r="J988" s="31"/>
      <c r="K988" s="31"/>
      <c r="L988" s="31"/>
      <c r="M988" s="31"/>
      <c r="N988" s="31"/>
    </row>
    <row r="989">
      <c r="A989" s="31">
        <f>IFERROR(__xludf.DUMMYFUNCTION("""COMPUTED_VALUE"""),1058.0)</f>
        <v>1058</v>
      </c>
      <c r="B989" s="31"/>
      <c r="C989" s="31"/>
      <c r="D989" s="84"/>
      <c r="E989" s="85"/>
      <c r="F989" s="31"/>
      <c r="G989" s="85"/>
      <c r="H989" s="31"/>
      <c r="I989" s="31"/>
      <c r="J989" s="31"/>
      <c r="K989" s="31"/>
      <c r="L989" s="31"/>
      <c r="M989" s="31"/>
      <c r="N989" s="31"/>
    </row>
    <row r="990">
      <c r="A990" s="31">
        <f>IFERROR(__xludf.DUMMYFUNCTION("""COMPUTED_VALUE"""),1059.0)</f>
        <v>1059</v>
      </c>
      <c r="B990" s="31"/>
      <c r="C990" s="31"/>
      <c r="D990" s="84"/>
      <c r="E990" s="85"/>
      <c r="F990" s="31"/>
      <c r="G990" s="85"/>
      <c r="H990" s="31"/>
      <c r="I990" s="31"/>
      <c r="J990" s="31"/>
      <c r="K990" s="31"/>
      <c r="L990" s="31"/>
      <c r="M990" s="31"/>
      <c r="N990" s="31"/>
    </row>
    <row r="991">
      <c r="A991" s="31">
        <f>IFERROR(__xludf.DUMMYFUNCTION("""COMPUTED_VALUE"""),1060.0)</f>
        <v>1060</v>
      </c>
      <c r="B991" s="31"/>
      <c r="C991" s="31"/>
      <c r="D991" s="84"/>
      <c r="E991" s="85"/>
      <c r="F991" s="31"/>
      <c r="G991" s="85"/>
      <c r="H991" s="31"/>
      <c r="I991" s="31"/>
      <c r="J991" s="31"/>
      <c r="K991" s="31"/>
      <c r="L991" s="31"/>
      <c r="M991" s="31"/>
      <c r="N991" s="31"/>
    </row>
    <row r="992">
      <c r="A992" s="31">
        <f>IFERROR(__xludf.DUMMYFUNCTION("""COMPUTED_VALUE"""),1061.0)</f>
        <v>1061</v>
      </c>
      <c r="B992" s="31"/>
      <c r="C992" s="31"/>
      <c r="D992" s="84"/>
      <c r="E992" s="85"/>
      <c r="F992" s="31"/>
      <c r="G992" s="85"/>
      <c r="H992" s="31"/>
      <c r="I992" s="31"/>
      <c r="J992" s="31"/>
      <c r="K992" s="31"/>
      <c r="L992" s="31"/>
      <c r="M992" s="31"/>
      <c r="N992" s="31"/>
    </row>
    <row r="993">
      <c r="A993" s="31">
        <f>IFERROR(__xludf.DUMMYFUNCTION("""COMPUTED_VALUE"""),1062.0)</f>
        <v>1062</v>
      </c>
      <c r="B993" s="31"/>
      <c r="C993" s="31"/>
      <c r="D993" s="84"/>
      <c r="E993" s="85"/>
      <c r="F993" s="31"/>
      <c r="G993" s="85"/>
      <c r="H993" s="31"/>
      <c r="I993" s="31"/>
      <c r="J993" s="31"/>
      <c r="K993" s="31"/>
      <c r="L993" s="31"/>
      <c r="M993" s="31"/>
      <c r="N993" s="31"/>
    </row>
    <row r="994">
      <c r="A994" s="31">
        <f>IFERROR(__xludf.DUMMYFUNCTION("""COMPUTED_VALUE"""),1063.0)</f>
        <v>1063</v>
      </c>
      <c r="B994" s="31"/>
      <c r="C994" s="31"/>
      <c r="D994" s="84"/>
      <c r="E994" s="85"/>
      <c r="F994" s="31"/>
      <c r="G994" s="85"/>
      <c r="H994" s="31"/>
      <c r="I994" s="31"/>
      <c r="J994" s="31"/>
      <c r="K994" s="31"/>
      <c r="L994" s="31"/>
      <c r="M994" s="31"/>
      <c r="N994" s="31"/>
    </row>
    <row r="995">
      <c r="A995" s="31">
        <f>IFERROR(__xludf.DUMMYFUNCTION("""COMPUTED_VALUE"""),1064.0)</f>
        <v>1064</v>
      </c>
      <c r="B995" s="31"/>
      <c r="C995" s="31"/>
      <c r="D995" s="84"/>
      <c r="E995" s="85"/>
      <c r="F995" s="31"/>
      <c r="G995" s="85"/>
      <c r="H995" s="31"/>
      <c r="I995" s="31"/>
      <c r="J995" s="31"/>
      <c r="K995" s="31"/>
      <c r="L995" s="31"/>
      <c r="M995" s="31"/>
      <c r="N995" s="31"/>
    </row>
    <row r="996">
      <c r="A996" s="31">
        <f>IFERROR(__xludf.DUMMYFUNCTION("""COMPUTED_VALUE"""),1065.0)</f>
        <v>1065</v>
      </c>
      <c r="B996" s="31"/>
      <c r="C996" s="31"/>
      <c r="D996" s="84"/>
      <c r="E996" s="85"/>
      <c r="F996" s="31"/>
      <c r="G996" s="85"/>
      <c r="H996" s="31"/>
      <c r="I996" s="31"/>
      <c r="J996" s="31"/>
      <c r="K996" s="31"/>
      <c r="L996" s="31"/>
      <c r="M996" s="31"/>
      <c r="N996" s="31"/>
    </row>
    <row r="997">
      <c r="A997" s="31">
        <f>IFERROR(__xludf.DUMMYFUNCTION("""COMPUTED_VALUE"""),1066.0)</f>
        <v>1066</v>
      </c>
      <c r="B997" s="31"/>
      <c r="C997" s="31"/>
      <c r="D997" s="84"/>
      <c r="E997" s="85"/>
      <c r="F997" s="31"/>
      <c r="G997" s="85"/>
      <c r="H997" s="31"/>
      <c r="I997" s="31"/>
      <c r="J997" s="31"/>
      <c r="K997" s="31"/>
      <c r="L997" s="31"/>
      <c r="M997" s="31"/>
      <c r="N997" s="31"/>
    </row>
    <row r="998">
      <c r="A998" s="31">
        <f>IFERROR(__xludf.DUMMYFUNCTION("""COMPUTED_VALUE"""),1067.0)</f>
        <v>1067</v>
      </c>
      <c r="B998" s="31"/>
      <c r="C998" s="31"/>
      <c r="D998" s="84"/>
      <c r="E998" s="85"/>
      <c r="F998" s="31"/>
      <c r="G998" s="85"/>
      <c r="H998" s="31"/>
      <c r="I998" s="31"/>
      <c r="J998" s="31"/>
      <c r="K998" s="31"/>
      <c r="L998" s="31"/>
      <c r="M998" s="31"/>
      <c r="N998" s="31"/>
    </row>
    <row r="999">
      <c r="A999" s="31">
        <f>IFERROR(__xludf.DUMMYFUNCTION("""COMPUTED_VALUE"""),1068.0)</f>
        <v>1068</v>
      </c>
      <c r="B999" s="31"/>
      <c r="C999" s="31"/>
      <c r="D999" s="84"/>
      <c r="E999" s="85"/>
      <c r="F999" s="31"/>
      <c r="G999" s="85"/>
      <c r="H999" s="31"/>
      <c r="I999" s="31"/>
      <c r="J999" s="31"/>
      <c r="K999" s="31"/>
      <c r="L999" s="31"/>
      <c r="M999" s="31"/>
      <c r="N999" s="31"/>
    </row>
    <row r="1000">
      <c r="A1000" s="31">
        <f>IFERROR(__xludf.DUMMYFUNCTION("""COMPUTED_VALUE"""),1069.0)</f>
        <v>1069</v>
      </c>
      <c r="B1000" s="31"/>
      <c r="C1000" s="31"/>
      <c r="D1000" s="84"/>
      <c r="E1000" s="85"/>
      <c r="F1000" s="31"/>
      <c r="G1000" s="85"/>
      <c r="H1000" s="31"/>
      <c r="I1000" s="31"/>
      <c r="J1000" s="31"/>
      <c r="K1000" s="31"/>
      <c r="L1000" s="31"/>
      <c r="M1000" s="31"/>
      <c r="N1000" s="31"/>
    </row>
    <row r="1001">
      <c r="A1001" s="31">
        <f>IFERROR(__xludf.DUMMYFUNCTION("""COMPUTED_VALUE"""),1070.0)</f>
        <v>1070</v>
      </c>
      <c r="B1001" s="31"/>
      <c r="C1001" s="31"/>
      <c r="D1001" s="84"/>
      <c r="E1001" s="85"/>
      <c r="F1001" s="31"/>
      <c r="G1001" s="85"/>
      <c r="H1001" s="31"/>
      <c r="I1001" s="31"/>
      <c r="J1001" s="31"/>
      <c r="K1001" s="31"/>
      <c r="L1001" s="31"/>
      <c r="M1001" s="31"/>
      <c r="N1001" s="31"/>
    </row>
    <row r="1002">
      <c r="A1002" s="31">
        <f>IFERROR(__xludf.DUMMYFUNCTION("""COMPUTED_VALUE"""),1071.0)</f>
        <v>1071</v>
      </c>
      <c r="B1002" s="31"/>
      <c r="C1002" s="31"/>
      <c r="D1002" s="84"/>
      <c r="E1002" s="85"/>
      <c r="F1002" s="31"/>
      <c r="G1002" s="85"/>
      <c r="H1002" s="31"/>
      <c r="I1002" s="31"/>
      <c r="J1002" s="31"/>
      <c r="K1002" s="31"/>
      <c r="L1002" s="31"/>
      <c r="M1002" s="31"/>
      <c r="N1002" s="31"/>
    </row>
    <row r="1003">
      <c r="A1003" s="31">
        <f>IFERROR(__xludf.DUMMYFUNCTION("""COMPUTED_VALUE"""),1072.0)</f>
        <v>1072</v>
      </c>
      <c r="B1003" s="31"/>
      <c r="C1003" s="31"/>
      <c r="D1003" s="84"/>
      <c r="E1003" s="85"/>
      <c r="F1003" s="31"/>
      <c r="G1003" s="85"/>
      <c r="H1003" s="31"/>
      <c r="I1003" s="31"/>
      <c r="J1003" s="31"/>
      <c r="K1003" s="31"/>
      <c r="L1003" s="31"/>
      <c r="M1003" s="31"/>
      <c r="N1003" s="31"/>
    </row>
    <row r="1004">
      <c r="A1004" s="31">
        <f>IFERROR(__xludf.DUMMYFUNCTION("""COMPUTED_VALUE"""),1073.0)</f>
        <v>1073</v>
      </c>
      <c r="B1004" s="31"/>
      <c r="C1004" s="31"/>
      <c r="D1004" s="84"/>
      <c r="E1004" s="85"/>
      <c r="F1004" s="31"/>
      <c r="G1004" s="85"/>
      <c r="H1004" s="31"/>
      <c r="I1004" s="31"/>
      <c r="J1004" s="31"/>
      <c r="K1004" s="31"/>
      <c r="L1004" s="31"/>
      <c r="M1004" s="31"/>
      <c r="N1004" s="31"/>
    </row>
    <row r="1005">
      <c r="A1005" s="31">
        <f>IFERROR(__xludf.DUMMYFUNCTION("""COMPUTED_VALUE"""),1074.0)</f>
        <v>1074</v>
      </c>
      <c r="B1005" s="31"/>
      <c r="C1005" s="31"/>
      <c r="D1005" s="84"/>
      <c r="E1005" s="85"/>
      <c r="F1005" s="31"/>
      <c r="G1005" s="85"/>
      <c r="H1005" s="31"/>
      <c r="I1005" s="31"/>
      <c r="J1005" s="31"/>
      <c r="K1005" s="31"/>
      <c r="L1005" s="31"/>
      <c r="M1005" s="31"/>
      <c r="N1005" s="31"/>
    </row>
    <row r="1006">
      <c r="A1006" s="31">
        <f>IFERROR(__xludf.DUMMYFUNCTION("""COMPUTED_VALUE"""),1075.0)</f>
        <v>1075</v>
      </c>
      <c r="B1006" s="31"/>
      <c r="C1006" s="31"/>
      <c r="D1006" s="84"/>
      <c r="E1006" s="85"/>
      <c r="F1006" s="31"/>
      <c r="G1006" s="85"/>
      <c r="H1006" s="31"/>
      <c r="I1006" s="31"/>
      <c r="J1006" s="31"/>
      <c r="K1006" s="31"/>
      <c r="L1006" s="31"/>
      <c r="M1006" s="31"/>
      <c r="N1006" s="31"/>
    </row>
    <row r="1007">
      <c r="A1007" s="31">
        <f>IFERROR(__xludf.DUMMYFUNCTION("""COMPUTED_VALUE"""),1076.0)</f>
        <v>1076</v>
      </c>
      <c r="B1007" s="31"/>
      <c r="C1007" s="31"/>
      <c r="D1007" s="84"/>
      <c r="E1007" s="85"/>
      <c r="F1007" s="31"/>
      <c r="G1007" s="85"/>
      <c r="H1007" s="31"/>
      <c r="I1007" s="31"/>
      <c r="J1007" s="31"/>
      <c r="K1007" s="31"/>
      <c r="L1007" s="31"/>
      <c r="M1007" s="31"/>
      <c r="N1007" s="31"/>
    </row>
    <row r="1008">
      <c r="A1008" s="31">
        <f>IFERROR(__xludf.DUMMYFUNCTION("""COMPUTED_VALUE"""),1077.0)</f>
        <v>1077</v>
      </c>
      <c r="B1008" s="31"/>
      <c r="C1008" s="31"/>
      <c r="D1008" s="84"/>
      <c r="E1008" s="85"/>
      <c r="F1008" s="31"/>
      <c r="G1008" s="85"/>
      <c r="H1008" s="31"/>
      <c r="I1008" s="31"/>
      <c r="J1008" s="31"/>
      <c r="K1008" s="31"/>
      <c r="L1008" s="31"/>
      <c r="M1008" s="31"/>
      <c r="N1008" s="31"/>
    </row>
    <row r="1009">
      <c r="A1009" s="31"/>
      <c r="B1009" s="31"/>
      <c r="C1009" s="31"/>
      <c r="D1009" s="84"/>
      <c r="E1009" s="85"/>
      <c r="F1009" s="31"/>
      <c r="G1009" s="85"/>
      <c r="H1009" s="31"/>
      <c r="I1009" s="31"/>
      <c r="J1009" s="31"/>
      <c r="K1009" s="31"/>
      <c r="L1009" s="31"/>
      <c r="M1009" s="31"/>
      <c r="N1009" s="31"/>
    </row>
    <row r="1010">
      <c r="A1010" s="31"/>
      <c r="B1010" s="31"/>
      <c r="C1010" s="31"/>
      <c r="D1010" s="84"/>
      <c r="E1010" s="85"/>
      <c r="F1010" s="31"/>
      <c r="G1010" s="85"/>
      <c r="H1010" s="31"/>
      <c r="I1010" s="31"/>
      <c r="J1010" s="31"/>
      <c r="K1010" s="31"/>
      <c r="L1010" s="31"/>
      <c r="M1010" s="31"/>
      <c r="N1010" s="31"/>
    </row>
    <row r="1011">
      <c r="A1011" s="31"/>
      <c r="B1011" s="31"/>
      <c r="C1011" s="31"/>
      <c r="D1011" s="84"/>
      <c r="E1011" s="85"/>
      <c r="F1011" s="31"/>
      <c r="G1011" s="85"/>
      <c r="H1011" s="31"/>
      <c r="I1011" s="31"/>
      <c r="J1011" s="31"/>
      <c r="K1011" s="31"/>
      <c r="L1011" s="31"/>
      <c r="M1011" s="31"/>
      <c r="N1011" s="31"/>
    </row>
    <row r="1012">
      <c r="A1012" s="31"/>
      <c r="B1012" s="31"/>
      <c r="C1012" s="31"/>
      <c r="D1012" s="84"/>
      <c r="E1012" s="85"/>
      <c r="F1012" s="31"/>
      <c r="G1012" s="85"/>
      <c r="H1012" s="31"/>
      <c r="I1012" s="31"/>
      <c r="J1012" s="31"/>
      <c r="K1012" s="31"/>
      <c r="L1012" s="31"/>
      <c r="M1012" s="31"/>
      <c r="N1012" s="31"/>
    </row>
    <row r="1013">
      <c r="A1013" s="31"/>
      <c r="B1013" s="31"/>
      <c r="C1013" s="31"/>
      <c r="D1013" s="84"/>
      <c r="E1013" s="85"/>
      <c r="F1013" s="31"/>
      <c r="G1013" s="85"/>
      <c r="H1013" s="31"/>
      <c r="I1013" s="31"/>
      <c r="J1013" s="31"/>
      <c r="K1013" s="31"/>
      <c r="L1013" s="31"/>
      <c r="M1013" s="31"/>
      <c r="N1013" s="31"/>
    </row>
    <row r="1014">
      <c r="A1014" s="31"/>
      <c r="B1014" s="31"/>
      <c r="C1014" s="31"/>
      <c r="D1014" s="84"/>
      <c r="E1014" s="85"/>
      <c r="F1014" s="31"/>
      <c r="G1014" s="85"/>
      <c r="H1014" s="31"/>
      <c r="I1014" s="31"/>
      <c r="J1014" s="31"/>
      <c r="K1014" s="31"/>
      <c r="L1014" s="31"/>
      <c r="M1014" s="31"/>
      <c r="N1014" s="31"/>
    </row>
    <row r="1015">
      <c r="A1015" s="31"/>
      <c r="B1015" s="31"/>
      <c r="C1015" s="31"/>
      <c r="D1015" s="84"/>
      <c r="E1015" s="85"/>
      <c r="F1015" s="31"/>
      <c r="G1015" s="85"/>
      <c r="H1015" s="31"/>
      <c r="I1015" s="31"/>
      <c r="J1015" s="31"/>
      <c r="K1015" s="31"/>
      <c r="L1015" s="31"/>
      <c r="M1015" s="31"/>
      <c r="N1015" s="31"/>
    </row>
    <row r="1016">
      <c r="A1016" s="31"/>
      <c r="B1016" s="31"/>
      <c r="C1016" s="31"/>
      <c r="D1016" s="84"/>
      <c r="E1016" s="85"/>
      <c r="F1016" s="31"/>
      <c r="G1016" s="85"/>
      <c r="H1016" s="31"/>
      <c r="I1016" s="31"/>
      <c r="J1016" s="31"/>
      <c r="K1016" s="31"/>
      <c r="L1016" s="31"/>
      <c r="M1016" s="31"/>
      <c r="N1016" s="31"/>
    </row>
    <row r="1017">
      <c r="A1017" s="31"/>
      <c r="B1017" s="31"/>
      <c r="C1017" s="31"/>
      <c r="D1017" s="84"/>
      <c r="E1017" s="85"/>
      <c r="F1017" s="31"/>
      <c r="G1017" s="85"/>
      <c r="H1017" s="31"/>
      <c r="I1017" s="31"/>
      <c r="J1017" s="31"/>
      <c r="K1017" s="31"/>
      <c r="L1017" s="31"/>
      <c r="M1017" s="31"/>
      <c r="N1017" s="31"/>
    </row>
    <row r="1018">
      <c r="A1018" s="31"/>
      <c r="B1018" s="31"/>
      <c r="C1018" s="31"/>
      <c r="D1018" s="84"/>
      <c r="E1018" s="85"/>
      <c r="F1018" s="31"/>
      <c r="G1018" s="85"/>
      <c r="H1018" s="31"/>
      <c r="I1018" s="31"/>
      <c r="J1018" s="31"/>
      <c r="K1018" s="31"/>
      <c r="L1018" s="31"/>
      <c r="M1018" s="31"/>
      <c r="N1018" s="31"/>
    </row>
    <row r="1019">
      <c r="A1019" s="31"/>
      <c r="B1019" s="31"/>
      <c r="C1019" s="31"/>
      <c r="D1019" s="84"/>
      <c r="E1019" s="85"/>
      <c r="F1019" s="31"/>
      <c r="G1019" s="85"/>
      <c r="H1019" s="31"/>
      <c r="I1019" s="31"/>
      <c r="J1019" s="31"/>
      <c r="K1019" s="31"/>
      <c r="L1019" s="31"/>
      <c r="M1019" s="31"/>
      <c r="N1019" s="31"/>
    </row>
    <row r="1020">
      <c r="A1020" s="31"/>
      <c r="B1020" s="31"/>
      <c r="C1020" s="31"/>
      <c r="D1020" s="84"/>
      <c r="E1020" s="85"/>
      <c r="F1020" s="31"/>
      <c r="G1020" s="85"/>
      <c r="H1020" s="31"/>
      <c r="I1020" s="31"/>
      <c r="J1020" s="31"/>
      <c r="K1020" s="31"/>
      <c r="L1020" s="31"/>
      <c r="M1020" s="31"/>
      <c r="N1020" s="31"/>
    </row>
    <row r="1021">
      <c r="A1021" s="31"/>
      <c r="B1021" s="31"/>
      <c r="C1021" s="31"/>
      <c r="D1021" s="84"/>
      <c r="E1021" s="85"/>
      <c r="F1021" s="31"/>
      <c r="G1021" s="85"/>
      <c r="H1021" s="31"/>
      <c r="I1021" s="31"/>
      <c r="J1021" s="31"/>
      <c r="K1021" s="31"/>
      <c r="L1021" s="31"/>
      <c r="M1021" s="31"/>
      <c r="N1021" s="31"/>
    </row>
    <row r="1022">
      <c r="A1022" s="31"/>
      <c r="B1022" s="31"/>
      <c r="C1022" s="31"/>
      <c r="D1022" s="84"/>
      <c r="E1022" s="85"/>
      <c r="F1022" s="31"/>
      <c r="G1022" s="85"/>
      <c r="H1022" s="31"/>
      <c r="I1022" s="31"/>
      <c r="J1022" s="31"/>
      <c r="K1022" s="31"/>
      <c r="L1022" s="31"/>
      <c r="M1022" s="31"/>
      <c r="N1022" s="31"/>
    </row>
    <row r="1023">
      <c r="A1023" s="31"/>
      <c r="B1023" s="31"/>
      <c r="C1023" s="31"/>
      <c r="D1023" s="84"/>
      <c r="E1023" s="85"/>
      <c r="F1023" s="31"/>
      <c r="G1023" s="85"/>
      <c r="H1023" s="31"/>
      <c r="I1023" s="31"/>
      <c r="J1023" s="31"/>
      <c r="K1023" s="31"/>
      <c r="L1023" s="31"/>
      <c r="M1023" s="31"/>
      <c r="N1023" s="31"/>
    </row>
    <row r="1024">
      <c r="A1024" s="31"/>
      <c r="B1024" s="31"/>
      <c r="C1024" s="31"/>
      <c r="D1024" s="84"/>
      <c r="E1024" s="85"/>
      <c r="F1024" s="31"/>
      <c r="G1024" s="85"/>
      <c r="H1024" s="31"/>
      <c r="I1024" s="31"/>
      <c r="J1024" s="31"/>
      <c r="K1024" s="31"/>
      <c r="L1024" s="31"/>
      <c r="M1024" s="31"/>
      <c r="N1024" s="31"/>
    </row>
    <row r="1025">
      <c r="A1025" s="31"/>
      <c r="B1025" s="31"/>
      <c r="C1025" s="31"/>
      <c r="D1025" s="84"/>
      <c r="E1025" s="85"/>
      <c r="F1025" s="31"/>
      <c r="G1025" s="85"/>
      <c r="H1025" s="31"/>
      <c r="I1025" s="31"/>
      <c r="J1025" s="31"/>
      <c r="K1025" s="31"/>
      <c r="L1025" s="31"/>
      <c r="M1025" s="31"/>
      <c r="N1025" s="31"/>
    </row>
    <row r="1026">
      <c r="A1026" s="31"/>
      <c r="B1026" s="31"/>
      <c r="C1026" s="31"/>
      <c r="D1026" s="84"/>
      <c r="E1026" s="85"/>
      <c r="F1026" s="31"/>
      <c r="G1026" s="85"/>
      <c r="H1026" s="31"/>
      <c r="I1026" s="31"/>
      <c r="J1026" s="31"/>
      <c r="K1026" s="31"/>
      <c r="L1026" s="31"/>
      <c r="M1026" s="31"/>
      <c r="N1026" s="31"/>
    </row>
    <row r="1027">
      <c r="A1027" s="31"/>
      <c r="B1027" s="31"/>
      <c r="C1027" s="31"/>
      <c r="D1027" s="84"/>
      <c r="E1027" s="85"/>
      <c r="F1027" s="31"/>
      <c r="G1027" s="85"/>
      <c r="H1027" s="31"/>
      <c r="I1027" s="31"/>
      <c r="J1027" s="31"/>
      <c r="K1027" s="31"/>
      <c r="L1027" s="31"/>
      <c r="M1027" s="31"/>
      <c r="N1027" s="31"/>
    </row>
    <row r="1028">
      <c r="A1028" s="31"/>
      <c r="B1028" s="31"/>
      <c r="C1028" s="31"/>
      <c r="D1028" s="84"/>
      <c r="E1028" s="85"/>
      <c r="F1028" s="31"/>
      <c r="G1028" s="85"/>
      <c r="H1028" s="31"/>
      <c r="I1028" s="31"/>
      <c r="J1028" s="31"/>
      <c r="K1028" s="31"/>
      <c r="L1028" s="31"/>
      <c r="M1028" s="31"/>
      <c r="N1028" s="31"/>
    </row>
    <row r="1029">
      <c r="A1029" s="31"/>
      <c r="B1029" s="31"/>
      <c r="C1029" s="31"/>
      <c r="D1029" s="84"/>
      <c r="E1029" s="85"/>
      <c r="F1029" s="31"/>
      <c r="G1029" s="85"/>
      <c r="H1029" s="31"/>
      <c r="I1029" s="31"/>
      <c r="J1029" s="31"/>
      <c r="K1029" s="31"/>
      <c r="L1029" s="31"/>
      <c r="M1029" s="31"/>
      <c r="N1029" s="31"/>
    </row>
    <row r="1030">
      <c r="A1030" s="31"/>
      <c r="B1030" s="31"/>
      <c r="C1030" s="31"/>
      <c r="D1030" s="84"/>
      <c r="E1030" s="85"/>
      <c r="F1030" s="31"/>
      <c r="G1030" s="85"/>
      <c r="H1030" s="31"/>
      <c r="I1030" s="31"/>
      <c r="J1030" s="31"/>
      <c r="K1030" s="31"/>
      <c r="L1030" s="31"/>
      <c r="M1030" s="31"/>
      <c r="N1030" s="31"/>
    </row>
    <row r="1031">
      <c r="A1031" s="31"/>
      <c r="B1031" s="31"/>
      <c r="C1031" s="31"/>
      <c r="D1031" s="84"/>
      <c r="E1031" s="85"/>
      <c r="F1031" s="31"/>
      <c r="G1031" s="85"/>
      <c r="H1031" s="31"/>
      <c r="I1031" s="31"/>
      <c r="J1031" s="31"/>
      <c r="K1031" s="31"/>
      <c r="L1031" s="31"/>
      <c r="M1031" s="31"/>
      <c r="N1031" s="31"/>
    </row>
    <row r="1032">
      <c r="A1032" s="31"/>
      <c r="B1032" s="31"/>
      <c r="C1032" s="31"/>
      <c r="D1032" s="84"/>
      <c r="E1032" s="85"/>
      <c r="F1032" s="31"/>
      <c r="G1032" s="85"/>
      <c r="H1032" s="31"/>
      <c r="I1032" s="31"/>
      <c r="J1032" s="31"/>
      <c r="K1032" s="31"/>
      <c r="L1032" s="31"/>
      <c r="M1032" s="31"/>
      <c r="N1032" s="31"/>
    </row>
    <row r="1033">
      <c r="A1033" s="31"/>
      <c r="B1033" s="31"/>
      <c r="C1033" s="31"/>
      <c r="D1033" s="84"/>
      <c r="E1033" s="85"/>
      <c r="F1033" s="31"/>
      <c r="G1033" s="85"/>
      <c r="H1033" s="31"/>
      <c r="I1033" s="31"/>
      <c r="J1033" s="31"/>
      <c r="K1033" s="31"/>
      <c r="L1033" s="31"/>
      <c r="M1033" s="31"/>
      <c r="N1033" s="31"/>
    </row>
    <row r="1034">
      <c r="A1034" s="31"/>
      <c r="B1034" s="31"/>
      <c r="C1034" s="31"/>
      <c r="D1034" s="84"/>
      <c r="E1034" s="85"/>
      <c r="F1034" s="31"/>
      <c r="G1034" s="85"/>
      <c r="H1034" s="31"/>
      <c r="I1034" s="31"/>
      <c r="J1034" s="31"/>
      <c r="K1034" s="31"/>
      <c r="L1034" s="31"/>
      <c r="M1034" s="31"/>
      <c r="N1034" s="31"/>
    </row>
    <row r="1035">
      <c r="A1035" s="31"/>
      <c r="B1035" s="31"/>
      <c r="C1035" s="31"/>
      <c r="D1035" s="84"/>
      <c r="E1035" s="85"/>
      <c r="F1035" s="31"/>
      <c r="G1035" s="85"/>
      <c r="H1035" s="31"/>
      <c r="I1035" s="31"/>
      <c r="J1035" s="31"/>
      <c r="K1035" s="31"/>
      <c r="L1035" s="31"/>
      <c r="M1035" s="31"/>
      <c r="N1035" s="31"/>
    </row>
    <row r="1036">
      <c r="A1036" s="31"/>
      <c r="B1036" s="31"/>
      <c r="C1036" s="31"/>
      <c r="D1036" s="84"/>
      <c r="E1036" s="85"/>
      <c r="F1036" s="31"/>
      <c r="G1036" s="85"/>
      <c r="H1036" s="31"/>
      <c r="I1036" s="31"/>
      <c r="J1036" s="31"/>
      <c r="K1036" s="31"/>
      <c r="L1036" s="31"/>
      <c r="M1036" s="31"/>
      <c r="N1036" s="31"/>
    </row>
    <row r="1037">
      <c r="A1037" s="31"/>
      <c r="B1037" s="31"/>
      <c r="C1037" s="31"/>
      <c r="D1037" s="84"/>
      <c r="E1037" s="85"/>
      <c r="F1037" s="31"/>
      <c r="G1037" s="85"/>
      <c r="H1037" s="31"/>
      <c r="I1037" s="31"/>
      <c r="J1037" s="31"/>
      <c r="K1037" s="31"/>
      <c r="L1037" s="31"/>
      <c r="M1037" s="31"/>
      <c r="N1037" s="31"/>
    </row>
    <row r="1038">
      <c r="A1038" s="31"/>
      <c r="B1038" s="31"/>
      <c r="C1038" s="31"/>
      <c r="D1038" s="84"/>
      <c r="E1038" s="85"/>
      <c r="F1038" s="31"/>
      <c r="G1038" s="85"/>
      <c r="H1038" s="31"/>
      <c r="I1038" s="31"/>
      <c r="J1038" s="31"/>
      <c r="K1038" s="31"/>
      <c r="L1038" s="31"/>
      <c r="M1038" s="31"/>
      <c r="N1038" s="31"/>
    </row>
    <row r="1039">
      <c r="A1039" s="31"/>
      <c r="B1039" s="31"/>
      <c r="C1039" s="31"/>
      <c r="D1039" s="84"/>
      <c r="E1039" s="85"/>
      <c r="F1039" s="31"/>
      <c r="G1039" s="85"/>
      <c r="H1039" s="31"/>
      <c r="I1039" s="31"/>
      <c r="J1039" s="31"/>
      <c r="K1039" s="31"/>
      <c r="L1039" s="31"/>
      <c r="M1039" s="31"/>
      <c r="N1039" s="31"/>
    </row>
    <row r="1040">
      <c r="A1040" s="31"/>
      <c r="B1040" s="31"/>
      <c r="C1040" s="31"/>
      <c r="D1040" s="84"/>
      <c r="E1040" s="85"/>
      <c r="F1040" s="31"/>
      <c r="G1040" s="85"/>
      <c r="H1040" s="31"/>
      <c r="I1040" s="31"/>
      <c r="J1040" s="31"/>
      <c r="K1040" s="31"/>
      <c r="L1040" s="31"/>
      <c r="M1040" s="31"/>
      <c r="N1040" s="31"/>
    </row>
    <row r="1041">
      <c r="A1041" s="31"/>
      <c r="B1041" s="31"/>
      <c r="C1041" s="31"/>
      <c r="D1041" s="84"/>
      <c r="E1041" s="85"/>
      <c r="F1041" s="31"/>
      <c r="G1041" s="85"/>
      <c r="H1041" s="31"/>
      <c r="I1041" s="31"/>
      <c r="J1041" s="31"/>
      <c r="K1041" s="31"/>
      <c r="L1041" s="31"/>
      <c r="M1041" s="31"/>
      <c r="N1041" s="31"/>
    </row>
    <row r="1042">
      <c r="A1042" s="31"/>
      <c r="B1042" s="31"/>
      <c r="C1042" s="31"/>
      <c r="D1042" s="84"/>
      <c r="E1042" s="85"/>
      <c r="F1042" s="31"/>
      <c r="G1042" s="85"/>
      <c r="H1042" s="31"/>
      <c r="I1042" s="31"/>
      <c r="J1042" s="31"/>
      <c r="K1042" s="31"/>
      <c r="L1042" s="31"/>
      <c r="M1042" s="31"/>
      <c r="N1042" s="31"/>
    </row>
    <row r="1043">
      <c r="A1043" s="31"/>
      <c r="B1043" s="31"/>
      <c r="C1043" s="31"/>
      <c r="D1043" s="84"/>
      <c r="E1043" s="85"/>
      <c r="F1043" s="31"/>
      <c r="G1043" s="85"/>
      <c r="H1043" s="31"/>
      <c r="I1043" s="31"/>
      <c r="J1043" s="31"/>
      <c r="K1043" s="31"/>
      <c r="L1043" s="31"/>
      <c r="M1043" s="31"/>
      <c r="N1043" s="31"/>
    </row>
    <row r="1044">
      <c r="A1044" s="31"/>
      <c r="B1044" s="31"/>
      <c r="C1044" s="31"/>
      <c r="D1044" s="84"/>
      <c r="E1044" s="85"/>
      <c r="F1044" s="31"/>
      <c r="G1044" s="85"/>
      <c r="H1044" s="31"/>
      <c r="I1044" s="31"/>
      <c r="J1044" s="31"/>
      <c r="K1044" s="31"/>
      <c r="L1044" s="31"/>
      <c r="M1044" s="31"/>
      <c r="N1044" s="31"/>
    </row>
    <row r="1045">
      <c r="A1045" s="31"/>
      <c r="B1045" s="31"/>
      <c r="C1045" s="31"/>
      <c r="D1045" s="84"/>
      <c r="E1045" s="85"/>
      <c r="F1045" s="31"/>
      <c r="G1045" s="85"/>
      <c r="H1045" s="31"/>
      <c r="I1045" s="31"/>
      <c r="J1045" s="31"/>
      <c r="K1045" s="31"/>
      <c r="L1045" s="31"/>
      <c r="M1045" s="31"/>
      <c r="N1045" s="31"/>
    </row>
    <row r="1046">
      <c r="A1046" s="31"/>
      <c r="B1046" s="31"/>
      <c r="C1046" s="31"/>
      <c r="D1046" s="84"/>
      <c r="E1046" s="85"/>
      <c r="F1046" s="31"/>
      <c r="G1046" s="85"/>
      <c r="H1046" s="31"/>
      <c r="I1046" s="31"/>
      <c r="J1046" s="31"/>
      <c r="K1046" s="31"/>
      <c r="L1046" s="31"/>
      <c r="M1046" s="31"/>
      <c r="N1046" s="31"/>
    </row>
    <row r="1047">
      <c r="A1047" s="31"/>
      <c r="B1047" s="31"/>
      <c r="C1047" s="31"/>
      <c r="D1047" s="84"/>
      <c r="E1047" s="85"/>
      <c r="F1047" s="31"/>
      <c r="G1047" s="85"/>
      <c r="H1047" s="31"/>
      <c r="I1047" s="31"/>
      <c r="J1047" s="31"/>
      <c r="K1047" s="31"/>
      <c r="L1047" s="31"/>
      <c r="M1047" s="31"/>
      <c r="N1047" s="31"/>
    </row>
    <row r="1048">
      <c r="A1048" s="31"/>
      <c r="B1048" s="31"/>
      <c r="C1048" s="31"/>
      <c r="D1048" s="84"/>
      <c r="E1048" s="85"/>
      <c r="F1048" s="31"/>
      <c r="G1048" s="85"/>
      <c r="H1048" s="31"/>
      <c r="I1048" s="31"/>
      <c r="J1048" s="31"/>
      <c r="K1048" s="31"/>
      <c r="L1048" s="31"/>
      <c r="M1048" s="31"/>
      <c r="N1048" s="31"/>
    </row>
    <row r="1049">
      <c r="A1049" s="31"/>
      <c r="B1049" s="31"/>
      <c r="C1049" s="31"/>
      <c r="D1049" s="84"/>
      <c r="E1049" s="85"/>
      <c r="F1049" s="31"/>
      <c r="G1049" s="85"/>
      <c r="H1049" s="31"/>
      <c r="I1049" s="31"/>
      <c r="J1049" s="31"/>
      <c r="K1049" s="31"/>
      <c r="L1049" s="31"/>
      <c r="M1049" s="31"/>
      <c r="N1049" s="31"/>
    </row>
    <row r="1050">
      <c r="A1050" s="31"/>
      <c r="B1050" s="31"/>
      <c r="C1050" s="31"/>
      <c r="D1050" s="84"/>
      <c r="E1050" s="85"/>
      <c r="F1050" s="31"/>
      <c r="G1050" s="85"/>
      <c r="H1050" s="31"/>
      <c r="I1050" s="31"/>
      <c r="J1050" s="31"/>
      <c r="K1050" s="31"/>
      <c r="L1050" s="31"/>
      <c r="M1050" s="31"/>
      <c r="N1050" s="31"/>
    </row>
    <row r="1051">
      <c r="A1051" s="31"/>
      <c r="B1051" s="31"/>
      <c r="C1051" s="31"/>
      <c r="D1051" s="84"/>
      <c r="E1051" s="85"/>
      <c r="F1051" s="31"/>
      <c r="G1051" s="85"/>
      <c r="H1051" s="31"/>
      <c r="I1051" s="31"/>
      <c r="J1051" s="31"/>
      <c r="K1051" s="31"/>
      <c r="L1051" s="31"/>
      <c r="M1051" s="31"/>
      <c r="N1051" s="31"/>
    </row>
    <row r="1052">
      <c r="A1052" s="31"/>
      <c r="B1052" s="31"/>
      <c r="C1052" s="31"/>
      <c r="D1052" s="84"/>
      <c r="E1052" s="85"/>
      <c r="F1052" s="31"/>
      <c r="G1052" s="85"/>
      <c r="H1052" s="31"/>
      <c r="I1052" s="31"/>
      <c r="J1052" s="31"/>
      <c r="K1052" s="31"/>
      <c r="L1052" s="31"/>
      <c r="M1052" s="31"/>
      <c r="N1052" s="31"/>
    </row>
    <row r="1053">
      <c r="A1053" s="31"/>
      <c r="B1053" s="31"/>
      <c r="C1053" s="31"/>
      <c r="D1053" s="84"/>
      <c r="E1053" s="85"/>
      <c r="F1053" s="31"/>
      <c r="G1053" s="85"/>
      <c r="H1053" s="31"/>
      <c r="I1053" s="31"/>
      <c r="J1053" s="31"/>
      <c r="K1053" s="31"/>
      <c r="L1053" s="31"/>
      <c r="M1053" s="31"/>
      <c r="N1053" s="31"/>
    </row>
    <row r="1054">
      <c r="A1054" s="31"/>
      <c r="B1054" s="31"/>
      <c r="C1054" s="31"/>
      <c r="D1054" s="84"/>
      <c r="E1054" s="85"/>
      <c r="F1054" s="31"/>
      <c r="G1054" s="85"/>
      <c r="H1054" s="31"/>
      <c r="I1054" s="31"/>
      <c r="J1054" s="31"/>
      <c r="K1054" s="31"/>
      <c r="L1054" s="31"/>
      <c r="M1054" s="31"/>
      <c r="N1054" s="31"/>
    </row>
    <row r="1055">
      <c r="A1055" s="31"/>
      <c r="B1055" s="31"/>
      <c r="C1055" s="31"/>
      <c r="D1055" s="84"/>
      <c r="E1055" s="85"/>
      <c r="F1055" s="31"/>
      <c r="G1055" s="85"/>
      <c r="H1055" s="31"/>
      <c r="I1055" s="31"/>
      <c r="J1055" s="31"/>
      <c r="K1055" s="31"/>
      <c r="L1055" s="31"/>
      <c r="M1055" s="31"/>
      <c r="N1055" s="31"/>
    </row>
    <row r="1056">
      <c r="A1056" s="31"/>
      <c r="B1056" s="31"/>
      <c r="C1056" s="31"/>
      <c r="D1056" s="84"/>
      <c r="E1056" s="85"/>
      <c r="F1056" s="31"/>
      <c r="G1056" s="85"/>
      <c r="H1056" s="31"/>
      <c r="I1056" s="31"/>
      <c r="J1056" s="31"/>
      <c r="K1056" s="31"/>
      <c r="L1056" s="31"/>
      <c r="M1056" s="31"/>
      <c r="N1056" s="31"/>
    </row>
    <row r="1057">
      <c r="A1057" s="31"/>
      <c r="B1057" s="31"/>
      <c r="C1057" s="31"/>
      <c r="D1057" s="84"/>
      <c r="E1057" s="85"/>
      <c r="F1057" s="31"/>
      <c r="G1057" s="85"/>
      <c r="H1057" s="31"/>
      <c r="I1057" s="31"/>
      <c r="J1057" s="31"/>
      <c r="K1057" s="31"/>
      <c r="L1057" s="31"/>
      <c r="M1057" s="31"/>
      <c r="N1057" s="31"/>
    </row>
    <row r="1058">
      <c r="A1058" s="31"/>
      <c r="B1058" s="31"/>
      <c r="C1058" s="31"/>
      <c r="D1058" s="84"/>
      <c r="E1058" s="85"/>
      <c r="F1058" s="31"/>
      <c r="G1058" s="85"/>
      <c r="H1058" s="31"/>
      <c r="I1058" s="31"/>
      <c r="J1058" s="31"/>
      <c r="K1058" s="31"/>
      <c r="L1058" s="31"/>
      <c r="M1058" s="31"/>
      <c r="N1058" s="31"/>
    </row>
    <row r="1059">
      <c r="A1059" s="31"/>
      <c r="B1059" s="31"/>
      <c r="C1059" s="31"/>
      <c r="D1059" s="84"/>
      <c r="E1059" s="85"/>
      <c r="F1059" s="31"/>
      <c r="G1059" s="85"/>
      <c r="H1059" s="31"/>
      <c r="I1059" s="31"/>
      <c r="J1059" s="31"/>
      <c r="K1059" s="31"/>
      <c r="L1059" s="31"/>
      <c r="M1059" s="31"/>
      <c r="N1059" s="31"/>
    </row>
    <row r="1060">
      <c r="A1060" s="31"/>
      <c r="B1060" s="31"/>
      <c r="C1060" s="31"/>
      <c r="D1060" s="84"/>
      <c r="E1060" s="85"/>
      <c r="F1060" s="31"/>
      <c r="G1060" s="85"/>
      <c r="H1060" s="31"/>
      <c r="I1060" s="31"/>
      <c r="J1060" s="31"/>
      <c r="K1060" s="31"/>
      <c r="L1060" s="31"/>
      <c r="M1060" s="31"/>
      <c r="N1060" s="31"/>
    </row>
    <row r="1061">
      <c r="A1061" s="31"/>
      <c r="B1061" s="31"/>
      <c r="C1061" s="31"/>
      <c r="D1061" s="84"/>
      <c r="E1061" s="85"/>
      <c r="F1061" s="31"/>
      <c r="G1061" s="85"/>
      <c r="H1061" s="31"/>
      <c r="I1061" s="31"/>
      <c r="J1061" s="31"/>
      <c r="K1061" s="31"/>
      <c r="L1061" s="31"/>
      <c r="M1061" s="31"/>
      <c r="N1061" s="31"/>
    </row>
    <row r="1062">
      <c r="A1062" s="31"/>
      <c r="B1062" s="31"/>
      <c r="C1062" s="31"/>
      <c r="D1062" s="84"/>
      <c r="E1062" s="85"/>
      <c r="F1062" s="31"/>
      <c r="G1062" s="85"/>
      <c r="H1062" s="31"/>
      <c r="I1062" s="31"/>
      <c r="J1062" s="31"/>
      <c r="K1062" s="31"/>
      <c r="L1062" s="31"/>
      <c r="M1062" s="31"/>
      <c r="N1062" s="31"/>
    </row>
    <row r="1063">
      <c r="A1063" s="31"/>
      <c r="B1063" s="31"/>
      <c r="C1063" s="31"/>
      <c r="D1063" s="84"/>
      <c r="E1063" s="85"/>
      <c r="F1063" s="31"/>
      <c r="G1063" s="85"/>
      <c r="H1063" s="31"/>
      <c r="I1063" s="31"/>
      <c r="J1063" s="31"/>
      <c r="K1063" s="31"/>
      <c r="L1063" s="31"/>
      <c r="M1063" s="31"/>
      <c r="N1063" s="31"/>
    </row>
    <row r="1064">
      <c r="A1064" s="31"/>
      <c r="B1064" s="31"/>
      <c r="C1064" s="31"/>
      <c r="D1064" s="84"/>
      <c r="E1064" s="85"/>
      <c r="F1064" s="31"/>
      <c r="G1064" s="85"/>
      <c r="H1064" s="31"/>
      <c r="I1064" s="31"/>
      <c r="J1064" s="31"/>
      <c r="K1064" s="31"/>
      <c r="L1064" s="31"/>
      <c r="M1064" s="31"/>
      <c r="N1064" s="31"/>
    </row>
    <row r="1065">
      <c r="A1065" s="31"/>
      <c r="B1065" s="31"/>
      <c r="C1065" s="31"/>
      <c r="D1065" s="84"/>
      <c r="E1065" s="85"/>
      <c r="F1065" s="31"/>
      <c r="G1065" s="85"/>
      <c r="H1065" s="31"/>
      <c r="I1065" s="31"/>
      <c r="J1065" s="31"/>
      <c r="K1065" s="31"/>
      <c r="L1065" s="31"/>
      <c r="M1065" s="31"/>
      <c r="N1065" s="31"/>
    </row>
    <row r="1066">
      <c r="A1066" s="31"/>
      <c r="B1066" s="31"/>
      <c r="C1066" s="31"/>
      <c r="D1066" s="84"/>
      <c r="E1066" s="85"/>
      <c r="F1066" s="31"/>
      <c r="G1066" s="85"/>
      <c r="H1066" s="31"/>
      <c r="I1066" s="31"/>
      <c r="J1066" s="31"/>
      <c r="K1066" s="31"/>
      <c r="L1066" s="31"/>
      <c r="M1066" s="31"/>
      <c r="N1066" s="31"/>
    </row>
    <row r="1067">
      <c r="A1067" s="31"/>
      <c r="B1067" s="31"/>
      <c r="C1067" s="31"/>
      <c r="D1067" s="84"/>
      <c r="E1067" s="85"/>
      <c r="F1067" s="31"/>
      <c r="G1067" s="85"/>
      <c r="H1067" s="31"/>
      <c r="I1067" s="31"/>
      <c r="J1067" s="31"/>
      <c r="K1067" s="31"/>
      <c r="L1067" s="31"/>
      <c r="M1067" s="31"/>
      <c r="N1067" s="31"/>
    </row>
    <row r="1068">
      <c r="A1068" s="31"/>
      <c r="B1068" s="31"/>
      <c r="C1068" s="31"/>
      <c r="D1068" s="84"/>
      <c r="E1068" s="85"/>
      <c r="F1068" s="31"/>
      <c r="G1068" s="85"/>
      <c r="H1068" s="31"/>
      <c r="I1068" s="31"/>
      <c r="J1068" s="31"/>
      <c r="K1068" s="31"/>
      <c r="L1068" s="31"/>
      <c r="M1068" s="31"/>
      <c r="N1068" s="31"/>
    </row>
    <row r="1069">
      <c r="A1069" s="31"/>
      <c r="B1069" s="31"/>
      <c r="C1069" s="31"/>
      <c r="D1069" s="84"/>
      <c r="E1069" s="85"/>
      <c r="F1069" s="31"/>
      <c r="G1069" s="85"/>
      <c r="H1069" s="31"/>
      <c r="I1069" s="31"/>
      <c r="J1069" s="31"/>
      <c r="K1069" s="31"/>
      <c r="L1069" s="31"/>
      <c r="M1069" s="31"/>
      <c r="N1069" s="31"/>
    </row>
    <row r="1070">
      <c r="A1070" s="31"/>
      <c r="B1070" s="31"/>
      <c r="C1070" s="31"/>
      <c r="D1070" s="84"/>
      <c r="E1070" s="85"/>
      <c r="F1070" s="31"/>
      <c r="G1070" s="85"/>
      <c r="H1070" s="31"/>
      <c r="I1070" s="31"/>
      <c r="J1070" s="31"/>
      <c r="K1070" s="31"/>
      <c r="L1070" s="31"/>
      <c r="M1070" s="31"/>
      <c r="N1070" s="31"/>
    </row>
    <row r="1071">
      <c r="A1071" s="31"/>
      <c r="B1071" s="31"/>
      <c r="C1071" s="31"/>
      <c r="D1071" s="84"/>
      <c r="E1071" s="85"/>
      <c r="F1071" s="31"/>
      <c r="G1071" s="85"/>
      <c r="H1071" s="31"/>
      <c r="I1071" s="31"/>
      <c r="J1071" s="31"/>
      <c r="K1071" s="31"/>
      <c r="L1071" s="31"/>
      <c r="M1071" s="31"/>
      <c r="N1071" s="31"/>
    </row>
    <row r="1072">
      <c r="A1072" s="31"/>
      <c r="B1072" s="31"/>
      <c r="C1072" s="31"/>
      <c r="D1072" s="84"/>
      <c r="E1072" s="85"/>
      <c r="F1072" s="31"/>
      <c r="G1072" s="85"/>
      <c r="H1072" s="31"/>
      <c r="I1072" s="31"/>
      <c r="J1072" s="31"/>
      <c r="K1072" s="31"/>
      <c r="L1072" s="31"/>
      <c r="M1072" s="31"/>
      <c r="N1072" s="31"/>
    </row>
    <row r="1073">
      <c r="A1073" s="31"/>
      <c r="B1073" s="31"/>
      <c r="C1073" s="31"/>
      <c r="D1073" s="84"/>
      <c r="E1073" s="85"/>
      <c r="F1073" s="31"/>
      <c r="G1073" s="85"/>
      <c r="H1073" s="31"/>
      <c r="I1073" s="31"/>
      <c r="J1073" s="31"/>
      <c r="K1073" s="31"/>
      <c r="L1073" s="31"/>
      <c r="M1073" s="31"/>
      <c r="N1073" s="31"/>
    </row>
    <row r="1074">
      <c r="A1074" s="31"/>
      <c r="B1074" s="31"/>
      <c r="C1074" s="31"/>
      <c r="D1074" s="84"/>
      <c r="E1074" s="85"/>
      <c r="F1074" s="31"/>
      <c r="G1074" s="85"/>
      <c r="H1074" s="31"/>
      <c r="I1074" s="31"/>
      <c r="J1074" s="31"/>
      <c r="K1074" s="31"/>
      <c r="L1074" s="31"/>
      <c r="M1074" s="31"/>
      <c r="N1074" s="31"/>
    </row>
    <row r="1075">
      <c r="A1075" s="31"/>
      <c r="B1075" s="31"/>
      <c r="C1075" s="31"/>
      <c r="D1075" s="84"/>
      <c r="E1075" s="85"/>
      <c r="F1075" s="31"/>
      <c r="G1075" s="85"/>
      <c r="H1075" s="31"/>
      <c r="I1075" s="31"/>
      <c r="J1075" s="31"/>
      <c r="K1075" s="31"/>
      <c r="L1075" s="31"/>
      <c r="M1075" s="31"/>
      <c r="N1075" s="31"/>
    </row>
    <row r="1076">
      <c r="A1076" s="31"/>
      <c r="B1076" s="31"/>
      <c r="C1076" s="31"/>
      <c r="D1076" s="84"/>
      <c r="E1076" s="85"/>
      <c r="F1076" s="31"/>
      <c r="G1076" s="85"/>
      <c r="H1076" s="31"/>
      <c r="I1076" s="31"/>
      <c r="J1076" s="31"/>
      <c r="K1076" s="31"/>
      <c r="L1076" s="31"/>
      <c r="M1076" s="31"/>
      <c r="N1076" s="31"/>
    </row>
    <row r="1077">
      <c r="A1077" s="31"/>
      <c r="B1077" s="31"/>
      <c r="C1077" s="31"/>
      <c r="D1077" s="84"/>
      <c r="E1077" s="85"/>
      <c r="F1077" s="31"/>
      <c r="G1077" s="85"/>
      <c r="H1077" s="31"/>
      <c r="I1077" s="31"/>
      <c r="J1077" s="31"/>
      <c r="K1077" s="31"/>
      <c r="L1077" s="31"/>
      <c r="M1077" s="31"/>
      <c r="N1077" s="31"/>
    </row>
    <row r="1078">
      <c r="A1078" s="31"/>
      <c r="B1078" s="31"/>
      <c r="C1078" s="31"/>
      <c r="D1078" s="84"/>
      <c r="E1078" s="85"/>
      <c r="F1078" s="31"/>
      <c r="G1078" s="85"/>
      <c r="H1078" s="31"/>
      <c r="I1078" s="31"/>
      <c r="J1078" s="31"/>
      <c r="K1078" s="31"/>
      <c r="L1078" s="31"/>
      <c r="M1078" s="31"/>
      <c r="N1078" s="31"/>
    </row>
    <row r="1079">
      <c r="A1079" s="31"/>
      <c r="B1079" s="31"/>
      <c r="C1079" s="31"/>
      <c r="D1079" s="84"/>
      <c r="E1079" s="85"/>
      <c r="F1079" s="31"/>
      <c r="G1079" s="85"/>
      <c r="H1079" s="31"/>
      <c r="I1079" s="31"/>
      <c r="J1079" s="31"/>
      <c r="K1079" s="31"/>
      <c r="L1079" s="31"/>
      <c r="M1079" s="31"/>
      <c r="N1079" s="31"/>
    </row>
    <row r="1080">
      <c r="A1080" s="31"/>
      <c r="B1080" s="31"/>
      <c r="C1080" s="31"/>
      <c r="D1080" s="84"/>
      <c r="E1080" s="85"/>
      <c r="F1080" s="31"/>
      <c r="G1080" s="85"/>
      <c r="H1080" s="31"/>
      <c r="I1080" s="31"/>
      <c r="J1080" s="31"/>
      <c r="K1080" s="31"/>
      <c r="L1080" s="31"/>
      <c r="M1080" s="31"/>
      <c r="N1080" s="31"/>
    </row>
    <row r="1081">
      <c r="A1081" s="31"/>
      <c r="B1081" s="31"/>
      <c r="C1081" s="31"/>
      <c r="D1081" s="84"/>
      <c r="E1081" s="85"/>
      <c r="F1081" s="31"/>
      <c r="G1081" s="85"/>
      <c r="H1081" s="31"/>
      <c r="I1081" s="31"/>
      <c r="J1081" s="31"/>
      <c r="K1081" s="31"/>
      <c r="L1081" s="31"/>
      <c r="M1081" s="31"/>
      <c r="N1081" s="31"/>
    </row>
    <row r="1082">
      <c r="A1082" s="31"/>
      <c r="B1082" s="31"/>
      <c r="C1082" s="31"/>
      <c r="D1082" s="84"/>
      <c r="E1082" s="85"/>
      <c r="F1082" s="31"/>
      <c r="G1082" s="85"/>
      <c r="H1082" s="31"/>
      <c r="I1082" s="31"/>
      <c r="J1082" s="31"/>
      <c r="K1082" s="31"/>
      <c r="L1082" s="31"/>
      <c r="M1082" s="31"/>
      <c r="N1082" s="31"/>
    </row>
    <row r="1083">
      <c r="A1083" s="31"/>
      <c r="B1083" s="31"/>
      <c r="C1083" s="31"/>
      <c r="D1083" s="84"/>
      <c r="E1083" s="85"/>
      <c r="F1083" s="31"/>
      <c r="G1083" s="85"/>
      <c r="H1083" s="31"/>
      <c r="I1083" s="31"/>
      <c r="J1083" s="31"/>
      <c r="K1083" s="31"/>
      <c r="L1083" s="31"/>
      <c r="M1083" s="31"/>
      <c r="N1083" s="31"/>
    </row>
    <row r="1084">
      <c r="A1084" s="31"/>
      <c r="B1084" s="31"/>
      <c r="C1084" s="31"/>
      <c r="D1084" s="84"/>
      <c r="E1084" s="85"/>
      <c r="F1084" s="31"/>
      <c r="G1084" s="85"/>
      <c r="H1084" s="31"/>
      <c r="I1084" s="31"/>
      <c r="J1084" s="31"/>
      <c r="K1084" s="31"/>
      <c r="L1084" s="31"/>
      <c r="M1084" s="31"/>
      <c r="N1084" s="31"/>
    </row>
    <row r="1085">
      <c r="A1085" s="31"/>
      <c r="B1085" s="31"/>
      <c r="C1085" s="31"/>
      <c r="D1085" s="84"/>
      <c r="E1085" s="85"/>
      <c r="F1085" s="31"/>
      <c r="G1085" s="85"/>
      <c r="H1085" s="31"/>
      <c r="I1085" s="31"/>
      <c r="J1085" s="31"/>
      <c r="K1085" s="31"/>
      <c r="L1085" s="31"/>
      <c r="M1085" s="31"/>
      <c r="N1085" s="31"/>
    </row>
    <row r="1086">
      <c r="A1086" s="31"/>
      <c r="B1086" s="31"/>
      <c r="C1086" s="31"/>
      <c r="D1086" s="84"/>
      <c r="E1086" s="85"/>
      <c r="F1086" s="31"/>
      <c r="G1086" s="85"/>
      <c r="H1086" s="31"/>
      <c r="I1086" s="31"/>
      <c r="J1086" s="31"/>
      <c r="K1086" s="31"/>
      <c r="L1086" s="31"/>
      <c r="M1086" s="31"/>
      <c r="N1086" s="31"/>
    </row>
    <row r="1087">
      <c r="A1087" s="31"/>
      <c r="B1087" s="31"/>
      <c r="C1087" s="31"/>
      <c r="D1087" s="84"/>
      <c r="E1087" s="85"/>
      <c r="F1087" s="31"/>
      <c r="G1087" s="85"/>
      <c r="H1087" s="31"/>
      <c r="I1087" s="31"/>
      <c r="J1087" s="31"/>
      <c r="K1087" s="31"/>
      <c r="L1087" s="31"/>
      <c r="M1087" s="31"/>
      <c r="N1087" s="31"/>
    </row>
    <row r="1088">
      <c r="A1088" s="31"/>
      <c r="B1088" s="31"/>
      <c r="C1088" s="31"/>
      <c r="D1088" s="84"/>
      <c r="E1088" s="85"/>
      <c r="F1088" s="31"/>
      <c r="G1088" s="85"/>
      <c r="H1088" s="31"/>
      <c r="I1088" s="31"/>
      <c r="J1088" s="31"/>
      <c r="K1088" s="31"/>
      <c r="L1088" s="31"/>
      <c r="M1088" s="31"/>
      <c r="N1088" s="31"/>
    </row>
    <row r="1089">
      <c r="A1089" s="31"/>
      <c r="B1089" s="31"/>
      <c r="C1089" s="31"/>
      <c r="D1089" s="84"/>
      <c r="E1089" s="85"/>
      <c r="F1089" s="31"/>
      <c r="G1089" s="85"/>
      <c r="H1089" s="31"/>
      <c r="I1089" s="31"/>
      <c r="J1089" s="31"/>
      <c r="K1089" s="31"/>
      <c r="L1089" s="31"/>
      <c r="M1089" s="31"/>
      <c r="N1089" s="31"/>
    </row>
    <row r="1090">
      <c r="A1090" s="31"/>
      <c r="B1090" s="31"/>
      <c r="C1090" s="31"/>
      <c r="D1090" s="84"/>
      <c r="E1090" s="85"/>
      <c r="F1090" s="31"/>
      <c r="G1090" s="85"/>
      <c r="H1090" s="31"/>
      <c r="I1090" s="31"/>
      <c r="J1090" s="31"/>
      <c r="K1090" s="31"/>
      <c r="L1090" s="31"/>
      <c r="M1090" s="31"/>
      <c r="N1090" s="31"/>
    </row>
    <row r="1091">
      <c r="A1091" s="31"/>
      <c r="B1091" s="31"/>
      <c r="C1091" s="31"/>
      <c r="D1091" s="84"/>
      <c r="E1091" s="85"/>
      <c r="F1091" s="31"/>
      <c r="G1091" s="85"/>
      <c r="H1091" s="31"/>
      <c r="I1091" s="31"/>
      <c r="J1091" s="31"/>
      <c r="K1091" s="31"/>
      <c r="L1091" s="31"/>
      <c r="M1091" s="31"/>
      <c r="N1091" s="31"/>
    </row>
    <row r="1092">
      <c r="A1092" s="31"/>
      <c r="B1092" s="31"/>
      <c r="C1092" s="31"/>
      <c r="D1092" s="84"/>
      <c r="E1092" s="85"/>
      <c r="F1092" s="31"/>
      <c r="G1092" s="85"/>
      <c r="H1092" s="31"/>
      <c r="I1092" s="31"/>
      <c r="J1092" s="31"/>
      <c r="K1092" s="31"/>
      <c r="L1092" s="31"/>
      <c r="M1092" s="31"/>
      <c r="N1092" s="31"/>
    </row>
    <row r="1093">
      <c r="A1093" s="31"/>
      <c r="B1093" s="31"/>
      <c r="C1093" s="31"/>
      <c r="D1093" s="84"/>
      <c r="E1093" s="85"/>
      <c r="F1093" s="31"/>
      <c r="G1093" s="85"/>
      <c r="H1093" s="31"/>
      <c r="I1093" s="31"/>
      <c r="J1093" s="31"/>
      <c r="K1093" s="31"/>
      <c r="L1093" s="31"/>
      <c r="M1093" s="31"/>
      <c r="N1093" s="31"/>
    </row>
    <row r="1094">
      <c r="A1094" s="31"/>
      <c r="B1094" s="31"/>
      <c r="C1094" s="31"/>
      <c r="D1094" s="84"/>
      <c r="E1094" s="85"/>
      <c r="F1094" s="31"/>
      <c r="G1094" s="85"/>
      <c r="H1094" s="31"/>
      <c r="I1094" s="31"/>
      <c r="J1094" s="31"/>
      <c r="K1094" s="31"/>
      <c r="L1094" s="31"/>
      <c r="M1094" s="31"/>
      <c r="N1094" s="31"/>
    </row>
    <row r="1095">
      <c r="A1095" s="31"/>
      <c r="B1095" s="31"/>
      <c r="C1095" s="31"/>
      <c r="D1095" s="84"/>
      <c r="E1095" s="85"/>
      <c r="F1095" s="31"/>
      <c r="G1095" s="85"/>
      <c r="H1095" s="31"/>
      <c r="I1095" s="31"/>
      <c r="J1095" s="31"/>
      <c r="K1095" s="31"/>
      <c r="L1095" s="31"/>
      <c r="M1095" s="31"/>
      <c r="N1095" s="31"/>
    </row>
    <row r="1096">
      <c r="A1096" s="31"/>
      <c r="B1096" s="31"/>
      <c r="C1096" s="31"/>
      <c r="D1096" s="84"/>
      <c r="E1096" s="85"/>
      <c r="F1096" s="31"/>
      <c r="G1096" s="85"/>
      <c r="H1096" s="31"/>
      <c r="I1096" s="31"/>
      <c r="J1096" s="31"/>
      <c r="K1096" s="31"/>
      <c r="L1096" s="31"/>
      <c r="M1096" s="31"/>
      <c r="N1096" s="31"/>
    </row>
    <row r="1097">
      <c r="A1097" s="31"/>
      <c r="B1097" s="31"/>
      <c r="C1097" s="31"/>
      <c r="D1097" s="84"/>
      <c r="E1097" s="85"/>
      <c r="F1097" s="31"/>
      <c r="G1097" s="85"/>
      <c r="H1097" s="31"/>
      <c r="I1097" s="31"/>
      <c r="J1097" s="31"/>
      <c r="K1097" s="31"/>
      <c r="L1097" s="31"/>
      <c r="M1097" s="31"/>
      <c r="N1097" s="31"/>
    </row>
    <row r="1098">
      <c r="A1098" s="31"/>
      <c r="B1098" s="31"/>
      <c r="C1098" s="31"/>
      <c r="D1098" s="84"/>
      <c r="E1098" s="85"/>
      <c r="F1098" s="31"/>
      <c r="G1098" s="85"/>
      <c r="H1098" s="31"/>
      <c r="I1098" s="31"/>
      <c r="J1098" s="31"/>
      <c r="K1098" s="31"/>
      <c r="L1098" s="31"/>
      <c r="M1098" s="31"/>
      <c r="N1098" s="31"/>
    </row>
    <row r="1099">
      <c r="A1099" s="31"/>
      <c r="B1099" s="31"/>
      <c r="C1099" s="31"/>
      <c r="D1099" s="84"/>
      <c r="E1099" s="85"/>
      <c r="F1099" s="31"/>
      <c r="G1099" s="85"/>
      <c r="H1099" s="31"/>
      <c r="I1099" s="31"/>
      <c r="J1099" s="31"/>
      <c r="K1099" s="31"/>
      <c r="L1099" s="31"/>
      <c r="M1099" s="31"/>
      <c r="N1099" s="31"/>
    </row>
    <row r="1100">
      <c r="A1100" s="31"/>
      <c r="B1100" s="31"/>
      <c r="C1100" s="31"/>
      <c r="D1100" s="84"/>
      <c r="E1100" s="85"/>
      <c r="F1100" s="31"/>
      <c r="G1100" s="85"/>
      <c r="H1100" s="31"/>
      <c r="I1100" s="31"/>
      <c r="J1100" s="31"/>
      <c r="K1100" s="31"/>
      <c r="L1100" s="31"/>
      <c r="M1100" s="31"/>
      <c r="N1100" s="31"/>
    </row>
    <row r="1101">
      <c r="A1101" s="31"/>
      <c r="B1101" s="31"/>
      <c r="C1101" s="31"/>
      <c r="D1101" s="84"/>
      <c r="E1101" s="85"/>
      <c r="F1101" s="31"/>
      <c r="G1101" s="85"/>
      <c r="H1101" s="31"/>
      <c r="I1101" s="31"/>
      <c r="J1101" s="31"/>
      <c r="K1101" s="31"/>
      <c r="L1101" s="31"/>
      <c r="M1101" s="31"/>
      <c r="N1101" s="31"/>
    </row>
    <row r="1102">
      <c r="A1102" s="31"/>
      <c r="B1102" s="31"/>
      <c r="C1102" s="31"/>
      <c r="D1102" s="84"/>
      <c r="E1102" s="85"/>
      <c r="F1102" s="31"/>
      <c r="G1102" s="85"/>
      <c r="H1102" s="31"/>
      <c r="I1102" s="31"/>
      <c r="J1102" s="31"/>
      <c r="K1102" s="31"/>
      <c r="L1102" s="31"/>
      <c r="M1102" s="31"/>
      <c r="N1102" s="31"/>
    </row>
    <row r="1103">
      <c r="A1103" s="31"/>
      <c r="B1103" s="31"/>
      <c r="C1103" s="31"/>
      <c r="D1103" s="84"/>
      <c r="E1103" s="85"/>
      <c r="F1103" s="31"/>
      <c r="G1103" s="85"/>
      <c r="H1103" s="31"/>
      <c r="I1103" s="31"/>
      <c r="J1103" s="31"/>
      <c r="K1103" s="31"/>
      <c r="L1103" s="31"/>
      <c r="M1103" s="31"/>
      <c r="N1103" s="31"/>
    </row>
    <row r="1104">
      <c r="A1104" s="31"/>
      <c r="B1104" s="31"/>
      <c r="C1104" s="31"/>
      <c r="D1104" s="84"/>
      <c r="E1104" s="85"/>
      <c r="F1104" s="31"/>
      <c r="G1104" s="85"/>
      <c r="H1104" s="31"/>
      <c r="I1104" s="31"/>
      <c r="J1104" s="31"/>
      <c r="K1104" s="31"/>
      <c r="L1104" s="31"/>
      <c r="M1104" s="31"/>
      <c r="N1104" s="31"/>
    </row>
    <row r="1105">
      <c r="A1105" s="31"/>
      <c r="B1105" s="31"/>
      <c r="C1105" s="31"/>
      <c r="D1105" s="84"/>
      <c r="E1105" s="85"/>
      <c r="F1105" s="31"/>
      <c r="G1105" s="85"/>
      <c r="H1105" s="31"/>
      <c r="I1105" s="31"/>
      <c r="J1105" s="31"/>
      <c r="K1105" s="31"/>
      <c r="L1105" s="31"/>
      <c r="M1105" s="31"/>
      <c r="N1105" s="31"/>
    </row>
    <row r="1106">
      <c r="A1106" s="31"/>
      <c r="B1106" s="31"/>
      <c r="C1106" s="31"/>
      <c r="D1106" s="84"/>
      <c r="E1106" s="85"/>
      <c r="F1106" s="31"/>
      <c r="G1106" s="85"/>
      <c r="H1106" s="31"/>
      <c r="I1106" s="31"/>
      <c r="J1106" s="31"/>
      <c r="K1106" s="31"/>
      <c r="L1106" s="31"/>
      <c r="M1106" s="31"/>
      <c r="N1106" s="31"/>
    </row>
    <row r="1107">
      <c r="A1107" s="31"/>
      <c r="B1107" s="31"/>
      <c r="C1107" s="31"/>
      <c r="D1107" s="84"/>
      <c r="E1107" s="85"/>
      <c r="F1107" s="31"/>
      <c r="G1107" s="85"/>
      <c r="H1107" s="31"/>
      <c r="I1107" s="31"/>
      <c r="J1107" s="31"/>
      <c r="K1107" s="31"/>
      <c r="L1107" s="31"/>
      <c r="M1107" s="31"/>
      <c r="N1107" s="31"/>
    </row>
    <row r="1108">
      <c r="A1108" s="31"/>
      <c r="B1108" s="31"/>
      <c r="C1108" s="31"/>
      <c r="D1108" s="84"/>
      <c r="E1108" s="85"/>
      <c r="F1108" s="31"/>
      <c r="G1108" s="85"/>
      <c r="H1108" s="31"/>
      <c r="I1108" s="31"/>
      <c r="J1108" s="31"/>
      <c r="K1108" s="31"/>
      <c r="L1108" s="31"/>
      <c r="M1108" s="31"/>
      <c r="N1108" s="31"/>
    </row>
    <row r="1109">
      <c r="A1109" s="31"/>
      <c r="B1109" s="31"/>
      <c r="C1109" s="31"/>
      <c r="D1109" s="84"/>
      <c r="E1109" s="85"/>
      <c r="F1109" s="31"/>
      <c r="G1109" s="85"/>
      <c r="H1109" s="31"/>
      <c r="I1109" s="31"/>
      <c r="J1109" s="31"/>
      <c r="K1109" s="31"/>
      <c r="L1109" s="31"/>
      <c r="M1109" s="31"/>
      <c r="N1109" s="31"/>
    </row>
    <row r="1110">
      <c r="A1110" s="31"/>
      <c r="B1110" s="31"/>
      <c r="C1110" s="31"/>
      <c r="D1110" s="84"/>
      <c r="E1110" s="85"/>
      <c r="F1110" s="31"/>
      <c r="G1110" s="85"/>
      <c r="H1110" s="31"/>
      <c r="I1110" s="31"/>
      <c r="J1110" s="31"/>
      <c r="K1110" s="31"/>
      <c r="L1110" s="31"/>
      <c r="M1110" s="31"/>
      <c r="N1110" s="31"/>
    </row>
    <row r="1111">
      <c r="A1111" s="31"/>
      <c r="B1111" s="31"/>
      <c r="C1111" s="31"/>
      <c r="D1111" s="84"/>
      <c r="E1111" s="85"/>
      <c r="F1111" s="31"/>
      <c r="G1111" s="85"/>
      <c r="H1111" s="31"/>
      <c r="I1111" s="31"/>
      <c r="J1111" s="31"/>
      <c r="K1111" s="31"/>
      <c r="L1111" s="31"/>
      <c r="M1111" s="31"/>
      <c r="N1111" s="31"/>
    </row>
    <row r="1112">
      <c r="A1112" s="31"/>
      <c r="B1112" s="31"/>
      <c r="C1112" s="31"/>
      <c r="D1112" s="84"/>
      <c r="E1112" s="85"/>
      <c r="F1112" s="31"/>
      <c r="G1112" s="85"/>
      <c r="H1112" s="31"/>
      <c r="I1112" s="31"/>
      <c r="J1112" s="31"/>
      <c r="K1112" s="31"/>
      <c r="L1112" s="31"/>
      <c r="M1112" s="31"/>
      <c r="N1112" s="31"/>
    </row>
    <row r="1113">
      <c r="A1113" s="31"/>
      <c r="B1113" s="31"/>
      <c r="C1113" s="31"/>
      <c r="D1113" s="84"/>
      <c r="E1113" s="85"/>
      <c r="F1113" s="31"/>
      <c r="G1113" s="85"/>
      <c r="H1113" s="31"/>
      <c r="I1113" s="31"/>
      <c r="J1113" s="31"/>
      <c r="K1113" s="31"/>
      <c r="L1113" s="31"/>
      <c r="M1113" s="31"/>
      <c r="N1113" s="31"/>
    </row>
    <row r="1114">
      <c r="A1114" s="31"/>
      <c r="B1114" s="31"/>
      <c r="C1114" s="31"/>
      <c r="D1114" s="84"/>
      <c r="E1114" s="85"/>
      <c r="F1114" s="31"/>
      <c r="G1114" s="85"/>
      <c r="H1114" s="31"/>
      <c r="I1114" s="31"/>
      <c r="J1114" s="31"/>
      <c r="K1114" s="31"/>
      <c r="L1114" s="31"/>
      <c r="M1114" s="31"/>
      <c r="N1114" s="31"/>
    </row>
    <row r="1115">
      <c r="A1115" s="31"/>
      <c r="B1115" s="31"/>
      <c r="C1115" s="31"/>
      <c r="D1115" s="84"/>
      <c r="E1115" s="85"/>
      <c r="F1115" s="31"/>
      <c r="G1115" s="85"/>
      <c r="H1115" s="31"/>
      <c r="I1115" s="31"/>
      <c r="J1115" s="31"/>
      <c r="K1115" s="31"/>
      <c r="L1115" s="31"/>
      <c r="M1115" s="31"/>
      <c r="N1115" s="31"/>
    </row>
    <row r="1116">
      <c r="A1116" s="31"/>
      <c r="B1116" s="31"/>
      <c r="C1116" s="31"/>
      <c r="D1116" s="84"/>
      <c r="E1116" s="85"/>
      <c r="F1116" s="31"/>
      <c r="G1116" s="85"/>
      <c r="H1116" s="31"/>
      <c r="I1116" s="31"/>
      <c r="J1116" s="31"/>
      <c r="K1116" s="31"/>
      <c r="L1116" s="31"/>
      <c r="M1116" s="31"/>
      <c r="N1116" s="31"/>
    </row>
    <row r="1117">
      <c r="A1117" s="31"/>
      <c r="B1117" s="31"/>
      <c r="C1117" s="31"/>
      <c r="D1117" s="84"/>
      <c r="E1117" s="85"/>
      <c r="F1117" s="31"/>
      <c r="G1117" s="85"/>
      <c r="H1117" s="31"/>
      <c r="I1117" s="31"/>
      <c r="J1117" s="31"/>
      <c r="K1117" s="31"/>
      <c r="L1117" s="31"/>
      <c r="M1117" s="31"/>
      <c r="N1117" s="31"/>
    </row>
    <row r="1118">
      <c r="A1118" s="31"/>
      <c r="B1118" s="31"/>
      <c r="C1118" s="31"/>
      <c r="D1118" s="84"/>
      <c r="E1118" s="85"/>
      <c r="F1118" s="31"/>
      <c r="G1118" s="85"/>
      <c r="H1118" s="31"/>
      <c r="I1118" s="31"/>
      <c r="J1118" s="31"/>
      <c r="K1118" s="31"/>
      <c r="L1118" s="31"/>
      <c r="M1118" s="31"/>
      <c r="N1118" s="31"/>
    </row>
    <row r="1119">
      <c r="A1119" s="31"/>
      <c r="B1119" s="31"/>
      <c r="C1119" s="31"/>
      <c r="D1119" s="84"/>
      <c r="E1119" s="85"/>
      <c r="F1119" s="31"/>
      <c r="G1119" s="85"/>
      <c r="H1119" s="31"/>
      <c r="I1119" s="31"/>
      <c r="J1119" s="31"/>
      <c r="K1119" s="31"/>
      <c r="L1119" s="31"/>
      <c r="M1119" s="31"/>
      <c r="N1119" s="31"/>
    </row>
    <row r="1120">
      <c r="A1120" s="31"/>
      <c r="B1120" s="31"/>
      <c r="C1120" s="31"/>
      <c r="D1120" s="84"/>
      <c r="E1120" s="85"/>
      <c r="F1120" s="31"/>
      <c r="G1120" s="85"/>
      <c r="H1120" s="31"/>
      <c r="I1120" s="31"/>
      <c r="J1120" s="31"/>
      <c r="K1120" s="31"/>
      <c r="L1120" s="31"/>
      <c r="M1120" s="31"/>
      <c r="N1120" s="31"/>
    </row>
    <row r="1121">
      <c r="A1121" s="31"/>
      <c r="B1121" s="31"/>
      <c r="C1121" s="31"/>
      <c r="D1121" s="84"/>
      <c r="E1121" s="85"/>
      <c r="F1121" s="31"/>
      <c r="G1121" s="85"/>
      <c r="H1121" s="31"/>
      <c r="I1121" s="31"/>
      <c r="J1121" s="31"/>
      <c r="K1121" s="31"/>
      <c r="L1121" s="31"/>
      <c r="M1121" s="31"/>
      <c r="N1121" s="31"/>
    </row>
    <row r="1122">
      <c r="A1122" s="31"/>
      <c r="B1122" s="31"/>
      <c r="C1122" s="31"/>
      <c r="D1122" s="84"/>
      <c r="E1122" s="85"/>
      <c r="F1122" s="31"/>
      <c r="G1122" s="85"/>
      <c r="H1122" s="31"/>
      <c r="I1122" s="31"/>
      <c r="J1122" s="31"/>
      <c r="K1122" s="31"/>
      <c r="L1122" s="31"/>
      <c r="M1122" s="31"/>
      <c r="N1122" s="31"/>
    </row>
    <row r="1123">
      <c r="A1123" s="31"/>
      <c r="B1123" s="31"/>
      <c r="C1123" s="31"/>
      <c r="D1123" s="84"/>
      <c r="E1123" s="85"/>
      <c r="F1123" s="31"/>
      <c r="G1123" s="85"/>
      <c r="H1123" s="31"/>
      <c r="I1123" s="31"/>
      <c r="J1123" s="31"/>
      <c r="K1123" s="31"/>
      <c r="L1123" s="31"/>
      <c r="M1123" s="31"/>
      <c r="N1123" s="31"/>
    </row>
    <row r="1124">
      <c r="A1124" s="31"/>
      <c r="B1124" s="31"/>
      <c r="C1124" s="31"/>
      <c r="D1124" s="84"/>
      <c r="E1124" s="85"/>
      <c r="F1124" s="31"/>
      <c r="G1124" s="85"/>
      <c r="H1124" s="31"/>
      <c r="I1124" s="31"/>
      <c r="J1124" s="31"/>
      <c r="K1124" s="31"/>
      <c r="L1124" s="31"/>
      <c r="M1124" s="31"/>
      <c r="N1124" s="31"/>
    </row>
    <row r="1125">
      <c r="A1125" s="31"/>
      <c r="B1125" s="31"/>
      <c r="C1125" s="31"/>
      <c r="D1125" s="84"/>
      <c r="E1125" s="85"/>
      <c r="F1125" s="31"/>
      <c r="G1125" s="85"/>
      <c r="H1125" s="31"/>
      <c r="I1125" s="31"/>
      <c r="J1125" s="31"/>
      <c r="K1125" s="31"/>
      <c r="L1125" s="31"/>
      <c r="M1125" s="31"/>
      <c r="N1125" s="31"/>
    </row>
    <row r="1126">
      <c r="A1126" s="31"/>
      <c r="B1126" s="31"/>
      <c r="C1126" s="31"/>
      <c r="D1126" s="84"/>
      <c r="E1126" s="85"/>
      <c r="F1126" s="31"/>
      <c r="G1126" s="85"/>
      <c r="H1126" s="31"/>
      <c r="I1126" s="31"/>
      <c r="J1126" s="31"/>
      <c r="K1126" s="31"/>
      <c r="L1126" s="31"/>
      <c r="M1126" s="31"/>
      <c r="N1126" s="31"/>
    </row>
    <row r="1127">
      <c r="A1127" s="31"/>
      <c r="B1127" s="31"/>
      <c r="C1127" s="31"/>
      <c r="D1127" s="84"/>
      <c r="E1127" s="85"/>
      <c r="F1127" s="31"/>
      <c r="G1127" s="85"/>
      <c r="H1127" s="31"/>
      <c r="I1127" s="31"/>
      <c r="J1127" s="31"/>
      <c r="K1127" s="31"/>
      <c r="L1127" s="31"/>
      <c r="M1127" s="31"/>
      <c r="N1127" s="31"/>
    </row>
    <row r="1128">
      <c r="A1128" s="31"/>
      <c r="B1128" s="31"/>
      <c r="C1128" s="31"/>
      <c r="D1128" s="84"/>
      <c r="E1128" s="85"/>
      <c r="F1128" s="31"/>
      <c r="G1128" s="85"/>
      <c r="H1128" s="31"/>
      <c r="I1128" s="31"/>
      <c r="J1128" s="31"/>
      <c r="K1128" s="31"/>
      <c r="L1128" s="31"/>
      <c r="M1128" s="31"/>
      <c r="N1128" s="31"/>
    </row>
    <row r="1129">
      <c r="A1129" s="31"/>
      <c r="B1129" s="31"/>
      <c r="C1129" s="31"/>
      <c r="D1129" s="84"/>
      <c r="E1129" s="85"/>
      <c r="F1129" s="31"/>
      <c r="G1129" s="85"/>
      <c r="H1129" s="31"/>
      <c r="I1129" s="31"/>
      <c r="J1129" s="31"/>
      <c r="K1129" s="31"/>
      <c r="L1129" s="31"/>
      <c r="M1129" s="31"/>
      <c r="N1129" s="31"/>
    </row>
    <row r="1130">
      <c r="A1130" s="31"/>
      <c r="B1130" s="31"/>
      <c r="C1130" s="31"/>
      <c r="D1130" s="84"/>
      <c r="E1130" s="85"/>
      <c r="F1130" s="31"/>
      <c r="G1130" s="85"/>
      <c r="H1130" s="31"/>
      <c r="I1130" s="31"/>
      <c r="J1130" s="31"/>
      <c r="K1130" s="31"/>
      <c r="L1130" s="31"/>
      <c r="M1130" s="31"/>
      <c r="N1130" s="31"/>
    </row>
    <row r="1131">
      <c r="A1131" s="31"/>
      <c r="B1131" s="31"/>
      <c r="C1131" s="31"/>
      <c r="D1131" s="84"/>
      <c r="E1131" s="85"/>
      <c r="F1131" s="31"/>
      <c r="G1131" s="85"/>
      <c r="H1131" s="31"/>
      <c r="I1131" s="31"/>
      <c r="J1131" s="31"/>
      <c r="K1131" s="31"/>
      <c r="L1131" s="31"/>
      <c r="M1131" s="31"/>
      <c r="N1131" s="31"/>
    </row>
    <row r="1132">
      <c r="A1132" s="31"/>
      <c r="B1132" s="31"/>
      <c r="C1132" s="31"/>
      <c r="D1132" s="84"/>
      <c r="E1132" s="85"/>
      <c r="F1132" s="31"/>
      <c r="G1132" s="85"/>
      <c r="H1132" s="31"/>
      <c r="I1132" s="31"/>
      <c r="J1132" s="31"/>
      <c r="K1132" s="31"/>
      <c r="L1132" s="31"/>
      <c r="M1132" s="31"/>
      <c r="N1132" s="31"/>
    </row>
    <row r="1133">
      <c r="A1133" s="31"/>
      <c r="B1133" s="31"/>
      <c r="C1133" s="31"/>
      <c r="D1133" s="84"/>
      <c r="E1133" s="85"/>
      <c r="F1133" s="31"/>
      <c r="G1133" s="85"/>
      <c r="H1133" s="31"/>
      <c r="I1133" s="31"/>
      <c r="J1133" s="31"/>
      <c r="K1133" s="31"/>
      <c r="L1133" s="31"/>
      <c r="M1133" s="31"/>
      <c r="N1133" s="31"/>
    </row>
    <row r="1134">
      <c r="A1134" s="31"/>
      <c r="B1134" s="31"/>
      <c r="C1134" s="31"/>
      <c r="D1134" s="84"/>
      <c r="E1134" s="85"/>
      <c r="F1134" s="31"/>
      <c r="G1134" s="85"/>
      <c r="H1134" s="31"/>
      <c r="I1134" s="31"/>
      <c r="J1134" s="31"/>
      <c r="K1134" s="31"/>
      <c r="L1134" s="31"/>
      <c r="M1134" s="31"/>
      <c r="N1134" s="31"/>
    </row>
    <row r="1135">
      <c r="A1135" s="31"/>
      <c r="B1135" s="31"/>
      <c r="C1135" s="31"/>
      <c r="D1135" s="84"/>
      <c r="E1135" s="85"/>
      <c r="F1135" s="31"/>
      <c r="G1135" s="85"/>
      <c r="H1135" s="31"/>
      <c r="I1135" s="31"/>
      <c r="J1135" s="31"/>
      <c r="K1135" s="31"/>
      <c r="L1135" s="31"/>
      <c r="M1135" s="31"/>
      <c r="N1135" s="31"/>
    </row>
    <row r="1136">
      <c r="A1136" s="31"/>
      <c r="B1136" s="31"/>
      <c r="C1136" s="31"/>
      <c r="D1136" s="84"/>
      <c r="E1136" s="85"/>
      <c r="F1136" s="31"/>
      <c r="G1136" s="85"/>
      <c r="H1136" s="31"/>
      <c r="I1136" s="31"/>
      <c r="J1136" s="31"/>
      <c r="K1136" s="31"/>
      <c r="L1136" s="31"/>
      <c r="M1136" s="31"/>
      <c r="N1136" s="31"/>
    </row>
    <row r="1137">
      <c r="A1137" s="31"/>
      <c r="B1137" s="31"/>
      <c r="C1137" s="31"/>
      <c r="D1137" s="84"/>
      <c r="E1137" s="85"/>
      <c r="F1137" s="31"/>
      <c r="G1137" s="85"/>
      <c r="H1137" s="31"/>
      <c r="I1137" s="31"/>
      <c r="J1137" s="31"/>
      <c r="K1137" s="31"/>
      <c r="L1137" s="31"/>
      <c r="M1137" s="31"/>
      <c r="N1137" s="31"/>
    </row>
    <row r="1138">
      <c r="A1138" s="31"/>
      <c r="B1138" s="31"/>
      <c r="C1138" s="31"/>
      <c r="D1138" s="84"/>
      <c r="E1138" s="85"/>
      <c r="F1138" s="31"/>
      <c r="G1138" s="85"/>
      <c r="H1138" s="31"/>
      <c r="I1138" s="31"/>
      <c r="J1138" s="31"/>
      <c r="K1138" s="31"/>
      <c r="L1138" s="31"/>
      <c r="M1138" s="31"/>
      <c r="N1138" s="31"/>
    </row>
    <row r="1139">
      <c r="A1139" s="31"/>
      <c r="B1139" s="31"/>
      <c r="C1139" s="31"/>
      <c r="D1139" s="84"/>
      <c r="E1139" s="85"/>
      <c r="F1139" s="31"/>
      <c r="G1139" s="85"/>
      <c r="H1139" s="31"/>
      <c r="I1139" s="31"/>
      <c r="J1139" s="31"/>
      <c r="K1139" s="31"/>
      <c r="L1139" s="31"/>
      <c r="M1139" s="31"/>
      <c r="N1139" s="31"/>
    </row>
    <row r="1140">
      <c r="A1140" s="31"/>
      <c r="B1140" s="31"/>
      <c r="C1140" s="31"/>
      <c r="D1140" s="84"/>
      <c r="E1140" s="85"/>
      <c r="F1140" s="31"/>
      <c r="G1140" s="85"/>
      <c r="H1140" s="31"/>
      <c r="I1140" s="31"/>
      <c r="J1140" s="31"/>
      <c r="K1140" s="31"/>
      <c r="L1140" s="31"/>
      <c r="M1140" s="31"/>
      <c r="N1140" s="31"/>
    </row>
    <row r="1141">
      <c r="A1141" s="31"/>
      <c r="B1141" s="31"/>
      <c r="C1141" s="31"/>
      <c r="D1141" s="84"/>
      <c r="E1141" s="85"/>
      <c r="F1141" s="31"/>
      <c r="G1141" s="85"/>
      <c r="H1141" s="31"/>
      <c r="I1141" s="31"/>
      <c r="J1141" s="31"/>
      <c r="K1141" s="31"/>
      <c r="L1141" s="31"/>
      <c r="M1141" s="31"/>
      <c r="N1141" s="31"/>
    </row>
    <row r="1142">
      <c r="A1142" s="31"/>
      <c r="B1142" s="31"/>
      <c r="C1142" s="31"/>
      <c r="D1142" s="84"/>
      <c r="E1142" s="85"/>
      <c r="F1142" s="31"/>
      <c r="G1142" s="85"/>
      <c r="H1142" s="31"/>
      <c r="I1142" s="31"/>
      <c r="J1142" s="31"/>
      <c r="K1142" s="31"/>
      <c r="L1142" s="31"/>
      <c r="M1142" s="31"/>
      <c r="N1142" s="31"/>
    </row>
    <row r="1143">
      <c r="A1143" s="31"/>
      <c r="B1143" s="31"/>
      <c r="C1143" s="31"/>
      <c r="D1143" s="84"/>
      <c r="E1143" s="85"/>
      <c r="F1143" s="31"/>
      <c r="G1143" s="85"/>
      <c r="H1143" s="31"/>
      <c r="I1143" s="31"/>
      <c r="J1143" s="31"/>
      <c r="K1143" s="31"/>
      <c r="L1143" s="31"/>
      <c r="M1143" s="31"/>
      <c r="N1143" s="31"/>
    </row>
    <row r="1144">
      <c r="A1144" s="31"/>
      <c r="B1144" s="31"/>
      <c r="C1144" s="31"/>
      <c r="D1144" s="84"/>
      <c r="E1144" s="85"/>
      <c r="F1144" s="31"/>
      <c r="G1144" s="85"/>
      <c r="H1144" s="31"/>
      <c r="I1144" s="31"/>
      <c r="J1144" s="31"/>
      <c r="K1144" s="31"/>
      <c r="L1144" s="31"/>
      <c r="M1144" s="31"/>
      <c r="N1144" s="31"/>
    </row>
    <row r="1145">
      <c r="A1145" s="31"/>
      <c r="B1145" s="31"/>
      <c r="C1145" s="31"/>
      <c r="D1145" s="84"/>
      <c r="E1145" s="85"/>
      <c r="F1145" s="31"/>
      <c r="G1145" s="85"/>
      <c r="H1145" s="31"/>
      <c r="I1145" s="31"/>
      <c r="J1145" s="31"/>
      <c r="K1145" s="31"/>
      <c r="L1145" s="31"/>
      <c r="M1145" s="31"/>
      <c r="N1145" s="31"/>
    </row>
    <row r="1146">
      <c r="A1146" s="31"/>
      <c r="B1146" s="31"/>
      <c r="C1146" s="31"/>
      <c r="D1146" s="84"/>
      <c r="E1146" s="85"/>
      <c r="F1146" s="31"/>
      <c r="G1146" s="85"/>
      <c r="H1146" s="31"/>
      <c r="I1146" s="31"/>
      <c r="J1146" s="31"/>
      <c r="K1146" s="31"/>
      <c r="L1146" s="31"/>
      <c r="M1146" s="31"/>
      <c r="N1146" s="31"/>
    </row>
    <row r="1147">
      <c r="A1147" s="31"/>
      <c r="B1147" s="31"/>
      <c r="C1147" s="31"/>
      <c r="D1147" s="84"/>
      <c r="E1147" s="85"/>
      <c r="F1147" s="31"/>
      <c r="G1147" s="85"/>
      <c r="H1147" s="31"/>
      <c r="I1147" s="31"/>
      <c r="J1147" s="31"/>
      <c r="K1147" s="31"/>
      <c r="L1147" s="31"/>
      <c r="M1147" s="31"/>
      <c r="N1147" s="31"/>
    </row>
    <row r="1148">
      <c r="A1148" s="31"/>
      <c r="B1148" s="31"/>
      <c r="C1148" s="31"/>
      <c r="D1148" s="84"/>
      <c r="E1148" s="85"/>
      <c r="F1148" s="31"/>
      <c r="G1148" s="85"/>
      <c r="H1148" s="31"/>
      <c r="I1148" s="31"/>
      <c r="J1148" s="31"/>
      <c r="K1148" s="31"/>
      <c r="L1148" s="31"/>
      <c r="M1148" s="31"/>
      <c r="N1148" s="31"/>
    </row>
    <row r="1149">
      <c r="A1149" s="31"/>
      <c r="B1149" s="31"/>
      <c r="C1149" s="31"/>
      <c r="D1149" s="84"/>
      <c r="E1149" s="85"/>
      <c r="F1149" s="31"/>
      <c r="G1149" s="85"/>
      <c r="H1149" s="31"/>
      <c r="I1149" s="31"/>
      <c r="J1149" s="31"/>
      <c r="K1149" s="31"/>
      <c r="L1149" s="31"/>
      <c r="M1149" s="31"/>
      <c r="N1149" s="31"/>
    </row>
    <row r="1150">
      <c r="A1150" s="31"/>
      <c r="B1150" s="31"/>
      <c r="C1150" s="31"/>
      <c r="D1150" s="84"/>
      <c r="E1150" s="85"/>
      <c r="F1150" s="31"/>
      <c r="G1150" s="85"/>
      <c r="H1150" s="31"/>
      <c r="I1150" s="31"/>
      <c r="J1150" s="31"/>
      <c r="K1150" s="31"/>
      <c r="L1150" s="31"/>
      <c r="M1150" s="31"/>
      <c r="N1150" s="31"/>
    </row>
    <row r="1151">
      <c r="A1151" s="31"/>
      <c r="B1151" s="31"/>
      <c r="C1151" s="31"/>
      <c r="D1151" s="84"/>
      <c r="E1151" s="85"/>
      <c r="F1151" s="31"/>
      <c r="G1151" s="85"/>
      <c r="H1151" s="31"/>
      <c r="I1151" s="31"/>
      <c r="J1151" s="31"/>
      <c r="K1151" s="31"/>
      <c r="L1151" s="31"/>
      <c r="M1151" s="31"/>
      <c r="N1151" s="31"/>
    </row>
    <row r="1152">
      <c r="A1152" s="31"/>
      <c r="B1152" s="31"/>
      <c r="C1152" s="31"/>
      <c r="D1152" s="84"/>
      <c r="E1152" s="85"/>
      <c r="F1152" s="31"/>
      <c r="G1152" s="85"/>
      <c r="H1152" s="31"/>
      <c r="I1152" s="31"/>
      <c r="J1152" s="31"/>
      <c r="K1152" s="31"/>
      <c r="L1152" s="31"/>
      <c r="M1152" s="31"/>
      <c r="N1152" s="31"/>
    </row>
    <row r="1153">
      <c r="A1153" s="31"/>
      <c r="B1153" s="31"/>
      <c r="C1153" s="31"/>
      <c r="D1153" s="84"/>
      <c r="E1153" s="85"/>
      <c r="F1153" s="31"/>
      <c r="G1153" s="85"/>
      <c r="H1153" s="31"/>
      <c r="I1153" s="31"/>
      <c r="J1153" s="31"/>
      <c r="K1153" s="31"/>
      <c r="L1153" s="31"/>
      <c r="M1153" s="31"/>
      <c r="N1153" s="31"/>
    </row>
    <row r="1154">
      <c r="A1154" s="31"/>
      <c r="B1154" s="31"/>
      <c r="C1154" s="31"/>
      <c r="D1154" s="84"/>
      <c r="E1154" s="85"/>
      <c r="F1154" s="31"/>
      <c r="G1154" s="85"/>
      <c r="H1154" s="31"/>
      <c r="I1154" s="31"/>
      <c r="J1154" s="31"/>
      <c r="K1154" s="31"/>
      <c r="L1154" s="31"/>
      <c r="M1154" s="31"/>
      <c r="N1154" s="31"/>
    </row>
    <row r="1155">
      <c r="A1155" s="31"/>
      <c r="B1155" s="31"/>
      <c r="C1155" s="31"/>
      <c r="D1155" s="84"/>
      <c r="E1155" s="85"/>
      <c r="F1155" s="31"/>
      <c r="G1155" s="85"/>
      <c r="H1155" s="31"/>
      <c r="I1155" s="31"/>
      <c r="J1155" s="31"/>
      <c r="K1155" s="31"/>
      <c r="L1155" s="31"/>
      <c r="M1155" s="31"/>
      <c r="N1155" s="31"/>
    </row>
    <row r="1156">
      <c r="A1156" s="31"/>
      <c r="B1156" s="31"/>
      <c r="C1156" s="31"/>
      <c r="D1156" s="84"/>
      <c r="E1156" s="85"/>
      <c r="F1156" s="31"/>
      <c r="G1156" s="85"/>
      <c r="H1156" s="31"/>
      <c r="I1156" s="31"/>
      <c r="J1156" s="31"/>
      <c r="K1156" s="31"/>
      <c r="L1156" s="31"/>
      <c r="M1156" s="31"/>
      <c r="N1156" s="31"/>
    </row>
    <row r="1157">
      <c r="A1157" s="31"/>
      <c r="B1157" s="31"/>
      <c r="C1157" s="31"/>
      <c r="D1157" s="84"/>
      <c r="E1157" s="85"/>
      <c r="F1157" s="31"/>
      <c r="G1157" s="85"/>
      <c r="H1157" s="31"/>
      <c r="I1157" s="31"/>
      <c r="J1157" s="31"/>
      <c r="K1157" s="31"/>
      <c r="L1157" s="31"/>
      <c r="M1157" s="31"/>
      <c r="N1157" s="31"/>
    </row>
    <row r="1158">
      <c r="A1158" s="31"/>
      <c r="B1158" s="31"/>
      <c r="C1158" s="31"/>
      <c r="D1158" s="84"/>
      <c r="E1158" s="85"/>
      <c r="F1158" s="31"/>
      <c r="G1158" s="85"/>
      <c r="H1158" s="31"/>
      <c r="I1158" s="31"/>
      <c r="J1158" s="31"/>
      <c r="K1158" s="31"/>
      <c r="L1158" s="31"/>
      <c r="M1158" s="31"/>
      <c r="N1158" s="31"/>
    </row>
    <row r="1159">
      <c r="A1159" s="31"/>
      <c r="B1159" s="31"/>
      <c r="C1159" s="31"/>
      <c r="D1159" s="84"/>
      <c r="E1159" s="85"/>
      <c r="F1159" s="31"/>
      <c r="G1159" s="85"/>
      <c r="H1159" s="31"/>
      <c r="I1159" s="31"/>
      <c r="J1159" s="31"/>
      <c r="K1159" s="31"/>
      <c r="L1159" s="31"/>
      <c r="M1159" s="31"/>
      <c r="N1159" s="31"/>
    </row>
    <row r="1160">
      <c r="A1160" s="31"/>
      <c r="B1160" s="31"/>
      <c r="C1160" s="31"/>
      <c r="D1160" s="84"/>
      <c r="E1160" s="85"/>
      <c r="F1160" s="31"/>
      <c r="G1160" s="85"/>
      <c r="H1160" s="31"/>
      <c r="I1160" s="31"/>
      <c r="J1160" s="31"/>
      <c r="K1160" s="31"/>
      <c r="L1160" s="31"/>
      <c r="M1160" s="31"/>
      <c r="N1160" s="31"/>
    </row>
    <row r="1161">
      <c r="A1161" s="31"/>
      <c r="B1161" s="31"/>
      <c r="C1161" s="31"/>
      <c r="D1161" s="84"/>
      <c r="E1161" s="85"/>
      <c r="F1161" s="31"/>
      <c r="G1161" s="85"/>
      <c r="H1161" s="31"/>
      <c r="I1161" s="31"/>
      <c r="J1161" s="31"/>
      <c r="K1161" s="31"/>
      <c r="L1161" s="31"/>
      <c r="M1161" s="31"/>
      <c r="N1161" s="31"/>
    </row>
    <row r="1162">
      <c r="A1162" s="31"/>
      <c r="B1162" s="31"/>
      <c r="C1162" s="31"/>
      <c r="D1162" s="84"/>
      <c r="E1162" s="85"/>
      <c r="F1162" s="31"/>
      <c r="G1162" s="85"/>
      <c r="H1162" s="31"/>
      <c r="I1162" s="31"/>
      <c r="J1162" s="31"/>
      <c r="K1162" s="31"/>
      <c r="L1162" s="31"/>
      <c r="M1162" s="31"/>
      <c r="N1162" s="31"/>
    </row>
    <row r="1163">
      <c r="A1163" s="31"/>
      <c r="B1163" s="31"/>
      <c r="C1163" s="31"/>
      <c r="D1163" s="84"/>
      <c r="E1163" s="85"/>
      <c r="F1163" s="31"/>
      <c r="G1163" s="85"/>
      <c r="H1163" s="31"/>
      <c r="I1163" s="31"/>
      <c r="J1163" s="31"/>
      <c r="K1163" s="31"/>
      <c r="L1163" s="31"/>
      <c r="M1163" s="31"/>
      <c r="N1163" s="31"/>
    </row>
    <row r="1164">
      <c r="A1164" s="31"/>
      <c r="B1164" s="31"/>
      <c r="C1164" s="31"/>
      <c r="D1164" s="84"/>
      <c r="E1164" s="85"/>
      <c r="F1164" s="31"/>
      <c r="G1164" s="85"/>
      <c r="H1164" s="31"/>
      <c r="I1164" s="31"/>
      <c r="J1164" s="31"/>
      <c r="K1164" s="31"/>
      <c r="L1164" s="31"/>
      <c r="M1164" s="31"/>
      <c r="N1164" s="31"/>
    </row>
    <row r="1165">
      <c r="A1165" s="31"/>
      <c r="B1165" s="31"/>
      <c r="C1165" s="31"/>
      <c r="D1165" s="84"/>
      <c r="E1165" s="85"/>
      <c r="F1165" s="31"/>
      <c r="G1165" s="85"/>
      <c r="H1165" s="31"/>
      <c r="I1165" s="31"/>
      <c r="J1165" s="31"/>
      <c r="K1165" s="31"/>
      <c r="L1165" s="31"/>
      <c r="M1165" s="31"/>
      <c r="N1165" s="31"/>
    </row>
    <row r="1166">
      <c r="A1166" s="31"/>
      <c r="B1166" s="31"/>
      <c r="C1166" s="31"/>
      <c r="D1166" s="84"/>
      <c r="E1166" s="85"/>
      <c r="F1166" s="31"/>
      <c r="G1166" s="85"/>
      <c r="H1166" s="31"/>
      <c r="I1166" s="31"/>
      <c r="J1166" s="31"/>
      <c r="K1166" s="31"/>
      <c r="L1166" s="31"/>
      <c r="M1166" s="31"/>
      <c r="N1166" s="31"/>
    </row>
    <row r="1167">
      <c r="A1167" s="31"/>
      <c r="B1167" s="31"/>
      <c r="C1167" s="31"/>
      <c r="D1167" s="84"/>
      <c r="E1167" s="85"/>
      <c r="F1167" s="31"/>
      <c r="G1167" s="85"/>
      <c r="H1167" s="31"/>
      <c r="I1167" s="31"/>
      <c r="J1167" s="31"/>
      <c r="K1167" s="31"/>
      <c r="L1167" s="31"/>
      <c r="M1167" s="31"/>
      <c r="N1167" s="31"/>
    </row>
    <row r="1168">
      <c r="A1168" s="31"/>
      <c r="B1168" s="31"/>
      <c r="C1168" s="31"/>
      <c r="D1168" s="84"/>
      <c r="E1168" s="85"/>
      <c r="F1168" s="31"/>
      <c r="G1168" s="85"/>
      <c r="H1168" s="31"/>
      <c r="I1168" s="31"/>
      <c r="J1168" s="31"/>
      <c r="K1168" s="31"/>
      <c r="L1168" s="31"/>
      <c r="M1168" s="31"/>
      <c r="N1168" s="31"/>
    </row>
    <row r="1169">
      <c r="A1169" s="31"/>
      <c r="B1169" s="31"/>
      <c r="C1169" s="31"/>
      <c r="D1169" s="84"/>
      <c r="E1169" s="85"/>
      <c r="F1169" s="31"/>
      <c r="G1169" s="85"/>
      <c r="H1169" s="31"/>
      <c r="I1169" s="31"/>
      <c r="J1169" s="31"/>
      <c r="K1169" s="31"/>
      <c r="L1169" s="31"/>
      <c r="M1169" s="31"/>
      <c r="N1169" s="31"/>
    </row>
    <row r="1170">
      <c r="A1170" s="31"/>
      <c r="B1170" s="31"/>
      <c r="C1170" s="31"/>
      <c r="D1170" s="84"/>
      <c r="E1170" s="85"/>
      <c r="F1170" s="31"/>
      <c r="G1170" s="85"/>
      <c r="H1170" s="31"/>
      <c r="I1170" s="31"/>
      <c r="J1170" s="31"/>
      <c r="K1170" s="31"/>
      <c r="L1170" s="31"/>
      <c r="M1170" s="31"/>
      <c r="N1170" s="31"/>
    </row>
    <row r="1171">
      <c r="A1171" s="31"/>
      <c r="B1171" s="31"/>
      <c r="C1171" s="31"/>
      <c r="D1171" s="84"/>
      <c r="E1171" s="85"/>
      <c r="F1171" s="31"/>
      <c r="G1171" s="85"/>
      <c r="H1171" s="31"/>
      <c r="I1171" s="31"/>
      <c r="J1171" s="31"/>
      <c r="K1171" s="31"/>
      <c r="L1171" s="31"/>
      <c r="M1171" s="31"/>
      <c r="N1171" s="31"/>
    </row>
    <row r="1172">
      <c r="A1172" s="31"/>
      <c r="B1172" s="31"/>
      <c r="C1172" s="31"/>
      <c r="D1172" s="84"/>
      <c r="E1172" s="85"/>
      <c r="F1172" s="31"/>
      <c r="G1172" s="85"/>
      <c r="H1172" s="31"/>
      <c r="I1172" s="31"/>
      <c r="J1172" s="31"/>
      <c r="K1172" s="31"/>
      <c r="L1172" s="31"/>
      <c r="M1172" s="31"/>
      <c r="N1172" s="31"/>
    </row>
    <row r="1173">
      <c r="A1173" s="31"/>
      <c r="B1173" s="31"/>
      <c r="C1173" s="31"/>
      <c r="D1173" s="84"/>
      <c r="E1173" s="85"/>
      <c r="F1173" s="31"/>
      <c r="G1173" s="85"/>
      <c r="H1173" s="31"/>
      <c r="I1173" s="31"/>
      <c r="J1173" s="31"/>
      <c r="K1173" s="31"/>
      <c r="L1173" s="31"/>
      <c r="M1173" s="31"/>
      <c r="N1173" s="31"/>
    </row>
    <row r="1174">
      <c r="A1174" s="31"/>
      <c r="B1174" s="31"/>
      <c r="C1174" s="31"/>
      <c r="D1174" s="84"/>
      <c r="E1174" s="85"/>
      <c r="F1174" s="31"/>
      <c r="G1174" s="85"/>
      <c r="H1174" s="31"/>
      <c r="I1174" s="31"/>
      <c r="J1174" s="31"/>
      <c r="K1174" s="31"/>
      <c r="L1174" s="31"/>
      <c r="M1174" s="31"/>
      <c r="N1174" s="31"/>
    </row>
    <row r="1175">
      <c r="A1175" s="31"/>
      <c r="B1175" s="31"/>
      <c r="C1175" s="31"/>
      <c r="D1175" s="84"/>
      <c r="E1175" s="85"/>
      <c r="F1175" s="31"/>
      <c r="G1175" s="85"/>
      <c r="H1175" s="31"/>
      <c r="I1175" s="31"/>
      <c r="J1175" s="31"/>
      <c r="K1175" s="31"/>
      <c r="L1175" s="31"/>
      <c r="M1175" s="31"/>
      <c r="N1175" s="31"/>
    </row>
    <row r="1176">
      <c r="A1176" s="31"/>
      <c r="B1176" s="31"/>
      <c r="C1176" s="31"/>
      <c r="D1176" s="84"/>
      <c r="E1176" s="85"/>
      <c r="F1176" s="31"/>
      <c r="G1176" s="85"/>
      <c r="H1176" s="31"/>
      <c r="I1176" s="31"/>
      <c r="J1176" s="31"/>
      <c r="K1176" s="31"/>
      <c r="L1176" s="31"/>
      <c r="M1176" s="31"/>
      <c r="N1176" s="31"/>
    </row>
    <row r="1177">
      <c r="A1177" s="31"/>
      <c r="B1177" s="31"/>
      <c r="C1177" s="31"/>
      <c r="D1177" s="84"/>
      <c r="E1177" s="85"/>
      <c r="F1177" s="31"/>
      <c r="G1177" s="85"/>
      <c r="H1177" s="31"/>
      <c r="I1177" s="31"/>
      <c r="J1177" s="31"/>
      <c r="K1177" s="31"/>
      <c r="L1177" s="31"/>
      <c r="M1177" s="31"/>
      <c r="N1177" s="31"/>
    </row>
    <row r="1178">
      <c r="A1178" s="31"/>
      <c r="B1178" s="31"/>
      <c r="C1178" s="31"/>
      <c r="D1178" s="84"/>
      <c r="E1178" s="85"/>
      <c r="F1178" s="31"/>
      <c r="G1178" s="85"/>
      <c r="H1178" s="31"/>
      <c r="I1178" s="31"/>
      <c r="J1178" s="31"/>
      <c r="K1178" s="31"/>
      <c r="L1178" s="31"/>
      <c r="M1178" s="31"/>
      <c r="N1178" s="31"/>
    </row>
    <row r="1179">
      <c r="A1179" s="31"/>
      <c r="B1179" s="31"/>
      <c r="C1179" s="31"/>
      <c r="D1179" s="84"/>
      <c r="E1179" s="85"/>
      <c r="F1179" s="31"/>
      <c r="G1179" s="85"/>
      <c r="H1179" s="31"/>
      <c r="I1179" s="31"/>
      <c r="J1179" s="31"/>
      <c r="K1179" s="31"/>
      <c r="L1179" s="31"/>
      <c r="M1179" s="31"/>
      <c r="N1179" s="31"/>
    </row>
    <row r="1180">
      <c r="A1180" s="31"/>
      <c r="B1180" s="31"/>
      <c r="C1180" s="31"/>
      <c r="D1180" s="84"/>
      <c r="E1180" s="85"/>
      <c r="F1180" s="31"/>
      <c r="G1180" s="85"/>
      <c r="H1180" s="31"/>
      <c r="I1180" s="31"/>
      <c r="J1180" s="31"/>
      <c r="K1180" s="31"/>
      <c r="L1180" s="31"/>
      <c r="M1180" s="31"/>
      <c r="N1180" s="31"/>
    </row>
    <row r="1181">
      <c r="A1181" s="31"/>
      <c r="B1181" s="31"/>
      <c r="C1181" s="31"/>
      <c r="D1181" s="84"/>
      <c r="E1181" s="85"/>
      <c r="F1181" s="31"/>
      <c r="G1181" s="85"/>
      <c r="H1181" s="31"/>
      <c r="I1181" s="31"/>
      <c r="J1181" s="31"/>
      <c r="K1181" s="31"/>
      <c r="L1181" s="31"/>
      <c r="M1181" s="31"/>
      <c r="N1181" s="31"/>
    </row>
    <row r="1182">
      <c r="A1182" s="31"/>
      <c r="B1182" s="31"/>
      <c r="C1182" s="31"/>
      <c r="D1182" s="84"/>
      <c r="E1182" s="85"/>
      <c r="F1182" s="31"/>
      <c r="G1182" s="85"/>
      <c r="H1182" s="31"/>
      <c r="I1182" s="31"/>
      <c r="J1182" s="31"/>
      <c r="K1182" s="31"/>
      <c r="L1182" s="31"/>
      <c r="M1182" s="31"/>
      <c r="N1182" s="31"/>
    </row>
    <row r="1183">
      <c r="A1183" s="31"/>
      <c r="B1183" s="31"/>
      <c r="C1183" s="31"/>
      <c r="D1183" s="84"/>
      <c r="E1183" s="85"/>
      <c r="F1183" s="31"/>
      <c r="G1183" s="85"/>
      <c r="H1183" s="31"/>
      <c r="I1183" s="31"/>
      <c r="J1183" s="31"/>
      <c r="K1183" s="31"/>
      <c r="L1183" s="31"/>
      <c r="M1183" s="31"/>
      <c r="N1183" s="31"/>
    </row>
    <row r="1184">
      <c r="A1184" s="31"/>
      <c r="B1184" s="31"/>
      <c r="C1184" s="31"/>
      <c r="D1184" s="84"/>
      <c r="E1184" s="85"/>
      <c r="F1184" s="31"/>
      <c r="G1184" s="85"/>
      <c r="H1184" s="31"/>
      <c r="I1184" s="31"/>
      <c r="J1184" s="31"/>
      <c r="K1184" s="31"/>
      <c r="L1184" s="31"/>
      <c r="M1184" s="31"/>
      <c r="N1184" s="31"/>
    </row>
    <row r="1185">
      <c r="A1185" s="31"/>
      <c r="B1185" s="31"/>
      <c r="C1185" s="31"/>
      <c r="D1185" s="84"/>
      <c r="E1185" s="85"/>
      <c r="F1185" s="31"/>
      <c r="G1185" s="85"/>
      <c r="H1185" s="31"/>
      <c r="I1185" s="31"/>
      <c r="J1185" s="31"/>
      <c r="K1185" s="31"/>
      <c r="L1185" s="31"/>
      <c r="M1185" s="31"/>
      <c r="N1185" s="31"/>
    </row>
    <row r="1186">
      <c r="A1186" s="31"/>
      <c r="B1186" s="31"/>
      <c r="C1186" s="31"/>
      <c r="D1186" s="84"/>
      <c r="E1186" s="85"/>
      <c r="F1186" s="31"/>
      <c r="G1186" s="85"/>
      <c r="H1186" s="31"/>
      <c r="I1186" s="31"/>
      <c r="J1186" s="31"/>
      <c r="K1186" s="31"/>
      <c r="L1186" s="31"/>
      <c r="M1186" s="31"/>
      <c r="N1186" s="31"/>
    </row>
    <row r="1187">
      <c r="A1187" s="31"/>
      <c r="B1187" s="31"/>
      <c r="C1187" s="31"/>
      <c r="D1187" s="84"/>
      <c r="E1187" s="85"/>
      <c r="F1187" s="31"/>
      <c r="G1187" s="85"/>
      <c r="H1187" s="31"/>
      <c r="I1187" s="31"/>
      <c r="J1187" s="31"/>
      <c r="K1187" s="31"/>
      <c r="L1187" s="31"/>
      <c r="M1187" s="31"/>
      <c r="N1187" s="31"/>
    </row>
    <row r="1188">
      <c r="A1188" s="31"/>
      <c r="B1188" s="31"/>
      <c r="C1188" s="31"/>
      <c r="D1188" s="84"/>
      <c r="E1188" s="85"/>
      <c r="F1188" s="31"/>
      <c r="G1188" s="85"/>
      <c r="H1188" s="31"/>
      <c r="I1188" s="31"/>
      <c r="J1188" s="31"/>
      <c r="K1188" s="31"/>
      <c r="L1188" s="31"/>
      <c r="M1188" s="31"/>
      <c r="N1188" s="31"/>
    </row>
    <row r="1189">
      <c r="A1189" s="31"/>
      <c r="B1189" s="31"/>
      <c r="C1189" s="31"/>
      <c r="D1189" s="84"/>
      <c r="E1189" s="85"/>
      <c r="F1189" s="31"/>
      <c r="G1189" s="85"/>
      <c r="H1189" s="31"/>
      <c r="I1189" s="31"/>
      <c r="J1189" s="31"/>
      <c r="K1189" s="31"/>
      <c r="L1189" s="31"/>
      <c r="M1189" s="31"/>
      <c r="N1189" s="31"/>
    </row>
    <row r="1190">
      <c r="A1190" s="31"/>
      <c r="B1190" s="31"/>
      <c r="C1190" s="31"/>
      <c r="D1190" s="84"/>
      <c r="E1190" s="85"/>
      <c r="F1190" s="31"/>
      <c r="G1190" s="85"/>
      <c r="H1190" s="31"/>
      <c r="I1190" s="31"/>
      <c r="J1190" s="31"/>
      <c r="K1190" s="31"/>
      <c r="L1190" s="31"/>
      <c r="M1190" s="31"/>
      <c r="N1190" s="31"/>
    </row>
    <row r="1191">
      <c r="A1191" s="31"/>
      <c r="B1191" s="31"/>
      <c r="C1191" s="31"/>
      <c r="D1191" s="84"/>
      <c r="E1191" s="85"/>
      <c r="F1191" s="31"/>
      <c r="G1191" s="85"/>
      <c r="H1191" s="31"/>
      <c r="I1191" s="31"/>
      <c r="J1191" s="31"/>
      <c r="K1191" s="31"/>
      <c r="L1191" s="31"/>
      <c r="M1191" s="31"/>
      <c r="N1191" s="31"/>
    </row>
    <row r="1192">
      <c r="A1192" s="31"/>
      <c r="B1192" s="31"/>
      <c r="C1192" s="31"/>
      <c r="D1192" s="84"/>
      <c r="E1192" s="85"/>
      <c r="F1192" s="31"/>
      <c r="G1192" s="85"/>
      <c r="H1192" s="31"/>
      <c r="I1192" s="31"/>
      <c r="J1192" s="31"/>
      <c r="K1192" s="31"/>
      <c r="L1192" s="31"/>
      <c r="M1192" s="31"/>
      <c r="N1192" s="31"/>
    </row>
    <row r="1193">
      <c r="A1193" s="31"/>
      <c r="B1193" s="31"/>
      <c r="C1193" s="31"/>
      <c r="D1193" s="84"/>
      <c r="E1193" s="85"/>
      <c r="F1193" s="31"/>
      <c r="G1193" s="85"/>
      <c r="H1193" s="31"/>
      <c r="I1193" s="31"/>
      <c r="J1193" s="31"/>
      <c r="K1193" s="31"/>
      <c r="L1193" s="31"/>
      <c r="M1193" s="31"/>
      <c r="N1193" s="31"/>
    </row>
    <row r="1194">
      <c r="A1194" s="31"/>
      <c r="B1194" s="31"/>
      <c r="C1194" s="31"/>
      <c r="D1194" s="84"/>
      <c r="E1194" s="85"/>
      <c r="F1194" s="31"/>
      <c r="G1194" s="85"/>
      <c r="H1194" s="31"/>
      <c r="I1194" s="31"/>
      <c r="J1194" s="31"/>
      <c r="K1194" s="31"/>
      <c r="L1194" s="31"/>
      <c r="M1194" s="31"/>
      <c r="N1194" s="31"/>
    </row>
    <row r="1195">
      <c r="A1195" s="31"/>
      <c r="B1195" s="31"/>
      <c r="C1195" s="31"/>
      <c r="D1195" s="84"/>
      <c r="E1195" s="85"/>
      <c r="F1195" s="31"/>
      <c r="G1195" s="85"/>
      <c r="H1195" s="31"/>
      <c r="I1195" s="31"/>
      <c r="J1195" s="31"/>
      <c r="K1195" s="31"/>
      <c r="L1195" s="31"/>
      <c r="M1195" s="31"/>
      <c r="N1195" s="31"/>
    </row>
    <row r="1196">
      <c r="A1196" s="31"/>
      <c r="B1196" s="31"/>
      <c r="C1196" s="31"/>
      <c r="D1196" s="84"/>
      <c r="E1196" s="85"/>
      <c r="F1196" s="31"/>
      <c r="G1196" s="85"/>
      <c r="H1196" s="31"/>
      <c r="I1196" s="31"/>
      <c r="J1196" s="31"/>
      <c r="K1196" s="31"/>
      <c r="L1196" s="31"/>
      <c r="M1196" s="31"/>
      <c r="N1196" s="31"/>
    </row>
    <row r="1197">
      <c r="A1197" s="31"/>
      <c r="B1197" s="31"/>
      <c r="C1197" s="31"/>
      <c r="D1197" s="84"/>
      <c r="E1197" s="85"/>
      <c r="F1197" s="31"/>
      <c r="G1197" s="85"/>
      <c r="H1197" s="31"/>
      <c r="I1197" s="31"/>
      <c r="J1197" s="31"/>
      <c r="K1197" s="31"/>
      <c r="L1197" s="31"/>
      <c r="M1197" s="31"/>
      <c r="N1197" s="31"/>
    </row>
    <row r="1198">
      <c r="A1198" s="31"/>
      <c r="B1198" s="31"/>
      <c r="C1198" s="31"/>
      <c r="D1198" s="84"/>
      <c r="E1198" s="85"/>
      <c r="F1198" s="31"/>
      <c r="G1198" s="85"/>
      <c r="H1198" s="31"/>
      <c r="I1198" s="31"/>
      <c r="J1198" s="31"/>
      <c r="K1198" s="31"/>
      <c r="L1198" s="31"/>
      <c r="M1198" s="31"/>
      <c r="N1198" s="31"/>
    </row>
    <row r="1199">
      <c r="A1199" s="31"/>
      <c r="B1199" s="31"/>
      <c r="C1199" s="31"/>
      <c r="D1199" s="84"/>
      <c r="E1199" s="85"/>
      <c r="F1199" s="31"/>
      <c r="G1199" s="85"/>
      <c r="H1199" s="31"/>
      <c r="I1199" s="31"/>
      <c r="J1199" s="31"/>
      <c r="K1199" s="31"/>
      <c r="L1199" s="31"/>
      <c r="M1199" s="31"/>
      <c r="N1199" s="31"/>
    </row>
    <row r="1200">
      <c r="A1200" s="31"/>
      <c r="B1200" s="31"/>
      <c r="C1200" s="31"/>
      <c r="D1200" s="84"/>
      <c r="E1200" s="85"/>
      <c r="F1200" s="31"/>
      <c r="G1200" s="85"/>
      <c r="H1200" s="31"/>
      <c r="I1200" s="31"/>
      <c r="J1200" s="31"/>
      <c r="K1200" s="31"/>
      <c r="L1200" s="31"/>
      <c r="M1200" s="31"/>
      <c r="N1200" s="31"/>
    </row>
    <row r="1201">
      <c r="A1201" s="31"/>
      <c r="B1201" s="31"/>
      <c r="C1201" s="31"/>
      <c r="D1201" s="84"/>
      <c r="E1201" s="85"/>
      <c r="F1201" s="31"/>
      <c r="G1201" s="85"/>
      <c r="H1201" s="31"/>
      <c r="I1201" s="31"/>
      <c r="J1201" s="31"/>
      <c r="K1201" s="31"/>
      <c r="L1201" s="31"/>
      <c r="M1201" s="31"/>
      <c r="N1201" s="31"/>
    </row>
    <row r="1202">
      <c r="A1202" s="31"/>
      <c r="B1202" s="31"/>
      <c r="C1202" s="31"/>
      <c r="D1202" s="84"/>
      <c r="E1202" s="85"/>
      <c r="F1202" s="31"/>
      <c r="G1202" s="85"/>
      <c r="H1202" s="31"/>
      <c r="I1202" s="31"/>
      <c r="J1202" s="31"/>
      <c r="K1202" s="31"/>
      <c r="L1202" s="31"/>
      <c r="M1202" s="31"/>
      <c r="N1202" s="31"/>
    </row>
    <row r="1203">
      <c r="A1203" s="31"/>
      <c r="B1203" s="31"/>
      <c r="C1203" s="31"/>
      <c r="D1203" s="84"/>
      <c r="E1203" s="85"/>
      <c r="F1203" s="31"/>
      <c r="G1203" s="85"/>
      <c r="H1203" s="31"/>
      <c r="I1203" s="31"/>
      <c r="J1203" s="31"/>
      <c r="K1203" s="31"/>
      <c r="L1203" s="31"/>
      <c r="M1203" s="31"/>
      <c r="N1203" s="31"/>
    </row>
    <row r="1204">
      <c r="A1204" s="31"/>
      <c r="B1204" s="31"/>
      <c r="C1204" s="31"/>
      <c r="D1204" s="84"/>
      <c r="E1204" s="85"/>
      <c r="F1204" s="31"/>
      <c r="G1204" s="85"/>
      <c r="H1204" s="31"/>
      <c r="I1204" s="31"/>
      <c r="J1204" s="31"/>
      <c r="K1204" s="31"/>
      <c r="L1204" s="31"/>
      <c r="M1204" s="31"/>
      <c r="N1204" s="31"/>
    </row>
    <row r="1205">
      <c r="A1205" s="31"/>
      <c r="B1205" s="31"/>
      <c r="C1205" s="31"/>
      <c r="D1205" s="84"/>
      <c r="E1205" s="85"/>
      <c r="F1205" s="31"/>
      <c r="G1205" s="85"/>
      <c r="H1205" s="31"/>
      <c r="I1205" s="31"/>
      <c r="J1205" s="31"/>
      <c r="K1205" s="31"/>
      <c r="L1205" s="31"/>
      <c r="M1205" s="31"/>
      <c r="N1205" s="31"/>
    </row>
    <row r="1206">
      <c r="A1206" s="31"/>
      <c r="B1206" s="31"/>
      <c r="C1206" s="31"/>
      <c r="D1206" s="84"/>
      <c r="E1206" s="85"/>
      <c r="F1206" s="31"/>
      <c r="G1206" s="85"/>
      <c r="H1206" s="31"/>
      <c r="I1206" s="31"/>
      <c r="J1206" s="31"/>
      <c r="K1206" s="31"/>
      <c r="L1206" s="31"/>
      <c r="M1206" s="31"/>
      <c r="N1206" s="31"/>
    </row>
    <row r="1207">
      <c r="A1207" s="31"/>
      <c r="B1207" s="31"/>
      <c r="C1207" s="31"/>
      <c r="D1207" s="84"/>
      <c r="E1207" s="85"/>
      <c r="F1207" s="31"/>
      <c r="G1207" s="85"/>
      <c r="H1207" s="31"/>
      <c r="I1207" s="31"/>
      <c r="J1207" s="31"/>
      <c r="K1207" s="31"/>
      <c r="L1207" s="31"/>
      <c r="M1207" s="31"/>
      <c r="N1207" s="31"/>
    </row>
    <row r="1208">
      <c r="A1208" s="31"/>
      <c r="B1208" s="31"/>
      <c r="C1208" s="31"/>
      <c r="D1208" s="84"/>
      <c r="E1208" s="85"/>
      <c r="F1208" s="31"/>
      <c r="G1208" s="85"/>
      <c r="H1208" s="31"/>
      <c r="I1208" s="31"/>
      <c r="J1208" s="31"/>
      <c r="K1208" s="31"/>
      <c r="L1208" s="31"/>
      <c r="M1208" s="31"/>
      <c r="N1208" s="31"/>
    </row>
    <row r="1209">
      <c r="A1209" s="31"/>
      <c r="B1209" s="31"/>
      <c r="C1209" s="31"/>
      <c r="D1209" s="84"/>
      <c r="E1209" s="85"/>
      <c r="F1209" s="31"/>
      <c r="G1209" s="85"/>
      <c r="H1209" s="31"/>
      <c r="I1209" s="31"/>
      <c r="J1209" s="31"/>
      <c r="K1209" s="31"/>
      <c r="L1209" s="31"/>
      <c r="M1209" s="31"/>
      <c r="N1209" s="31"/>
    </row>
    <row r="1210">
      <c r="A1210" s="31"/>
      <c r="B1210" s="31"/>
      <c r="C1210" s="31"/>
      <c r="D1210" s="84"/>
      <c r="E1210" s="85"/>
      <c r="F1210" s="31"/>
      <c r="G1210" s="85"/>
      <c r="H1210" s="31"/>
      <c r="I1210" s="31"/>
      <c r="J1210" s="31"/>
      <c r="K1210" s="31"/>
      <c r="L1210" s="31"/>
      <c r="M1210" s="31"/>
      <c r="N1210" s="31"/>
    </row>
    <row r="1211">
      <c r="A1211" s="31"/>
      <c r="B1211" s="31"/>
      <c r="C1211" s="31"/>
      <c r="D1211" s="84"/>
      <c r="E1211" s="85"/>
      <c r="F1211" s="31"/>
      <c r="G1211" s="85"/>
      <c r="H1211" s="31"/>
      <c r="I1211" s="31"/>
      <c r="J1211" s="31"/>
      <c r="K1211" s="31"/>
      <c r="L1211" s="31"/>
      <c r="M1211" s="31"/>
      <c r="N1211" s="31"/>
    </row>
    <row r="1212">
      <c r="A1212" s="31"/>
      <c r="B1212" s="31"/>
      <c r="C1212" s="31"/>
      <c r="D1212" s="84"/>
      <c r="E1212" s="85"/>
      <c r="F1212" s="31"/>
      <c r="G1212" s="85"/>
      <c r="H1212" s="31"/>
      <c r="I1212" s="31"/>
      <c r="J1212" s="31"/>
      <c r="K1212" s="31"/>
      <c r="L1212" s="31"/>
      <c r="M1212" s="31"/>
      <c r="N1212" s="31"/>
    </row>
    <row r="1213">
      <c r="A1213" s="31"/>
      <c r="B1213" s="31"/>
      <c r="C1213" s="31"/>
      <c r="D1213" s="84"/>
      <c r="E1213" s="85"/>
      <c r="F1213" s="31"/>
      <c r="G1213" s="85"/>
      <c r="H1213" s="31"/>
      <c r="I1213" s="31"/>
      <c r="J1213" s="31"/>
      <c r="K1213" s="31"/>
      <c r="L1213" s="31"/>
      <c r="M1213" s="31"/>
      <c r="N1213" s="31"/>
    </row>
    <row r="1214">
      <c r="A1214" s="31"/>
      <c r="B1214" s="31"/>
      <c r="C1214" s="31"/>
      <c r="D1214" s="84"/>
      <c r="E1214" s="85"/>
      <c r="F1214" s="31"/>
      <c r="G1214" s="85"/>
      <c r="H1214" s="31"/>
      <c r="I1214" s="31"/>
      <c r="J1214" s="31"/>
      <c r="K1214" s="31"/>
      <c r="L1214" s="31"/>
      <c r="M1214" s="31"/>
      <c r="N1214" s="31"/>
    </row>
    <row r="1215">
      <c r="A1215" s="31"/>
      <c r="B1215" s="31"/>
      <c r="C1215" s="31"/>
      <c r="D1215" s="84"/>
      <c r="E1215" s="85"/>
      <c r="F1215" s="31"/>
      <c r="G1215" s="85"/>
      <c r="H1215" s="31"/>
      <c r="I1215" s="31"/>
      <c r="J1215" s="31"/>
      <c r="K1215" s="31"/>
      <c r="L1215" s="31"/>
      <c r="M1215" s="31"/>
      <c r="N1215" s="31"/>
    </row>
    <row r="1216">
      <c r="A1216" s="31"/>
      <c r="B1216" s="31"/>
      <c r="C1216" s="31"/>
      <c r="D1216" s="84"/>
      <c r="E1216" s="85"/>
      <c r="F1216" s="31"/>
      <c r="G1216" s="85"/>
      <c r="H1216" s="31"/>
      <c r="I1216" s="31"/>
      <c r="J1216" s="31"/>
      <c r="K1216" s="31"/>
      <c r="L1216" s="31"/>
      <c r="M1216" s="31"/>
      <c r="N1216" s="31"/>
    </row>
    <row r="1217">
      <c r="A1217" s="31"/>
      <c r="B1217" s="31"/>
      <c r="C1217" s="31"/>
      <c r="D1217" s="84"/>
      <c r="E1217" s="85"/>
      <c r="F1217" s="31"/>
      <c r="G1217" s="85"/>
      <c r="H1217" s="31"/>
      <c r="I1217" s="31"/>
      <c r="J1217" s="31"/>
      <c r="K1217" s="31"/>
      <c r="L1217" s="31"/>
      <c r="M1217" s="31"/>
      <c r="N1217" s="31"/>
    </row>
    <row r="1218">
      <c r="A1218" s="31"/>
      <c r="B1218" s="31"/>
      <c r="C1218" s="31"/>
      <c r="D1218" s="84"/>
      <c r="E1218" s="85"/>
      <c r="F1218" s="31"/>
      <c r="G1218" s="85"/>
      <c r="H1218" s="31"/>
      <c r="I1218" s="31"/>
      <c r="J1218" s="31"/>
      <c r="K1218" s="31"/>
      <c r="L1218" s="31"/>
      <c r="M1218" s="31"/>
      <c r="N1218" s="31"/>
    </row>
    <row r="1219">
      <c r="A1219" s="31"/>
      <c r="B1219" s="31"/>
      <c r="C1219" s="31"/>
      <c r="D1219" s="84"/>
      <c r="E1219" s="85"/>
      <c r="F1219" s="31"/>
      <c r="G1219" s="85"/>
      <c r="H1219" s="31"/>
      <c r="I1219" s="31"/>
      <c r="J1219" s="31"/>
      <c r="K1219" s="31"/>
      <c r="L1219" s="31"/>
      <c r="M1219" s="31"/>
      <c r="N1219" s="31"/>
    </row>
    <row r="1220">
      <c r="A1220" s="31"/>
      <c r="B1220" s="31"/>
      <c r="C1220" s="31"/>
      <c r="D1220" s="84"/>
      <c r="E1220" s="85"/>
      <c r="F1220" s="31"/>
      <c r="G1220" s="85"/>
      <c r="H1220" s="31"/>
      <c r="I1220" s="31"/>
      <c r="J1220" s="31"/>
      <c r="K1220" s="31"/>
      <c r="L1220" s="31"/>
      <c r="M1220" s="31"/>
      <c r="N1220" s="31"/>
    </row>
    <row r="1221">
      <c r="A1221" s="31"/>
      <c r="B1221" s="31"/>
      <c r="C1221" s="31"/>
      <c r="D1221" s="84"/>
      <c r="E1221" s="85"/>
      <c r="F1221" s="31"/>
      <c r="G1221" s="85"/>
      <c r="H1221" s="31"/>
      <c r="I1221" s="31"/>
      <c r="J1221" s="31"/>
      <c r="K1221" s="31"/>
      <c r="L1221" s="31"/>
      <c r="M1221" s="31"/>
      <c r="N1221" s="31"/>
    </row>
    <row r="1222">
      <c r="A1222" s="31"/>
      <c r="B1222" s="31"/>
      <c r="C1222" s="31"/>
      <c r="D1222" s="84"/>
      <c r="E1222" s="85"/>
      <c r="F1222" s="31"/>
      <c r="G1222" s="85"/>
      <c r="H1222" s="31"/>
      <c r="I1222" s="31"/>
      <c r="J1222" s="31"/>
      <c r="K1222" s="31"/>
      <c r="L1222" s="31"/>
      <c r="M1222" s="31"/>
      <c r="N1222" s="31"/>
    </row>
    <row r="1223">
      <c r="A1223" s="31"/>
      <c r="B1223" s="31"/>
      <c r="C1223" s="31"/>
      <c r="D1223" s="84"/>
      <c r="E1223" s="85"/>
      <c r="F1223" s="31"/>
      <c r="G1223" s="85"/>
      <c r="H1223" s="31"/>
      <c r="I1223" s="31"/>
      <c r="J1223" s="31"/>
      <c r="K1223" s="31"/>
      <c r="L1223" s="31"/>
      <c r="M1223" s="31"/>
      <c r="N1223" s="31"/>
    </row>
    <row r="1224">
      <c r="A1224" s="31"/>
      <c r="B1224" s="31"/>
      <c r="C1224" s="31"/>
      <c r="D1224" s="84"/>
      <c r="E1224" s="85"/>
      <c r="F1224" s="31"/>
      <c r="G1224" s="85"/>
      <c r="H1224" s="31"/>
      <c r="I1224" s="31"/>
      <c r="J1224" s="31"/>
      <c r="K1224" s="31"/>
      <c r="L1224" s="31"/>
      <c r="M1224" s="31"/>
      <c r="N1224" s="31"/>
    </row>
    <row r="1225">
      <c r="A1225" s="31"/>
      <c r="B1225" s="31"/>
      <c r="C1225" s="31"/>
      <c r="D1225" s="84"/>
      <c r="E1225" s="85"/>
      <c r="F1225" s="31"/>
      <c r="G1225" s="85"/>
      <c r="H1225" s="31"/>
      <c r="I1225" s="31"/>
      <c r="J1225" s="31"/>
      <c r="K1225" s="31"/>
      <c r="L1225" s="31"/>
      <c r="M1225" s="31"/>
      <c r="N1225" s="31"/>
    </row>
    <row r="1226">
      <c r="A1226" s="31"/>
      <c r="B1226" s="31"/>
      <c r="C1226" s="31"/>
      <c r="D1226" s="84"/>
      <c r="E1226" s="85"/>
      <c r="F1226" s="31"/>
      <c r="G1226" s="85"/>
      <c r="H1226" s="31"/>
      <c r="I1226" s="31"/>
      <c r="J1226" s="31"/>
      <c r="K1226" s="31"/>
      <c r="L1226" s="31"/>
      <c r="M1226" s="31"/>
      <c r="N1226" s="31"/>
    </row>
    <row r="1227">
      <c r="A1227" s="31"/>
      <c r="B1227" s="31"/>
      <c r="C1227" s="31"/>
      <c r="D1227" s="84"/>
      <c r="E1227" s="85"/>
      <c r="F1227" s="31"/>
      <c r="G1227" s="85"/>
      <c r="H1227" s="31"/>
      <c r="I1227" s="31"/>
      <c r="J1227" s="31"/>
      <c r="K1227" s="31"/>
      <c r="L1227" s="31"/>
      <c r="M1227" s="31"/>
      <c r="N1227" s="31"/>
    </row>
    <row r="1228">
      <c r="A1228" s="31"/>
      <c r="B1228" s="31"/>
      <c r="C1228" s="31"/>
      <c r="D1228" s="84"/>
      <c r="E1228" s="85"/>
      <c r="F1228" s="31"/>
      <c r="G1228" s="85"/>
      <c r="H1228" s="31"/>
      <c r="I1228" s="31"/>
      <c r="J1228" s="31"/>
      <c r="K1228" s="31"/>
      <c r="L1228" s="31"/>
      <c r="M1228" s="31"/>
      <c r="N1228" s="31"/>
    </row>
    <row r="1229">
      <c r="A1229" s="31"/>
      <c r="B1229" s="31"/>
      <c r="C1229" s="31"/>
      <c r="D1229" s="84"/>
      <c r="E1229" s="85"/>
      <c r="F1229" s="31"/>
      <c r="G1229" s="85"/>
      <c r="H1229" s="31"/>
      <c r="I1229" s="31"/>
      <c r="J1229" s="31"/>
      <c r="K1229" s="31"/>
      <c r="L1229" s="31"/>
      <c r="M1229" s="31"/>
      <c r="N1229" s="31"/>
    </row>
    <row r="1230">
      <c r="A1230" s="31"/>
      <c r="B1230" s="31"/>
      <c r="C1230" s="31"/>
      <c r="D1230" s="84"/>
      <c r="E1230" s="85"/>
      <c r="F1230" s="31"/>
      <c r="G1230" s="85"/>
      <c r="H1230" s="31"/>
      <c r="I1230" s="31"/>
      <c r="J1230" s="31"/>
      <c r="K1230" s="31"/>
      <c r="L1230" s="31"/>
      <c r="M1230" s="31"/>
      <c r="N1230" s="31"/>
    </row>
    <row r="1231">
      <c r="A1231" s="31"/>
      <c r="B1231" s="31"/>
      <c r="C1231" s="31"/>
      <c r="D1231" s="84"/>
      <c r="E1231" s="85"/>
      <c r="F1231" s="31"/>
      <c r="G1231" s="85"/>
      <c r="H1231" s="31"/>
      <c r="I1231" s="31"/>
      <c r="J1231" s="31"/>
      <c r="K1231" s="31"/>
      <c r="L1231" s="31"/>
      <c r="M1231" s="31"/>
      <c r="N1231" s="31"/>
    </row>
    <row r="1232">
      <c r="A1232" s="31"/>
      <c r="B1232" s="31"/>
      <c r="C1232" s="31"/>
      <c r="D1232" s="84"/>
      <c r="E1232" s="85"/>
      <c r="F1232" s="31"/>
      <c r="G1232" s="85"/>
      <c r="H1232" s="31"/>
      <c r="I1232" s="31"/>
      <c r="J1232" s="31"/>
      <c r="K1232" s="31"/>
      <c r="L1232" s="31"/>
      <c r="M1232" s="31"/>
      <c r="N1232" s="31"/>
    </row>
    <row r="1233">
      <c r="A1233" s="31"/>
      <c r="B1233" s="31"/>
      <c r="C1233" s="31"/>
      <c r="D1233" s="84"/>
      <c r="E1233" s="85"/>
      <c r="F1233" s="31"/>
      <c r="G1233" s="85"/>
      <c r="H1233" s="31"/>
      <c r="I1233" s="31"/>
      <c r="J1233" s="31"/>
      <c r="K1233" s="31"/>
      <c r="L1233" s="31"/>
      <c r="M1233" s="31"/>
      <c r="N1233" s="31"/>
    </row>
    <row r="1234">
      <c r="A1234" s="31"/>
      <c r="B1234" s="31"/>
      <c r="C1234" s="31"/>
      <c r="D1234" s="84"/>
      <c r="E1234" s="85"/>
      <c r="F1234" s="31"/>
      <c r="G1234" s="85"/>
      <c r="H1234" s="31"/>
      <c r="I1234" s="31"/>
      <c r="J1234" s="31"/>
      <c r="K1234" s="31"/>
      <c r="L1234" s="31"/>
      <c r="M1234" s="31"/>
      <c r="N1234" s="31"/>
    </row>
    <row r="1235">
      <c r="A1235" s="31"/>
      <c r="B1235" s="31"/>
      <c r="C1235" s="31"/>
      <c r="D1235" s="84"/>
      <c r="E1235" s="85"/>
      <c r="F1235" s="31"/>
      <c r="G1235" s="85"/>
      <c r="H1235" s="31"/>
      <c r="I1235" s="31"/>
      <c r="J1235" s="31"/>
      <c r="K1235" s="31"/>
      <c r="L1235" s="31"/>
      <c r="M1235" s="31"/>
      <c r="N1235" s="31"/>
    </row>
    <row r="1236">
      <c r="A1236" s="31"/>
      <c r="B1236" s="31"/>
      <c r="C1236" s="31"/>
      <c r="D1236" s="84"/>
      <c r="E1236" s="85"/>
      <c r="F1236" s="31"/>
      <c r="G1236" s="85"/>
      <c r="H1236" s="31"/>
      <c r="I1236" s="31"/>
      <c r="J1236" s="31"/>
      <c r="K1236" s="31"/>
      <c r="L1236" s="31"/>
      <c r="M1236" s="31"/>
      <c r="N1236" s="31"/>
    </row>
    <row r="1237">
      <c r="A1237" s="31"/>
      <c r="B1237" s="31"/>
      <c r="C1237" s="31"/>
      <c r="D1237" s="84"/>
      <c r="E1237" s="85"/>
      <c r="F1237" s="31"/>
      <c r="G1237" s="85"/>
      <c r="H1237" s="31"/>
      <c r="I1237" s="31"/>
      <c r="J1237" s="31"/>
      <c r="K1237" s="31"/>
      <c r="L1237" s="31"/>
      <c r="M1237" s="31"/>
      <c r="N1237" s="31"/>
    </row>
    <row r="1238">
      <c r="A1238" s="31"/>
      <c r="B1238" s="31"/>
      <c r="C1238" s="31"/>
      <c r="D1238" s="84"/>
      <c r="E1238" s="85"/>
      <c r="F1238" s="31"/>
      <c r="G1238" s="85"/>
      <c r="H1238" s="31"/>
      <c r="I1238" s="31"/>
      <c r="J1238" s="31"/>
      <c r="K1238" s="31"/>
      <c r="L1238" s="31"/>
      <c r="M1238" s="31"/>
      <c r="N1238" s="31"/>
    </row>
    <row r="1239">
      <c r="A1239" s="31"/>
      <c r="B1239" s="31"/>
      <c r="C1239" s="31"/>
      <c r="D1239" s="84"/>
      <c r="E1239" s="85"/>
      <c r="F1239" s="31"/>
      <c r="G1239" s="85"/>
      <c r="H1239" s="31"/>
      <c r="I1239" s="31"/>
      <c r="J1239" s="31"/>
      <c r="K1239" s="31"/>
      <c r="L1239" s="31"/>
      <c r="M1239" s="31"/>
      <c r="N1239" s="31"/>
    </row>
    <row r="1240">
      <c r="A1240" s="31"/>
      <c r="B1240" s="31"/>
      <c r="C1240" s="31"/>
      <c r="D1240" s="84"/>
      <c r="E1240" s="85"/>
      <c r="F1240" s="31"/>
      <c r="G1240" s="85"/>
      <c r="H1240" s="31"/>
      <c r="I1240" s="31"/>
      <c r="J1240" s="31"/>
      <c r="K1240" s="31"/>
      <c r="L1240" s="31"/>
      <c r="M1240" s="31"/>
      <c r="N1240" s="31"/>
    </row>
    <row r="1241">
      <c r="A1241" s="31"/>
      <c r="B1241" s="31"/>
      <c r="C1241" s="31"/>
      <c r="D1241" s="84"/>
      <c r="E1241" s="85"/>
      <c r="F1241" s="31"/>
      <c r="G1241" s="85"/>
      <c r="H1241" s="31"/>
      <c r="I1241" s="31"/>
      <c r="J1241" s="31"/>
      <c r="K1241" s="31"/>
      <c r="L1241" s="31"/>
      <c r="M1241" s="31"/>
      <c r="N1241" s="31"/>
    </row>
    <row r="1242">
      <c r="A1242" s="31"/>
      <c r="B1242" s="31"/>
      <c r="C1242" s="31"/>
      <c r="D1242" s="84"/>
      <c r="E1242" s="85"/>
      <c r="F1242" s="31"/>
      <c r="G1242" s="85"/>
      <c r="H1242" s="31"/>
      <c r="I1242" s="31"/>
      <c r="J1242" s="31"/>
      <c r="K1242" s="31"/>
      <c r="L1242" s="31"/>
      <c r="M1242" s="31"/>
      <c r="N1242" s="31"/>
    </row>
    <row r="1243">
      <c r="A1243" s="31"/>
      <c r="B1243" s="31"/>
      <c r="C1243" s="31"/>
      <c r="D1243" s="84"/>
      <c r="E1243" s="85"/>
      <c r="F1243" s="31"/>
      <c r="G1243" s="85"/>
      <c r="H1243" s="31"/>
      <c r="I1243" s="31"/>
      <c r="J1243" s="31"/>
      <c r="K1243" s="31"/>
      <c r="L1243" s="31"/>
      <c r="M1243" s="31"/>
      <c r="N1243" s="31"/>
    </row>
    <row r="1244">
      <c r="A1244" s="31"/>
      <c r="B1244" s="31"/>
      <c r="C1244" s="31"/>
      <c r="D1244" s="84"/>
      <c r="E1244" s="85"/>
      <c r="F1244" s="31"/>
      <c r="G1244" s="85"/>
      <c r="H1244" s="31"/>
      <c r="I1244" s="31"/>
      <c r="J1244" s="31"/>
      <c r="K1244" s="31"/>
      <c r="L1244" s="31"/>
      <c r="M1244" s="31"/>
      <c r="N1244" s="31"/>
    </row>
    <row r="1245">
      <c r="A1245" s="31"/>
      <c r="B1245" s="31"/>
      <c r="C1245" s="31"/>
      <c r="D1245" s="84"/>
      <c r="E1245" s="85"/>
      <c r="F1245" s="31"/>
      <c r="G1245" s="85"/>
      <c r="H1245" s="31"/>
      <c r="I1245" s="31"/>
      <c r="J1245" s="31"/>
      <c r="K1245" s="31"/>
      <c r="L1245" s="31"/>
      <c r="M1245" s="31"/>
      <c r="N1245" s="31"/>
    </row>
    <row r="1246">
      <c r="A1246" s="31"/>
      <c r="B1246" s="31"/>
      <c r="C1246" s="31"/>
      <c r="D1246" s="84"/>
      <c r="E1246" s="85"/>
      <c r="F1246" s="31"/>
      <c r="G1246" s="85"/>
      <c r="H1246" s="31"/>
      <c r="I1246" s="31"/>
      <c r="J1246" s="31"/>
      <c r="K1246" s="31"/>
      <c r="L1246" s="31"/>
      <c r="M1246" s="31"/>
      <c r="N1246" s="31"/>
    </row>
    <row r="1247">
      <c r="A1247" s="31"/>
      <c r="B1247" s="31"/>
      <c r="C1247" s="31"/>
      <c r="D1247" s="84"/>
      <c r="E1247" s="85"/>
      <c r="F1247" s="31"/>
      <c r="G1247" s="85"/>
      <c r="H1247" s="31"/>
      <c r="I1247" s="31"/>
      <c r="J1247" s="31"/>
      <c r="K1247" s="31"/>
      <c r="L1247" s="31"/>
      <c r="M1247" s="31"/>
      <c r="N1247" s="31"/>
    </row>
    <row r="1248">
      <c r="A1248" s="31"/>
      <c r="B1248" s="31"/>
      <c r="C1248" s="31"/>
      <c r="D1248" s="84"/>
      <c r="E1248" s="85"/>
      <c r="F1248" s="31"/>
      <c r="G1248" s="85"/>
      <c r="H1248" s="31"/>
      <c r="I1248" s="31"/>
      <c r="J1248" s="31"/>
      <c r="K1248" s="31"/>
      <c r="L1248" s="31"/>
      <c r="M1248" s="31"/>
      <c r="N1248" s="31"/>
    </row>
    <row r="1249">
      <c r="A1249" s="31"/>
      <c r="B1249" s="31"/>
      <c r="C1249" s="31"/>
      <c r="D1249" s="84"/>
      <c r="E1249" s="85"/>
      <c r="F1249" s="31"/>
      <c r="G1249" s="85"/>
      <c r="H1249" s="31"/>
      <c r="I1249" s="31"/>
      <c r="J1249" s="31"/>
      <c r="K1249" s="31"/>
      <c r="L1249" s="31"/>
      <c r="M1249" s="31"/>
      <c r="N1249" s="31"/>
    </row>
    <row r="1250">
      <c r="A1250" s="31"/>
      <c r="B1250" s="31"/>
      <c r="C1250" s="31"/>
      <c r="D1250" s="84"/>
      <c r="E1250" s="85"/>
      <c r="F1250" s="31"/>
      <c r="G1250" s="85"/>
      <c r="H1250" s="31"/>
      <c r="I1250" s="31"/>
      <c r="J1250" s="31"/>
      <c r="K1250" s="31"/>
      <c r="L1250" s="31"/>
      <c r="M1250" s="31"/>
      <c r="N1250" s="31"/>
    </row>
    <row r="1251">
      <c r="A1251" s="31"/>
      <c r="B1251" s="31"/>
      <c r="C1251" s="31"/>
      <c r="D1251" s="84"/>
      <c r="E1251" s="85"/>
      <c r="F1251" s="31"/>
      <c r="G1251" s="85"/>
      <c r="H1251" s="31"/>
      <c r="I1251" s="31"/>
      <c r="J1251" s="31"/>
      <c r="K1251" s="31"/>
      <c r="L1251" s="31"/>
      <c r="M1251" s="31"/>
      <c r="N1251" s="31"/>
    </row>
    <row r="1252">
      <c r="A1252" s="31"/>
      <c r="B1252" s="31"/>
      <c r="C1252" s="31"/>
      <c r="D1252" s="84"/>
      <c r="E1252" s="85"/>
      <c r="F1252" s="31"/>
      <c r="G1252" s="85"/>
      <c r="H1252" s="31"/>
      <c r="I1252" s="31"/>
      <c r="J1252" s="31"/>
      <c r="K1252" s="31"/>
      <c r="L1252" s="31"/>
      <c r="M1252" s="31"/>
      <c r="N1252" s="31"/>
    </row>
    <row r="1253">
      <c r="A1253" s="31"/>
      <c r="B1253" s="31"/>
      <c r="C1253" s="31"/>
      <c r="D1253" s="84"/>
      <c r="E1253" s="85"/>
      <c r="F1253" s="31"/>
      <c r="G1253" s="85"/>
      <c r="H1253" s="31"/>
      <c r="I1253" s="31"/>
      <c r="J1253" s="31"/>
      <c r="K1253" s="31"/>
      <c r="L1253" s="31"/>
      <c r="M1253" s="31"/>
      <c r="N1253" s="31"/>
    </row>
    <row r="1254">
      <c r="A1254" s="31"/>
      <c r="B1254" s="31"/>
      <c r="C1254" s="31"/>
      <c r="D1254" s="84"/>
      <c r="E1254" s="85"/>
      <c r="F1254" s="31"/>
      <c r="G1254" s="85"/>
      <c r="H1254" s="31"/>
      <c r="I1254" s="31"/>
      <c r="J1254" s="31"/>
      <c r="K1254" s="31"/>
      <c r="L1254" s="31"/>
      <c r="M1254" s="31"/>
      <c r="N1254" s="31"/>
    </row>
    <row r="1255">
      <c r="A1255" s="31"/>
      <c r="B1255" s="31"/>
      <c r="C1255" s="31"/>
      <c r="D1255" s="84"/>
      <c r="E1255" s="85"/>
      <c r="F1255" s="31"/>
      <c r="G1255" s="85"/>
      <c r="H1255" s="31"/>
      <c r="I1255" s="31"/>
      <c r="J1255" s="31"/>
      <c r="K1255" s="31"/>
      <c r="L1255" s="31"/>
      <c r="M1255" s="31"/>
      <c r="N1255" s="31"/>
    </row>
    <row r="1256">
      <c r="A1256" s="31"/>
      <c r="B1256" s="31"/>
      <c r="C1256" s="31"/>
      <c r="D1256" s="84"/>
      <c r="E1256" s="85"/>
      <c r="F1256" s="31"/>
      <c r="G1256" s="85"/>
      <c r="H1256" s="31"/>
      <c r="I1256" s="31"/>
      <c r="J1256" s="31"/>
      <c r="K1256" s="31"/>
      <c r="L1256" s="31"/>
      <c r="M1256" s="31"/>
      <c r="N1256" s="31"/>
    </row>
    <row r="1257">
      <c r="A1257" s="31"/>
      <c r="B1257" s="31"/>
      <c r="C1257" s="31"/>
      <c r="D1257" s="84"/>
      <c r="E1257" s="85"/>
      <c r="F1257" s="31"/>
      <c r="G1257" s="85"/>
      <c r="H1257" s="31"/>
      <c r="I1257" s="31"/>
      <c r="J1257" s="31"/>
      <c r="K1257" s="31"/>
      <c r="L1257" s="31"/>
      <c r="M1257" s="31"/>
      <c r="N1257" s="31"/>
    </row>
    <row r="1258">
      <c r="A1258" s="31"/>
      <c r="B1258" s="31"/>
      <c r="C1258" s="31"/>
      <c r="D1258" s="84"/>
      <c r="E1258" s="85"/>
      <c r="F1258" s="31"/>
      <c r="G1258" s="85"/>
      <c r="H1258" s="31"/>
      <c r="I1258" s="31"/>
      <c r="J1258" s="31"/>
      <c r="K1258" s="31"/>
      <c r="L1258" s="31"/>
      <c r="M1258" s="31"/>
      <c r="N1258" s="31"/>
    </row>
    <row r="1259">
      <c r="A1259" s="31"/>
      <c r="B1259" s="31"/>
      <c r="C1259" s="31"/>
      <c r="D1259" s="84"/>
      <c r="E1259" s="85"/>
      <c r="F1259" s="31"/>
      <c r="G1259" s="85"/>
      <c r="H1259" s="31"/>
      <c r="I1259" s="31"/>
      <c r="J1259" s="31"/>
      <c r="K1259" s="31"/>
      <c r="L1259" s="31"/>
      <c r="M1259" s="31"/>
      <c r="N1259" s="31"/>
    </row>
    <row r="1260">
      <c r="A1260" s="31"/>
      <c r="B1260" s="31"/>
      <c r="C1260" s="31"/>
      <c r="D1260" s="84"/>
      <c r="E1260" s="85"/>
      <c r="F1260" s="31"/>
      <c r="G1260" s="85"/>
      <c r="H1260" s="31"/>
      <c r="I1260" s="31"/>
      <c r="J1260" s="31"/>
      <c r="K1260" s="31"/>
      <c r="L1260" s="31"/>
      <c r="M1260" s="31"/>
      <c r="N1260" s="31"/>
    </row>
    <row r="1261">
      <c r="A1261" s="31"/>
      <c r="B1261" s="31"/>
      <c r="C1261" s="31"/>
      <c r="D1261" s="84"/>
      <c r="E1261" s="85"/>
      <c r="F1261" s="31"/>
      <c r="G1261" s="85"/>
      <c r="H1261" s="31"/>
      <c r="I1261" s="31"/>
      <c r="J1261" s="31"/>
      <c r="K1261" s="31"/>
      <c r="L1261" s="31"/>
      <c r="M1261" s="31"/>
      <c r="N1261" s="31"/>
    </row>
    <row r="1262">
      <c r="A1262" s="31"/>
      <c r="B1262" s="31"/>
      <c r="C1262" s="31"/>
      <c r="D1262" s="84"/>
      <c r="E1262" s="85"/>
      <c r="F1262" s="31"/>
      <c r="G1262" s="85"/>
      <c r="H1262" s="31"/>
      <c r="I1262" s="31"/>
      <c r="J1262" s="31"/>
      <c r="K1262" s="31"/>
      <c r="L1262" s="31"/>
      <c r="M1262" s="31"/>
      <c r="N1262" s="31"/>
    </row>
    <row r="1263">
      <c r="A1263" s="31"/>
      <c r="B1263" s="31"/>
      <c r="C1263" s="31"/>
      <c r="D1263" s="84"/>
      <c r="E1263" s="85"/>
      <c r="F1263" s="31"/>
      <c r="G1263" s="85"/>
      <c r="H1263" s="31"/>
      <c r="I1263" s="31"/>
      <c r="J1263" s="31"/>
      <c r="K1263" s="31"/>
      <c r="L1263" s="31"/>
      <c r="M1263" s="31"/>
      <c r="N1263" s="31"/>
    </row>
    <row r="1264">
      <c r="A1264" s="31"/>
      <c r="B1264" s="31"/>
      <c r="C1264" s="31"/>
      <c r="D1264" s="84"/>
      <c r="E1264" s="85"/>
      <c r="F1264" s="31"/>
      <c r="G1264" s="85"/>
      <c r="H1264" s="31"/>
      <c r="I1264" s="31"/>
      <c r="J1264" s="31"/>
      <c r="K1264" s="31"/>
      <c r="L1264" s="31"/>
      <c r="M1264" s="31"/>
      <c r="N1264" s="31"/>
    </row>
    <row r="1265">
      <c r="A1265" s="31"/>
      <c r="B1265" s="31"/>
      <c r="C1265" s="31"/>
      <c r="D1265" s="84"/>
      <c r="E1265" s="85"/>
      <c r="F1265" s="31"/>
      <c r="G1265" s="85"/>
      <c r="H1265" s="31"/>
      <c r="I1265" s="31"/>
      <c r="J1265" s="31"/>
      <c r="K1265" s="31"/>
      <c r="L1265" s="31"/>
      <c r="M1265" s="31"/>
      <c r="N1265" s="31"/>
    </row>
    <row r="1266">
      <c r="A1266" s="31"/>
      <c r="B1266" s="31"/>
      <c r="C1266" s="31"/>
      <c r="D1266" s="84"/>
      <c r="E1266" s="85"/>
      <c r="F1266" s="31"/>
      <c r="G1266" s="85"/>
      <c r="H1266" s="31"/>
      <c r="I1266" s="31"/>
      <c r="J1266" s="31"/>
      <c r="K1266" s="31"/>
      <c r="L1266" s="31"/>
      <c r="M1266" s="31"/>
      <c r="N1266" s="31"/>
    </row>
    <row r="1267">
      <c r="A1267" s="31"/>
      <c r="B1267" s="31"/>
      <c r="C1267" s="31"/>
      <c r="D1267" s="84"/>
      <c r="E1267" s="85"/>
      <c r="F1267" s="31"/>
      <c r="G1267" s="85"/>
      <c r="H1267" s="31"/>
      <c r="I1267" s="31"/>
      <c r="J1267" s="31"/>
      <c r="K1267" s="31"/>
      <c r="L1267" s="31"/>
      <c r="M1267" s="31"/>
      <c r="N1267" s="31"/>
    </row>
    <row r="1268">
      <c r="A1268" s="31"/>
      <c r="B1268" s="31"/>
      <c r="C1268" s="31"/>
      <c r="D1268" s="84"/>
      <c r="E1268" s="85"/>
      <c r="F1268" s="31"/>
      <c r="G1268" s="85"/>
      <c r="H1268" s="31"/>
      <c r="I1268" s="31"/>
      <c r="J1268" s="31"/>
      <c r="K1268" s="31"/>
      <c r="L1268" s="31"/>
      <c r="M1268" s="31"/>
      <c r="N1268" s="31"/>
    </row>
    <row r="1269">
      <c r="A1269" s="31"/>
      <c r="B1269" s="31"/>
      <c r="C1269" s="31"/>
      <c r="D1269" s="84"/>
      <c r="E1269" s="85"/>
      <c r="F1269" s="31"/>
      <c r="G1269" s="85"/>
      <c r="H1269" s="31"/>
      <c r="I1269" s="31"/>
      <c r="J1269" s="31"/>
      <c r="K1269" s="31"/>
      <c r="L1269" s="31"/>
      <c r="M1269" s="31"/>
      <c r="N1269" s="31"/>
    </row>
    <row r="1270">
      <c r="A1270" s="31"/>
      <c r="B1270" s="31"/>
      <c r="C1270" s="31"/>
      <c r="D1270" s="84"/>
      <c r="E1270" s="85"/>
      <c r="F1270" s="31"/>
      <c r="G1270" s="85"/>
      <c r="H1270" s="31"/>
      <c r="I1270" s="31"/>
      <c r="J1270" s="31"/>
      <c r="K1270" s="31"/>
      <c r="L1270" s="31"/>
      <c r="M1270" s="31"/>
      <c r="N1270" s="31"/>
    </row>
    <row r="1271">
      <c r="A1271" s="31"/>
      <c r="B1271" s="31"/>
      <c r="C1271" s="31"/>
      <c r="D1271" s="84"/>
      <c r="E1271" s="85"/>
      <c r="F1271" s="31"/>
      <c r="G1271" s="85"/>
      <c r="H1271" s="31"/>
      <c r="I1271" s="31"/>
      <c r="J1271" s="31"/>
      <c r="K1271" s="31"/>
      <c r="L1271" s="31"/>
      <c r="M1271" s="31"/>
      <c r="N1271" s="31"/>
    </row>
    <row r="1272">
      <c r="A1272" s="31"/>
      <c r="B1272" s="31"/>
      <c r="C1272" s="31"/>
      <c r="D1272" s="84"/>
      <c r="E1272" s="85"/>
      <c r="F1272" s="31"/>
      <c r="G1272" s="85"/>
      <c r="H1272" s="31"/>
      <c r="I1272" s="31"/>
      <c r="J1272" s="31"/>
      <c r="K1272" s="31"/>
      <c r="L1272" s="31"/>
      <c r="M1272" s="31"/>
      <c r="N1272" s="31"/>
    </row>
    <row r="1273">
      <c r="A1273" s="31"/>
      <c r="B1273" s="31"/>
      <c r="C1273" s="31"/>
      <c r="D1273" s="84"/>
      <c r="E1273" s="85"/>
      <c r="F1273" s="31"/>
      <c r="G1273" s="85"/>
      <c r="H1273" s="31"/>
      <c r="I1273" s="31"/>
      <c r="J1273" s="31"/>
      <c r="K1273" s="31"/>
      <c r="L1273" s="31"/>
      <c r="M1273" s="31"/>
      <c r="N1273" s="31"/>
    </row>
    <row r="1274">
      <c r="A1274" s="31"/>
      <c r="B1274" s="31"/>
      <c r="C1274" s="31"/>
      <c r="D1274" s="84"/>
      <c r="E1274" s="85"/>
      <c r="F1274" s="31"/>
      <c r="G1274" s="85"/>
      <c r="H1274" s="31"/>
      <c r="I1274" s="31"/>
      <c r="J1274" s="31"/>
      <c r="K1274" s="31"/>
      <c r="L1274" s="31"/>
      <c r="M1274" s="31"/>
      <c r="N1274" s="31"/>
    </row>
    <row r="1275">
      <c r="A1275" s="31"/>
      <c r="B1275" s="31"/>
      <c r="C1275" s="31"/>
      <c r="D1275" s="84"/>
      <c r="E1275" s="85"/>
      <c r="F1275" s="31"/>
      <c r="G1275" s="85"/>
      <c r="H1275" s="31"/>
      <c r="I1275" s="31"/>
      <c r="J1275" s="31"/>
      <c r="K1275" s="31"/>
      <c r="L1275" s="31"/>
      <c r="M1275" s="31"/>
      <c r="N1275" s="31"/>
    </row>
    <row r="1276">
      <c r="A1276" s="31"/>
      <c r="B1276" s="31"/>
      <c r="C1276" s="31"/>
      <c r="D1276" s="84"/>
      <c r="E1276" s="85"/>
      <c r="F1276" s="31"/>
      <c r="G1276" s="85"/>
      <c r="H1276" s="31"/>
      <c r="I1276" s="31"/>
      <c r="J1276" s="31"/>
      <c r="K1276" s="31"/>
      <c r="L1276" s="31"/>
      <c r="M1276" s="31"/>
      <c r="N1276" s="31"/>
    </row>
    <row r="1277">
      <c r="A1277" s="31"/>
      <c r="B1277" s="31"/>
      <c r="C1277" s="31"/>
      <c r="D1277" s="84"/>
      <c r="E1277" s="85"/>
      <c r="F1277" s="31"/>
      <c r="G1277" s="85"/>
      <c r="H1277" s="31"/>
      <c r="I1277" s="31"/>
      <c r="J1277" s="31"/>
      <c r="K1277" s="31"/>
      <c r="L1277" s="31"/>
      <c r="M1277" s="31"/>
      <c r="N1277" s="31"/>
    </row>
    <row r="1278">
      <c r="A1278" s="31"/>
      <c r="B1278" s="31"/>
      <c r="C1278" s="31"/>
      <c r="D1278" s="84"/>
      <c r="E1278" s="85"/>
      <c r="F1278" s="31"/>
      <c r="G1278" s="85"/>
      <c r="H1278" s="31"/>
      <c r="I1278" s="31"/>
      <c r="J1278" s="31"/>
      <c r="K1278" s="31"/>
      <c r="L1278" s="31"/>
      <c r="M1278" s="31"/>
      <c r="N1278" s="31"/>
    </row>
    <row r="1279">
      <c r="A1279" s="31"/>
      <c r="B1279" s="31"/>
      <c r="C1279" s="31"/>
      <c r="D1279" s="84"/>
      <c r="E1279" s="85"/>
      <c r="F1279" s="31"/>
      <c r="G1279" s="85"/>
      <c r="H1279" s="31"/>
      <c r="I1279" s="31"/>
      <c r="J1279" s="31"/>
      <c r="K1279" s="31"/>
      <c r="L1279" s="31"/>
      <c r="M1279" s="31"/>
      <c r="N1279" s="31"/>
    </row>
    <row r="1280">
      <c r="A1280" s="31"/>
      <c r="B1280" s="31"/>
      <c r="C1280" s="31"/>
      <c r="D1280" s="84"/>
      <c r="E1280" s="85"/>
      <c r="F1280" s="31"/>
      <c r="G1280" s="85"/>
      <c r="H1280" s="31"/>
      <c r="I1280" s="31"/>
      <c r="J1280" s="31"/>
      <c r="K1280" s="31"/>
      <c r="L1280" s="31"/>
      <c r="M1280" s="31"/>
      <c r="N1280" s="31"/>
    </row>
    <row r="1281">
      <c r="A1281" s="31"/>
      <c r="B1281" s="31"/>
      <c r="C1281" s="31"/>
      <c r="D1281" s="84"/>
      <c r="E1281" s="85"/>
      <c r="F1281" s="31"/>
      <c r="G1281" s="85"/>
      <c r="H1281" s="31"/>
      <c r="I1281" s="31"/>
      <c r="J1281" s="31"/>
      <c r="K1281" s="31"/>
      <c r="L1281" s="31"/>
      <c r="M1281" s="31"/>
      <c r="N1281" s="31"/>
    </row>
    <row r="1282">
      <c r="A1282" s="31"/>
      <c r="B1282" s="31"/>
      <c r="C1282" s="31"/>
      <c r="D1282" s="84"/>
      <c r="E1282" s="85"/>
      <c r="F1282" s="31"/>
      <c r="G1282" s="85"/>
      <c r="H1282" s="31"/>
      <c r="I1282" s="31"/>
      <c r="J1282" s="31"/>
      <c r="K1282" s="31"/>
      <c r="L1282" s="31"/>
      <c r="M1282" s="31"/>
      <c r="N1282" s="31"/>
    </row>
    <row r="1283">
      <c r="A1283" s="31"/>
      <c r="B1283" s="31"/>
      <c r="C1283" s="31"/>
      <c r="D1283" s="84"/>
      <c r="E1283" s="85"/>
      <c r="F1283" s="31"/>
      <c r="G1283" s="85"/>
      <c r="H1283" s="31"/>
      <c r="I1283" s="31"/>
      <c r="J1283" s="31"/>
      <c r="K1283" s="31"/>
      <c r="L1283" s="31"/>
      <c r="M1283" s="31"/>
      <c r="N1283" s="31"/>
    </row>
    <row r="1284">
      <c r="A1284" s="31"/>
      <c r="B1284" s="31"/>
      <c r="C1284" s="31"/>
      <c r="D1284" s="84"/>
      <c r="E1284" s="85"/>
      <c r="F1284" s="31"/>
      <c r="G1284" s="85"/>
      <c r="H1284" s="31"/>
      <c r="I1284" s="31"/>
      <c r="J1284" s="31"/>
      <c r="K1284" s="31"/>
      <c r="L1284" s="31"/>
      <c r="M1284" s="31"/>
      <c r="N1284" s="31"/>
    </row>
    <row r="1285">
      <c r="A1285" s="31"/>
      <c r="B1285" s="31"/>
      <c r="C1285" s="31"/>
      <c r="D1285" s="84"/>
      <c r="E1285" s="85"/>
      <c r="F1285" s="31"/>
      <c r="G1285" s="85"/>
      <c r="H1285" s="31"/>
      <c r="I1285" s="31"/>
      <c r="J1285" s="31"/>
      <c r="K1285" s="31"/>
      <c r="L1285" s="31"/>
      <c r="M1285" s="31"/>
      <c r="N1285" s="31"/>
    </row>
    <row r="1286">
      <c r="A1286" s="31"/>
      <c r="B1286" s="31"/>
      <c r="C1286" s="31"/>
      <c r="D1286" s="84"/>
      <c r="E1286" s="85"/>
      <c r="F1286" s="31"/>
      <c r="G1286" s="85"/>
      <c r="H1286" s="31"/>
      <c r="I1286" s="31"/>
      <c r="J1286" s="31"/>
      <c r="K1286" s="31"/>
      <c r="L1286" s="31"/>
      <c r="M1286" s="31"/>
      <c r="N1286" s="31"/>
    </row>
    <row r="1287">
      <c r="A1287" s="31"/>
      <c r="B1287" s="31"/>
      <c r="C1287" s="31"/>
      <c r="D1287" s="84"/>
      <c r="E1287" s="85"/>
      <c r="F1287" s="31"/>
      <c r="G1287" s="85"/>
      <c r="H1287" s="31"/>
      <c r="I1287" s="31"/>
      <c r="J1287" s="31"/>
      <c r="K1287" s="31"/>
      <c r="L1287" s="31"/>
      <c r="M1287" s="31"/>
      <c r="N1287" s="31"/>
    </row>
    <row r="1288">
      <c r="A1288" s="31"/>
      <c r="B1288" s="31"/>
      <c r="C1288" s="31"/>
      <c r="D1288" s="84"/>
      <c r="E1288" s="85"/>
      <c r="F1288" s="31"/>
      <c r="G1288" s="85"/>
      <c r="H1288" s="31"/>
      <c r="I1288" s="31"/>
      <c r="J1288" s="31"/>
      <c r="K1288" s="31"/>
      <c r="L1288" s="31"/>
      <c r="M1288" s="31"/>
      <c r="N1288" s="31"/>
    </row>
    <row r="1289">
      <c r="A1289" s="31"/>
      <c r="B1289" s="31"/>
      <c r="C1289" s="31"/>
      <c r="D1289" s="84"/>
      <c r="E1289" s="85"/>
      <c r="F1289" s="31"/>
      <c r="G1289" s="85"/>
      <c r="H1289" s="31"/>
      <c r="I1289" s="31"/>
      <c r="J1289" s="31"/>
      <c r="K1289" s="31"/>
      <c r="L1289" s="31"/>
      <c r="M1289" s="31"/>
      <c r="N1289" s="31"/>
    </row>
    <row r="1290">
      <c r="A1290" s="31"/>
      <c r="B1290" s="31"/>
      <c r="C1290" s="31"/>
      <c r="D1290" s="84"/>
      <c r="E1290" s="85"/>
      <c r="F1290" s="31"/>
      <c r="G1290" s="85"/>
      <c r="H1290" s="31"/>
      <c r="I1290" s="31"/>
      <c r="J1290" s="31"/>
      <c r="K1290" s="31"/>
      <c r="L1290" s="31"/>
      <c r="M1290" s="31"/>
      <c r="N1290" s="31"/>
    </row>
    <row r="1291">
      <c r="A1291" s="31"/>
      <c r="B1291" s="31"/>
      <c r="C1291" s="31"/>
      <c r="D1291" s="84"/>
      <c r="E1291" s="85"/>
      <c r="F1291" s="31"/>
      <c r="G1291" s="85"/>
      <c r="H1291" s="31"/>
      <c r="I1291" s="31"/>
      <c r="J1291" s="31"/>
      <c r="K1291" s="31"/>
      <c r="L1291" s="31"/>
      <c r="M1291" s="31"/>
      <c r="N1291" s="31"/>
    </row>
    <row r="1292">
      <c r="A1292" s="31"/>
      <c r="B1292" s="31"/>
      <c r="C1292" s="31"/>
      <c r="D1292" s="84"/>
      <c r="E1292" s="85"/>
      <c r="F1292" s="31"/>
      <c r="G1292" s="85"/>
      <c r="H1292" s="31"/>
      <c r="I1292" s="31"/>
      <c r="J1292" s="31"/>
      <c r="K1292" s="31"/>
      <c r="L1292" s="31"/>
      <c r="M1292" s="31"/>
      <c r="N1292" s="31"/>
    </row>
    <row r="1293">
      <c r="A1293" s="31"/>
      <c r="B1293" s="31"/>
      <c r="C1293" s="31"/>
      <c r="D1293" s="84"/>
      <c r="E1293" s="85"/>
      <c r="F1293" s="31"/>
      <c r="G1293" s="85"/>
      <c r="H1293" s="31"/>
      <c r="I1293" s="31"/>
      <c r="J1293" s="31"/>
      <c r="K1293" s="31"/>
      <c r="L1293" s="31"/>
      <c r="M1293" s="31"/>
      <c r="N1293" s="31"/>
    </row>
    <row r="1294">
      <c r="A1294" s="31"/>
      <c r="B1294" s="31"/>
      <c r="C1294" s="31"/>
      <c r="D1294" s="84"/>
      <c r="E1294" s="85"/>
      <c r="F1294" s="31"/>
      <c r="G1294" s="85"/>
      <c r="H1294" s="31"/>
      <c r="I1294" s="31"/>
      <c r="J1294" s="31"/>
      <c r="K1294" s="31"/>
      <c r="L1294" s="31"/>
      <c r="M1294" s="31"/>
      <c r="N1294" s="31"/>
    </row>
    <row r="1295">
      <c r="A1295" s="31"/>
      <c r="B1295" s="31"/>
      <c r="C1295" s="31"/>
      <c r="D1295" s="84"/>
      <c r="E1295" s="85"/>
      <c r="F1295" s="31"/>
      <c r="G1295" s="85"/>
      <c r="H1295" s="31"/>
      <c r="I1295" s="31"/>
      <c r="J1295" s="31"/>
      <c r="K1295" s="31"/>
      <c r="L1295" s="31"/>
      <c r="M1295" s="31"/>
      <c r="N1295" s="31"/>
    </row>
    <row r="1296">
      <c r="A1296" s="31"/>
      <c r="B1296" s="31"/>
      <c r="C1296" s="31"/>
      <c r="D1296" s="84"/>
      <c r="E1296" s="85"/>
      <c r="F1296" s="31"/>
      <c r="G1296" s="85"/>
      <c r="H1296" s="31"/>
      <c r="I1296" s="31"/>
      <c r="J1296" s="31"/>
      <c r="K1296" s="31"/>
      <c r="L1296" s="31"/>
      <c r="M1296" s="31"/>
      <c r="N1296" s="31"/>
    </row>
    <row r="1297">
      <c r="A1297" s="31"/>
      <c r="B1297" s="31"/>
      <c r="C1297" s="31"/>
      <c r="D1297" s="84"/>
      <c r="E1297" s="85"/>
      <c r="F1297" s="31"/>
      <c r="G1297" s="85"/>
      <c r="H1297" s="31"/>
      <c r="I1297" s="31"/>
      <c r="J1297" s="31"/>
      <c r="K1297" s="31"/>
      <c r="L1297" s="31"/>
      <c r="M1297" s="31"/>
      <c r="N1297" s="31"/>
    </row>
    <row r="1298">
      <c r="A1298" s="31"/>
      <c r="B1298" s="31"/>
      <c r="C1298" s="31"/>
      <c r="D1298" s="84"/>
      <c r="E1298" s="85"/>
      <c r="F1298" s="31"/>
      <c r="G1298" s="85"/>
      <c r="H1298" s="31"/>
      <c r="I1298" s="31"/>
      <c r="J1298" s="31"/>
      <c r="K1298" s="31"/>
      <c r="L1298" s="31"/>
      <c r="M1298" s="31"/>
      <c r="N1298" s="31"/>
    </row>
    <row r="1299">
      <c r="A1299" s="31"/>
      <c r="B1299" s="31"/>
      <c r="C1299" s="31"/>
      <c r="D1299" s="84"/>
      <c r="E1299" s="85"/>
      <c r="F1299" s="31"/>
      <c r="G1299" s="85"/>
      <c r="H1299" s="31"/>
      <c r="I1299" s="31"/>
      <c r="J1299" s="31"/>
      <c r="K1299" s="31"/>
      <c r="L1299" s="31"/>
      <c r="M1299" s="31"/>
      <c r="N1299" s="31"/>
    </row>
    <row r="1300">
      <c r="A1300" s="31"/>
      <c r="B1300" s="31"/>
      <c r="C1300" s="31"/>
      <c r="D1300" s="84"/>
      <c r="E1300" s="85"/>
      <c r="F1300" s="31"/>
      <c r="G1300" s="85"/>
      <c r="H1300" s="31"/>
      <c r="I1300" s="31"/>
      <c r="J1300" s="31"/>
      <c r="K1300" s="31"/>
      <c r="L1300" s="31"/>
      <c r="M1300" s="31"/>
      <c r="N1300" s="31"/>
    </row>
    <row r="1301">
      <c r="A1301" s="31"/>
      <c r="B1301" s="31"/>
      <c r="C1301" s="31"/>
      <c r="D1301" s="84"/>
      <c r="E1301" s="85"/>
      <c r="F1301" s="31"/>
      <c r="G1301" s="85"/>
      <c r="H1301" s="31"/>
      <c r="I1301" s="31"/>
      <c r="J1301" s="31"/>
      <c r="K1301" s="31"/>
      <c r="L1301" s="31"/>
      <c r="M1301" s="31"/>
      <c r="N1301" s="31"/>
    </row>
    <row r="1302">
      <c r="A1302" s="31"/>
      <c r="B1302" s="31"/>
      <c r="C1302" s="31"/>
      <c r="D1302" s="84"/>
      <c r="E1302" s="85"/>
      <c r="F1302" s="31"/>
      <c r="G1302" s="85"/>
      <c r="H1302" s="31"/>
      <c r="I1302" s="31"/>
      <c r="J1302" s="31"/>
      <c r="K1302" s="31"/>
      <c r="L1302" s="31"/>
      <c r="M1302" s="31"/>
      <c r="N1302" s="31"/>
    </row>
    <row r="1303">
      <c r="A1303" s="31"/>
      <c r="B1303" s="31"/>
      <c r="C1303" s="31"/>
      <c r="D1303" s="84"/>
      <c r="E1303" s="85"/>
      <c r="F1303" s="31"/>
      <c r="G1303" s="85"/>
      <c r="H1303" s="31"/>
      <c r="I1303" s="31"/>
      <c r="J1303" s="31"/>
      <c r="K1303" s="31"/>
      <c r="L1303" s="31"/>
      <c r="M1303" s="31"/>
      <c r="N1303" s="31"/>
    </row>
    <row r="1304">
      <c r="A1304" s="31"/>
      <c r="B1304" s="31"/>
      <c r="C1304" s="31"/>
      <c r="D1304" s="84"/>
      <c r="E1304" s="85"/>
      <c r="F1304" s="31"/>
      <c r="G1304" s="85"/>
      <c r="H1304" s="31"/>
      <c r="I1304" s="31"/>
      <c r="J1304" s="31"/>
      <c r="K1304" s="31"/>
      <c r="L1304" s="31"/>
      <c r="M1304" s="31"/>
      <c r="N1304" s="31"/>
    </row>
    <row r="1305">
      <c r="A1305" s="31"/>
      <c r="B1305" s="31"/>
      <c r="C1305" s="31"/>
      <c r="D1305" s="84"/>
      <c r="E1305" s="85"/>
      <c r="F1305" s="31"/>
      <c r="G1305" s="85"/>
      <c r="H1305" s="31"/>
      <c r="I1305" s="31"/>
      <c r="J1305" s="31"/>
      <c r="K1305" s="31"/>
      <c r="L1305" s="31"/>
      <c r="M1305" s="31"/>
      <c r="N1305" s="31"/>
    </row>
    <row r="1306">
      <c r="A1306" s="31"/>
      <c r="B1306" s="31"/>
      <c r="C1306" s="31"/>
      <c r="D1306" s="84"/>
      <c r="E1306" s="85"/>
      <c r="F1306" s="31"/>
      <c r="G1306" s="85"/>
      <c r="H1306" s="31"/>
      <c r="I1306" s="31"/>
      <c r="J1306" s="31"/>
      <c r="K1306" s="31"/>
      <c r="L1306" s="31"/>
      <c r="M1306" s="31"/>
      <c r="N1306" s="31"/>
    </row>
    <row r="1307">
      <c r="A1307" s="31"/>
      <c r="B1307" s="31"/>
      <c r="C1307" s="31"/>
      <c r="D1307" s="84"/>
      <c r="E1307" s="85"/>
      <c r="F1307" s="31"/>
      <c r="G1307" s="85"/>
      <c r="H1307" s="31"/>
      <c r="I1307" s="31"/>
      <c r="J1307" s="31"/>
      <c r="K1307" s="31"/>
      <c r="L1307" s="31"/>
      <c r="M1307" s="31"/>
      <c r="N1307" s="31"/>
    </row>
    <row r="1308">
      <c r="A1308" s="31"/>
      <c r="B1308" s="31"/>
      <c r="C1308" s="31"/>
      <c r="D1308" s="84"/>
      <c r="E1308" s="85"/>
      <c r="F1308" s="31"/>
      <c r="G1308" s="85"/>
      <c r="H1308" s="31"/>
      <c r="I1308" s="31"/>
      <c r="J1308" s="31"/>
      <c r="K1308" s="31"/>
      <c r="L1308" s="31"/>
      <c r="M1308" s="31"/>
      <c r="N1308" s="31"/>
    </row>
    <row r="1309">
      <c r="A1309" s="31"/>
      <c r="B1309" s="31"/>
      <c r="C1309" s="31"/>
      <c r="D1309" s="84"/>
      <c r="E1309" s="85"/>
      <c r="F1309" s="31"/>
      <c r="G1309" s="85"/>
      <c r="H1309" s="31"/>
      <c r="I1309" s="31"/>
      <c r="J1309" s="31"/>
      <c r="K1309" s="31"/>
      <c r="L1309" s="31"/>
      <c r="M1309" s="31"/>
      <c r="N1309" s="31"/>
    </row>
    <row r="1310">
      <c r="A1310" s="31"/>
      <c r="B1310" s="31"/>
      <c r="C1310" s="31"/>
      <c r="D1310" s="84"/>
      <c r="E1310" s="85"/>
      <c r="F1310" s="31"/>
      <c r="G1310" s="85"/>
      <c r="H1310" s="31"/>
      <c r="I1310" s="31"/>
      <c r="J1310" s="31"/>
      <c r="K1310" s="31"/>
      <c r="L1310" s="31"/>
      <c r="M1310" s="31"/>
      <c r="N1310" s="31"/>
    </row>
    <row r="1311">
      <c r="A1311" s="31"/>
      <c r="B1311" s="31"/>
      <c r="C1311" s="31"/>
      <c r="D1311" s="84"/>
      <c r="E1311" s="85"/>
      <c r="F1311" s="31"/>
      <c r="G1311" s="85"/>
      <c r="H1311" s="31"/>
      <c r="I1311" s="31"/>
      <c r="J1311" s="31"/>
      <c r="K1311" s="31"/>
      <c r="L1311" s="31"/>
      <c r="M1311" s="31"/>
      <c r="N1311" s="31"/>
    </row>
    <row r="1312">
      <c r="A1312" s="31"/>
      <c r="B1312" s="31"/>
      <c r="C1312" s="31"/>
      <c r="D1312" s="84"/>
      <c r="E1312" s="85"/>
      <c r="F1312" s="31"/>
      <c r="G1312" s="85"/>
      <c r="H1312" s="31"/>
      <c r="I1312" s="31"/>
      <c r="J1312" s="31"/>
      <c r="K1312" s="31"/>
      <c r="L1312" s="31"/>
      <c r="M1312" s="31"/>
      <c r="N1312" s="31"/>
    </row>
    <row r="1313">
      <c r="A1313" s="31"/>
      <c r="B1313" s="31"/>
      <c r="C1313" s="31"/>
      <c r="D1313" s="84"/>
      <c r="E1313" s="85"/>
      <c r="F1313" s="31"/>
      <c r="G1313" s="85"/>
      <c r="H1313" s="31"/>
      <c r="I1313" s="31"/>
      <c r="J1313" s="31"/>
      <c r="K1313" s="31"/>
      <c r="L1313" s="31"/>
      <c r="M1313" s="31"/>
      <c r="N1313" s="31"/>
    </row>
    <row r="1314">
      <c r="A1314" s="31"/>
      <c r="B1314" s="31"/>
      <c r="C1314" s="31"/>
      <c r="D1314" s="84"/>
      <c r="E1314" s="85"/>
      <c r="F1314" s="31"/>
      <c r="G1314" s="85"/>
      <c r="H1314" s="31"/>
      <c r="I1314" s="31"/>
      <c r="J1314" s="31"/>
      <c r="K1314" s="31"/>
      <c r="L1314" s="31"/>
      <c r="M1314" s="31"/>
      <c r="N1314" s="31"/>
    </row>
    <row r="1315">
      <c r="A1315" s="31"/>
      <c r="B1315" s="31"/>
      <c r="C1315" s="31"/>
      <c r="D1315" s="84"/>
      <c r="E1315" s="85"/>
      <c r="F1315" s="31"/>
      <c r="G1315" s="85"/>
      <c r="H1315" s="31"/>
      <c r="I1315" s="31"/>
      <c r="J1315" s="31"/>
      <c r="K1315" s="31"/>
      <c r="L1315" s="31"/>
      <c r="M1315" s="31"/>
      <c r="N1315" s="31"/>
    </row>
    <row r="1316">
      <c r="A1316" s="31"/>
      <c r="B1316" s="31"/>
      <c r="C1316" s="31"/>
      <c r="D1316" s="84"/>
      <c r="E1316" s="85"/>
      <c r="F1316" s="31"/>
      <c r="G1316" s="85"/>
      <c r="H1316" s="31"/>
      <c r="I1316" s="31"/>
      <c r="J1316" s="31"/>
      <c r="K1316" s="31"/>
      <c r="L1316" s="31"/>
      <c r="M1316" s="31"/>
      <c r="N1316" s="31"/>
    </row>
    <row r="1317">
      <c r="A1317" s="31"/>
      <c r="B1317" s="31"/>
      <c r="C1317" s="31"/>
      <c r="D1317" s="84"/>
      <c r="E1317" s="85"/>
      <c r="F1317" s="31"/>
      <c r="G1317" s="85"/>
      <c r="H1317" s="31"/>
      <c r="I1317" s="31"/>
      <c r="J1317" s="31"/>
      <c r="K1317" s="31"/>
      <c r="L1317" s="31"/>
      <c r="M1317" s="31"/>
      <c r="N1317" s="31"/>
    </row>
    <row r="1318">
      <c r="A1318" s="31"/>
      <c r="B1318" s="31"/>
      <c r="C1318" s="31"/>
      <c r="D1318" s="84"/>
      <c r="E1318" s="85"/>
      <c r="F1318" s="31"/>
      <c r="G1318" s="85"/>
      <c r="H1318" s="31"/>
      <c r="I1318" s="31"/>
      <c r="J1318" s="31"/>
      <c r="K1318" s="31"/>
      <c r="L1318" s="31"/>
      <c r="M1318" s="31"/>
      <c r="N1318" s="31"/>
    </row>
    <row r="1319">
      <c r="A1319" s="31"/>
      <c r="B1319" s="31"/>
      <c r="C1319" s="31"/>
      <c r="D1319" s="84"/>
      <c r="E1319" s="85"/>
      <c r="F1319" s="31"/>
      <c r="G1319" s="85"/>
      <c r="H1319" s="31"/>
      <c r="I1319" s="31"/>
      <c r="J1319" s="31"/>
      <c r="K1319" s="31"/>
      <c r="L1319" s="31"/>
      <c r="M1319" s="31"/>
      <c r="N1319" s="31"/>
    </row>
    <row r="1320">
      <c r="A1320" s="31"/>
      <c r="B1320" s="31"/>
      <c r="C1320" s="31"/>
      <c r="D1320" s="84"/>
      <c r="E1320" s="85"/>
      <c r="F1320" s="31"/>
      <c r="G1320" s="85"/>
      <c r="H1320" s="31"/>
      <c r="I1320" s="31"/>
      <c r="J1320" s="31"/>
      <c r="K1320" s="31"/>
      <c r="L1320" s="31"/>
      <c r="M1320" s="31"/>
      <c r="N1320" s="31"/>
    </row>
    <row r="1321">
      <c r="A1321" s="31"/>
      <c r="B1321" s="31"/>
      <c r="C1321" s="31"/>
      <c r="D1321" s="84"/>
      <c r="E1321" s="85"/>
      <c r="F1321" s="31"/>
      <c r="G1321" s="85"/>
      <c r="H1321" s="31"/>
      <c r="I1321" s="31"/>
      <c r="J1321" s="31"/>
      <c r="K1321" s="31"/>
      <c r="L1321" s="31"/>
      <c r="M1321" s="31"/>
      <c r="N1321" s="31"/>
    </row>
    <row r="1322">
      <c r="A1322" s="31"/>
      <c r="B1322" s="31"/>
      <c r="C1322" s="31"/>
      <c r="D1322" s="84"/>
      <c r="E1322" s="85"/>
      <c r="F1322" s="31"/>
      <c r="G1322" s="85"/>
      <c r="H1322" s="31"/>
      <c r="I1322" s="31"/>
      <c r="J1322" s="31"/>
      <c r="K1322" s="31"/>
      <c r="L1322" s="31"/>
      <c r="M1322" s="31"/>
      <c r="N1322" s="31"/>
    </row>
    <row r="1323">
      <c r="A1323" s="31"/>
      <c r="B1323" s="31"/>
      <c r="C1323" s="31"/>
      <c r="D1323" s="84"/>
      <c r="E1323" s="85"/>
      <c r="F1323" s="31"/>
      <c r="G1323" s="85"/>
      <c r="H1323" s="31"/>
      <c r="I1323" s="31"/>
      <c r="J1323" s="31"/>
      <c r="K1323" s="31"/>
      <c r="L1323" s="31"/>
      <c r="M1323" s="31"/>
      <c r="N1323" s="31"/>
    </row>
    <row r="1324">
      <c r="A1324" s="31"/>
      <c r="B1324" s="31"/>
      <c r="C1324" s="31"/>
      <c r="D1324" s="84"/>
      <c r="E1324" s="85"/>
      <c r="F1324" s="31"/>
      <c r="G1324" s="85"/>
      <c r="H1324" s="31"/>
      <c r="I1324" s="31"/>
      <c r="J1324" s="31"/>
      <c r="K1324" s="31"/>
      <c r="L1324" s="31"/>
      <c r="M1324" s="31"/>
      <c r="N1324" s="31"/>
    </row>
    <row r="1325">
      <c r="A1325" s="31"/>
      <c r="B1325" s="31"/>
      <c r="C1325" s="31"/>
      <c r="D1325" s="84"/>
      <c r="E1325" s="85"/>
      <c r="F1325" s="31"/>
      <c r="G1325" s="85"/>
      <c r="H1325" s="31"/>
      <c r="I1325" s="31"/>
      <c r="J1325" s="31"/>
      <c r="K1325" s="31"/>
      <c r="L1325" s="31"/>
      <c r="M1325" s="31"/>
      <c r="N1325" s="31"/>
    </row>
    <row r="1326">
      <c r="A1326" s="31"/>
      <c r="B1326" s="31"/>
      <c r="C1326" s="31"/>
      <c r="D1326" s="84"/>
      <c r="E1326" s="85"/>
      <c r="F1326" s="31"/>
      <c r="G1326" s="85"/>
      <c r="H1326" s="31"/>
      <c r="I1326" s="31"/>
      <c r="J1326" s="31"/>
      <c r="K1326" s="31"/>
      <c r="L1326" s="31"/>
      <c r="M1326" s="31"/>
      <c r="N1326" s="31"/>
    </row>
    <row r="1327">
      <c r="A1327" s="31"/>
      <c r="B1327" s="31"/>
      <c r="C1327" s="31"/>
      <c r="D1327" s="84"/>
      <c r="E1327" s="85"/>
      <c r="F1327" s="31"/>
      <c r="G1327" s="85"/>
      <c r="H1327" s="31"/>
      <c r="I1327" s="31"/>
      <c r="J1327" s="31"/>
      <c r="K1327" s="31"/>
      <c r="L1327" s="31"/>
      <c r="M1327" s="31"/>
      <c r="N1327" s="31"/>
    </row>
    <row r="1328">
      <c r="A1328" s="31"/>
      <c r="B1328" s="31"/>
      <c r="C1328" s="31"/>
      <c r="D1328" s="84"/>
      <c r="E1328" s="85"/>
      <c r="F1328" s="31"/>
      <c r="G1328" s="85"/>
      <c r="H1328" s="31"/>
      <c r="I1328" s="31"/>
      <c r="J1328" s="31"/>
      <c r="K1328" s="31"/>
      <c r="L1328" s="31"/>
      <c r="M1328" s="31"/>
      <c r="N1328" s="31"/>
    </row>
    <row r="1329">
      <c r="A1329" s="31"/>
      <c r="B1329" s="31"/>
      <c r="C1329" s="31"/>
      <c r="D1329" s="84"/>
      <c r="E1329" s="85"/>
      <c r="F1329" s="31"/>
      <c r="G1329" s="85"/>
      <c r="H1329" s="31"/>
      <c r="I1329" s="31"/>
      <c r="J1329" s="31"/>
      <c r="K1329" s="31"/>
      <c r="L1329" s="31"/>
      <c r="M1329" s="31"/>
      <c r="N1329" s="31"/>
    </row>
    <row r="1330">
      <c r="A1330" s="31"/>
      <c r="B1330" s="31"/>
      <c r="C1330" s="31"/>
      <c r="D1330" s="84"/>
      <c r="E1330" s="85"/>
      <c r="F1330" s="31"/>
      <c r="G1330" s="85"/>
      <c r="H1330" s="31"/>
      <c r="I1330" s="31"/>
      <c r="J1330" s="31"/>
      <c r="K1330" s="31"/>
      <c r="L1330" s="31"/>
      <c r="M1330" s="31"/>
      <c r="N1330" s="31"/>
    </row>
    <row r="1331">
      <c r="A1331" s="31"/>
      <c r="B1331" s="31"/>
      <c r="C1331" s="31"/>
      <c r="D1331" s="84"/>
      <c r="E1331" s="85"/>
      <c r="F1331" s="31"/>
      <c r="G1331" s="85"/>
      <c r="H1331" s="31"/>
      <c r="I1331" s="31"/>
      <c r="J1331" s="31"/>
      <c r="K1331" s="31"/>
      <c r="L1331" s="31"/>
      <c r="M1331" s="31"/>
      <c r="N1331" s="31"/>
    </row>
    <row r="1332">
      <c r="A1332" s="31"/>
      <c r="B1332" s="31"/>
      <c r="C1332" s="31"/>
      <c r="D1332" s="84"/>
      <c r="E1332" s="85"/>
      <c r="F1332" s="31"/>
      <c r="G1332" s="85"/>
      <c r="H1332" s="31"/>
      <c r="I1332" s="31"/>
      <c r="J1332" s="31"/>
      <c r="K1332" s="31"/>
      <c r="L1332" s="31"/>
      <c r="M1332" s="31"/>
      <c r="N1332" s="31"/>
    </row>
    <row r="1333">
      <c r="A1333" s="31"/>
      <c r="B1333" s="31"/>
      <c r="C1333" s="31"/>
      <c r="D1333" s="84"/>
      <c r="E1333" s="85"/>
      <c r="F1333" s="31"/>
      <c r="G1333" s="85"/>
      <c r="H1333" s="31"/>
      <c r="I1333" s="31"/>
      <c r="J1333" s="31"/>
      <c r="K1333" s="31"/>
      <c r="L1333" s="31"/>
      <c r="M1333" s="31"/>
      <c r="N1333" s="31"/>
    </row>
    <row r="1334">
      <c r="A1334" s="31"/>
      <c r="B1334" s="31"/>
      <c r="C1334" s="31"/>
      <c r="D1334" s="84"/>
      <c r="E1334" s="85"/>
      <c r="F1334" s="31"/>
      <c r="G1334" s="85"/>
      <c r="H1334" s="31"/>
      <c r="I1334" s="31"/>
      <c r="J1334" s="31"/>
      <c r="K1334" s="31"/>
      <c r="L1334" s="31"/>
      <c r="M1334" s="31"/>
      <c r="N1334" s="31"/>
    </row>
    <row r="1335">
      <c r="A1335" s="31"/>
      <c r="B1335" s="31"/>
      <c r="C1335" s="31"/>
      <c r="D1335" s="84"/>
      <c r="E1335" s="85"/>
      <c r="F1335" s="31"/>
      <c r="G1335" s="85"/>
      <c r="H1335" s="31"/>
      <c r="I1335" s="31"/>
      <c r="J1335" s="31"/>
      <c r="K1335" s="31"/>
      <c r="L1335" s="31"/>
      <c r="M1335" s="31"/>
      <c r="N1335" s="31"/>
    </row>
    <row r="1336">
      <c r="A1336" s="31"/>
      <c r="B1336" s="31"/>
      <c r="C1336" s="31"/>
      <c r="D1336" s="84"/>
      <c r="E1336" s="85"/>
      <c r="F1336" s="31"/>
      <c r="G1336" s="85"/>
      <c r="H1336" s="31"/>
      <c r="I1336" s="31"/>
      <c r="J1336" s="31"/>
      <c r="K1336" s="31"/>
      <c r="L1336" s="31"/>
      <c r="M1336" s="31"/>
      <c r="N1336" s="31"/>
    </row>
    <row r="1337">
      <c r="A1337" s="31"/>
      <c r="B1337" s="31"/>
      <c r="C1337" s="31"/>
      <c r="D1337" s="84"/>
      <c r="E1337" s="85"/>
      <c r="F1337" s="31"/>
      <c r="G1337" s="85"/>
      <c r="H1337" s="31"/>
      <c r="I1337" s="31"/>
      <c r="J1337" s="31"/>
      <c r="K1337" s="31"/>
      <c r="L1337" s="31"/>
      <c r="M1337" s="31"/>
      <c r="N1337" s="31"/>
    </row>
    <row r="1338">
      <c r="A1338" s="31"/>
      <c r="B1338" s="31"/>
      <c r="C1338" s="31"/>
      <c r="D1338" s="84"/>
      <c r="E1338" s="85"/>
      <c r="F1338" s="31"/>
      <c r="G1338" s="85"/>
      <c r="H1338" s="31"/>
      <c r="I1338" s="31"/>
      <c r="J1338" s="31"/>
      <c r="K1338" s="31"/>
      <c r="L1338" s="31"/>
      <c r="M1338" s="31"/>
      <c r="N1338" s="31"/>
    </row>
    <row r="1339">
      <c r="A1339" s="31"/>
      <c r="B1339" s="31"/>
      <c r="C1339" s="31"/>
      <c r="D1339" s="84"/>
      <c r="E1339" s="85"/>
      <c r="F1339" s="31"/>
      <c r="G1339" s="85"/>
      <c r="H1339" s="31"/>
      <c r="I1339" s="31"/>
      <c r="J1339" s="31"/>
      <c r="K1339" s="31"/>
      <c r="L1339" s="31"/>
      <c r="M1339" s="31"/>
      <c r="N1339" s="31"/>
    </row>
    <row r="1340">
      <c r="A1340" s="31"/>
      <c r="B1340" s="31"/>
      <c r="C1340" s="31"/>
      <c r="D1340" s="84"/>
      <c r="E1340" s="85"/>
      <c r="F1340" s="31"/>
      <c r="G1340" s="85"/>
      <c r="H1340" s="31"/>
      <c r="I1340" s="31"/>
      <c r="J1340" s="31"/>
      <c r="K1340" s="31"/>
      <c r="L1340" s="31"/>
      <c r="M1340" s="31"/>
      <c r="N1340" s="31"/>
    </row>
    <row r="1341">
      <c r="A1341" s="31"/>
      <c r="B1341" s="31"/>
      <c r="C1341" s="31"/>
      <c r="D1341" s="84"/>
      <c r="E1341" s="85"/>
      <c r="F1341" s="31"/>
      <c r="G1341" s="85"/>
      <c r="H1341" s="31"/>
      <c r="I1341" s="31"/>
      <c r="J1341" s="31"/>
      <c r="K1341" s="31"/>
      <c r="L1341" s="31"/>
      <c r="M1341" s="31"/>
      <c r="N1341" s="31"/>
    </row>
    <row r="1342">
      <c r="A1342" s="31"/>
      <c r="B1342" s="31"/>
      <c r="C1342" s="31"/>
      <c r="D1342" s="84"/>
      <c r="E1342" s="85"/>
      <c r="F1342" s="31"/>
      <c r="G1342" s="85"/>
      <c r="H1342" s="31"/>
      <c r="I1342" s="31"/>
      <c r="J1342" s="31"/>
      <c r="K1342" s="31"/>
      <c r="L1342" s="31"/>
      <c r="M1342" s="31"/>
      <c r="N1342" s="31"/>
    </row>
    <row r="1343">
      <c r="A1343" s="31"/>
      <c r="B1343" s="31"/>
      <c r="C1343" s="31"/>
      <c r="D1343" s="84"/>
      <c r="E1343" s="85"/>
      <c r="F1343" s="31"/>
      <c r="G1343" s="85"/>
      <c r="H1343" s="31"/>
      <c r="I1343" s="31"/>
      <c r="J1343" s="31"/>
      <c r="K1343" s="31"/>
      <c r="L1343" s="31"/>
      <c r="M1343" s="31"/>
      <c r="N1343" s="31"/>
    </row>
    <row r="1344">
      <c r="A1344" s="31"/>
      <c r="B1344" s="31"/>
      <c r="C1344" s="31"/>
      <c r="D1344" s="84"/>
      <c r="E1344" s="85"/>
      <c r="F1344" s="31"/>
      <c r="G1344" s="85"/>
      <c r="H1344" s="31"/>
      <c r="I1344" s="31"/>
      <c r="J1344" s="31"/>
      <c r="K1344" s="31"/>
      <c r="L1344" s="31"/>
      <c r="M1344" s="31"/>
      <c r="N1344" s="31"/>
    </row>
    <row r="1345">
      <c r="A1345" s="31"/>
      <c r="B1345" s="31"/>
      <c r="C1345" s="31"/>
      <c r="D1345" s="84"/>
      <c r="E1345" s="85"/>
      <c r="F1345" s="31"/>
      <c r="G1345" s="85"/>
      <c r="H1345" s="31"/>
      <c r="I1345" s="31"/>
      <c r="J1345" s="31"/>
      <c r="K1345" s="31"/>
      <c r="L1345" s="31"/>
      <c r="M1345" s="31"/>
      <c r="N1345" s="31"/>
    </row>
    <row r="1346">
      <c r="A1346" s="31"/>
      <c r="B1346" s="31"/>
      <c r="C1346" s="31"/>
      <c r="D1346" s="84"/>
      <c r="E1346" s="85"/>
      <c r="F1346" s="31"/>
      <c r="G1346" s="85"/>
      <c r="H1346" s="31"/>
      <c r="I1346" s="31"/>
      <c r="J1346" s="31"/>
      <c r="K1346" s="31"/>
      <c r="L1346" s="31"/>
      <c r="M1346" s="31"/>
      <c r="N1346" s="31"/>
    </row>
    <row r="1347">
      <c r="A1347" s="31"/>
      <c r="B1347" s="31"/>
      <c r="C1347" s="31"/>
      <c r="D1347" s="84"/>
      <c r="E1347" s="85"/>
      <c r="F1347" s="31"/>
      <c r="G1347" s="85"/>
      <c r="H1347" s="31"/>
      <c r="I1347" s="31"/>
      <c r="J1347" s="31"/>
      <c r="K1347" s="31"/>
      <c r="L1347" s="31"/>
      <c r="M1347" s="31"/>
      <c r="N1347" s="31"/>
    </row>
    <row r="1348">
      <c r="A1348" s="31"/>
      <c r="B1348" s="31"/>
      <c r="C1348" s="31"/>
      <c r="D1348" s="84"/>
      <c r="E1348" s="85"/>
      <c r="F1348" s="31"/>
      <c r="G1348" s="85"/>
      <c r="H1348" s="31"/>
      <c r="I1348" s="31"/>
      <c r="J1348" s="31"/>
      <c r="K1348" s="31"/>
      <c r="L1348" s="31"/>
      <c r="M1348" s="31"/>
      <c r="N1348" s="31"/>
    </row>
    <row r="1349">
      <c r="A1349" s="31"/>
      <c r="B1349" s="31"/>
      <c r="C1349" s="31"/>
      <c r="D1349" s="84"/>
      <c r="E1349" s="85"/>
      <c r="F1349" s="31"/>
      <c r="G1349" s="85"/>
      <c r="H1349" s="31"/>
      <c r="I1349" s="31"/>
      <c r="J1349" s="31"/>
      <c r="K1349" s="31"/>
      <c r="L1349" s="31"/>
      <c r="M1349" s="31"/>
      <c r="N1349" s="31"/>
    </row>
    <row r="1350">
      <c r="A1350" s="31"/>
      <c r="B1350" s="31"/>
      <c r="C1350" s="31"/>
      <c r="D1350" s="84"/>
      <c r="E1350" s="85"/>
      <c r="F1350" s="31"/>
      <c r="G1350" s="85"/>
      <c r="H1350" s="31"/>
      <c r="I1350" s="31"/>
      <c r="J1350" s="31"/>
      <c r="K1350" s="31"/>
      <c r="L1350" s="31"/>
      <c r="M1350" s="31"/>
      <c r="N1350" s="31"/>
    </row>
    <row r="1351">
      <c r="A1351" s="31"/>
      <c r="B1351" s="31"/>
      <c r="C1351" s="31"/>
      <c r="D1351" s="84"/>
      <c r="E1351" s="85"/>
      <c r="F1351" s="31"/>
      <c r="G1351" s="85"/>
      <c r="H1351" s="31"/>
      <c r="I1351" s="31"/>
      <c r="J1351" s="31"/>
      <c r="K1351" s="31"/>
      <c r="L1351" s="31"/>
      <c r="M1351" s="31"/>
      <c r="N1351" s="31"/>
    </row>
    <row r="1352">
      <c r="A1352" s="31"/>
      <c r="B1352" s="31"/>
      <c r="C1352" s="31"/>
      <c r="D1352" s="84"/>
      <c r="E1352" s="85"/>
      <c r="F1352" s="31"/>
      <c r="G1352" s="85"/>
      <c r="H1352" s="31"/>
      <c r="I1352" s="31"/>
      <c r="J1352" s="31"/>
      <c r="K1352" s="31"/>
      <c r="L1352" s="31"/>
      <c r="M1352" s="31"/>
      <c r="N1352" s="31"/>
    </row>
    <row r="1353">
      <c r="A1353" s="31"/>
      <c r="B1353" s="31"/>
      <c r="C1353" s="31"/>
      <c r="D1353" s="84"/>
      <c r="E1353" s="85"/>
      <c r="F1353" s="31"/>
      <c r="G1353" s="85"/>
      <c r="H1353" s="31"/>
      <c r="I1353" s="31"/>
      <c r="J1353" s="31"/>
      <c r="K1353" s="31"/>
      <c r="L1353" s="31"/>
      <c r="M1353" s="31"/>
      <c r="N1353" s="31"/>
    </row>
    <row r="1354">
      <c r="A1354" s="31"/>
      <c r="B1354" s="31"/>
      <c r="C1354" s="31"/>
      <c r="D1354" s="84"/>
      <c r="E1354" s="85"/>
      <c r="F1354" s="31"/>
      <c r="G1354" s="85"/>
      <c r="H1354" s="31"/>
      <c r="I1354" s="31"/>
      <c r="J1354" s="31"/>
      <c r="K1354" s="31"/>
      <c r="L1354" s="31"/>
      <c r="M1354" s="31"/>
      <c r="N1354" s="31"/>
    </row>
    <row r="1355">
      <c r="A1355" s="31"/>
      <c r="B1355" s="31"/>
      <c r="C1355" s="31"/>
      <c r="D1355" s="84"/>
      <c r="E1355" s="85"/>
      <c r="F1355" s="31"/>
      <c r="G1355" s="85"/>
      <c r="H1355" s="31"/>
      <c r="I1355" s="31"/>
      <c r="J1355" s="31"/>
      <c r="K1355" s="31"/>
      <c r="L1355" s="31"/>
      <c r="M1355" s="31"/>
      <c r="N1355" s="31"/>
    </row>
    <row r="1356">
      <c r="A1356" s="31"/>
      <c r="B1356" s="31"/>
      <c r="C1356" s="31"/>
      <c r="D1356" s="84"/>
      <c r="E1356" s="85"/>
      <c r="F1356" s="31"/>
      <c r="G1356" s="85"/>
      <c r="H1356" s="31"/>
      <c r="I1356" s="31"/>
      <c r="J1356" s="31"/>
      <c r="K1356" s="31"/>
      <c r="L1356" s="31"/>
      <c r="M1356" s="31"/>
      <c r="N1356" s="31"/>
    </row>
    <row r="1357">
      <c r="A1357" s="31"/>
      <c r="B1357" s="31"/>
      <c r="C1357" s="31"/>
      <c r="D1357" s="84"/>
      <c r="E1357" s="85"/>
      <c r="F1357" s="31"/>
      <c r="G1357" s="85"/>
      <c r="H1357" s="31"/>
      <c r="I1357" s="31"/>
      <c r="J1357" s="31"/>
      <c r="K1357" s="31"/>
      <c r="L1357" s="31"/>
      <c r="M1357" s="31"/>
      <c r="N1357" s="31"/>
    </row>
    <row r="1358">
      <c r="A1358" s="31"/>
      <c r="B1358" s="31"/>
      <c r="C1358" s="31"/>
      <c r="D1358" s="84"/>
      <c r="E1358" s="85"/>
      <c r="F1358" s="31"/>
      <c r="G1358" s="85"/>
      <c r="H1358" s="31"/>
      <c r="I1358" s="31"/>
      <c r="J1358" s="31"/>
      <c r="K1358" s="31"/>
      <c r="L1358" s="31"/>
      <c r="M1358" s="31"/>
      <c r="N1358" s="31"/>
    </row>
    <row r="1359">
      <c r="A1359" s="31"/>
      <c r="B1359" s="31"/>
      <c r="C1359" s="31"/>
      <c r="D1359" s="84"/>
      <c r="E1359" s="85"/>
      <c r="F1359" s="31"/>
      <c r="G1359" s="85"/>
      <c r="H1359" s="31"/>
      <c r="I1359" s="31"/>
      <c r="J1359" s="31"/>
      <c r="K1359" s="31"/>
      <c r="L1359" s="31"/>
      <c r="M1359" s="31"/>
      <c r="N1359" s="31"/>
    </row>
    <row r="1360">
      <c r="A1360" s="31"/>
      <c r="B1360" s="31"/>
      <c r="C1360" s="31"/>
      <c r="D1360" s="84"/>
      <c r="E1360" s="85"/>
      <c r="F1360" s="31"/>
      <c r="G1360" s="85"/>
      <c r="H1360" s="31"/>
      <c r="I1360" s="31"/>
      <c r="J1360" s="31"/>
      <c r="K1360" s="31"/>
      <c r="L1360" s="31"/>
      <c r="M1360" s="31"/>
      <c r="N1360" s="31"/>
    </row>
    <row r="1361">
      <c r="A1361" s="31"/>
      <c r="B1361" s="31"/>
      <c r="C1361" s="31"/>
      <c r="D1361" s="84"/>
      <c r="E1361" s="85"/>
      <c r="F1361" s="31"/>
      <c r="G1361" s="85"/>
      <c r="H1361" s="31"/>
      <c r="I1361" s="31"/>
      <c r="J1361" s="31"/>
      <c r="K1361" s="31"/>
      <c r="L1361" s="31"/>
      <c r="M1361" s="31"/>
      <c r="N1361" s="31"/>
    </row>
    <row r="1362">
      <c r="A1362" s="31"/>
      <c r="B1362" s="31"/>
      <c r="C1362" s="31"/>
      <c r="D1362" s="84"/>
      <c r="E1362" s="85"/>
      <c r="F1362" s="31"/>
      <c r="G1362" s="85"/>
      <c r="H1362" s="31"/>
      <c r="I1362" s="31"/>
      <c r="J1362" s="31"/>
      <c r="K1362" s="31"/>
      <c r="L1362" s="31"/>
      <c r="M1362" s="31"/>
      <c r="N1362" s="31"/>
    </row>
    <row r="1363">
      <c r="A1363" s="31"/>
      <c r="B1363" s="31"/>
      <c r="C1363" s="31"/>
      <c r="D1363" s="84"/>
      <c r="E1363" s="85"/>
      <c r="F1363" s="31"/>
      <c r="G1363" s="85"/>
      <c r="H1363" s="31"/>
      <c r="I1363" s="31"/>
      <c r="J1363" s="31"/>
      <c r="K1363" s="31"/>
      <c r="L1363" s="31"/>
      <c r="M1363" s="31"/>
      <c r="N1363" s="31"/>
    </row>
    <row r="1364">
      <c r="A1364" s="31"/>
      <c r="B1364" s="31"/>
      <c r="C1364" s="31"/>
      <c r="D1364" s="84"/>
      <c r="E1364" s="85"/>
      <c r="F1364" s="31"/>
      <c r="G1364" s="85"/>
      <c r="H1364" s="31"/>
      <c r="I1364" s="31"/>
      <c r="J1364" s="31"/>
      <c r="K1364" s="31"/>
      <c r="L1364" s="31"/>
      <c r="M1364" s="31"/>
      <c r="N1364" s="31"/>
    </row>
    <row r="1365">
      <c r="A1365" s="31"/>
      <c r="B1365" s="31"/>
      <c r="C1365" s="31"/>
      <c r="D1365" s="84"/>
      <c r="E1365" s="85"/>
      <c r="F1365" s="31"/>
      <c r="G1365" s="85"/>
      <c r="H1365" s="31"/>
      <c r="I1365" s="31"/>
      <c r="J1365" s="31"/>
      <c r="K1365" s="31"/>
      <c r="L1365" s="31"/>
      <c r="M1365" s="31"/>
      <c r="N1365" s="31"/>
    </row>
    <row r="1366">
      <c r="A1366" s="31"/>
      <c r="B1366" s="31"/>
      <c r="C1366" s="31"/>
      <c r="D1366" s="84"/>
      <c r="E1366" s="85"/>
      <c r="F1366" s="31"/>
      <c r="G1366" s="85"/>
      <c r="H1366" s="31"/>
      <c r="I1366" s="31"/>
      <c r="J1366" s="31"/>
      <c r="K1366" s="31"/>
      <c r="L1366" s="31"/>
      <c r="M1366" s="31"/>
      <c r="N1366" s="31"/>
    </row>
    <row r="1367">
      <c r="A1367" s="31"/>
      <c r="B1367" s="31"/>
      <c r="C1367" s="31"/>
      <c r="D1367" s="84"/>
      <c r="E1367" s="85"/>
      <c r="F1367" s="31"/>
      <c r="G1367" s="85"/>
      <c r="H1367" s="31"/>
      <c r="I1367" s="31"/>
      <c r="J1367" s="31"/>
      <c r="K1367" s="31"/>
      <c r="L1367" s="31"/>
      <c r="M1367" s="31"/>
      <c r="N1367" s="31"/>
    </row>
    <row r="1368">
      <c r="A1368" s="31"/>
      <c r="B1368" s="31"/>
      <c r="C1368" s="31"/>
      <c r="D1368" s="84"/>
      <c r="E1368" s="85"/>
      <c r="F1368" s="31"/>
      <c r="G1368" s="85"/>
      <c r="H1368" s="31"/>
      <c r="I1368" s="31"/>
      <c r="J1368" s="31"/>
      <c r="K1368" s="31"/>
      <c r="L1368" s="31"/>
      <c r="M1368" s="31"/>
      <c r="N1368" s="31"/>
    </row>
    <row r="1369">
      <c r="A1369" s="31"/>
      <c r="B1369" s="31"/>
      <c r="C1369" s="31"/>
      <c r="D1369" s="84"/>
      <c r="E1369" s="85"/>
      <c r="F1369" s="31"/>
      <c r="G1369" s="85"/>
      <c r="H1369" s="31"/>
      <c r="I1369" s="31"/>
      <c r="J1369" s="31"/>
      <c r="K1369" s="31"/>
      <c r="L1369" s="31"/>
      <c r="M1369" s="31"/>
      <c r="N1369" s="31"/>
    </row>
    <row r="1370">
      <c r="A1370" s="31"/>
      <c r="B1370" s="31"/>
      <c r="C1370" s="31"/>
      <c r="D1370" s="84"/>
      <c r="E1370" s="85"/>
      <c r="F1370" s="31"/>
      <c r="G1370" s="85"/>
      <c r="H1370" s="31"/>
      <c r="I1370" s="31"/>
      <c r="J1370" s="31"/>
      <c r="K1370" s="31"/>
      <c r="L1370" s="31"/>
      <c r="M1370" s="31"/>
      <c r="N1370" s="31"/>
    </row>
    <row r="1371">
      <c r="A1371" s="31"/>
      <c r="B1371" s="31"/>
      <c r="C1371" s="31"/>
      <c r="D1371" s="84"/>
      <c r="E1371" s="85"/>
      <c r="F1371" s="31"/>
      <c r="G1371" s="85"/>
      <c r="H1371" s="31"/>
      <c r="I1371" s="31"/>
      <c r="J1371" s="31"/>
      <c r="K1371" s="31"/>
      <c r="L1371" s="31"/>
      <c r="M1371" s="31"/>
      <c r="N1371" s="31"/>
    </row>
    <row r="1372">
      <c r="A1372" s="31"/>
      <c r="B1372" s="31"/>
      <c r="C1372" s="31"/>
      <c r="D1372" s="84"/>
      <c r="E1372" s="85"/>
      <c r="F1372" s="31"/>
      <c r="G1372" s="85"/>
      <c r="H1372" s="31"/>
      <c r="I1372" s="31"/>
      <c r="J1372" s="31"/>
      <c r="K1372" s="31"/>
      <c r="L1372" s="31"/>
      <c r="M1372" s="31"/>
      <c r="N1372" s="31"/>
    </row>
    <row r="1373">
      <c r="A1373" s="31"/>
      <c r="B1373" s="31"/>
      <c r="C1373" s="31"/>
      <c r="D1373" s="84"/>
      <c r="E1373" s="85"/>
      <c r="F1373" s="31"/>
      <c r="G1373" s="85"/>
      <c r="H1373" s="31"/>
      <c r="I1373" s="31"/>
      <c r="J1373" s="31"/>
      <c r="K1373" s="31"/>
      <c r="L1373" s="31"/>
      <c r="M1373" s="31"/>
      <c r="N1373" s="31"/>
    </row>
    <row r="1374">
      <c r="A1374" s="31"/>
      <c r="B1374" s="31"/>
      <c r="C1374" s="31"/>
      <c r="D1374" s="84"/>
      <c r="E1374" s="85"/>
      <c r="F1374" s="31"/>
      <c r="G1374" s="85"/>
      <c r="H1374" s="31"/>
      <c r="I1374" s="31"/>
      <c r="J1374" s="31"/>
      <c r="K1374" s="31"/>
      <c r="L1374" s="31"/>
      <c r="M1374" s="31"/>
      <c r="N1374" s="31"/>
    </row>
    <row r="1375">
      <c r="A1375" s="31"/>
      <c r="B1375" s="31"/>
      <c r="C1375" s="31"/>
      <c r="D1375" s="84"/>
      <c r="E1375" s="85"/>
      <c r="F1375" s="31"/>
      <c r="G1375" s="85"/>
      <c r="H1375" s="31"/>
      <c r="I1375" s="31"/>
      <c r="J1375" s="31"/>
      <c r="K1375" s="31"/>
      <c r="L1375" s="31"/>
      <c r="M1375" s="31"/>
      <c r="N1375" s="31"/>
    </row>
    <row r="1376">
      <c r="A1376" s="31"/>
      <c r="B1376" s="31"/>
      <c r="C1376" s="31"/>
      <c r="D1376" s="84"/>
      <c r="E1376" s="85"/>
      <c r="F1376" s="31"/>
      <c r="G1376" s="85"/>
      <c r="H1376" s="31"/>
      <c r="I1376" s="31"/>
      <c r="J1376" s="31"/>
      <c r="K1376" s="31"/>
      <c r="L1376" s="31"/>
      <c r="M1376" s="31"/>
      <c r="N1376" s="31"/>
    </row>
    <row r="1377">
      <c r="A1377" s="31"/>
      <c r="B1377" s="31"/>
      <c r="C1377" s="31"/>
      <c r="D1377" s="84"/>
      <c r="E1377" s="85"/>
      <c r="F1377" s="31"/>
      <c r="G1377" s="85"/>
      <c r="H1377" s="31"/>
      <c r="I1377" s="31"/>
      <c r="J1377" s="31"/>
      <c r="K1377" s="31"/>
      <c r="L1377" s="31"/>
      <c r="M1377" s="31"/>
      <c r="N1377" s="31"/>
    </row>
    <row r="1378">
      <c r="A1378" s="31"/>
      <c r="B1378" s="31"/>
      <c r="C1378" s="31"/>
      <c r="D1378" s="84"/>
      <c r="E1378" s="85"/>
      <c r="F1378" s="31"/>
      <c r="G1378" s="85"/>
      <c r="H1378" s="31"/>
      <c r="I1378" s="31"/>
      <c r="J1378" s="31"/>
      <c r="K1378" s="31"/>
      <c r="L1378" s="31"/>
      <c r="M1378" s="31"/>
      <c r="N1378" s="31"/>
    </row>
    <row r="1379">
      <c r="A1379" s="31"/>
      <c r="B1379" s="31"/>
      <c r="C1379" s="31"/>
      <c r="D1379" s="84"/>
      <c r="E1379" s="85"/>
      <c r="F1379" s="31"/>
      <c r="G1379" s="85"/>
      <c r="H1379" s="31"/>
      <c r="I1379" s="31"/>
      <c r="J1379" s="31"/>
      <c r="K1379" s="31"/>
      <c r="L1379" s="31"/>
      <c r="M1379" s="31"/>
      <c r="N1379" s="31"/>
    </row>
    <row r="1380">
      <c r="A1380" s="31"/>
      <c r="B1380" s="31"/>
      <c r="C1380" s="31"/>
      <c r="D1380" s="84"/>
      <c r="E1380" s="85"/>
      <c r="F1380" s="31"/>
      <c r="G1380" s="85"/>
      <c r="H1380" s="31"/>
      <c r="I1380" s="31"/>
      <c r="J1380" s="31"/>
      <c r="K1380" s="31"/>
      <c r="L1380" s="31"/>
      <c r="M1380" s="31"/>
      <c r="N1380" s="31"/>
    </row>
    <row r="1381">
      <c r="A1381" s="31"/>
      <c r="B1381" s="31"/>
      <c r="C1381" s="31"/>
      <c r="D1381" s="84"/>
      <c r="E1381" s="85"/>
      <c r="F1381" s="31"/>
      <c r="G1381" s="85"/>
      <c r="H1381" s="31"/>
      <c r="I1381" s="31"/>
      <c r="J1381" s="31"/>
      <c r="K1381" s="31"/>
      <c r="L1381" s="31"/>
      <c r="M1381" s="31"/>
      <c r="N1381" s="31"/>
    </row>
    <row r="1382">
      <c r="A1382" s="31"/>
      <c r="B1382" s="31"/>
      <c r="C1382" s="31"/>
      <c r="D1382" s="84"/>
      <c r="E1382" s="85"/>
      <c r="F1382" s="31"/>
      <c r="G1382" s="85"/>
      <c r="H1382" s="31"/>
      <c r="I1382" s="31"/>
      <c r="J1382" s="31"/>
      <c r="K1382" s="31"/>
      <c r="L1382" s="31"/>
      <c r="M1382" s="31"/>
      <c r="N1382" s="31"/>
    </row>
    <row r="1383">
      <c r="A1383" s="31"/>
      <c r="B1383" s="31"/>
      <c r="C1383" s="31"/>
      <c r="D1383" s="84"/>
      <c r="E1383" s="85"/>
      <c r="F1383" s="31"/>
      <c r="G1383" s="85"/>
      <c r="H1383" s="31"/>
      <c r="I1383" s="31"/>
      <c r="J1383" s="31"/>
      <c r="K1383" s="31"/>
      <c r="L1383" s="31"/>
      <c r="M1383" s="31"/>
      <c r="N1383" s="31"/>
    </row>
    <row r="1384">
      <c r="A1384" s="31"/>
      <c r="B1384" s="31"/>
      <c r="C1384" s="31"/>
      <c r="D1384" s="84"/>
      <c r="E1384" s="85"/>
      <c r="F1384" s="31"/>
      <c r="G1384" s="85"/>
      <c r="H1384" s="31"/>
      <c r="I1384" s="31"/>
      <c r="J1384" s="31"/>
      <c r="K1384" s="31"/>
      <c r="L1384" s="31"/>
      <c r="M1384" s="31"/>
      <c r="N1384" s="31"/>
    </row>
    <row r="1385">
      <c r="A1385" s="31"/>
      <c r="B1385" s="31"/>
      <c r="C1385" s="31"/>
      <c r="D1385" s="84"/>
      <c r="E1385" s="85"/>
      <c r="F1385" s="31"/>
      <c r="G1385" s="85"/>
      <c r="H1385" s="31"/>
      <c r="I1385" s="31"/>
      <c r="J1385" s="31"/>
      <c r="K1385" s="31"/>
      <c r="L1385" s="31"/>
      <c r="M1385" s="31"/>
      <c r="N1385" s="31"/>
    </row>
    <row r="1386">
      <c r="A1386" s="31"/>
      <c r="B1386" s="31"/>
      <c r="C1386" s="31"/>
      <c r="D1386" s="84"/>
      <c r="E1386" s="85"/>
      <c r="F1386" s="31"/>
      <c r="G1386" s="85"/>
      <c r="H1386" s="31"/>
      <c r="I1386" s="31"/>
      <c r="J1386" s="31"/>
      <c r="K1386" s="31"/>
      <c r="L1386" s="31"/>
      <c r="M1386" s="31"/>
      <c r="N1386" s="31"/>
    </row>
    <row r="1387">
      <c r="A1387" s="31"/>
      <c r="B1387" s="31"/>
      <c r="C1387" s="31"/>
      <c r="D1387" s="84"/>
      <c r="E1387" s="85"/>
      <c r="F1387" s="31"/>
      <c r="G1387" s="85"/>
      <c r="H1387" s="31"/>
      <c r="I1387" s="31"/>
      <c r="J1387" s="31"/>
      <c r="K1387" s="31"/>
      <c r="L1387" s="31"/>
      <c r="M1387" s="31"/>
      <c r="N1387" s="31"/>
    </row>
    <row r="1388">
      <c r="A1388" s="31"/>
      <c r="B1388" s="31"/>
      <c r="C1388" s="31"/>
      <c r="D1388" s="84"/>
      <c r="E1388" s="85"/>
      <c r="F1388" s="31"/>
      <c r="G1388" s="85"/>
      <c r="H1388" s="31"/>
      <c r="I1388" s="31"/>
      <c r="J1388" s="31"/>
      <c r="K1388" s="31"/>
      <c r="L1388" s="31"/>
      <c r="M1388" s="31"/>
      <c r="N1388" s="31"/>
    </row>
    <row r="1389">
      <c r="A1389" s="31"/>
      <c r="B1389" s="31"/>
      <c r="C1389" s="31"/>
      <c r="D1389" s="84"/>
      <c r="E1389" s="85"/>
      <c r="F1389" s="31"/>
      <c r="G1389" s="85"/>
      <c r="H1389" s="31"/>
      <c r="I1389" s="31"/>
      <c r="J1389" s="31"/>
      <c r="K1389" s="31"/>
      <c r="L1389" s="31"/>
      <c r="M1389" s="31"/>
      <c r="N1389" s="31"/>
    </row>
    <row r="1390">
      <c r="A1390" s="31"/>
      <c r="B1390" s="31"/>
      <c r="C1390" s="31"/>
      <c r="D1390" s="84"/>
      <c r="E1390" s="85"/>
      <c r="F1390" s="31"/>
      <c r="G1390" s="85"/>
      <c r="H1390" s="31"/>
      <c r="I1390" s="31"/>
      <c r="J1390" s="31"/>
      <c r="K1390" s="31"/>
      <c r="L1390" s="31"/>
      <c r="M1390" s="31"/>
      <c r="N1390" s="31"/>
    </row>
    <row r="1391">
      <c r="A1391" s="31"/>
      <c r="B1391" s="31"/>
      <c r="C1391" s="31"/>
      <c r="D1391" s="84"/>
      <c r="E1391" s="85"/>
      <c r="F1391" s="31"/>
      <c r="G1391" s="85"/>
      <c r="H1391" s="31"/>
      <c r="I1391" s="31"/>
      <c r="J1391" s="31"/>
      <c r="K1391" s="31"/>
      <c r="L1391" s="31"/>
      <c r="M1391" s="31"/>
      <c r="N1391" s="31"/>
    </row>
    <row r="1392">
      <c r="A1392" s="31"/>
      <c r="B1392" s="31"/>
      <c r="C1392" s="31"/>
      <c r="D1392" s="84"/>
      <c r="E1392" s="85"/>
      <c r="F1392" s="31"/>
      <c r="G1392" s="85"/>
      <c r="H1392" s="31"/>
      <c r="I1392" s="31"/>
      <c r="J1392" s="31"/>
      <c r="K1392" s="31"/>
      <c r="L1392" s="31"/>
      <c r="M1392" s="31"/>
      <c r="N1392" s="31"/>
    </row>
    <row r="1393">
      <c r="A1393" s="31"/>
      <c r="B1393" s="31"/>
      <c r="C1393" s="31"/>
      <c r="D1393" s="84"/>
      <c r="E1393" s="85"/>
      <c r="F1393" s="31"/>
      <c r="G1393" s="85"/>
      <c r="H1393" s="31"/>
      <c r="I1393" s="31"/>
      <c r="J1393" s="31"/>
      <c r="K1393" s="31"/>
      <c r="L1393" s="31"/>
      <c r="M1393" s="31"/>
      <c r="N1393" s="31"/>
    </row>
    <row r="1394">
      <c r="A1394" s="31"/>
      <c r="B1394" s="31"/>
      <c r="C1394" s="31"/>
      <c r="D1394" s="84"/>
      <c r="E1394" s="85"/>
      <c r="F1394" s="31"/>
      <c r="G1394" s="85"/>
      <c r="H1394" s="31"/>
      <c r="I1394" s="31"/>
      <c r="J1394" s="31"/>
      <c r="K1394" s="31"/>
      <c r="L1394" s="31"/>
      <c r="M1394" s="31"/>
      <c r="N1394" s="31"/>
    </row>
    <row r="1395">
      <c r="A1395" s="31"/>
      <c r="B1395" s="31"/>
      <c r="C1395" s="31"/>
      <c r="D1395" s="84"/>
      <c r="E1395" s="85"/>
      <c r="F1395" s="31"/>
      <c r="G1395" s="85"/>
      <c r="H1395" s="31"/>
      <c r="I1395" s="31"/>
      <c r="J1395" s="31"/>
      <c r="K1395" s="31"/>
      <c r="L1395" s="31"/>
      <c r="M1395" s="31"/>
      <c r="N1395" s="31"/>
    </row>
    <row r="1396">
      <c r="A1396" s="31"/>
      <c r="B1396" s="31"/>
      <c r="C1396" s="31"/>
      <c r="D1396" s="84"/>
      <c r="E1396" s="85"/>
      <c r="F1396" s="31"/>
      <c r="G1396" s="85"/>
      <c r="H1396" s="31"/>
      <c r="I1396" s="31"/>
      <c r="J1396" s="31"/>
      <c r="K1396" s="31"/>
      <c r="L1396" s="31"/>
      <c r="M1396" s="31"/>
      <c r="N1396" s="31"/>
    </row>
    <row r="1397">
      <c r="A1397" s="31"/>
      <c r="B1397" s="31"/>
      <c r="C1397" s="31"/>
      <c r="D1397" s="84"/>
      <c r="E1397" s="85"/>
      <c r="F1397" s="31"/>
      <c r="G1397" s="85"/>
      <c r="H1397" s="31"/>
      <c r="I1397" s="31"/>
      <c r="J1397" s="31"/>
      <c r="K1397" s="31"/>
      <c r="L1397" s="31"/>
      <c r="M1397" s="31"/>
      <c r="N1397" s="31"/>
    </row>
    <row r="1398">
      <c r="A1398" s="31"/>
      <c r="B1398" s="31"/>
      <c r="C1398" s="31"/>
      <c r="D1398" s="84"/>
      <c r="E1398" s="85"/>
      <c r="F1398" s="31"/>
      <c r="G1398" s="85"/>
      <c r="H1398" s="31"/>
      <c r="I1398" s="31"/>
      <c r="J1398" s="31"/>
      <c r="K1398" s="31"/>
      <c r="L1398" s="31"/>
      <c r="M1398" s="31"/>
      <c r="N1398" s="31"/>
    </row>
    <row r="1399">
      <c r="A1399" s="31"/>
      <c r="B1399" s="31"/>
      <c r="C1399" s="31"/>
      <c r="D1399" s="84"/>
      <c r="E1399" s="85"/>
      <c r="F1399" s="31"/>
      <c r="G1399" s="85"/>
      <c r="H1399" s="31"/>
      <c r="I1399" s="31"/>
      <c r="J1399" s="31"/>
      <c r="K1399" s="31"/>
      <c r="L1399" s="31"/>
      <c r="M1399" s="31"/>
      <c r="N1399" s="31"/>
    </row>
    <row r="1400">
      <c r="A1400" s="31"/>
      <c r="B1400" s="31"/>
      <c r="C1400" s="31"/>
      <c r="D1400" s="84"/>
      <c r="E1400" s="85"/>
      <c r="F1400" s="31"/>
      <c r="G1400" s="85"/>
      <c r="H1400" s="31"/>
      <c r="I1400" s="31"/>
      <c r="J1400" s="31"/>
      <c r="K1400" s="31"/>
      <c r="L1400" s="31"/>
      <c r="M1400" s="31"/>
      <c r="N1400" s="31"/>
    </row>
    <row r="1401">
      <c r="A1401" s="31"/>
      <c r="B1401" s="31"/>
      <c r="C1401" s="31"/>
      <c r="D1401" s="84"/>
      <c r="E1401" s="85"/>
      <c r="F1401" s="31"/>
      <c r="G1401" s="85"/>
      <c r="H1401" s="31"/>
      <c r="I1401" s="31"/>
      <c r="J1401" s="31"/>
      <c r="K1401" s="31"/>
      <c r="L1401" s="31"/>
      <c r="M1401" s="31"/>
      <c r="N1401" s="31"/>
    </row>
    <row r="1402">
      <c r="A1402" s="31"/>
      <c r="B1402" s="31"/>
      <c r="C1402" s="31"/>
      <c r="D1402" s="84"/>
      <c r="E1402" s="85"/>
      <c r="F1402" s="31"/>
      <c r="G1402" s="85"/>
      <c r="H1402" s="31"/>
      <c r="I1402" s="31"/>
      <c r="J1402" s="31"/>
      <c r="K1402" s="31"/>
      <c r="L1402" s="31"/>
      <c r="M1402" s="31"/>
      <c r="N1402" s="31"/>
    </row>
    <row r="1403">
      <c r="A1403" s="31"/>
      <c r="B1403" s="31"/>
      <c r="C1403" s="31"/>
      <c r="D1403" s="84"/>
      <c r="E1403" s="85"/>
      <c r="F1403" s="31"/>
      <c r="G1403" s="85"/>
      <c r="H1403" s="31"/>
      <c r="I1403" s="31"/>
      <c r="J1403" s="31"/>
      <c r="K1403" s="31"/>
      <c r="L1403" s="31"/>
      <c r="M1403" s="31"/>
      <c r="N1403" s="31"/>
    </row>
    <row r="1404">
      <c r="A1404" s="31"/>
      <c r="B1404" s="31"/>
      <c r="C1404" s="31"/>
      <c r="D1404" s="84"/>
      <c r="E1404" s="85"/>
      <c r="F1404" s="31"/>
      <c r="G1404" s="85"/>
      <c r="H1404" s="31"/>
      <c r="I1404" s="31"/>
      <c r="J1404" s="31"/>
      <c r="K1404" s="31"/>
      <c r="L1404" s="31"/>
      <c r="M1404" s="31"/>
      <c r="N1404" s="31"/>
    </row>
    <row r="1405">
      <c r="A1405" s="31"/>
      <c r="B1405" s="31"/>
      <c r="C1405" s="31"/>
      <c r="D1405" s="84"/>
      <c r="E1405" s="85"/>
      <c r="F1405" s="31"/>
      <c r="G1405" s="85"/>
      <c r="H1405" s="31"/>
      <c r="I1405" s="31"/>
      <c r="J1405" s="31"/>
      <c r="K1405" s="31"/>
      <c r="L1405" s="31"/>
      <c r="M1405" s="31"/>
      <c r="N1405" s="31"/>
    </row>
    <row r="1406">
      <c r="A1406" s="31"/>
      <c r="B1406" s="31"/>
      <c r="C1406" s="31"/>
      <c r="D1406" s="84"/>
      <c r="E1406" s="85"/>
      <c r="F1406" s="31"/>
      <c r="G1406" s="85"/>
      <c r="H1406" s="31"/>
      <c r="I1406" s="31"/>
      <c r="J1406" s="31"/>
      <c r="K1406" s="31"/>
      <c r="L1406" s="31"/>
      <c r="M1406" s="31"/>
      <c r="N1406" s="31"/>
    </row>
    <row r="1407">
      <c r="A1407" s="31"/>
      <c r="B1407" s="31"/>
      <c r="C1407" s="31"/>
      <c r="D1407" s="84"/>
      <c r="E1407" s="85"/>
      <c r="F1407" s="31"/>
      <c r="G1407" s="85"/>
      <c r="H1407" s="31"/>
      <c r="I1407" s="31"/>
      <c r="J1407" s="31"/>
      <c r="K1407" s="31"/>
      <c r="L1407" s="31"/>
      <c r="M1407" s="31"/>
      <c r="N1407" s="31"/>
    </row>
    <row r="1408">
      <c r="A1408" s="31"/>
      <c r="B1408" s="31"/>
      <c r="C1408" s="31"/>
      <c r="D1408" s="84"/>
      <c r="E1408" s="85"/>
      <c r="F1408" s="31"/>
      <c r="G1408" s="85"/>
      <c r="H1408" s="31"/>
      <c r="I1408" s="31"/>
      <c r="J1408" s="31"/>
      <c r="K1408" s="31"/>
      <c r="L1408" s="31"/>
      <c r="M1408" s="31"/>
      <c r="N1408" s="31"/>
    </row>
    <row r="1409">
      <c r="A1409" s="31"/>
      <c r="B1409" s="31"/>
      <c r="C1409" s="31"/>
      <c r="D1409" s="84"/>
      <c r="E1409" s="85"/>
      <c r="F1409" s="31"/>
      <c r="G1409" s="85"/>
      <c r="H1409" s="31"/>
      <c r="I1409" s="31"/>
      <c r="J1409" s="31"/>
      <c r="K1409" s="31"/>
      <c r="L1409" s="31"/>
      <c r="M1409" s="31"/>
      <c r="N1409" s="31"/>
    </row>
    <row r="1410">
      <c r="A1410" s="31"/>
      <c r="B1410" s="31"/>
      <c r="C1410" s="31"/>
      <c r="D1410" s="84"/>
      <c r="E1410" s="85"/>
      <c r="F1410" s="31"/>
      <c r="G1410" s="85"/>
      <c r="H1410" s="31"/>
      <c r="I1410" s="31"/>
      <c r="J1410" s="31"/>
      <c r="K1410" s="31"/>
      <c r="L1410" s="31"/>
      <c r="M1410" s="31"/>
      <c r="N1410" s="31"/>
    </row>
    <row r="1411">
      <c r="A1411" s="31"/>
      <c r="B1411" s="31"/>
      <c r="C1411" s="31"/>
      <c r="D1411" s="84"/>
      <c r="E1411" s="85"/>
      <c r="F1411" s="31"/>
      <c r="G1411" s="85"/>
      <c r="H1411" s="31"/>
      <c r="I1411" s="31"/>
      <c r="J1411" s="31"/>
      <c r="K1411" s="31"/>
      <c r="L1411" s="31"/>
      <c r="M1411" s="31"/>
      <c r="N1411" s="31"/>
    </row>
    <row r="1412">
      <c r="A1412" s="31"/>
      <c r="B1412" s="31"/>
      <c r="C1412" s="31"/>
      <c r="D1412" s="84"/>
      <c r="E1412" s="85"/>
      <c r="F1412" s="31"/>
      <c r="G1412" s="85"/>
      <c r="H1412" s="31"/>
      <c r="I1412" s="31"/>
      <c r="J1412" s="31"/>
      <c r="K1412" s="31"/>
      <c r="L1412" s="31"/>
      <c r="M1412" s="31"/>
      <c r="N1412" s="31"/>
    </row>
    <row r="1413">
      <c r="A1413" s="31"/>
      <c r="B1413" s="31"/>
      <c r="C1413" s="31"/>
      <c r="D1413" s="84"/>
      <c r="E1413" s="85"/>
      <c r="F1413" s="31"/>
      <c r="G1413" s="85"/>
      <c r="H1413" s="31"/>
      <c r="I1413" s="31"/>
      <c r="J1413" s="31"/>
      <c r="K1413" s="31"/>
      <c r="L1413" s="31"/>
      <c r="M1413" s="31"/>
      <c r="N1413" s="31"/>
    </row>
    <row r="1414">
      <c r="A1414" s="31"/>
      <c r="B1414" s="31"/>
      <c r="C1414" s="31"/>
      <c r="D1414" s="84"/>
      <c r="E1414" s="85"/>
      <c r="F1414" s="31"/>
      <c r="G1414" s="85"/>
      <c r="H1414" s="31"/>
      <c r="I1414" s="31"/>
      <c r="J1414" s="31"/>
      <c r="K1414" s="31"/>
      <c r="L1414" s="31"/>
      <c r="M1414" s="31"/>
      <c r="N1414" s="31"/>
    </row>
    <row r="1415">
      <c r="A1415" s="31"/>
      <c r="B1415" s="31"/>
      <c r="C1415" s="31"/>
      <c r="D1415" s="84"/>
      <c r="E1415" s="85"/>
      <c r="F1415" s="31"/>
      <c r="G1415" s="85"/>
      <c r="H1415" s="31"/>
      <c r="I1415" s="31"/>
      <c r="J1415" s="31"/>
      <c r="K1415" s="31"/>
      <c r="L1415" s="31"/>
      <c r="M1415" s="31"/>
      <c r="N1415" s="31"/>
    </row>
    <row r="1416">
      <c r="A1416" s="31"/>
      <c r="B1416" s="31"/>
      <c r="C1416" s="31"/>
      <c r="D1416" s="84"/>
      <c r="E1416" s="85"/>
      <c r="F1416" s="31"/>
      <c r="G1416" s="85"/>
      <c r="H1416" s="31"/>
      <c r="I1416" s="31"/>
      <c r="J1416" s="31"/>
      <c r="K1416" s="31"/>
      <c r="L1416" s="31"/>
      <c r="M1416" s="31"/>
      <c r="N1416" s="31"/>
    </row>
    <row r="1417">
      <c r="A1417" s="31"/>
      <c r="B1417" s="31"/>
      <c r="C1417" s="31"/>
      <c r="D1417" s="84"/>
      <c r="E1417" s="85"/>
      <c r="F1417" s="31"/>
      <c r="G1417" s="85"/>
      <c r="H1417" s="31"/>
      <c r="I1417" s="31"/>
      <c r="J1417" s="31"/>
      <c r="K1417" s="31"/>
      <c r="L1417" s="31"/>
      <c r="M1417" s="31"/>
      <c r="N1417" s="31"/>
    </row>
    <row r="1418">
      <c r="A1418" s="31"/>
      <c r="B1418" s="31"/>
      <c r="C1418" s="31"/>
      <c r="D1418" s="84"/>
      <c r="E1418" s="85"/>
      <c r="F1418" s="31"/>
      <c r="G1418" s="85"/>
      <c r="H1418" s="31"/>
      <c r="I1418" s="31"/>
      <c r="J1418" s="31"/>
      <c r="K1418" s="31"/>
      <c r="L1418" s="31"/>
      <c r="M1418" s="31"/>
      <c r="N1418" s="31"/>
    </row>
    <row r="1419">
      <c r="A1419" s="31"/>
      <c r="B1419" s="31"/>
      <c r="C1419" s="31"/>
      <c r="D1419" s="84"/>
      <c r="E1419" s="85"/>
      <c r="F1419" s="31"/>
      <c r="G1419" s="85"/>
      <c r="H1419" s="31"/>
      <c r="I1419" s="31"/>
      <c r="J1419" s="31"/>
      <c r="K1419" s="31"/>
      <c r="L1419" s="31"/>
      <c r="M1419" s="31"/>
      <c r="N1419" s="31"/>
    </row>
    <row r="1420">
      <c r="A1420" s="31"/>
      <c r="B1420" s="31"/>
      <c r="C1420" s="31"/>
      <c r="D1420" s="84"/>
      <c r="E1420" s="85"/>
      <c r="F1420" s="31"/>
      <c r="G1420" s="85"/>
      <c r="H1420" s="31"/>
      <c r="I1420" s="31"/>
      <c r="J1420" s="31"/>
      <c r="K1420" s="31"/>
      <c r="L1420" s="31"/>
      <c r="M1420" s="31"/>
      <c r="N1420" s="31"/>
    </row>
    <row r="1421">
      <c r="A1421" s="31"/>
      <c r="B1421" s="31"/>
      <c r="C1421" s="31"/>
      <c r="D1421" s="84"/>
      <c r="E1421" s="85"/>
      <c r="F1421" s="31"/>
      <c r="G1421" s="85"/>
      <c r="H1421" s="31"/>
      <c r="I1421" s="31"/>
      <c r="J1421" s="31"/>
      <c r="K1421" s="31"/>
      <c r="L1421" s="31"/>
      <c r="M1421" s="31"/>
      <c r="N1421" s="31"/>
    </row>
    <row r="1422">
      <c r="A1422" s="31"/>
      <c r="B1422" s="31"/>
      <c r="C1422" s="31"/>
      <c r="D1422" s="84"/>
      <c r="E1422" s="85"/>
      <c r="F1422" s="31"/>
      <c r="G1422" s="85"/>
      <c r="H1422" s="31"/>
      <c r="I1422" s="31"/>
      <c r="J1422" s="31"/>
      <c r="K1422" s="31"/>
      <c r="L1422" s="31"/>
      <c r="M1422" s="31"/>
      <c r="N1422" s="31"/>
    </row>
    <row r="1423">
      <c r="A1423" s="31"/>
      <c r="B1423" s="31"/>
      <c r="C1423" s="31"/>
      <c r="D1423" s="84"/>
      <c r="E1423" s="85"/>
      <c r="F1423" s="31"/>
      <c r="G1423" s="85"/>
      <c r="H1423" s="31"/>
      <c r="I1423" s="31"/>
      <c r="J1423" s="31"/>
      <c r="K1423" s="31"/>
      <c r="L1423" s="31"/>
      <c r="M1423" s="31"/>
      <c r="N1423" s="31"/>
    </row>
    <row r="1424">
      <c r="A1424" s="31"/>
      <c r="B1424" s="31"/>
      <c r="C1424" s="31"/>
      <c r="D1424" s="84"/>
      <c r="E1424" s="85"/>
      <c r="F1424" s="31"/>
      <c r="G1424" s="85"/>
      <c r="H1424" s="31"/>
      <c r="I1424" s="31"/>
      <c r="J1424" s="31"/>
      <c r="K1424" s="31"/>
      <c r="L1424" s="31"/>
      <c r="M1424" s="31"/>
      <c r="N1424" s="31"/>
    </row>
    <row r="1425">
      <c r="A1425" s="31"/>
      <c r="B1425" s="31"/>
      <c r="C1425" s="31"/>
      <c r="D1425" s="84"/>
      <c r="E1425" s="85"/>
      <c r="F1425" s="31"/>
      <c r="G1425" s="85"/>
      <c r="H1425" s="31"/>
      <c r="I1425" s="31"/>
      <c r="J1425" s="31"/>
      <c r="K1425" s="31"/>
      <c r="L1425" s="31"/>
      <c r="M1425" s="31"/>
      <c r="N1425" s="31"/>
    </row>
    <row r="1426">
      <c r="A1426" s="31"/>
      <c r="B1426" s="31"/>
      <c r="C1426" s="31"/>
      <c r="D1426" s="84"/>
      <c r="E1426" s="85"/>
      <c r="F1426" s="31"/>
      <c r="G1426" s="85"/>
      <c r="H1426" s="31"/>
      <c r="I1426" s="31"/>
      <c r="J1426" s="31"/>
      <c r="K1426" s="31"/>
      <c r="L1426" s="31"/>
      <c r="M1426" s="31"/>
      <c r="N1426" s="31"/>
    </row>
    <row r="1427">
      <c r="A1427" s="31"/>
      <c r="B1427" s="31"/>
      <c r="C1427" s="31"/>
      <c r="D1427" s="84"/>
      <c r="E1427" s="85"/>
      <c r="F1427" s="31"/>
      <c r="G1427" s="85"/>
      <c r="H1427" s="31"/>
      <c r="I1427" s="31"/>
      <c r="J1427" s="31"/>
      <c r="K1427" s="31"/>
      <c r="L1427" s="31"/>
      <c r="M1427" s="31"/>
      <c r="N1427" s="31"/>
    </row>
    <row r="1428">
      <c r="A1428" s="31"/>
      <c r="B1428" s="31"/>
      <c r="C1428" s="31"/>
      <c r="D1428" s="84"/>
      <c r="E1428" s="85"/>
      <c r="F1428" s="31"/>
      <c r="G1428" s="85"/>
      <c r="H1428" s="31"/>
      <c r="I1428" s="31"/>
      <c r="J1428" s="31"/>
      <c r="K1428" s="31"/>
      <c r="L1428" s="31"/>
      <c r="M1428" s="31"/>
      <c r="N1428" s="31"/>
    </row>
    <row r="1429">
      <c r="A1429" s="31"/>
      <c r="B1429" s="31"/>
      <c r="C1429" s="31"/>
      <c r="D1429" s="84"/>
      <c r="E1429" s="85"/>
      <c r="F1429" s="31"/>
      <c r="G1429" s="85"/>
      <c r="H1429" s="31"/>
      <c r="I1429" s="31"/>
      <c r="J1429" s="31"/>
      <c r="K1429" s="31"/>
      <c r="L1429" s="31"/>
      <c r="M1429" s="31"/>
      <c r="N1429" s="31"/>
    </row>
    <row r="1430">
      <c r="A1430" s="31"/>
      <c r="B1430" s="31"/>
      <c r="C1430" s="31"/>
      <c r="D1430" s="84"/>
      <c r="E1430" s="85"/>
      <c r="F1430" s="31"/>
      <c r="G1430" s="85"/>
      <c r="H1430" s="31"/>
      <c r="I1430" s="31"/>
      <c r="J1430" s="31"/>
      <c r="K1430" s="31"/>
      <c r="L1430" s="31"/>
      <c r="M1430" s="31"/>
      <c r="N1430" s="31"/>
    </row>
    <row r="1431">
      <c r="A1431" s="31"/>
      <c r="B1431" s="31"/>
      <c r="C1431" s="31"/>
      <c r="D1431" s="84"/>
      <c r="E1431" s="85"/>
      <c r="F1431" s="31"/>
      <c r="G1431" s="85"/>
      <c r="H1431" s="31"/>
      <c r="I1431" s="31"/>
      <c r="J1431" s="31"/>
      <c r="K1431" s="31"/>
      <c r="L1431" s="31"/>
      <c r="M1431" s="31"/>
      <c r="N1431" s="31"/>
    </row>
    <row r="1432">
      <c r="A1432" s="31"/>
      <c r="B1432" s="31"/>
      <c r="C1432" s="31"/>
      <c r="D1432" s="84"/>
      <c r="E1432" s="85"/>
      <c r="F1432" s="31"/>
      <c r="G1432" s="85"/>
      <c r="H1432" s="31"/>
      <c r="I1432" s="31"/>
      <c r="J1432" s="31"/>
      <c r="K1432" s="31"/>
      <c r="L1432" s="31"/>
      <c r="M1432" s="31"/>
      <c r="N1432" s="31"/>
    </row>
    <row r="1433">
      <c r="A1433" s="31"/>
      <c r="B1433" s="31"/>
      <c r="C1433" s="31"/>
      <c r="D1433" s="84"/>
      <c r="E1433" s="85"/>
      <c r="F1433" s="31"/>
      <c r="G1433" s="85"/>
      <c r="H1433" s="31"/>
      <c r="I1433" s="31"/>
      <c r="J1433" s="31"/>
      <c r="K1433" s="31"/>
      <c r="L1433" s="31"/>
      <c r="M1433" s="31"/>
      <c r="N1433" s="31"/>
    </row>
    <row r="1434">
      <c r="A1434" s="31"/>
      <c r="B1434" s="31"/>
      <c r="C1434" s="31"/>
      <c r="D1434" s="84"/>
      <c r="E1434" s="85"/>
      <c r="F1434" s="31"/>
      <c r="G1434" s="85"/>
      <c r="H1434" s="31"/>
      <c r="I1434" s="31"/>
      <c r="J1434" s="31"/>
      <c r="K1434" s="31"/>
      <c r="L1434" s="31"/>
      <c r="M1434" s="31"/>
      <c r="N1434" s="31"/>
    </row>
    <row r="1435">
      <c r="A1435" s="31"/>
      <c r="B1435" s="31"/>
      <c r="C1435" s="31"/>
      <c r="D1435" s="84"/>
      <c r="E1435" s="85"/>
      <c r="F1435" s="31"/>
      <c r="G1435" s="85"/>
      <c r="H1435" s="31"/>
      <c r="I1435" s="31"/>
      <c r="J1435" s="31"/>
      <c r="K1435" s="31"/>
      <c r="L1435" s="31"/>
      <c r="M1435" s="31"/>
      <c r="N1435" s="31"/>
    </row>
    <row r="1436">
      <c r="A1436" s="31"/>
      <c r="B1436" s="31"/>
      <c r="C1436" s="31"/>
      <c r="D1436" s="84"/>
      <c r="E1436" s="85"/>
      <c r="F1436" s="31"/>
      <c r="G1436" s="85"/>
      <c r="H1436" s="31"/>
      <c r="I1436" s="31"/>
      <c r="J1436" s="31"/>
      <c r="K1436" s="31"/>
      <c r="L1436" s="31"/>
      <c r="M1436" s="31"/>
      <c r="N1436" s="31"/>
    </row>
    <row r="1437">
      <c r="A1437" s="31"/>
      <c r="B1437" s="31"/>
      <c r="C1437" s="31"/>
      <c r="D1437" s="84"/>
      <c r="E1437" s="85"/>
      <c r="F1437" s="31"/>
      <c r="G1437" s="85"/>
      <c r="H1437" s="31"/>
      <c r="I1437" s="31"/>
      <c r="J1437" s="31"/>
      <c r="K1437" s="31"/>
      <c r="L1437" s="31"/>
      <c r="M1437" s="31"/>
      <c r="N1437" s="31"/>
    </row>
    <row r="1438">
      <c r="A1438" s="31"/>
      <c r="B1438" s="31"/>
      <c r="C1438" s="31"/>
      <c r="D1438" s="84"/>
      <c r="E1438" s="85"/>
      <c r="F1438" s="31"/>
      <c r="G1438" s="85"/>
      <c r="H1438" s="31"/>
      <c r="I1438" s="31"/>
      <c r="J1438" s="31"/>
      <c r="K1438" s="31"/>
      <c r="L1438" s="31"/>
      <c r="M1438" s="31"/>
      <c r="N1438" s="31"/>
    </row>
    <row r="1439">
      <c r="A1439" s="31"/>
      <c r="B1439" s="31"/>
      <c r="C1439" s="31"/>
      <c r="D1439" s="84"/>
      <c r="E1439" s="85"/>
      <c r="F1439" s="31"/>
      <c r="G1439" s="85"/>
      <c r="H1439" s="31"/>
      <c r="I1439" s="31"/>
      <c r="J1439" s="31"/>
      <c r="K1439" s="31"/>
      <c r="L1439" s="31"/>
      <c r="M1439" s="31"/>
      <c r="N1439" s="31"/>
    </row>
    <row r="1440">
      <c r="A1440" s="31"/>
      <c r="B1440" s="31"/>
      <c r="C1440" s="31"/>
      <c r="D1440" s="84"/>
      <c r="E1440" s="85"/>
      <c r="F1440" s="31"/>
      <c r="G1440" s="85"/>
      <c r="H1440" s="31"/>
      <c r="I1440" s="31"/>
      <c r="J1440" s="31"/>
      <c r="K1440" s="31"/>
      <c r="L1440" s="31"/>
      <c r="M1440" s="31"/>
      <c r="N1440" s="31"/>
    </row>
    <row r="1441">
      <c r="A1441" s="31"/>
      <c r="B1441" s="31"/>
      <c r="C1441" s="31"/>
      <c r="D1441" s="84"/>
      <c r="E1441" s="85"/>
      <c r="F1441" s="31"/>
      <c r="G1441" s="85"/>
      <c r="H1441" s="31"/>
      <c r="I1441" s="31"/>
      <c r="J1441" s="31"/>
      <c r="K1441" s="31"/>
      <c r="L1441" s="31"/>
      <c r="M1441" s="31"/>
      <c r="N1441" s="31"/>
    </row>
    <row r="1442">
      <c r="A1442" s="31"/>
      <c r="B1442" s="31"/>
      <c r="C1442" s="31"/>
      <c r="D1442" s="84"/>
      <c r="E1442" s="85"/>
      <c r="F1442" s="31"/>
      <c r="G1442" s="85"/>
      <c r="H1442" s="31"/>
      <c r="I1442" s="31"/>
      <c r="J1442" s="31"/>
      <c r="K1442" s="31"/>
      <c r="L1442" s="31"/>
      <c r="M1442" s="31"/>
      <c r="N1442" s="31"/>
    </row>
    <row r="1443">
      <c r="A1443" s="31"/>
      <c r="B1443" s="31"/>
      <c r="C1443" s="31"/>
      <c r="D1443" s="84"/>
      <c r="E1443" s="85"/>
      <c r="F1443" s="31"/>
      <c r="G1443" s="85"/>
      <c r="H1443" s="31"/>
      <c r="I1443" s="31"/>
      <c r="J1443" s="31"/>
      <c r="K1443" s="31"/>
      <c r="L1443" s="31"/>
      <c r="M1443" s="31"/>
      <c r="N1443" s="31"/>
    </row>
    <row r="1444">
      <c r="A1444" s="31"/>
      <c r="B1444" s="31"/>
      <c r="C1444" s="31"/>
      <c r="D1444" s="84"/>
      <c r="E1444" s="85"/>
      <c r="F1444" s="31"/>
      <c r="G1444" s="85"/>
      <c r="H1444" s="31"/>
      <c r="I1444" s="31"/>
      <c r="J1444" s="31"/>
      <c r="K1444" s="31"/>
      <c r="L1444" s="31"/>
      <c r="M1444" s="31"/>
      <c r="N1444" s="31"/>
    </row>
    <row r="1445">
      <c r="A1445" s="31"/>
      <c r="B1445" s="31"/>
      <c r="C1445" s="31"/>
      <c r="D1445" s="84"/>
      <c r="E1445" s="85"/>
      <c r="F1445" s="31"/>
      <c r="G1445" s="85"/>
      <c r="H1445" s="31"/>
      <c r="I1445" s="31"/>
      <c r="J1445" s="31"/>
      <c r="K1445" s="31"/>
      <c r="L1445" s="31"/>
      <c r="M1445" s="31"/>
      <c r="N1445" s="31"/>
    </row>
    <row r="1446">
      <c r="A1446" s="31"/>
      <c r="B1446" s="31"/>
      <c r="C1446" s="31"/>
      <c r="D1446" s="84"/>
      <c r="E1446" s="85"/>
      <c r="F1446" s="31"/>
      <c r="G1446" s="85"/>
      <c r="H1446" s="31"/>
      <c r="I1446" s="31"/>
      <c r="J1446" s="31"/>
      <c r="K1446" s="31"/>
      <c r="L1446" s="31"/>
      <c r="M1446" s="31"/>
      <c r="N1446" s="31"/>
    </row>
    <row r="1447">
      <c r="A1447" s="31"/>
      <c r="B1447" s="31"/>
      <c r="C1447" s="31"/>
      <c r="D1447" s="84"/>
      <c r="E1447" s="85"/>
      <c r="F1447" s="31"/>
      <c r="G1447" s="85"/>
      <c r="H1447" s="31"/>
      <c r="I1447" s="31"/>
      <c r="J1447" s="31"/>
      <c r="K1447" s="31"/>
      <c r="L1447" s="31"/>
      <c r="M1447" s="31"/>
      <c r="N1447" s="31"/>
    </row>
    <row r="1448">
      <c r="A1448" s="31"/>
      <c r="B1448" s="31"/>
      <c r="C1448" s="31"/>
      <c r="D1448" s="84"/>
      <c r="E1448" s="85"/>
      <c r="F1448" s="31"/>
      <c r="G1448" s="85"/>
      <c r="H1448" s="31"/>
      <c r="I1448" s="31"/>
      <c r="J1448" s="31"/>
      <c r="K1448" s="31"/>
      <c r="L1448" s="31"/>
      <c r="M1448" s="31"/>
      <c r="N1448" s="31"/>
    </row>
    <row r="1449">
      <c r="A1449" s="31"/>
      <c r="B1449" s="31"/>
      <c r="C1449" s="31"/>
      <c r="D1449" s="84"/>
      <c r="E1449" s="85"/>
      <c r="F1449" s="31"/>
      <c r="G1449" s="85"/>
      <c r="H1449" s="31"/>
      <c r="I1449" s="31"/>
      <c r="J1449" s="31"/>
      <c r="K1449" s="31"/>
      <c r="L1449" s="31"/>
      <c r="M1449" s="31"/>
      <c r="N1449" s="31"/>
    </row>
    <row r="1450">
      <c r="A1450" s="31"/>
      <c r="B1450" s="31"/>
      <c r="C1450" s="31"/>
      <c r="D1450" s="84"/>
      <c r="E1450" s="85"/>
      <c r="F1450" s="31"/>
      <c r="G1450" s="85"/>
      <c r="H1450" s="31"/>
      <c r="I1450" s="31"/>
      <c r="J1450" s="31"/>
      <c r="K1450" s="31"/>
      <c r="L1450" s="31"/>
      <c r="M1450" s="31"/>
      <c r="N1450" s="31"/>
    </row>
    <row r="1451">
      <c r="A1451" s="31"/>
      <c r="B1451" s="31"/>
      <c r="C1451" s="31"/>
      <c r="D1451" s="84"/>
      <c r="E1451" s="85"/>
      <c r="F1451" s="31"/>
      <c r="G1451" s="85"/>
      <c r="H1451" s="31"/>
      <c r="I1451" s="31"/>
      <c r="J1451" s="31"/>
      <c r="K1451" s="31"/>
      <c r="L1451" s="31"/>
      <c r="M1451" s="31"/>
      <c r="N1451" s="31"/>
    </row>
    <row r="1452">
      <c r="A1452" s="31"/>
      <c r="B1452" s="31"/>
      <c r="C1452" s="31"/>
      <c r="D1452" s="84"/>
      <c r="E1452" s="85"/>
      <c r="F1452" s="31"/>
      <c r="G1452" s="85"/>
      <c r="H1452" s="31"/>
      <c r="I1452" s="31"/>
      <c r="J1452" s="31"/>
      <c r="K1452" s="31"/>
      <c r="L1452" s="31"/>
      <c r="M1452" s="31"/>
      <c r="N1452" s="31"/>
    </row>
    <row r="1453">
      <c r="A1453" s="31"/>
      <c r="B1453" s="31"/>
      <c r="C1453" s="31"/>
      <c r="D1453" s="84"/>
      <c r="E1453" s="85"/>
      <c r="F1453" s="31"/>
      <c r="G1453" s="85"/>
      <c r="H1453" s="31"/>
      <c r="I1453" s="31"/>
      <c r="J1453" s="31"/>
      <c r="K1453" s="31"/>
      <c r="L1453" s="31"/>
      <c r="M1453" s="31"/>
      <c r="N1453" s="31"/>
    </row>
    <row r="1454">
      <c r="A1454" s="31"/>
      <c r="B1454" s="31"/>
      <c r="C1454" s="31"/>
      <c r="D1454" s="84"/>
      <c r="E1454" s="85"/>
      <c r="F1454" s="31"/>
      <c r="G1454" s="85"/>
      <c r="H1454" s="31"/>
      <c r="I1454" s="31"/>
      <c r="J1454" s="31"/>
      <c r="K1454" s="31"/>
      <c r="L1454" s="31"/>
      <c r="M1454" s="31"/>
      <c r="N1454" s="31"/>
    </row>
    <row r="1455">
      <c r="A1455" s="31"/>
      <c r="B1455" s="31"/>
      <c r="C1455" s="31"/>
      <c r="D1455" s="84"/>
      <c r="E1455" s="85"/>
      <c r="F1455" s="31"/>
      <c r="G1455" s="85"/>
      <c r="H1455" s="31"/>
      <c r="I1455" s="31"/>
      <c r="J1455" s="31"/>
      <c r="K1455" s="31"/>
      <c r="L1455" s="31"/>
      <c r="M1455" s="31"/>
      <c r="N1455" s="31"/>
    </row>
    <row r="1456">
      <c r="A1456" s="31"/>
      <c r="B1456" s="31"/>
      <c r="C1456" s="31"/>
      <c r="D1456" s="84"/>
      <c r="E1456" s="85"/>
      <c r="F1456" s="31"/>
      <c r="G1456" s="85"/>
      <c r="H1456" s="31"/>
      <c r="I1456" s="31"/>
      <c r="J1456" s="31"/>
      <c r="K1456" s="31"/>
      <c r="L1456" s="31"/>
      <c r="M1456" s="31"/>
      <c r="N1456" s="31"/>
    </row>
    <row r="1457">
      <c r="A1457" s="31"/>
      <c r="B1457" s="31"/>
      <c r="C1457" s="31"/>
      <c r="D1457" s="84"/>
      <c r="E1457" s="85"/>
      <c r="F1457" s="31"/>
      <c r="G1457" s="85"/>
      <c r="H1457" s="31"/>
      <c r="I1457" s="31"/>
      <c r="J1457" s="31"/>
      <c r="K1457" s="31"/>
      <c r="L1457" s="31"/>
      <c r="M1457" s="31"/>
      <c r="N1457" s="31"/>
    </row>
    <row r="1458">
      <c r="A1458" s="31"/>
      <c r="B1458" s="31"/>
      <c r="C1458" s="31"/>
      <c r="D1458" s="84"/>
      <c r="E1458" s="85"/>
      <c r="F1458" s="31"/>
      <c r="G1458" s="85"/>
      <c r="H1458" s="31"/>
      <c r="I1458" s="31"/>
      <c r="J1458" s="31"/>
      <c r="K1458" s="31"/>
      <c r="L1458" s="31"/>
      <c r="M1458" s="31"/>
      <c r="N1458" s="31"/>
    </row>
    <row r="1459">
      <c r="A1459" s="31"/>
      <c r="B1459" s="31"/>
      <c r="C1459" s="31"/>
      <c r="D1459" s="84"/>
      <c r="E1459" s="85"/>
      <c r="F1459" s="31"/>
      <c r="G1459" s="85"/>
      <c r="H1459" s="31"/>
      <c r="I1459" s="31"/>
      <c r="J1459" s="31"/>
      <c r="K1459" s="31"/>
      <c r="L1459" s="31"/>
      <c r="M1459" s="31"/>
      <c r="N1459" s="31"/>
    </row>
    <row r="1460">
      <c r="A1460" s="31"/>
      <c r="B1460" s="31"/>
      <c r="C1460" s="31"/>
      <c r="D1460" s="84"/>
      <c r="E1460" s="85"/>
      <c r="F1460" s="31"/>
      <c r="G1460" s="85"/>
      <c r="H1460" s="31"/>
      <c r="I1460" s="31"/>
      <c r="J1460" s="31"/>
      <c r="K1460" s="31"/>
      <c r="L1460" s="31"/>
      <c r="M1460" s="31"/>
      <c r="N1460" s="31"/>
    </row>
    <row r="1461">
      <c r="A1461" s="31"/>
      <c r="B1461" s="31"/>
      <c r="C1461" s="31"/>
      <c r="D1461" s="84"/>
      <c r="E1461" s="85"/>
      <c r="F1461" s="31"/>
      <c r="G1461" s="85"/>
      <c r="H1461" s="31"/>
      <c r="I1461" s="31"/>
      <c r="J1461" s="31"/>
      <c r="K1461" s="31"/>
      <c r="L1461" s="31"/>
      <c r="M1461" s="31"/>
      <c r="N1461" s="31"/>
    </row>
    <row r="1462">
      <c r="A1462" s="31"/>
      <c r="B1462" s="31"/>
      <c r="C1462" s="31"/>
      <c r="D1462" s="84"/>
      <c r="E1462" s="85"/>
      <c r="F1462" s="31"/>
      <c r="G1462" s="85"/>
      <c r="H1462" s="31"/>
      <c r="I1462" s="31"/>
      <c r="J1462" s="31"/>
      <c r="K1462" s="31"/>
      <c r="L1462" s="31"/>
      <c r="M1462" s="31"/>
      <c r="N1462" s="31"/>
    </row>
    <row r="1463">
      <c r="A1463" s="31"/>
      <c r="B1463" s="31"/>
      <c r="C1463" s="31"/>
      <c r="D1463" s="84"/>
      <c r="E1463" s="85"/>
      <c r="F1463" s="31"/>
      <c r="G1463" s="85"/>
      <c r="H1463" s="31"/>
      <c r="I1463" s="31"/>
      <c r="J1463" s="31"/>
      <c r="K1463" s="31"/>
      <c r="L1463" s="31"/>
      <c r="M1463" s="31"/>
      <c r="N1463" s="31"/>
    </row>
    <row r="1464">
      <c r="A1464" s="31"/>
      <c r="B1464" s="31"/>
      <c r="C1464" s="31"/>
      <c r="D1464" s="84"/>
      <c r="E1464" s="85"/>
      <c r="F1464" s="31"/>
      <c r="G1464" s="85"/>
      <c r="H1464" s="31"/>
      <c r="I1464" s="31"/>
      <c r="J1464" s="31"/>
      <c r="K1464" s="31"/>
      <c r="L1464" s="31"/>
      <c r="M1464" s="31"/>
      <c r="N1464" s="31"/>
    </row>
    <row r="1465">
      <c r="A1465" s="31"/>
      <c r="B1465" s="31"/>
      <c r="C1465" s="31"/>
      <c r="D1465" s="84"/>
      <c r="E1465" s="85"/>
      <c r="F1465" s="31"/>
      <c r="G1465" s="85"/>
      <c r="H1465" s="31"/>
      <c r="I1465" s="31"/>
      <c r="J1465" s="31"/>
      <c r="K1465" s="31"/>
      <c r="L1465" s="31"/>
      <c r="M1465" s="31"/>
      <c r="N1465" s="31"/>
    </row>
    <row r="1466">
      <c r="A1466" s="31"/>
      <c r="B1466" s="31"/>
      <c r="C1466" s="31"/>
      <c r="D1466" s="84"/>
      <c r="E1466" s="85"/>
      <c r="F1466" s="31"/>
      <c r="G1466" s="85"/>
      <c r="H1466" s="31"/>
      <c r="I1466" s="31"/>
      <c r="J1466" s="31"/>
      <c r="K1466" s="31"/>
      <c r="L1466" s="31"/>
      <c r="M1466" s="31"/>
      <c r="N1466" s="31"/>
    </row>
    <row r="1467">
      <c r="A1467" s="31"/>
      <c r="B1467" s="31"/>
      <c r="C1467" s="31"/>
      <c r="D1467" s="84"/>
      <c r="E1467" s="85"/>
      <c r="F1467" s="31"/>
      <c r="G1467" s="85"/>
      <c r="H1467" s="31"/>
      <c r="I1467" s="31"/>
      <c r="J1467" s="31"/>
      <c r="K1467" s="31"/>
      <c r="L1467" s="31"/>
      <c r="M1467" s="31"/>
      <c r="N1467" s="31"/>
    </row>
    <row r="1468">
      <c r="A1468" s="31"/>
      <c r="B1468" s="31"/>
      <c r="C1468" s="31"/>
      <c r="D1468" s="84"/>
      <c r="E1468" s="85"/>
      <c r="F1468" s="31"/>
      <c r="G1468" s="85"/>
      <c r="H1468" s="31"/>
      <c r="I1468" s="31"/>
      <c r="J1468" s="31"/>
      <c r="K1468" s="31"/>
      <c r="L1468" s="31"/>
      <c r="M1468" s="31"/>
      <c r="N1468" s="31"/>
    </row>
    <row r="1469">
      <c r="A1469" s="31"/>
      <c r="B1469" s="31"/>
      <c r="C1469" s="31"/>
      <c r="D1469" s="84"/>
      <c r="E1469" s="85"/>
      <c r="F1469" s="31"/>
      <c r="G1469" s="85"/>
      <c r="H1469" s="31"/>
      <c r="I1469" s="31"/>
      <c r="J1469" s="31"/>
      <c r="K1469" s="31"/>
      <c r="L1469" s="31"/>
      <c r="M1469" s="31"/>
      <c r="N1469" s="31"/>
    </row>
    <row r="1470">
      <c r="A1470" s="31"/>
      <c r="B1470" s="31"/>
      <c r="C1470" s="31"/>
      <c r="D1470" s="84"/>
      <c r="E1470" s="85"/>
      <c r="F1470" s="31"/>
      <c r="G1470" s="85"/>
      <c r="H1470" s="31"/>
      <c r="I1470" s="31"/>
      <c r="J1470" s="31"/>
      <c r="K1470" s="31"/>
      <c r="L1470" s="31"/>
      <c r="M1470" s="31"/>
      <c r="N1470" s="31"/>
    </row>
    <row r="1471">
      <c r="A1471" s="31"/>
      <c r="B1471" s="31"/>
      <c r="C1471" s="31"/>
      <c r="D1471" s="84"/>
      <c r="E1471" s="85"/>
      <c r="F1471" s="31"/>
      <c r="G1471" s="85"/>
      <c r="H1471" s="31"/>
      <c r="I1471" s="31"/>
      <c r="J1471" s="31"/>
      <c r="K1471" s="31"/>
      <c r="L1471" s="31"/>
      <c r="M1471" s="31"/>
      <c r="N1471" s="31"/>
    </row>
    <row r="1472">
      <c r="A1472" s="31"/>
      <c r="B1472" s="31"/>
      <c r="C1472" s="31"/>
      <c r="D1472" s="84"/>
      <c r="E1472" s="85"/>
      <c r="F1472" s="31"/>
      <c r="G1472" s="85"/>
      <c r="H1472" s="31"/>
      <c r="I1472" s="31"/>
      <c r="J1472" s="31"/>
      <c r="K1472" s="31"/>
      <c r="L1472" s="31"/>
      <c r="M1472" s="31"/>
      <c r="N1472" s="31"/>
    </row>
    <row r="1473">
      <c r="A1473" s="31"/>
      <c r="B1473" s="31"/>
      <c r="C1473" s="31"/>
      <c r="D1473" s="84"/>
      <c r="E1473" s="85"/>
      <c r="F1473" s="31"/>
      <c r="G1473" s="85"/>
      <c r="H1473" s="31"/>
      <c r="I1473" s="31"/>
      <c r="J1473" s="31"/>
      <c r="K1473" s="31"/>
      <c r="L1473" s="31"/>
      <c r="M1473" s="31"/>
      <c r="N1473" s="31"/>
    </row>
    <row r="1474">
      <c r="A1474" s="31"/>
      <c r="B1474" s="31"/>
      <c r="C1474" s="31"/>
      <c r="D1474" s="84"/>
      <c r="E1474" s="85"/>
      <c r="F1474" s="31"/>
      <c r="G1474" s="85"/>
      <c r="H1474" s="31"/>
      <c r="I1474" s="31"/>
      <c r="J1474" s="31"/>
      <c r="K1474" s="31"/>
      <c r="L1474" s="31"/>
      <c r="M1474" s="31"/>
      <c r="N1474" s="31"/>
    </row>
    <row r="1475">
      <c r="A1475" s="31"/>
      <c r="B1475" s="31"/>
      <c r="C1475" s="31"/>
      <c r="D1475" s="84"/>
      <c r="E1475" s="85"/>
      <c r="F1475" s="31"/>
      <c r="G1475" s="85"/>
      <c r="H1475" s="31"/>
      <c r="I1475" s="31"/>
      <c r="J1475" s="31"/>
      <c r="K1475" s="31"/>
      <c r="L1475" s="31"/>
      <c r="M1475" s="31"/>
      <c r="N1475" s="31"/>
    </row>
    <row r="1476">
      <c r="A1476" s="31"/>
      <c r="B1476" s="31"/>
      <c r="C1476" s="31"/>
      <c r="D1476" s="84"/>
      <c r="E1476" s="85"/>
      <c r="F1476" s="31"/>
      <c r="G1476" s="85"/>
      <c r="H1476" s="31"/>
      <c r="I1476" s="31"/>
      <c r="J1476" s="31"/>
      <c r="K1476" s="31"/>
      <c r="L1476" s="31"/>
      <c r="M1476" s="31"/>
      <c r="N1476" s="31"/>
    </row>
    <row r="1477">
      <c r="A1477" s="31"/>
      <c r="B1477" s="31"/>
      <c r="C1477" s="31"/>
      <c r="D1477" s="84"/>
      <c r="E1477" s="85"/>
      <c r="F1477" s="31"/>
      <c r="G1477" s="85"/>
      <c r="H1477" s="31"/>
      <c r="I1477" s="31"/>
      <c r="J1477" s="31"/>
      <c r="K1477" s="31"/>
      <c r="L1477" s="31"/>
      <c r="M1477" s="31"/>
      <c r="N1477" s="31"/>
    </row>
    <row r="1478">
      <c r="A1478" s="31"/>
      <c r="B1478" s="31"/>
      <c r="C1478" s="31"/>
      <c r="D1478" s="84"/>
      <c r="E1478" s="85"/>
      <c r="F1478" s="31"/>
      <c r="G1478" s="85"/>
      <c r="H1478" s="31"/>
      <c r="I1478" s="31"/>
      <c r="J1478" s="31"/>
      <c r="K1478" s="31"/>
      <c r="L1478" s="31"/>
      <c r="M1478" s="31"/>
      <c r="N1478" s="31"/>
    </row>
    <row r="1479">
      <c r="A1479" s="31"/>
      <c r="B1479" s="31"/>
      <c r="C1479" s="31"/>
      <c r="D1479" s="84"/>
      <c r="E1479" s="85"/>
      <c r="F1479" s="31"/>
      <c r="G1479" s="85"/>
      <c r="H1479" s="31"/>
      <c r="I1479" s="31"/>
      <c r="J1479" s="31"/>
      <c r="K1479" s="31"/>
      <c r="L1479" s="31"/>
      <c r="M1479" s="31"/>
      <c r="N1479" s="31"/>
    </row>
    <row r="1480">
      <c r="A1480" s="31"/>
      <c r="B1480" s="31"/>
      <c r="C1480" s="31"/>
      <c r="D1480" s="84"/>
      <c r="E1480" s="85"/>
      <c r="F1480" s="31"/>
      <c r="G1480" s="85"/>
      <c r="H1480" s="31"/>
      <c r="I1480" s="31"/>
      <c r="J1480" s="31"/>
      <c r="K1480" s="31"/>
      <c r="L1480" s="31"/>
      <c r="M1480" s="31"/>
      <c r="N1480" s="31"/>
    </row>
    <row r="1481">
      <c r="A1481" s="31"/>
      <c r="B1481" s="31"/>
      <c r="C1481" s="31"/>
      <c r="D1481" s="84"/>
      <c r="E1481" s="85"/>
      <c r="F1481" s="31"/>
      <c r="G1481" s="85"/>
      <c r="H1481" s="31"/>
      <c r="I1481" s="31"/>
      <c r="J1481" s="31"/>
      <c r="K1481" s="31"/>
      <c r="L1481" s="31"/>
      <c r="M1481" s="31"/>
      <c r="N1481" s="31"/>
    </row>
    <row r="1482">
      <c r="A1482" s="31"/>
      <c r="B1482" s="31"/>
      <c r="C1482" s="31"/>
      <c r="D1482" s="84"/>
      <c r="E1482" s="85"/>
      <c r="F1482" s="31"/>
      <c r="G1482" s="85"/>
      <c r="H1482" s="31"/>
      <c r="I1482" s="31"/>
      <c r="J1482" s="31"/>
      <c r="K1482" s="31"/>
      <c r="L1482" s="31"/>
      <c r="M1482" s="31"/>
      <c r="N1482" s="31"/>
    </row>
    <row r="1483">
      <c r="A1483" s="31"/>
      <c r="B1483" s="31"/>
      <c r="C1483" s="31"/>
      <c r="D1483" s="84"/>
      <c r="E1483" s="85"/>
      <c r="F1483" s="31"/>
      <c r="G1483" s="85"/>
      <c r="H1483" s="31"/>
      <c r="I1483" s="31"/>
      <c r="J1483" s="31"/>
      <c r="K1483" s="31"/>
      <c r="L1483" s="31"/>
      <c r="M1483" s="31"/>
      <c r="N1483" s="31"/>
    </row>
    <row r="1484">
      <c r="A1484" s="31"/>
      <c r="B1484" s="31"/>
      <c r="C1484" s="31"/>
      <c r="D1484" s="84"/>
      <c r="E1484" s="85"/>
      <c r="F1484" s="31"/>
      <c r="G1484" s="85"/>
      <c r="H1484" s="31"/>
      <c r="I1484" s="31"/>
      <c r="J1484" s="31"/>
      <c r="K1484" s="31"/>
      <c r="L1484" s="31"/>
      <c r="M1484" s="31"/>
      <c r="N1484" s="31"/>
    </row>
    <row r="1485">
      <c r="A1485" s="31"/>
      <c r="B1485" s="31"/>
      <c r="C1485" s="31"/>
      <c r="D1485" s="84"/>
      <c r="E1485" s="85"/>
      <c r="F1485" s="31"/>
      <c r="G1485" s="85"/>
      <c r="H1485" s="31"/>
      <c r="I1485" s="31"/>
      <c r="J1485" s="31"/>
      <c r="K1485" s="31"/>
      <c r="L1485" s="31"/>
      <c r="M1485" s="31"/>
      <c r="N1485" s="31"/>
    </row>
    <row r="1486">
      <c r="A1486" s="31"/>
      <c r="B1486" s="31"/>
      <c r="C1486" s="31"/>
      <c r="D1486" s="84"/>
      <c r="E1486" s="85"/>
      <c r="F1486" s="31"/>
      <c r="G1486" s="85"/>
      <c r="H1486" s="31"/>
      <c r="I1486" s="31"/>
      <c r="J1486" s="31"/>
      <c r="K1486" s="31"/>
      <c r="L1486" s="31"/>
      <c r="M1486" s="31"/>
      <c r="N1486" s="31"/>
    </row>
    <row r="1487">
      <c r="A1487" s="31"/>
      <c r="B1487" s="31"/>
      <c r="C1487" s="31"/>
      <c r="D1487" s="84"/>
      <c r="E1487" s="85"/>
      <c r="F1487" s="31"/>
      <c r="G1487" s="85"/>
      <c r="H1487" s="31"/>
      <c r="I1487" s="31"/>
      <c r="J1487" s="31"/>
      <c r="K1487" s="31"/>
      <c r="L1487" s="31"/>
      <c r="M1487" s="31"/>
      <c r="N1487" s="31"/>
    </row>
    <row r="1488">
      <c r="A1488" s="31"/>
      <c r="B1488" s="31"/>
      <c r="C1488" s="31"/>
      <c r="D1488" s="84"/>
      <c r="E1488" s="85"/>
      <c r="F1488" s="31"/>
      <c r="G1488" s="85"/>
      <c r="H1488" s="31"/>
      <c r="I1488" s="31"/>
      <c r="J1488" s="31"/>
      <c r="K1488" s="31"/>
      <c r="L1488" s="31"/>
      <c r="M1488" s="31"/>
      <c r="N1488" s="31"/>
    </row>
    <row r="1489">
      <c r="A1489" s="31"/>
      <c r="B1489" s="31"/>
      <c r="C1489" s="31"/>
      <c r="D1489" s="84"/>
      <c r="E1489" s="85"/>
      <c r="F1489" s="31"/>
      <c r="G1489" s="85"/>
      <c r="H1489" s="31"/>
      <c r="I1489" s="31"/>
      <c r="J1489" s="31"/>
      <c r="K1489" s="31"/>
      <c r="L1489" s="31"/>
      <c r="M1489" s="31"/>
      <c r="N1489" s="31"/>
    </row>
    <row r="1490">
      <c r="A1490" s="31"/>
      <c r="B1490" s="31"/>
      <c r="C1490" s="31"/>
      <c r="D1490" s="84"/>
      <c r="E1490" s="85"/>
      <c r="F1490" s="31"/>
      <c r="G1490" s="85"/>
      <c r="H1490" s="31"/>
      <c r="I1490" s="31"/>
      <c r="J1490" s="31"/>
      <c r="K1490" s="31"/>
      <c r="L1490" s="31"/>
      <c r="M1490" s="31"/>
      <c r="N1490" s="31"/>
    </row>
    <row r="1491">
      <c r="A1491" s="31"/>
      <c r="B1491" s="31"/>
      <c r="C1491" s="31"/>
      <c r="D1491" s="84"/>
      <c r="E1491" s="85"/>
      <c r="F1491" s="31"/>
      <c r="G1491" s="85"/>
      <c r="H1491" s="31"/>
      <c r="I1491" s="31"/>
      <c r="J1491" s="31"/>
      <c r="K1491" s="31"/>
      <c r="L1491" s="31"/>
      <c r="M1491" s="31"/>
      <c r="N1491" s="31"/>
    </row>
    <row r="1492">
      <c r="A1492" s="31"/>
      <c r="B1492" s="31"/>
      <c r="C1492" s="31"/>
      <c r="D1492" s="84"/>
      <c r="E1492" s="85"/>
      <c r="F1492" s="31"/>
      <c r="G1492" s="85"/>
      <c r="H1492" s="31"/>
      <c r="I1492" s="31"/>
      <c r="J1492" s="31"/>
      <c r="K1492" s="31"/>
      <c r="L1492" s="31"/>
      <c r="M1492" s="31"/>
      <c r="N1492" s="31"/>
    </row>
    <row r="1493">
      <c r="A1493" s="31"/>
      <c r="B1493" s="31"/>
      <c r="C1493" s="31"/>
      <c r="D1493" s="84"/>
      <c r="E1493" s="85"/>
      <c r="F1493" s="31"/>
      <c r="G1493" s="85"/>
      <c r="H1493" s="31"/>
      <c r="I1493" s="31"/>
      <c r="J1493" s="31"/>
      <c r="K1493" s="31"/>
      <c r="L1493" s="31"/>
      <c r="M1493" s="31"/>
      <c r="N1493" s="31"/>
    </row>
    <row r="1494">
      <c r="A1494" s="31"/>
      <c r="B1494" s="31"/>
      <c r="C1494" s="31"/>
      <c r="D1494" s="84"/>
      <c r="E1494" s="85"/>
      <c r="F1494" s="31"/>
      <c r="G1494" s="85"/>
      <c r="H1494" s="31"/>
      <c r="I1494" s="31"/>
      <c r="J1494" s="31"/>
      <c r="K1494" s="31"/>
      <c r="L1494" s="31"/>
      <c r="M1494" s="31"/>
      <c r="N1494" s="31"/>
    </row>
    <row r="1495">
      <c r="A1495" s="31"/>
      <c r="B1495" s="31"/>
      <c r="C1495" s="31"/>
      <c r="D1495" s="84"/>
      <c r="E1495" s="85"/>
      <c r="F1495" s="31"/>
      <c r="G1495" s="85"/>
      <c r="H1495" s="31"/>
      <c r="I1495" s="31"/>
      <c r="J1495" s="31"/>
      <c r="K1495" s="31"/>
      <c r="L1495" s="31"/>
      <c r="M1495" s="31"/>
      <c r="N1495" s="31"/>
    </row>
    <row r="1496">
      <c r="A1496" s="31"/>
      <c r="B1496" s="31"/>
      <c r="C1496" s="31"/>
      <c r="D1496" s="84"/>
      <c r="E1496" s="85"/>
      <c r="F1496" s="31"/>
      <c r="G1496" s="85"/>
      <c r="H1496" s="31"/>
      <c r="I1496" s="31"/>
      <c r="J1496" s="31"/>
      <c r="K1496" s="31"/>
      <c r="L1496" s="31"/>
      <c r="M1496" s="31"/>
      <c r="N1496" s="31"/>
    </row>
    <row r="1497">
      <c r="A1497" s="31"/>
      <c r="B1497" s="31"/>
      <c r="C1497" s="31"/>
      <c r="D1497" s="84"/>
      <c r="E1497" s="85"/>
      <c r="F1497" s="31"/>
      <c r="G1497" s="85"/>
      <c r="H1497" s="31"/>
      <c r="I1497" s="31"/>
      <c r="J1497" s="31"/>
      <c r="K1497" s="31"/>
      <c r="L1497" s="31"/>
      <c r="M1497" s="31"/>
      <c r="N1497" s="31"/>
    </row>
    <row r="1498">
      <c r="A1498" s="31"/>
      <c r="B1498" s="31"/>
      <c r="C1498" s="31"/>
      <c r="D1498" s="84"/>
      <c r="E1498" s="85"/>
      <c r="F1498" s="31"/>
      <c r="G1498" s="85"/>
      <c r="H1498" s="31"/>
      <c r="I1498" s="31"/>
      <c r="J1498" s="31"/>
      <c r="K1498" s="31"/>
      <c r="L1498" s="31"/>
      <c r="M1498" s="31"/>
      <c r="N1498" s="31"/>
    </row>
    <row r="1499">
      <c r="A1499" s="31"/>
      <c r="B1499" s="31"/>
      <c r="C1499" s="31"/>
      <c r="D1499" s="84"/>
      <c r="E1499" s="85"/>
      <c r="F1499" s="31"/>
      <c r="G1499" s="85"/>
      <c r="H1499" s="31"/>
      <c r="I1499" s="31"/>
      <c r="J1499" s="31"/>
      <c r="K1499" s="31"/>
      <c r="L1499" s="31"/>
      <c r="M1499" s="31"/>
      <c r="N1499" s="31"/>
    </row>
    <row r="1500">
      <c r="A1500" s="31"/>
      <c r="B1500" s="31"/>
      <c r="C1500" s="31"/>
      <c r="D1500" s="84"/>
      <c r="E1500" s="85"/>
      <c r="F1500" s="31"/>
      <c r="G1500" s="85"/>
      <c r="H1500" s="31"/>
      <c r="I1500" s="31"/>
      <c r="J1500" s="31"/>
      <c r="K1500" s="31"/>
      <c r="L1500" s="31"/>
      <c r="M1500" s="31"/>
      <c r="N1500" s="31"/>
    </row>
    <row r="1501">
      <c r="A1501" s="31"/>
      <c r="B1501" s="31"/>
      <c r="C1501" s="31"/>
      <c r="D1501" s="84"/>
      <c r="E1501" s="85"/>
      <c r="F1501" s="31"/>
      <c r="G1501" s="85"/>
      <c r="H1501" s="31"/>
      <c r="I1501" s="31"/>
      <c r="J1501" s="31"/>
      <c r="K1501" s="31"/>
      <c r="L1501" s="31"/>
      <c r="M1501" s="31"/>
      <c r="N1501" s="31"/>
    </row>
    <row r="1502">
      <c r="A1502" s="31"/>
      <c r="B1502" s="31"/>
      <c r="C1502" s="31"/>
      <c r="D1502" s="84"/>
      <c r="E1502" s="85"/>
      <c r="F1502" s="31"/>
      <c r="G1502" s="85"/>
      <c r="H1502" s="31"/>
      <c r="I1502" s="31"/>
      <c r="J1502" s="31"/>
      <c r="K1502" s="31"/>
      <c r="L1502" s="31"/>
      <c r="M1502" s="31"/>
      <c r="N1502" s="31"/>
    </row>
    <row r="1503">
      <c r="A1503" s="31"/>
      <c r="B1503" s="31"/>
      <c r="C1503" s="31"/>
      <c r="D1503" s="84"/>
      <c r="E1503" s="85"/>
      <c r="F1503" s="31"/>
      <c r="G1503" s="85"/>
      <c r="H1503" s="31"/>
      <c r="I1503" s="31"/>
      <c r="J1503" s="31"/>
      <c r="K1503" s="31"/>
      <c r="L1503" s="31"/>
      <c r="M1503" s="31"/>
      <c r="N1503" s="31"/>
    </row>
    <row r="1504">
      <c r="A1504" s="31"/>
      <c r="B1504" s="31"/>
      <c r="C1504" s="31"/>
      <c r="D1504" s="84"/>
      <c r="E1504" s="85"/>
      <c r="F1504" s="31"/>
      <c r="G1504" s="85"/>
      <c r="H1504" s="31"/>
      <c r="I1504" s="31"/>
      <c r="J1504" s="31"/>
      <c r="K1504" s="31"/>
      <c r="L1504" s="31"/>
      <c r="M1504" s="31"/>
      <c r="N1504" s="31"/>
    </row>
    <row r="1505">
      <c r="A1505" s="31"/>
      <c r="B1505" s="31"/>
      <c r="C1505" s="31"/>
      <c r="D1505" s="84"/>
      <c r="E1505" s="85"/>
      <c r="F1505" s="31"/>
      <c r="G1505" s="85"/>
      <c r="H1505" s="31"/>
      <c r="I1505" s="31"/>
      <c r="J1505" s="31"/>
      <c r="K1505" s="31"/>
      <c r="L1505" s="31"/>
      <c r="M1505" s="31"/>
      <c r="N1505" s="31"/>
    </row>
    <row r="1506">
      <c r="A1506" s="31"/>
      <c r="B1506" s="31"/>
      <c r="C1506" s="31"/>
      <c r="D1506" s="84"/>
      <c r="E1506" s="85"/>
      <c r="F1506" s="31"/>
      <c r="G1506" s="85"/>
      <c r="H1506" s="31"/>
      <c r="I1506" s="31"/>
      <c r="J1506" s="31"/>
      <c r="K1506" s="31"/>
      <c r="L1506" s="31"/>
      <c r="M1506" s="31"/>
      <c r="N1506" s="31"/>
    </row>
    <row r="1507">
      <c r="A1507" s="31"/>
      <c r="B1507" s="31"/>
      <c r="C1507" s="31"/>
      <c r="D1507" s="84"/>
      <c r="E1507" s="85"/>
      <c r="F1507" s="31"/>
      <c r="G1507" s="85"/>
      <c r="H1507" s="31"/>
      <c r="I1507" s="31"/>
      <c r="J1507" s="31"/>
      <c r="K1507" s="31"/>
      <c r="L1507" s="31"/>
      <c r="M1507" s="31"/>
      <c r="N1507" s="31"/>
    </row>
  </sheetData>
  <conditionalFormatting sqref="E2:E1507">
    <cfRule type="expression" dxfId="11" priority="1">
      <formula>E2=TODAY()</formula>
    </cfRule>
  </conditionalFormatting>
  <conditionalFormatting sqref="E2:E1507">
    <cfRule type="expression" dxfId="10" priority="2">
      <formula>E2=TODAY()+1</formula>
    </cfRule>
  </conditionalFormatting>
  <hyperlinks>
    <hyperlink r:id="rId1" ref="C6"/>
    <hyperlink r:id="rId2" ref="C7"/>
    <hyperlink r:id="rId3" ref="C8"/>
    <hyperlink r:id="rId4" ref="C26"/>
    <hyperlink r:id="rId5" ref="H80"/>
    <hyperlink r:id="rId6" ref="C147"/>
    <hyperlink r:id="rId7" ref="C160"/>
    <hyperlink r:id="rId8" ref="C162"/>
    <hyperlink r:id="rId9" ref="C166"/>
    <hyperlink r:id="rId10" ref="C179"/>
    <hyperlink r:id="rId11" ref="C181"/>
    <hyperlink r:id="rId12" ref="C184"/>
    <hyperlink r:id="rId13" ref="C215"/>
    <hyperlink r:id="rId14" ref="C401"/>
    <hyperlink r:id="rId15" ref="C485"/>
    <hyperlink r:id="rId16" ref="C486"/>
    <hyperlink r:id="rId17" ref="C487"/>
    <hyperlink r:id="rId18" ref="C488"/>
    <hyperlink r:id="rId19" ref="C489"/>
    <hyperlink r:id="rId20" ref="C490"/>
    <hyperlink r:id="rId21" ref="C491"/>
    <hyperlink r:id="rId22" ref="C492"/>
    <hyperlink r:id="rId23" ref="C493"/>
    <hyperlink r:id="rId24" ref="C494"/>
    <hyperlink r:id="rId25" ref="C495"/>
    <hyperlink r:id="rId26" ref="C544"/>
    <hyperlink r:id="rId27" ref="C547"/>
    <hyperlink r:id="rId28" ref="C555"/>
    <hyperlink r:id="rId29" ref="C556"/>
    <hyperlink r:id="rId30" ref="C560"/>
    <hyperlink r:id="rId31" ref="C572"/>
    <hyperlink r:id="rId32" ref="C573"/>
    <hyperlink r:id="rId33" ref="C574"/>
    <hyperlink r:id="rId34" ref="C575"/>
    <hyperlink r:id="rId35" ref="C576"/>
    <hyperlink r:id="rId36" ref="C596"/>
    <hyperlink r:id="rId37" ref="C616"/>
    <hyperlink r:id="rId38" ref="C634"/>
    <hyperlink r:id="rId39" ref="C635"/>
    <hyperlink r:id="rId40" ref="C636"/>
    <hyperlink r:id="rId41" ref="H636"/>
    <hyperlink r:id="rId42" ref="C637"/>
    <hyperlink r:id="rId43" ref="C645"/>
    <hyperlink r:id="rId44" ref="C653"/>
    <hyperlink r:id="rId45" ref="C654"/>
    <hyperlink r:id="rId46" ref="C660"/>
    <hyperlink r:id="rId47" ref="C661"/>
    <hyperlink r:id="rId48" ref="C673"/>
    <hyperlink r:id="rId49" ref="C695"/>
    <hyperlink r:id="rId50" ref="C705"/>
    <hyperlink r:id="rId51" ref="C706"/>
    <hyperlink r:id="rId52" ref="C753"/>
    <hyperlink r:id="rId53" ref="C754"/>
    <hyperlink r:id="rId54" ref="C755"/>
    <hyperlink r:id="rId55" ref="C756"/>
    <hyperlink r:id="rId56" ref="C800"/>
    <hyperlink r:id="rId57" ref="C801"/>
    <hyperlink r:id="rId58" ref="C802"/>
    <hyperlink r:id="rId59" ref="C853"/>
    <hyperlink r:id="rId60" ref="C876"/>
    <hyperlink r:id="rId61" ref="C878"/>
    <hyperlink r:id="rId62" ref="C894"/>
    <hyperlink r:id="rId63" ref="C904"/>
    <hyperlink r:id="rId64" ref="C914"/>
  </hyperlinks>
  <drawing r:id="rId65"/>
  <tableParts count="1">
    <tablePart r:id="rId6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13.88"/>
    <col customWidth="1" min="3" max="3" width="20.88"/>
    <col customWidth="1" min="4" max="4" width="7.63"/>
    <col customWidth="1" min="5" max="5" width="19.5"/>
    <col customWidth="1" min="6" max="6" width="9.25"/>
    <col customWidth="1" min="7" max="7" width="8.5"/>
    <col customWidth="1" min="8" max="8" width="14.75"/>
    <col customWidth="1" min="9" max="9" width="21.0"/>
    <col customWidth="1" min="10" max="10" width="11.5"/>
    <col customWidth="1" min="11" max="11" width="32.88"/>
  </cols>
  <sheetData>
    <row r="1">
      <c r="A1" s="102" t="str">
        <f>IFERROR(__xludf.DUMMYFUNCTION("IMPORTRANGE(""1hyQJIHWVkunTkRt1QIbqJLNlmYIiyW2WIaE3GHBTJqo"",""A/T_Data!A:K"")"),"Email Address")</f>
        <v>Email Address</v>
      </c>
      <c r="B1" s="102" t="str">
        <f>IFERROR(__xludf.DUMMYFUNCTION("""COMPUTED_VALUE"""),"Acc &amp; Mail's St")</f>
        <v>Acc &amp; Mail's St</v>
      </c>
      <c r="C1" s="102" t="str">
        <f>IFERROR(__xludf.DUMMYFUNCTION("""COMPUTED_VALUE"""),"Details")</f>
        <v>Details</v>
      </c>
      <c r="D1" s="102" t="str">
        <f>IFERROR(__xludf.DUMMYFUNCTION("""COMPUTED_VALUE"""),"IT Status")</f>
        <v>IT Status</v>
      </c>
      <c r="E1" s="102" t="str">
        <f>IFERROR(__xludf.DUMMYFUNCTION("""COMPUTED_VALUE"""),"New Drive Ownership")</f>
        <v>New Drive Ownership</v>
      </c>
      <c r="F1" s="102" t="str">
        <f>IFERROR(__xludf.DUMMYFUNCTION("""COMPUTED_VALUE"""),"D|O-Ship St")</f>
        <v>D|O-Ship St</v>
      </c>
      <c r="G1" s="102" t="str">
        <f>IFERROR(__xludf.DUMMYFUNCTION("""COMPUTED_VALUE"""),"E-Takeout")</f>
        <v>E-Takeout</v>
      </c>
      <c r="H1" s="102" t="str">
        <f>IFERROR(__xludf.DUMMYFUNCTION("""COMPUTED_VALUE"""),"New E|T, O-Ship St")</f>
        <v>New E|T, O-Ship St</v>
      </c>
      <c r="I1" s="102" t="str">
        <f>IFERROR(__xludf.DUMMYFUNCTION("""COMPUTED_VALUE"""),"Department")</f>
        <v>Department</v>
      </c>
      <c r="J1" s="21" t="str">
        <f>IFERROR(__xludf.DUMMYFUNCTION("""COMPUTED_VALUE"""),"Revoked Date")</f>
        <v>Revoked Date</v>
      </c>
      <c r="K1" s="102" t="str">
        <f>IFERROR(__xludf.DUMMYFUNCTION("""COMPUTED_VALUE"""),"Confirmed By")</f>
        <v>Confirmed By</v>
      </c>
    </row>
    <row r="2">
      <c r="A2" s="31" t="str">
        <f>IFERROR(__xludf.DUMMYFUNCTION("""COMPUTED_VALUE"""),"vikas.joshi@zupee.in")</f>
        <v>vikas.joshi@zupee.in</v>
      </c>
      <c r="B2" s="31" t="str">
        <f>IFERROR(__xludf.DUMMYFUNCTION("""COMPUTED_VALUE"""),"NOT_FOUND")</f>
        <v>NOT_FOUND</v>
      </c>
      <c r="C2" s="31" t="str">
        <f>IFERROR(__xludf.DUMMYFUNCTION("""COMPUTED_VALUE"""),"User not found")</f>
        <v>User not found</v>
      </c>
      <c r="D2" s="31" t="str">
        <f>IFERROR(__xludf.DUMMYFUNCTION("""COMPUTED_VALUE"""),"Revoked ")</f>
        <v>Revoked </v>
      </c>
      <c r="E2" s="31" t="str">
        <f>IFERROR(__xludf.DUMMYFUNCTION("""COMPUTED_VALUE"""),"sumit.yadav@zupee.in")</f>
        <v>sumit.yadav@zupee.in</v>
      </c>
      <c r="F2" s="31" t="str">
        <f>IFERROR(__xludf.DUMMYFUNCTION("""COMPUTED_VALUE"""),"Done")</f>
        <v>Done</v>
      </c>
      <c r="G2" s="31" t="str">
        <f>IFERROR(__xludf.DUMMYFUNCTION("""COMPUTED_VALUE"""),"Hold")</f>
        <v>Hold</v>
      </c>
      <c r="H2" s="31"/>
      <c r="I2" s="31" t="str">
        <f>IFERROR(__xludf.DUMMYFUNCTION("""COMPUTED_VALUE"""),"CRM")</f>
        <v>CRM</v>
      </c>
      <c r="J2" s="103">
        <f>IFERROR(__xludf.DUMMYFUNCTION("""COMPUTED_VALUE"""),45944.0)</f>
        <v>45944</v>
      </c>
      <c r="K2" s="104" t="str">
        <f>IFERROR(__xludf.DUMMYFUNCTION("""COMPUTED_VALUE"""),"Conf By Mrityunjay Kumar")</f>
        <v>Conf By Mrityunjay Kumar</v>
      </c>
    </row>
    <row r="3">
      <c r="A3" s="31" t="str">
        <f>IFERROR(__xludf.DUMMYFUNCTION("""COMPUTED_VALUE"""),"deepak.dahiya@zupee.in")</f>
        <v>deepak.dahiya@zupee.in</v>
      </c>
      <c r="B3" s="31" t="str">
        <f>IFERROR(__xludf.DUMMYFUNCTION("""COMPUTED_VALUE"""),"NOT_FOUND")</f>
        <v>NOT_FOUND</v>
      </c>
      <c r="C3" s="31" t="str">
        <f>IFERROR(__xludf.DUMMYFUNCTION("""COMPUTED_VALUE"""),"User not found")</f>
        <v>User not found</v>
      </c>
      <c r="D3" s="31" t="str">
        <f>IFERROR(__xludf.DUMMYFUNCTION("""COMPUTED_VALUE"""),"Revoked")</f>
        <v>Revoked</v>
      </c>
      <c r="E3" s="31" t="str">
        <f>IFERROR(__xludf.DUMMYFUNCTION("""COMPUTED_VALUE"""),"hrbackup@zupee.in")</f>
        <v>hrbackup@zupee.in</v>
      </c>
      <c r="F3" s="31" t="str">
        <f>IFERROR(__xludf.DUMMYFUNCTION("""COMPUTED_VALUE"""),"Done")</f>
        <v>Done</v>
      </c>
      <c r="G3" s="31" t="str">
        <f>IFERROR(__xludf.DUMMYFUNCTION("""COMPUTED_VALUE"""),"Done")</f>
        <v>Done</v>
      </c>
      <c r="H3" s="31" t="str">
        <f>IFERROR(__xludf.DUMMYFUNCTION("""COMPUTED_VALUE"""),"vivek.jain@zupee.in")</f>
        <v>vivek.jain@zupee.in</v>
      </c>
      <c r="I3" s="31" t="str">
        <f>IFERROR(__xludf.DUMMYFUNCTION("""COMPUTED_VALUE"""),"Human Resource")</f>
        <v>Human Resource</v>
      </c>
      <c r="J3" s="103">
        <f>IFERROR(__xludf.DUMMYFUNCTION("""COMPUTED_VALUE"""),45957.0)</f>
        <v>45957</v>
      </c>
      <c r="K3" s="104" t="str">
        <f>IFERROR(__xludf.DUMMYFUNCTION("""COMPUTED_VALUE"""),"Conf By 	Vivek Jain")</f>
        <v>Conf By 	Vivek Jain</v>
      </c>
    </row>
    <row r="4">
      <c r="A4" s="31" t="str">
        <f>IFERROR(__xludf.DUMMYFUNCTION("""COMPUTED_VALUE"""),"ankur.sharma@zupee.in")</f>
        <v>ankur.sharma@zupee.in</v>
      </c>
      <c r="B4" s="31" t="str">
        <f>IFERROR(__xludf.DUMMYFUNCTION("""COMPUTED_VALUE"""),"NOT_FOUND")</f>
        <v>NOT_FOUND</v>
      </c>
      <c r="C4" s="31" t="str">
        <f>IFERROR(__xludf.DUMMYFUNCTION("""COMPUTED_VALUE"""),"User not found")</f>
        <v>User not found</v>
      </c>
      <c r="D4" s="31" t="str">
        <f>IFERROR(__xludf.DUMMYFUNCTION("""COMPUTED_VALUE"""),"Revoked")</f>
        <v>Revoked</v>
      </c>
      <c r="E4" s="31" t="str">
        <f>IFERROR(__xludf.DUMMYFUNCTION("""COMPUTED_VALUE"""),"legalbackup@zupee.in")</f>
        <v>legalbackup@zupee.in</v>
      </c>
      <c r="F4" s="31" t="str">
        <f>IFERROR(__xludf.DUMMYFUNCTION("""COMPUTED_VALUE"""),"Done")</f>
        <v>Done</v>
      </c>
      <c r="G4" s="31" t="str">
        <f>IFERROR(__xludf.DUMMYFUNCTION("""COMPUTED_VALUE"""),"Done")</f>
        <v>Done</v>
      </c>
      <c r="H4" s="31" t="str">
        <f>IFERROR(__xludf.DUMMYFUNCTION("""COMPUTED_VALUE"""),"thomas.phillippe@zupee.in")</f>
        <v>thomas.phillippe@zupee.in</v>
      </c>
      <c r="I4" s="31" t="str">
        <f>IFERROR(__xludf.DUMMYFUNCTION("""COMPUTED_VALUE"""),"Legal")</f>
        <v>Legal</v>
      </c>
      <c r="J4" s="103">
        <f>IFERROR(__xludf.DUMMYFUNCTION("""COMPUTED_VALUE"""),45958.0)</f>
        <v>45958</v>
      </c>
      <c r="K4" s="104" t="str">
        <f>IFERROR(__xludf.DUMMYFUNCTION("""COMPUTED_VALUE"""),"Conf By Thomas Phillippe")</f>
        <v>Conf By Thomas Phillippe</v>
      </c>
    </row>
    <row r="5">
      <c r="A5" s="31" t="str">
        <f>IFERROR(__xludf.DUMMYFUNCTION("""COMPUTED_VALUE"""),"anurag.shukla@zupee.in")</f>
        <v>anurag.shukla@zupee.in</v>
      </c>
      <c r="B5" s="31" t="str">
        <f>IFERROR(__xludf.DUMMYFUNCTION("""COMPUTED_VALUE"""),"NOT_FOUND")</f>
        <v>NOT_FOUND</v>
      </c>
      <c r="C5" s="31" t="str">
        <f>IFERROR(__xludf.DUMMYFUNCTION("""COMPUTED_VALUE"""),"User not found")</f>
        <v>User not found</v>
      </c>
      <c r="D5" s="31" t="str">
        <f>IFERROR(__xludf.DUMMYFUNCTION("""COMPUTED_VALUE"""),"Revoked")</f>
        <v>Revoked</v>
      </c>
      <c r="E5" s="31" t="str">
        <f>IFERROR(__xludf.DUMMYFUNCTION("""COMPUTED_VALUE"""),"legalbackup@zupee.in")</f>
        <v>legalbackup@zupee.in</v>
      </c>
      <c r="F5" s="31" t="str">
        <f>IFERROR(__xludf.DUMMYFUNCTION("""COMPUTED_VALUE"""),"Done")</f>
        <v>Done</v>
      </c>
      <c r="G5" s="31" t="str">
        <f>IFERROR(__xludf.DUMMYFUNCTION("""COMPUTED_VALUE"""),"Done")</f>
        <v>Done</v>
      </c>
      <c r="H5" s="31" t="str">
        <f>IFERROR(__xludf.DUMMYFUNCTION("""COMPUTED_VALUE"""),"thomas.phillippe@zupee.in")</f>
        <v>thomas.phillippe@zupee.in</v>
      </c>
      <c r="I5" s="31" t="str">
        <f>IFERROR(__xludf.DUMMYFUNCTION("""COMPUTED_VALUE"""),"Legal")</f>
        <v>Legal</v>
      </c>
      <c r="J5" s="103">
        <f>IFERROR(__xludf.DUMMYFUNCTION("""COMPUTED_VALUE"""),45958.0)</f>
        <v>45958</v>
      </c>
      <c r="K5" s="104" t="str">
        <f>IFERROR(__xludf.DUMMYFUNCTION("""COMPUTED_VALUE"""),"Conf By Thomas Phillippe")</f>
        <v>Conf By Thomas Phillippe</v>
      </c>
    </row>
    <row r="6">
      <c r="A6" s="31" t="str">
        <f>IFERROR(__xludf.DUMMYFUNCTION("""COMPUTED_VALUE"""),"ashmita.jain@zupee.in")</f>
        <v>ashmita.jain@zupee.in</v>
      </c>
      <c r="B6" s="31" t="str">
        <f>IFERROR(__xludf.DUMMYFUNCTION("""COMPUTED_VALUE"""),"NOT_FOUND")</f>
        <v>NOT_FOUND</v>
      </c>
      <c r="C6" s="31" t="str">
        <f>IFERROR(__xludf.DUMMYFUNCTION("""COMPUTED_VALUE"""),"User not found")</f>
        <v>User not found</v>
      </c>
      <c r="D6" s="31" t="str">
        <f>IFERROR(__xludf.DUMMYFUNCTION("""COMPUTED_VALUE"""),"Revoked")</f>
        <v>Revoked</v>
      </c>
      <c r="E6" s="31" t="str">
        <f>IFERROR(__xludf.DUMMYFUNCTION("""COMPUTED_VALUE"""),"legalbackup@zupee.in")</f>
        <v>legalbackup@zupee.in</v>
      </c>
      <c r="F6" s="31" t="str">
        <f>IFERROR(__xludf.DUMMYFUNCTION("""COMPUTED_VALUE"""),"Done")</f>
        <v>Done</v>
      </c>
      <c r="G6" s="31" t="str">
        <f>IFERROR(__xludf.DUMMYFUNCTION("""COMPUTED_VALUE"""),"Done")</f>
        <v>Done</v>
      </c>
      <c r="H6" s="31" t="str">
        <f>IFERROR(__xludf.DUMMYFUNCTION("""COMPUTED_VALUE"""),"thomas.phillippe@zupee.in")</f>
        <v>thomas.phillippe@zupee.in</v>
      </c>
      <c r="I6" s="31" t="str">
        <f>IFERROR(__xludf.DUMMYFUNCTION("""COMPUTED_VALUE"""),"Legal")</f>
        <v>Legal</v>
      </c>
      <c r="J6" s="103">
        <f>IFERROR(__xludf.DUMMYFUNCTION("""COMPUTED_VALUE"""),45958.0)</f>
        <v>45958</v>
      </c>
      <c r="K6" s="104" t="str">
        <f>IFERROR(__xludf.DUMMYFUNCTION("""COMPUTED_VALUE"""),"Conf By Thomas Phillippe")</f>
        <v>Conf By Thomas Phillippe</v>
      </c>
    </row>
    <row r="7">
      <c r="A7" s="31" t="str">
        <f>IFERROR(__xludf.DUMMYFUNCTION("""COMPUTED_VALUE"""),"deepak.manglani@zupee.in")</f>
        <v>deepak.manglani@zupee.in</v>
      </c>
      <c r="B7" s="31" t="str">
        <f>IFERROR(__xludf.DUMMYFUNCTION("""COMPUTED_VALUE"""),"NOT_FOUND")</f>
        <v>NOT_FOUND</v>
      </c>
      <c r="C7" s="31" t="str">
        <f>IFERROR(__xludf.DUMMYFUNCTION("""COMPUTED_VALUE"""),"User not found")</f>
        <v>User not found</v>
      </c>
      <c r="D7" s="31" t="str">
        <f>IFERROR(__xludf.DUMMYFUNCTION("""COMPUTED_VALUE"""),"Revoked")</f>
        <v>Revoked</v>
      </c>
      <c r="E7" s="31" t="str">
        <f>IFERROR(__xludf.DUMMYFUNCTION("""COMPUTED_VALUE"""),"legalbackup@zupee.in")</f>
        <v>legalbackup@zupee.in</v>
      </c>
      <c r="F7" s="31" t="str">
        <f>IFERROR(__xludf.DUMMYFUNCTION("""COMPUTED_VALUE"""),"Done")</f>
        <v>Done</v>
      </c>
      <c r="G7" s="31" t="str">
        <f>IFERROR(__xludf.DUMMYFUNCTION("""COMPUTED_VALUE"""),"Done")</f>
        <v>Done</v>
      </c>
      <c r="H7" s="31" t="str">
        <f>IFERROR(__xludf.DUMMYFUNCTION("""COMPUTED_VALUE"""),"thomas.phillippe@zupee.in")</f>
        <v>thomas.phillippe@zupee.in</v>
      </c>
      <c r="I7" s="31" t="str">
        <f>IFERROR(__xludf.DUMMYFUNCTION("""COMPUTED_VALUE"""),"Legal")</f>
        <v>Legal</v>
      </c>
      <c r="J7" s="103">
        <f>IFERROR(__xludf.DUMMYFUNCTION("""COMPUTED_VALUE"""),45958.0)</f>
        <v>45958</v>
      </c>
      <c r="K7" s="104" t="str">
        <f>IFERROR(__xludf.DUMMYFUNCTION("""COMPUTED_VALUE"""),"Conf By Thomas Phillippe")</f>
        <v>Conf By Thomas Phillippe</v>
      </c>
    </row>
    <row r="8">
      <c r="A8" s="31" t="str">
        <f>IFERROR(__xludf.DUMMYFUNCTION("""COMPUTED_VALUE"""),"samarth.u@zupee.in")</f>
        <v>samarth.u@zupee.in</v>
      </c>
      <c r="B8" s="31" t="str">
        <f>IFERROR(__xludf.DUMMYFUNCTION("""COMPUTED_VALUE"""),"NOT_FOUND")</f>
        <v>NOT_FOUND</v>
      </c>
      <c r="C8" s="31" t="str">
        <f>IFERROR(__xludf.DUMMYFUNCTION("""COMPUTED_VALUE"""),"User not found")</f>
        <v>User not found</v>
      </c>
      <c r="D8" s="31" t="str">
        <f>IFERROR(__xludf.DUMMYFUNCTION("""COMPUTED_VALUE"""),"Revoked")</f>
        <v>Revoked</v>
      </c>
      <c r="E8" s="31" t="str">
        <f>IFERROR(__xludf.DUMMYFUNCTION("""COMPUTED_VALUE"""),"legalbackup@zupee.in")</f>
        <v>legalbackup@zupee.in</v>
      </c>
      <c r="F8" s="31" t="str">
        <f>IFERROR(__xludf.DUMMYFUNCTION("""COMPUTED_VALUE"""),"Done")</f>
        <v>Done</v>
      </c>
      <c r="G8" s="31" t="str">
        <f>IFERROR(__xludf.DUMMYFUNCTION("""COMPUTED_VALUE"""),"Done")</f>
        <v>Done</v>
      </c>
      <c r="H8" s="31" t="str">
        <f>IFERROR(__xludf.DUMMYFUNCTION("""COMPUTED_VALUE"""),"thomas.phillippe@zupee.in")</f>
        <v>thomas.phillippe@zupee.in</v>
      </c>
      <c r="I8" s="31" t="str">
        <f>IFERROR(__xludf.DUMMYFUNCTION("""COMPUTED_VALUE"""),"Legal")</f>
        <v>Legal</v>
      </c>
      <c r="J8" s="103">
        <f>IFERROR(__xludf.DUMMYFUNCTION("""COMPUTED_VALUE"""),45958.0)</f>
        <v>45958</v>
      </c>
      <c r="K8" s="104" t="str">
        <f>IFERROR(__xludf.DUMMYFUNCTION("""COMPUTED_VALUE"""),"Conf By Thomas Phillippe")</f>
        <v>Conf By Thomas Phillippe</v>
      </c>
    </row>
    <row r="9">
      <c r="A9" s="31" t="str">
        <f>IFERROR(__xludf.DUMMYFUNCTION("""COMPUTED_VALUE"""),"samarth.udasin@zupee.in")</f>
        <v>samarth.udasin@zupee.in</v>
      </c>
      <c r="B9" s="31" t="str">
        <f>IFERROR(__xludf.DUMMYFUNCTION("""COMPUTED_VALUE"""),"NOT_FOUND")</f>
        <v>NOT_FOUND</v>
      </c>
      <c r="C9" s="31" t="str">
        <f>IFERROR(__xludf.DUMMYFUNCTION("""COMPUTED_VALUE"""),"User not found")</f>
        <v>User not found</v>
      </c>
      <c r="D9" s="31" t="str">
        <f>IFERROR(__xludf.DUMMYFUNCTION("""COMPUTED_VALUE"""),"Revoked")</f>
        <v>Revoked</v>
      </c>
      <c r="E9" s="31" t="str">
        <f>IFERROR(__xludf.DUMMYFUNCTION("""COMPUTED_VALUE"""),"legalbackup@zupee.in")</f>
        <v>legalbackup@zupee.in</v>
      </c>
      <c r="F9" s="31" t="str">
        <f>IFERROR(__xludf.DUMMYFUNCTION("""COMPUTED_VALUE"""),"Done")</f>
        <v>Done</v>
      </c>
      <c r="G9" s="31" t="str">
        <f>IFERROR(__xludf.DUMMYFUNCTION("""COMPUTED_VALUE"""),"Done")</f>
        <v>Done</v>
      </c>
      <c r="H9" s="31" t="str">
        <f>IFERROR(__xludf.DUMMYFUNCTION("""COMPUTED_VALUE"""),"thomas.phillippe@zupee.in")</f>
        <v>thomas.phillippe@zupee.in</v>
      </c>
      <c r="I9" s="31" t="str">
        <f>IFERROR(__xludf.DUMMYFUNCTION("""COMPUTED_VALUE"""),"Legal")</f>
        <v>Legal</v>
      </c>
      <c r="J9" s="103">
        <f>IFERROR(__xludf.DUMMYFUNCTION("""COMPUTED_VALUE"""),45958.0)</f>
        <v>45958</v>
      </c>
      <c r="K9" s="104" t="str">
        <f>IFERROR(__xludf.DUMMYFUNCTION("""COMPUTED_VALUE"""),"Conf By Thomas Phillippe")</f>
        <v>Conf By Thomas Phillippe</v>
      </c>
    </row>
    <row r="10">
      <c r="A10" s="31" t="str">
        <f>IFERROR(__xludf.DUMMYFUNCTION("""COMPUTED_VALUE"""),"garima.prakash@zupee.in")</f>
        <v>garima.prakash@zupee.in</v>
      </c>
      <c r="B10" s="31" t="str">
        <f>IFERROR(__xludf.DUMMYFUNCTION("""COMPUTED_VALUE"""),"NOT_FOUND")</f>
        <v>NOT_FOUND</v>
      </c>
      <c r="C10" s="31" t="str">
        <f>IFERROR(__xludf.DUMMYFUNCTION("""COMPUTED_VALUE"""),"User not found")</f>
        <v>User not found</v>
      </c>
      <c r="D10" s="31" t="str">
        <f>IFERROR(__xludf.DUMMYFUNCTION("""COMPUTED_VALUE"""),"Revoked")</f>
        <v>Revoked</v>
      </c>
      <c r="E10" s="31" t="str">
        <f>IFERROR(__xludf.DUMMYFUNCTION("""COMPUTED_VALUE"""),"govind.mittal@zupee.in")</f>
        <v>govind.mittal@zupee.in</v>
      </c>
      <c r="F10" s="31" t="str">
        <f>IFERROR(__xludf.DUMMYFUNCTION("""COMPUTED_VALUE"""),"Done")</f>
        <v>Done</v>
      </c>
      <c r="G10" s="31" t="str">
        <f>IFERROR(__xludf.DUMMYFUNCTION("""COMPUTED_VALUE"""),"Done")</f>
        <v>Done</v>
      </c>
      <c r="H10" s="31" t="str">
        <f>IFERROR(__xludf.DUMMYFUNCTION("""COMPUTED_VALUE"""),"govind.mittal@zupee.in")</f>
        <v>govind.mittal@zupee.in</v>
      </c>
      <c r="I10" s="31" t="str">
        <f>IFERROR(__xludf.DUMMYFUNCTION("""COMPUTED_VALUE"""),"Public policy")</f>
        <v>Public policy</v>
      </c>
      <c r="J10" s="103">
        <f>IFERROR(__xludf.DUMMYFUNCTION("""COMPUTED_VALUE"""),45958.0)</f>
        <v>45958</v>
      </c>
      <c r="K10" s="104" t="str">
        <f>IFERROR(__xludf.DUMMYFUNCTION("""COMPUTED_VALUE"""),"Conf By Govind Mattal")</f>
        <v>Conf By Govind Mattal</v>
      </c>
    </row>
    <row r="11">
      <c r="A11" s="31" t="str">
        <f>IFERROR(__xludf.DUMMYFUNCTION("""COMPUTED_VALUE"""),"rubaab.sood@zupee.in")</f>
        <v>rubaab.sood@zupee.in</v>
      </c>
      <c r="B11" s="31" t="str">
        <f>IFERROR(__xludf.DUMMYFUNCTION("""COMPUTED_VALUE"""),"NOT_FOUND")</f>
        <v>NOT_FOUND</v>
      </c>
      <c r="C11" s="31" t="str">
        <f>IFERROR(__xludf.DUMMYFUNCTION("""COMPUTED_VALUE"""),"User not found")</f>
        <v>User not found</v>
      </c>
      <c r="D11" s="31" t="str">
        <f>IFERROR(__xludf.DUMMYFUNCTION("""COMPUTED_VALUE"""),"Revoked")</f>
        <v>Revoked</v>
      </c>
      <c r="E11" s="31" t="str">
        <f>IFERROR(__xludf.DUMMYFUNCTION("""COMPUTED_VALUE"""),"govind.mittal@zupee.in")</f>
        <v>govind.mittal@zupee.in</v>
      </c>
      <c r="F11" s="31" t="str">
        <f>IFERROR(__xludf.DUMMYFUNCTION("""COMPUTED_VALUE"""),"Done")</f>
        <v>Done</v>
      </c>
      <c r="G11" s="31" t="str">
        <f>IFERROR(__xludf.DUMMYFUNCTION("""COMPUTED_VALUE"""),"Done")</f>
        <v>Done</v>
      </c>
      <c r="H11" s="31" t="str">
        <f>IFERROR(__xludf.DUMMYFUNCTION("""COMPUTED_VALUE"""),"govind.mittal@zupee.in")</f>
        <v>govind.mittal@zupee.in</v>
      </c>
      <c r="I11" s="31" t="str">
        <f>IFERROR(__xludf.DUMMYFUNCTION("""COMPUTED_VALUE"""),"Public policy")</f>
        <v>Public policy</v>
      </c>
      <c r="J11" s="103">
        <f>IFERROR(__xludf.DUMMYFUNCTION("""COMPUTED_VALUE"""),45958.0)</f>
        <v>45958</v>
      </c>
      <c r="K11" s="104" t="str">
        <f>IFERROR(__xludf.DUMMYFUNCTION("""COMPUTED_VALUE"""),"Conf By Govind Mattal")</f>
        <v>Conf By Govind Mattal</v>
      </c>
    </row>
    <row r="12">
      <c r="A12" s="31" t="str">
        <f>IFERROR(__xludf.DUMMYFUNCTION("""COMPUTED_VALUE"""),"tanmeet.ahuja@zupee.in")</f>
        <v>tanmeet.ahuja@zupee.in</v>
      </c>
      <c r="B12" s="31" t="str">
        <f>IFERROR(__xludf.DUMMYFUNCTION("""COMPUTED_VALUE"""),"NOT_FOUND")</f>
        <v>NOT_FOUND</v>
      </c>
      <c r="C12" s="31" t="str">
        <f>IFERROR(__xludf.DUMMYFUNCTION("""COMPUTED_VALUE"""),"User not found")</f>
        <v>User not found</v>
      </c>
      <c r="D12" s="31" t="str">
        <f>IFERROR(__xludf.DUMMYFUNCTION("""COMPUTED_VALUE"""),"Revoked")</f>
        <v>Revoked</v>
      </c>
      <c r="E12" s="31" t="str">
        <f>IFERROR(__xludf.DUMMYFUNCTION("""COMPUTED_VALUE"""),"govind.mittal@zupee.in")</f>
        <v>govind.mittal@zupee.in</v>
      </c>
      <c r="F12" s="31" t="str">
        <f>IFERROR(__xludf.DUMMYFUNCTION("""COMPUTED_VALUE"""),"Done")</f>
        <v>Done</v>
      </c>
      <c r="G12" s="31" t="str">
        <f>IFERROR(__xludf.DUMMYFUNCTION("""COMPUTED_VALUE"""),"Done")</f>
        <v>Done</v>
      </c>
      <c r="H12" s="31" t="str">
        <f>IFERROR(__xludf.DUMMYFUNCTION("""COMPUTED_VALUE"""),"govind.mittal@zupee.in")</f>
        <v>govind.mittal@zupee.in</v>
      </c>
      <c r="I12" s="31" t="str">
        <f>IFERROR(__xludf.DUMMYFUNCTION("""COMPUTED_VALUE"""),"Public Policy")</f>
        <v>Public Policy</v>
      </c>
      <c r="J12" s="103">
        <f>IFERROR(__xludf.DUMMYFUNCTION("""COMPUTED_VALUE"""),45958.0)</f>
        <v>45958</v>
      </c>
      <c r="K12" s="104" t="str">
        <f>IFERROR(__xludf.DUMMYFUNCTION("""COMPUTED_VALUE"""),"Conf By Govind Mattal")</f>
        <v>Conf By Govind Mattal</v>
      </c>
    </row>
    <row r="13">
      <c r="A13" s="31" t="str">
        <f>IFERROR(__xludf.DUMMYFUNCTION("""COMPUTED_VALUE"""),"tripti.jain@zupee.in")</f>
        <v>tripti.jain@zupee.in</v>
      </c>
      <c r="B13" s="31" t="str">
        <f>IFERROR(__xludf.DUMMYFUNCTION("""COMPUTED_VALUE"""),"NOT_FOUND")</f>
        <v>NOT_FOUND</v>
      </c>
      <c r="C13" s="31" t="str">
        <f>IFERROR(__xludf.DUMMYFUNCTION("""COMPUTED_VALUE"""),"User not found")</f>
        <v>User not found</v>
      </c>
      <c r="D13" s="31" t="str">
        <f>IFERROR(__xludf.DUMMYFUNCTION("""COMPUTED_VALUE"""),"Revoked")</f>
        <v>Revoked</v>
      </c>
      <c r="E13" s="31" t="str">
        <f>IFERROR(__xludf.DUMMYFUNCTION("""COMPUTED_VALUE"""),"govind.mittal@zupee.in")</f>
        <v>govind.mittal@zupee.in</v>
      </c>
      <c r="F13" s="31" t="str">
        <f>IFERROR(__xludf.DUMMYFUNCTION("""COMPUTED_VALUE"""),"Done")</f>
        <v>Done</v>
      </c>
      <c r="G13" s="31" t="str">
        <f>IFERROR(__xludf.DUMMYFUNCTION("""COMPUTED_VALUE"""),"Done")</f>
        <v>Done</v>
      </c>
      <c r="H13" s="31" t="str">
        <f>IFERROR(__xludf.DUMMYFUNCTION("""COMPUTED_VALUE"""),"govind.mittal@zupee.in")</f>
        <v>govind.mittal@zupee.in</v>
      </c>
      <c r="I13" s="31" t="str">
        <f>IFERROR(__xludf.DUMMYFUNCTION("""COMPUTED_VALUE"""),"Public policy")</f>
        <v>Public policy</v>
      </c>
      <c r="J13" s="103">
        <f>IFERROR(__xludf.DUMMYFUNCTION("""COMPUTED_VALUE"""),45958.0)</f>
        <v>45958</v>
      </c>
      <c r="K13" s="104" t="str">
        <f>IFERROR(__xludf.DUMMYFUNCTION("""COMPUTED_VALUE"""),"Conf By Govind Mattal")</f>
        <v>Conf By Govind Mattal</v>
      </c>
    </row>
    <row r="14">
      <c r="A14" s="31" t="str">
        <f>IFERROR(__xludf.DUMMYFUNCTION("""COMPUTED_VALUE"""),"varun.yadav@zupee.in")</f>
        <v>varun.yadav@zupee.in</v>
      </c>
      <c r="B14" s="31" t="str">
        <f>IFERROR(__xludf.DUMMYFUNCTION("""COMPUTED_VALUE"""),"NOT_FOUND")</f>
        <v>NOT_FOUND</v>
      </c>
      <c r="C14" s="31" t="str">
        <f>IFERROR(__xludf.DUMMYFUNCTION("""COMPUTED_VALUE"""),"User not found")</f>
        <v>User not found</v>
      </c>
      <c r="D14" s="31" t="str">
        <f>IFERROR(__xludf.DUMMYFUNCTION("""COMPUTED_VALUE"""),"Revoked")</f>
        <v>Revoked</v>
      </c>
      <c r="E14" s="31" t="str">
        <f>IFERROR(__xludf.DUMMYFUNCTION("""COMPUTED_VALUE"""),"govind.mittal@zupee.in")</f>
        <v>govind.mittal@zupee.in</v>
      </c>
      <c r="F14" s="31" t="str">
        <f>IFERROR(__xludf.DUMMYFUNCTION("""COMPUTED_VALUE"""),"Done")</f>
        <v>Done</v>
      </c>
      <c r="G14" s="31" t="str">
        <f>IFERROR(__xludf.DUMMYFUNCTION("""COMPUTED_VALUE"""),"Done")</f>
        <v>Done</v>
      </c>
      <c r="H14" s="31" t="str">
        <f>IFERROR(__xludf.DUMMYFUNCTION("""COMPUTED_VALUE"""),"govind.mittal@zupee.in")</f>
        <v>govind.mittal@zupee.in</v>
      </c>
      <c r="I14" s="31" t="str">
        <f>IFERROR(__xludf.DUMMYFUNCTION("""COMPUTED_VALUE"""),"Public policy")</f>
        <v>Public policy</v>
      </c>
      <c r="J14" s="103">
        <f>IFERROR(__xludf.DUMMYFUNCTION("""COMPUTED_VALUE"""),45958.0)</f>
        <v>45958</v>
      </c>
      <c r="K14" s="104" t="str">
        <f>IFERROR(__xludf.DUMMYFUNCTION("""COMPUTED_VALUE"""),"Conf By Govind Mattal")</f>
        <v>Conf By Govind Mattal</v>
      </c>
    </row>
    <row r="15">
      <c r="A15" s="31" t="str">
        <f>IFERROR(__xludf.DUMMYFUNCTION("""COMPUTED_VALUE"""),"anish.agarwal@zupee.in")</f>
        <v>anish.agarwal@zupee.in</v>
      </c>
      <c r="B15" s="31" t="str">
        <f>IFERROR(__xludf.DUMMYFUNCTION("""COMPUTED_VALUE"""),"NOT_FOUND")</f>
        <v>NOT_FOUND</v>
      </c>
      <c r="C15" s="31" t="str">
        <f>IFERROR(__xludf.DUMMYFUNCTION("""COMPUTED_VALUE"""),"User not found")</f>
        <v>User not found</v>
      </c>
      <c r="D15" s="31" t="str">
        <f>IFERROR(__xludf.DUMMYFUNCTION("""COMPUTED_VALUE"""),"Revoked")</f>
        <v>Revoked</v>
      </c>
      <c r="E15" s="31" t="str">
        <f>IFERROR(__xludf.DUMMYFUNCTION("""COMPUTED_VALUE"""),"financebackup@zupee.in")</f>
        <v>financebackup@zupee.in</v>
      </c>
      <c r="F15" s="31" t="str">
        <f>IFERROR(__xludf.DUMMYFUNCTION("""COMPUTED_VALUE"""),"Done")</f>
        <v>Done</v>
      </c>
      <c r="G15" s="31" t="str">
        <f>IFERROR(__xludf.DUMMYFUNCTION("""COMPUTED_VALUE"""),"Done")</f>
        <v>Done</v>
      </c>
      <c r="H15" s="31" t="str">
        <f>IFERROR(__xludf.DUMMYFUNCTION("""COMPUTED_VALUE"""),"financebackup@zupee.in")</f>
        <v>financebackup@zupee.in</v>
      </c>
      <c r="I15" s="31" t="str">
        <f>IFERROR(__xludf.DUMMYFUNCTION("""COMPUTED_VALUE"""),"Finance")</f>
        <v>Finance</v>
      </c>
      <c r="J15" s="103">
        <f>IFERROR(__xludf.DUMMYFUNCTION("""COMPUTED_VALUE"""),45960.0)</f>
        <v>45960</v>
      </c>
      <c r="K15" s="104" t="str">
        <f>IFERROR(__xludf.DUMMYFUNCTION("""COMPUTED_VALUE"""),"Conf By Ankit Maheshwari")</f>
        <v>Conf By Ankit Maheshwari</v>
      </c>
    </row>
    <row r="16">
      <c r="A16" s="31" t="str">
        <f>IFERROR(__xludf.DUMMYFUNCTION("""COMPUTED_VALUE"""),"kailash.chand@zupee.in")</f>
        <v>kailash.chand@zupee.in</v>
      </c>
      <c r="B16" s="31" t="str">
        <f>IFERROR(__xludf.DUMMYFUNCTION("""COMPUTED_VALUE"""),"NOT_FOUND")</f>
        <v>NOT_FOUND</v>
      </c>
      <c r="C16" s="31" t="str">
        <f>IFERROR(__xludf.DUMMYFUNCTION("""COMPUTED_VALUE"""),"User not found")</f>
        <v>User not found</v>
      </c>
      <c r="D16" s="31" t="str">
        <f>IFERROR(__xludf.DUMMYFUNCTION("""COMPUTED_VALUE"""),"Revoked")</f>
        <v>Revoked</v>
      </c>
      <c r="E16" s="31" t="str">
        <f>IFERROR(__xludf.DUMMYFUNCTION("""COMPUTED_VALUE"""),"ankit.wadhwa@zupee.in")</f>
        <v>ankit.wadhwa@zupee.in</v>
      </c>
      <c r="F16" s="31" t="str">
        <f>IFERROR(__xludf.DUMMYFUNCTION("""COMPUTED_VALUE"""),"Done")</f>
        <v>Done</v>
      </c>
      <c r="G16" s="31" t="str">
        <f>IFERROR(__xludf.DUMMYFUNCTION("""COMPUTED_VALUE"""),"Done")</f>
        <v>Done</v>
      </c>
      <c r="H16" s="31" t="str">
        <f>IFERROR(__xludf.DUMMYFUNCTION("""COMPUTED_VALUE"""),"financebackup@zupee.in")</f>
        <v>financebackup@zupee.in</v>
      </c>
      <c r="I16" s="31" t="str">
        <f>IFERROR(__xludf.DUMMYFUNCTION("""COMPUTED_VALUE"""),"Finance")</f>
        <v>Finance</v>
      </c>
      <c r="J16" s="103">
        <f>IFERROR(__xludf.DUMMYFUNCTION("""COMPUTED_VALUE"""),45960.0)</f>
        <v>45960</v>
      </c>
      <c r="K16" s="104" t="str">
        <f>IFERROR(__xludf.DUMMYFUNCTION("""COMPUTED_VALUE"""),"Conf By Ankit Maheshwari")</f>
        <v>Conf By Ankit Maheshwari</v>
      </c>
    </row>
    <row r="17">
      <c r="A17" s="31" t="str">
        <f>IFERROR(__xludf.DUMMYFUNCTION("""COMPUTED_VALUE"""),"arushi.patni@zupee.in")</f>
        <v>arushi.patni@zupee.in</v>
      </c>
      <c r="B17" s="31" t="str">
        <f>IFERROR(__xludf.DUMMYFUNCTION("""COMPUTED_VALUE"""),"NOT_FOUND")</f>
        <v>NOT_FOUND</v>
      </c>
      <c r="C17" s="31" t="str">
        <f>IFERROR(__xludf.DUMMYFUNCTION("""COMPUTED_VALUE"""),"User not found")</f>
        <v>User not found</v>
      </c>
      <c r="D17" s="31" t="str">
        <f>IFERROR(__xludf.DUMMYFUNCTION("""COMPUTED_VALUE"""),"Revoked")</f>
        <v>Revoked</v>
      </c>
      <c r="E17" s="31" t="str">
        <f>IFERROR(__xludf.DUMMYFUNCTION("""COMPUTED_VALUE"""),"shashank.gupta@zupee.in")</f>
        <v>shashank.gupta@zupee.in</v>
      </c>
      <c r="F17" s="31" t="str">
        <f>IFERROR(__xludf.DUMMYFUNCTION("""COMPUTED_VALUE"""),"Done")</f>
        <v>Done</v>
      </c>
      <c r="G17" s="31" t="str">
        <f>IFERROR(__xludf.DUMMYFUNCTION("""COMPUTED_VALUE"""),"Done")</f>
        <v>Done</v>
      </c>
      <c r="H17" s="31" t="str">
        <f>IFERROR(__xludf.DUMMYFUNCTION("""COMPUTED_VALUE"""),"financebackup@zupee.in")</f>
        <v>financebackup@zupee.in</v>
      </c>
      <c r="I17" s="31" t="str">
        <f>IFERROR(__xludf.DUMMYFUNCTION("""COMPUTED_VALUE"""),"Finance")</f>
        <v>Finance</v>
      </c>
      <c r="J17" s="103">
        <f>IFERROR(__xludf.DUMMYFUNCTION("""COMPUTED_VALUE"""),45960.0)</f>
        <v>45960</v>
      </c>
      <c r="K17" s="104" t="str">
        <f>IFERROR(__xludf.DUMMYFUNCTION("""COMPUTED_VALUE"""),"Conf By Ankit Maheshwari")</f>
        <v>Conf By Ankit Maheshwari</v>
      </c>
    </row>
    <row r="18">
      <c r="A18" s="31" t="str">
        <f>IFERROR(__xludf.DUMMYFUNCTION("""COMPUTED_VALUE"""),"bhavya.arora@zupee.in")</f>
        <v>bhavya.arora@zupee.in</v>
      </c>
      <c r="B18" s="31" t="str">
        <f>IFERROR(__xludf.DUMMYFUNCTION("""COMPUTED_VALUE"""),"NOT_FOUND")</f>
        <v>NOT_FOUND</v>
      </c>
      <c r="C18" s="31" t="str">
        <f>IFERROR(__xludf.DUMMYFUNCTION("""COMPUTED_VALUE"""),"User not found")</f>
        <v>User not found</v>
      </c>
      <c r="D18" s="31" t="str">
        <f>IFERROR(__xludf.DUMMYFUNCTION("""COMPUTED_VALUE"""),"Revoked")</f>
        <v>Revoked</v>
      </c>
      <c r="E18" s="31" t="str">
        <f>IFERROR(__xludf.DUMMYFUNCTION("""COMPUTED_VALUE"""),"financebackup@zupee.in")</f>
        <v>financebackup@zupee.in</v>
      </c>
      <c r="F18" s="31" t="str">
        <f>IFERROR(__xludf.DUMMYFUNCTION("""COMPUTED_VALUE"""),"Done")</f>
        <v>Done</v>
      </c>
      <c r="G18" s="31" t="str">
        <f>IFERROR(__xludf.DUMMYFUNCTION("""COMPUTED_VALUE"""),"Done")</f>
        <v>Done</v>
      </c>
      <c r="H18" s="31" t="str">
        <f>IFERROR(__xludf.DUMMYFUNCTION("""COMPUTED_VALUE"""),"financebackup@zupee.in")</f>
        <v>financebackup@zupee.in</v>
      </c>
      <c r="I18" s="31" t="str">
        <f>IFERROR(__xludf.DUMMYFUNCTION("""COMPUTED_VALUE"""),"Finance")</f>
        <v>Finance</v>
      </c>
      <c r="J18" s="103">
        <f>IFERROR(__xludf.DUMMYFUNCTION("""COMPUTED_VALUE"""),45960.0)</f>
        <v>45960</v>
      </c>
      <c r="K18" s="104" t="str">
        <f>IFERROR(__xludf.DUMMYFUNCTION("""COMPUTED_VALUE"""),"Conf By Ankit Maheshwari")</f>
        <v>Conf By Ankit Maheshwari</v>
      </c>
    </row>
    <row r="19">
      <c r="A19" s="31" t="str">
        <f>IFERROR(__xludf.DUMMYFUNCTION("""COMPUTED_VALUE"""),"gagandeep.singh@zupee.in")</f>
        <v>gagandeep.singh@zupee.in</v>
      </c>
      <c r="B19" s="31" t="str">
        <f>IFERROR(__xludf.DUMMYFUNCTION("""COMPUTED_VALUE"""),"NOT_FOUND")</f>
        <v>NOT_FOUND</v>
      </c>
      <c r="C19" s="31" t="str">
        <f>IFERROR(__xludf.DUMMYFUNCTION("""COMPUTED_VALUE"""),"User not found")</f>
        <v>User not found</v>
      </c>
      <c r="D19" s="31" t="str">
        <f>IFERROR(__xludf.DUMMYFUNCTION("""COMPUTED_VALUE"""),"Revoked")</f>
        <v>Revoked</v>
      </c>
      <c r="E19" s="31" t="str">
        <f>IFERROR(__xludf.DUMMYFUNCTION("""COMPUTED_VALUE"""),"financebackup@zupee.in")</f>
        <v>financebackup@zupee.in</v>
      </c>
      <c r="F19" s="31" t="str">
        <f>IFERROR(__xludf.DUMMYFUNCTION("""COMPUTED_VALUE"""),"Done")</f>
        <v>Done</v>
      </c>
      <c r="G19" s="31" t="str">
        <f>IFERROR(__xludf.DUMMYFUNCTION("""COMPUTED_VALUE"""),"Done")</f>
        <v>Done</v>
      </c>
      <c r="H19" s="31" t="str">
        <f>IFERROR(__xludf.DUMMYFUNCTION("""COMPUTED_VALUE"""),"financebackup@zupee.in")</f>
        <v>financebackup@zupee.in</v>
      </c>
      <c r="I19" s="31" t="str">
        <f>IFERROR(__xludf.DUMMYFUNCTION("""COMPUTED_VALUE"""),"Finance")</f>
        <v>Finance</v>
      </c>
      <c r="J19" s="103">
        <f>IFERROR(__xludf.DUMMYFUNCTION("""COMPUTED_VALUE"""),45960.0)</f>
        <v>45960</v>
      </c>
      <c r="K19" s="104" t="str">
        <f>IFERROR(__xludf.DUMMYFUNCTION("""COMPUTED_VALUE"""),"Conf By Ankit Maheshwari")</f>
        <v>Conf By Ankit Maheshwari</v>
      </c>
    </row>
    <row r="20">
      <c r="A20" s="31" t="str">
        <f>IFERROR(__xludf.DUMMYFUNCTION("""COMPUTED_VALUE"""),"gunn.bhargava@zupee.in")</f>
        <v>gunn.bhargava@zupee.in</v>
      </c>
      <c r="B20" s="31" t="str">
        <f>IFERROR(__xludf.DUMMYFUNCTION("""COMPUTED_VALUE"""),"NOT_FOUND")</f>
        <v>NOT_FOUND</v>
      </c>
      <c r="C20" s="31" t="str">
        <f>IFERROR(__xludf.DUMMYFUNCTION("""COMPUTED_VALUE"""),"User not found")</f>
        <v>User not found</v>
      </c>
      <c r="D20" s="31" t="str">
        <f>IFERROR(__xludf.DUMMYFUNCTION("""COMPUTED_VALUE"""),"Revoked")</f>
        <v>Revoked</v>
      </c>
      <c r="E20" s="31" t="str">
        <f>IFERROR(__xludf.DUMMYFUNCTION("""COMPUTED_VALUE"""),"financebackup@zupee.in")</f>
        <v>financebackup@zupee.in</v>
      </c>
      <c r="F20" s="31" t="str">
        <f>IFERROR(__xludf.DUMMYFUNCTION("""COMPUTED_VALUE"""),"Done")</f>
        <v>Done</v>
      </c>
      <c r="G20" s="31" t="str">
        <f>IFERROR(__xludf.DUMMYFUNCTION("""COMPUTED_VALUE"""),"Done")</f>
        <v>Done</v>
      </c>
      <c r="H20" s="31" t="str">
        <f>IFERROR(__xludf.DUMMYFUNCTION("""COMPUTED_VALUE"""),"financebackup@zupee.in")</f>
        <v>financebackup@zupee.in</v>
      </c>
      <c r="I20" s="31" t="str">
        <f>IFERROR(__xludf.DUMMYFUNCTION("""COMPUTED_VALUE"""),"Finance")</f>
        <v>Finance</v>
      </c>
      <c r="J20" s="103">
        <f>IFERROR(__xludf.DUMMYFUNCTION("""COMPUTED_VALUE"""),45960.0)</f>
        <v>45960</v>
      </c>
      <c r="K20" s="104" t="str">
        <f>IFERROR(__xludf.DUMMYFUNCTION("""COMPUTED_VALUE"""),"Conf By Ankit Maheshwari")</f>
        <v>Conf By Ankit Maheshwari</v>
      </c>
    </row>
    <row r="21">
      <c r="A21" s="31" t="str">
        <f>IFERROR(__xludf.DUMMYFUNCTION("""COMPUTED_VALUE"""),"jatin.jatin@zupee.in")</f>
        <v>jatin.jatin@zupee.in</v>
      </c>
      <c r="B21" s="31" t="str">
        <f>IFERROR(__xludf.DUMMYFUNCTION("""COMPUTED_VALUE"""),"NOT_FOUND")</f>
        <v>NOT_FOUND</v>
      </c>
      <c r="C21" s="31" t="str">
        <f>IFERROR(__xludf.DUMMYFUNCTION("""COMPUTED_VALUE"""),"User not found")</f>
        <v>User not found</v>
      </c>
      <c r="D21" s="31" t="str">
        <f>IFERROR(__xludf.DUMMYFUNCTION("""COMPUTED_VALUE"""),"Revoked")</f>
        <v>Revoked</v>
      </c>
      <c r="E21" s="31" t="str">
        <f>IFERROR(__xludf.DUMMYFUNCTION("""COMPUTED_VALUE"""),"financebackup@zupee.in")</f>
        <v>financebackup@zupee.in</v>
      </c>
      <c r="F21" s="31" t="str">
        <f>IFERROR(__xludf.DUMMYFUNCTION("""COMPUTED_VALUE"""),"Done")</f>
        <v>Done</v>
      </c>
      <c r="G21" s="31" t="str">
        <f>IFERROR(__xludf.DUMMYFUNCTION("""COMPUTED_VALUE"""),"Done")</f>
        <v>Done</v>
      </c>
      <c r="H21" s="31" t="str">
        <f>IFERROR(__xludf.DUMMYFUNCTION("""COMPUTED_VALUE"""),"financebackup@zupee.in")</f>
        <v>financebackup@zupee.in</v>
      </c>
      <c r="I21" s="31" t="str">
        <f>IFERROR(__xludf.DUMMYFUNCTION("""COMPUTED_VALUE"""),"Finance")</f>
        <v>Finance</v>
      </c>
      <c r="J21" s="103">
        <f>IFERROR(__xludf.DUMMYFUNCTION("""COMPUTED_VALUE"""),45960.0)</f>
        <v>45960</v>
      </c>
      <c r="K21" s="104" t="str">
        <f>IFERROR(__xludf.DUMMYFUNCTION("""COMPUTED_VALUE"""),"Conf By Ankit Maheshwari")</f>
        <v>Conf By Ankit Maheshwari</v>
      </c>
    </row>
    <row r="22">
      <c r="A22" s="31" t="str">
        <f>IFERROR(__xludf.DUMMYFUNCTION("""COMPUTED_VALUE"""),"jitesh.suneja@zupee.in")</f>
        <v>jitesh.suneja@zupee.in</v>
      </c>
      <c r="B22" s="31" t="str">
        <f>IFERROR(__xludf.DUMMYFUNCTION("""COMPUTED_VALUE"""),"NOT_FOUND")</f>
        <v>NOT_FOUND</v>
      </c>
      <c r="C22" s="31" t="str">
        <f>IFERROR(__xludf.DUMMYFUNCTION("""COMPUTED_VALUE"""),"User not found")</f>
        <v>User not found</v>
      </c>
      <c r="D22" s="31" t="str">
        <f>IFERROR(__xludf.DUMMYFUNCTION("""COMPUTED_VALUE"""),"Revoked")</f>
        <v>Revoked</v>
      </c>
      <c r="E22" s="31" t="str">
        <f>IFERROR(__xludf.DUMMYFUNCTION("""COMPUTED_VALUE"""),"financebackup@zupee.in")</f>
        <v>financebackup@zupee.in</v>
      </c>
      <c r="F22" s="31" t="str">
        <f>IFERROR(__xludf.DUMMYFUNCTION("""COMPUTED_VALUE"""),"Done")</f>
        <v>Done</v>
      </c>
      <c r="G22" s="31" t="str">
        <f>IFERROR(__xludf.DUMMYFUNCTION("""COMPUTED_VALUE"""),"Done")</f>
        <v>Done</v>
      </c>
      <c r="H22" s="31" t="str">
        <f>IFERROR(__xludf.DUMMYFUNCTION("""COMPUTED_VALUE"""),"financebackup@zupee.in")</f>
        <v>financebackup@zupee.in</v>
      </c>
      <c r="I22" s="31" t="str">
        <f>IFERROR(__xludf.DUMMYFUNCTION("""COMPUTED_VALUE"""),"Finance")</f>
        <v>Finance</v>
      </c>
      <c r="J22" s="103">
        <f>IFERROR(__xludf.DUMMYFUNCTION("""COMPUTED_VALUE"""),45960.0)</f>
        <v>45960</v>
      </c>
      <c r="K22" s="104" t="str">
        <f>IFERROR(__xludf.DUMMYFUNCTION("""COMPUTED_VALUE"""),"Conf By Ankit Maheshwari")</f>
        <v>Conf By Ankit Maheshwari</v>
      </c>
    </row>
    <row r="23">
      <c r="A23" s="31" t="str">
        <f>IFERROR(__xludf.DUMMYFUNCTION("""COMPUTED_VALUE"""),"mayank.goyal@zupee.in")</f>
        <v>mayank.goyal@zupee.in</v>
      </c>
      <c r="B23" s="31" t="str">
        <f>IFERROR(__xludf.DUMMYFUNCTION("""COMPUTED_VALUE"""),"NOT_FOUND")</f>
        <v>NOT_FOUND</v>
      </c>
      <c r="C23" s="31" t="str">
        <f>IFERROR(__xludf.DUMMYFUNCTION("""COMPUTED_VALUE"""),"User not found")</f>
        <v>User not found</v>
      </c>
      <c r="D23" s="31" t="str">
        <f>IFERROR(__xludf.DUMMYFUNCTION("""COMPUTED_VALUE"""),"Revoked")</f>
        <v>Revoked</v>
      </c>
      <c r="E23" s="31" t="str">
        <f>IFERROR(__xludf.DUMMYFUNCTION("""COMPUTED_VALUE"""),"financebackup@zupee.in")</f>
        <v>financebackup@zupee.in</v>
      </c>
      <c r="F23" s="31" t="str">
        <f>IFERROR(__xludf.DUMMYFUNCTION("""COMPUTED_VALUE"""),"Done")</f>
        <v>Done</v>
      </c>
      <c r="G23" s="31" t="str">
        <f>IFERROR(__xludf.DUMMYFUNCTION("""COMPUTED_VALUE"""),"Done")</f>
        <v>Done</v>
      </c>
      <c r="H23" s="31" t="str">
        <f>IFERROR(__xludf.DUMMYFUNCTION("""COMPUTED_VALUE"""),"financebackup@zupee.in")</f>
        <v>financebackup@zupee.in</v>
      </c>
      <c r="I23" s="31" t="str">
        <f>IFERROR(__xludf.DUMMYFUNCTION("""COMPUTED_VALUE"""),"Finance")</f>
        <v>Finance</v>
      </c>
      <c r="J23" s="103">
        <f>IFERROR(__xludf.DUMMYFUNCTION("""COMPUTED_VALUE"""),45960.0)</f>
        <v>45960</v>
      </c>
      <c r="K23" s="104" t="str">
        <f>IFERROR(__xludf.DUMMYFUNCTION("""COMPUTED_VALUE"""),"Conf By Ankit Maheshwari")</f>
        <v>Conf By Ankit Maheshwari</v>
      </c>
    </row>
    <row r="24">
      <c r="A24" s="31" t="str">
        <f>IFERROR(__xludf.DUMMYFUNCTION("""COMPUTED_VALUE"""),"pulkit.sehgal@zupee.in")</f>
        <v>pulkit.sehgal@zupee.in</v>
      </c>
      <c r="B24" s="31" t="str">
        <f>IFERROR(__xludf.DUMMYFUNCTION("""COMPUTED_VALUE"""),"NOT_FOUND")</f>
        <v>NOT_FOUND</v>
      </c>
      <c r="C24" s="31" t="str">
        <f>IFERROR(__xludf.DUMMYFUNCTION("""COMPUTED_VALUE"""),"User not found")</f>
        <v>User not found</v>
      </c>
      <c r="D24" s="31" t="str">
        <f>IFERROR(__xludf.DUMMYFUNCTION("""COMPUTED_VALUE"""),"Revoked")</f>
        <v>Revoked</v>
      </c>
      <c r="E24" s="31" t="str">
        <f>IFERROR(__xludf.DUMMYFUNCTION("""COMPUTED_VALUE"""),"manmohan.sagar@zupee.in")</f>
        <v>manmohan.sagar@zupee.in</v>
      </c>
      <c r="F24" s="31" t="str">
        <f>IFERROR(__xludf.DUMMYFUNCTION("""COMPUTED_VALUE"""),"Done")</f>
        <v>Done</v>
      </c>
      <c r="G24" s="31" t="str">
        <f>IFERROR(__xludf.DUMMYFUNCTION("""COMPUTED_VALUE"""),"Done")</f>
        <v>Done</v>
      </c>
      <c r="H24" s="31" t="str">
        <f>IFERROR(__xludf.DUMMYFUNCTION("""COMPUTED_VALUE"""),"financebackup@zupee.in")</f>
        <v>financebackup@zupee.in</v>
      </c>
      <c r="I24" s="31" t="str">
        <f>IFERROR(__xludf.DUMMYFUNCTION("""COMPUTED_VALUE"""),"Finance")</f>
        <v>Finance</v>
      </c>
      <c r="J24" s="103">
        <f>IFERROR(__xludf.DUMMYFUNCTION("""COMPUTED_VALUE"""),45960.0)</f>
        <v>45960</v>
      </c>
      <c r="K24" s="104" t="str">
        <f>IFERROR(__xludf.DUMMYFUNCTION("""COMPUTED_VALUE"""),"Conf By Ankit Maheshwari")</f>
        <v>Conf By Ankit Maheshwari</v>
      </c>
    </row>
    <row r="25">
      <c r="A25" s="31" t="str">
        <f>IFERROR(__xludf.DUMMYFUNCTION("""COMPUTED_VALUE"""),"sarthak.jain@zupee.in")</f>
        <v>sarthak.jain@zupee.in</v>
      </c>
      <c r="B25" s="31" t="str">
        <f>IFERROR(__xludf.DUMMYFUNCTION("""COMPUTED_VALUE"""),"NOT_FOUND")</f>
        <v>NOT_FOUND</v>
      </c>
      <c r="C25" s="31" t="str">
        <f>IFERROR(__xludf.DUMMYFUNCTION("""COMPUTED_VALUE"""),"User not found")</f>
        <v>User not found</v>
      </c>
      <c r="D25" s="31" t="str">
        <f>IFERROR(__xludf.DUMMYFUNCTION("""COMPUTED_VALUE"""),"Revoked")</f>
        <v>Revoked</v>
      </c>
      <c r="E25" s="31" t="str">
        <f>IFERROR(__xludf.DUMMYFUNCTION("""COMPUTED_VALUE"""),"financebackup@zupee.in")</f>
        <v>financebackup@zupee.in</v>
      </c>
      <c r="F25" s="31" t="str">
        <f>IFERROR(__xludf.DUMMYFUNCTION("""COMPUTED_VALUE"""),"Done")</f>
        <v>Done</v>
      </c>
      <c r="G25" s="31" t="str">
        <f>IFERROR(__xludf.DUMMYFUNCTION("""COMPUTED_VALUE"""),"Done")</f>
        <v>Done</v>
      </c>
      <c r="H25" s="31" t="str">
        <f>IFERROR(__xludf.DUMMYFUNCTION("""COMPUTED_VALUE"""),"financebackup@zupee.in")</f>
        <v>financebackup@zupee.in</v>
      </c>
      <c r="I25" s="31" t="str">
        <f>IFERROR(__xludf.DUMMYFUNCTION("""COMPUTED_VALUE"""),"Finance")</f>
        <v>Finance</v>
      </c>
      <c r="J25" s="103">
        <f>IFERROR(__xludf.DUMMYFUNCTION("""COMPUTED_VALUE"""),45960.0)</f>
        <v>45960</v>
      </c>
      <c r="K25" s="104" t="str">
        <f>IFERROR(__xludf.DUMMYFUNCTION("""COMPUTED_VALUE"""),"Conf By Ankit Maheshwari")</f>
        <v>Conf By Ankit Maheshwari</v>
      </c>
    </row>
    <row r="26">
      <c r="A26" s="31" t="str">
        <f>IFERROR(__xludf.DUMMYFUNCTION("""COMPUTED_VALUE"""),"shivangi.dalmia@zupee.in")</f>
        <v>shivangi.dalmia@zupee.in</v>
      </c>
      <c r="B26" s="31" t="str">
        <f>IFERROR(__xludf.DUMMYFUNCTION("""COMPUTED_VALUE"""),"NOT_FOUND")</f>
        <v>NOT_FOUND</v>
      </c>
      <c r="C26" s="31" t="str">
        <f>IFERROR(__xludf.DUMMYFUNCTION("""COMPUTED_VALUE"""),"User not found")</f>
        <v>User not found</v>
      </c>
      <c r="D26" s="31" t="str">
        <f>IFERROR(__xludf.DUMMYFUNCTION("""COMPUTED_VALUE"""),"Revoked")</f>
        <v>Revoked</v>
      </c>
      <c r="E26" s="31" t="str">
        <f>IFERROR(__xludf.DUMMYFUNCTION("""COMPUTED_VALUE"""),"financebackup@zupee.in")</f>
        <v>financebackup@zupee.in</v>
      </c>
      <c r="F26" s="31" t="str">
        <f>IFERROR(__xludf.DUMMYFUNCTION("""COMPUTED_VALUE"""),"Done")</f>
        <v>Done</v>
      </c>
      <c r="G26" s="31" t="str">
        <f>IFERROR(__xludf.DUMMYFUNCTION("""COMPUTED_VALUE"""),"Done")</f>
        <v>Done</v>
      </c>
      <c r="H26" s="31" t="str">
        <f>IFERROR(__xludf.DUMMYFUNCTION("""COMPUTED_VALUE"""),"financebackup@zupee.in")</f>
        <v>financebackup@zupee.in</v>
      </c>
      <c r="I26" s="31" t="str">
        <f>IFERROR(__xludf.DUMMYFUNCTION("""COMPUTED_VALUE"""),"Finance")</f>
        <v>Finance</v>
      </c>
      <c r="J26" s="103">
        <f>IFERROR(__xludf.DUMMYFUNCTION("""COMPUTED_VALUE"""),45960.0)</f>
        <v>45960</v>
      </c>
      <c r="K26" s="104" t="str">
        <f>IFERROR(__xludf.DUMMYFUNCTION("""COMPUTED_VALUE"""),"Conf By Ankit Maheshwari")</f>
        <v>Conf By Ankit Maheshwari</v>
      </c>
    </row>
    <row r="27">
      <c r="A27" s="31" t="str">
        <f>IFERROR(__xludf.DUMMYFUNCTION("""COMPUTED_VALUE"""),"tushar.sharma@zupee.in")</f>
        <v>tushar.sharma@zupee.in</v>
      </c>
      <c r="B27" s="31" t="str">
        <f>IFERROR(__xludf.DUMMYFUNCTION("""COMPUTED_VALUE"""),"NOT_FOUND")</f>
        <v>NOT_FOUND</v>
      </c>
      <c r="C27" s="31" t="str">
        <f>IFERROR(__xludf.DUMMYFUNCTION("""COMPUTED_VALUE"""),"User not found")</f>
        <v>User not found</v>
      </c>
      <c r="D27" s="31" t="str">
        <f>IFERROR(__xludf.DUMMYFUNCTION("""COMPUTED_VALUE"""),"Revoked")</f>
        <v>Revoked</v>
      </c>
      <c r="E27" s="31" t="str">
        <f>IFERROR(__xludf.DUMMYFUNCTION("""COMPUTED_VALUE"""),"financebackup@zupee.in")</f>
        <v>financebackup@zupee.in</v>
      </c>
      <c r="F27" s="31" t="str">
        <f>IFERROR(__xludf.DUMMYFUNCTION("""COMPUTED_VALUE"""),"Done")</f>
        <v>Done</v>
      </c>
      <c r="G27" s="31" t="str">
        <f>IFERROR(__xludf.DUMMYFUNCTION("""COMPUTED_VALUE"""),"Done")</f>
        <v>Done</v>
      </c>
      <c r="H27" s="31" t="str">
        <f>IFERROR(__xludf.DUMMYFUNCTION("""COMPUTED_VALUE"""),"financebackup@zupee.in")</f>
        <v>financebackup@zupee.in</v>
      </c>
      <c r="I27" s="31" t="str">
        <f>IFERROR(__xludf.DUMMYFUNCTION("""COMPUTED_VALUE"""),"Finance")</f>
        <v>Finance</v>
      </c>
      <c r="J27" s="103">
        <f>IFERROR(__xludf.DUMMYFUNCTION("""COMPUTED_VALUE"""),45960.0)</f>
        <v>45960</v>
      </c>
      <c r="K27" s="104" t="str">
        <f>IFERROR(__xludf.DUMMYFUNCTION("""COMPUTED_VALUE"""),"Conf By Ankit Maheshwari")</f>
        <v>Conf By Ankit Maheshwari</v>
      </c>
    </row>
    <row r="28">
      <c r="A28" s="31" t="str">
        <f>IFERROR(__xludf.DUMMYFUNCTION("""COMPUTED_VALUE"""),"twinkle.bhati@zupee.in")</f>
        <v>twinkle.bhati@zupee.in</v>
      </c>
      <c r="B28" s="31" t="str">
        <f>IFERROR(__xludf.DUMMYFUNCTION("""COMPUTED_VALUE"""),"NOT_FOUND")</f>
        <v>NOT_FOUND</v>
      </c>
      <c r="C28" s="31" t="str">
        <f>IFERROR(__xludf.DUMMYFUNCTION("""COMPUTED_VALUE"""),"User not found")</f>
        <v>User not found</v>
      </c>
      <c r="D28" s="31" t="str">
        <f>IFERROR(__xludf.DUMMYFUNCTION("""COMPUTED_VALUE"""),"Revoked")</f>
        <v>Revoked</v>
      </c>
      <c r="E28" s="31" t="str">
        <f>IFERROR(__xludf.DUMMYFUNCTION("""COMPUTED_VALUE"""),"financebackup@zupee.in")</f>
        <v>financebackup@zupee.in</v>
      </c>
      <c r="F28" s="31" t="str">
        <f>IFERROR(__xludf.DUMMYFUNCTION("""COMPUTED_VALUE"""),"Done")</f>
        <v>Done</v>
      </c>
      <c r="G28" s="31" t="str">
        <f>IFERROR(__xludf.DUMMYFUNCTION("""COMPUTED_VALUE"""),"Done")</f>
        <v>Done</v>
      </c>
      <c r="H28" s="31" t="str">
        <f>IFERROR(__xludf.DUMMYFUNCTION("""COMPUTED_VALUE"""),"financebackup@zupee.in")</f>
        <v>financebackup@zupee.in</v>
      </c>
      <c r="I28" s="31" t="str">
        <f>IFERROR(__xludf.DUMMYFUNCTION("""COMPUTED_VALUE"""),"Finance")</f>
        <v>Finance</v>
      </c>
      <c r="J28" s="103">
        <f>IFERROR(__xludf.DUMMYFUNCTION("""COMPUTED_VALUE"""),45960.0)</f>
        <v>45960</v>
      </c>
      <c r="K28" s="104" t="str">
        <f>IFERROR(__xludf.DUMMYFUNCTION("""COMPUTED_VALUE"""),"Conf By Ankit Maheshwari")</f>
        <v>Conf By Ankit Maheshwari</v>
      </c>
    </row>
    <row r="29">
      <c r="A29" s="31" t="str">
        <f>IFERROR(__xludf.DUMMYFUNCTION("""COMPUTED_VALUE"""),"aashit.dua@zupee.in")</f>
        <v>aashit.dua@zupee.in</v>
      </c>
      <c r="B29" s="31" t="str">
        <f>IFERROR(__xludf.DUMMYFUNCTION("""COMPUTED_VALUE"""),"NOT_FOUND")</f>
        <v>NOT_FOUND</v>
      </c>
      <c r="C29" s="31" t="str">
        <f>IFERROR(__xludf.DUMMYFUNCTION("""COMPUTED_VALUE"""),"User not found")</f>
        <v>User not found</v>
      </c>
      <c r="D29" s="31" t="str">
        <f>IFERROR(__xludf.DUMMYFUNCTION("""COMPUTED_VALUE"""),"Revoked")</f>
        <v>Revoked</v>
      </c>
      <c r="E29" s="31" t="str">
        <f>IFERROR(__xludf.DUMMYFUNCTION("""COMPUTED_VALUE"""),"raman.malik@zupee.in")</f>
        <v>raman.malik@zupee.in</v>
      </c>
      <c r="F29" s="31" t="str">
        <f>IFERROR(__xludf.DUMMYFUNCTION("""COMPUTED_VALUE"""),"Done")</f>
        <v>Done</v>
      </c>
      <c r="G29" s="31" t="str">
        <f>IFERROR(__xludf.DUMMYFUNCTION("""COMPUTED_VALUE"""),"Done")</f>
        <v>Done</v>
      </c>
      <c r="H29" s="31" t="str">
        <f>IFERROR(__xludf.DUMMYFUNCTION("""COMPUTED_VALUE"""),"itservices@zupee.in")</f>
        <v>itservices@zupee.in</v>
      </c>
      <c r="I29" s="31" t="str">
        <f>IFERROR(__xludf.DUMMYFUNCTION("""COMPUTED_VALUE"""),"Data")</f>
        <v>Data</v>
      </c>
      <c r="J29" s="103">
        <f>IFERROR(__xludf.DUMMYFUNCTION("""COMPUTED_VALUE"""),45968.0)</f>
        <v>45968</v>
      </c>
      <c r="K29" s="31"/>
    </row>
    <row r="30">
      <c r="A30" s="31" t="str">
        <f>IFERROR(__xludf.DUMMYFUNCTION("""COMPUTED_VALUE"""),"ajay.talukdar@zupee.in")</f>
        <v>ajay.talukdar@zupee.in</v>
      </c>
      <c r="B30" s="31" t="str">
        <f>IFERROR(__xludf.DUMMYFUNCTION("""COMPUTED_VALUE"""),"NOT_FOUND")</f>
        <v>NOT_FOUND</v>
      </c>
      <c r="C30" s="31" t="str">
        <f>IFERROR(__xludf.DUMMYFUNCTION("""COMPUTED_VALUE"""),"User not found")</f>
        <v>User not found</v>
      </c>
      <c r="D30" s="31" t="str">
        <f>IFERROR(__xludf.DUMMYFUNCTION("""COMPUTED_VALUE"""),"Revoked")</f>
        <v>Revoked</v>
      </c>
      <c r="E30" s="31" t="str">
        <f>IFERROR(__xludf.DUMMYFUNCTION("""COMPUTED_VALUE"""),"aman.kumar@zupee.in")</f>
        <v>aman.kumar@zupee.in</v>
      </c>
      <c r="F30" s="31" t="str">
        <f>IFERROR(__xludf.DUMMYFUNCTION("""COMPUTED_VALUE"""),"Done")</f>
        <v>Done</v>
      </c>
      <c r="G30" s="31" t="str">
        <f>IFERROR(__xludf.DUMMYFUNCTION("""COMPUTED_VALUE"""),"Done")</f>
        <v>Done</v>
      </c>
      <c r="H30" s="31" t="str">
        <f>IFERROR(__xludf.DUMMYFUNCTION("""COMPUTED_VALUE"""),"itservices@zupee.in")</f>
        <v>itservices@zupee.in</v>
      </c>
      <c r="I30" s="31" t="str">
        <f>IFERROR(__xludf.DUMMYFUNCTION("""COMPUTED_VALUE"""),"Data")</f>
        <v>Data</v>
      </c>
      <c r="J30" s="103">
        <f>IFERROR(__xludf.DUMMYFUNCTION("""COMPUTED_VALUE"""),45968.0)</f>
        <v>45968</v>
      </c>
      <c r="K30" s="31"/>
    </row>
    <row r="31">
      <c r="A31" s="31" t="str">
        <f>IFERROR(__xludf.DUMMYFUNCTION("""COMPUTED_VALUE"""),"anant.upadhyaya@zupee.in")</f>
        <v>anant.upadhyaya@zupee.in</v>
      </c>
      <c r="B31" s="31" t="str">
        <f>IFERROR(__xludf.DUMMYFUNCTION("""COMPUTED_VALUE"""),"NOT_FOUND")</f>
        <v>NOT_FOUND</v>
      </c>
      <c r="C31" s="31" t="str">
        <f>IFERROR(__xludf.DUMMYFUNCTION("""COMPUTED_VALUE"""),"User not found")</f>
        <v>User not found</v>
      </c>
      <c r="D31" s="31" t="str">
        <f>IFERROR(__xludf.DUMMYFUNCTION("""COMPUTED_VALUE"""),"Revoked")</f>
        <v>Revoked</v>
      </c>
      <c r="E31" s="31" t="str">
        <f>IFERROR(__xludf.DUMMYFUNCTION("""COMPUTED_VALUE"""),"raman.malik@zupee.in")</f>
        <v>raman.malik@zupee.in</v>
      </c>
      <c r="F31" s="31" t="str">
        <f>IFERROR(__xludf.DUMMYFUNCTION("""COMPUTED_VALUE"""),"Done")</f>
        <v>Done</v>
      </c>
      <c r="G31" s="31" t="str">
        <f>IFERROR(__xludf.DUMMYFUNCTION("""COMPUTED_VALUE"""),"Done")</f>
        <v>Done</v>
      </c>
      <c r="H31" s="31" t="str">
        <f>IFERROR(__xludf.DUMMYFUNCTION("""COMPUTED_VALUE"""),"itservices@zupee.in")</f>
        <v>itservices@zupee.in</v>
      </c>
      <c r="I31" s="31" t="str">
        <f>IFERROR(__xludf.DUMMYFUNCTION("""COMPUTED_VALUE"""),"Data")</f>
        <v>Data</v>
      </c>
      <c r="J31" s="103">
        <f>IFERROR(__xludf.DUMMYFUNCTION("""COMPUTED_VALUE"""),45968.0)</f>
        <v>45968</v>
      </c>
      <c r="K31" s="31"/>
    </row>
    <row r="32">
      <c r="A32" s="31" t="str">
        <f>IFERROR(__xludf.DUMMYFUNCTION("""COMPUTED_VALUE"""),"ankush.gupta@zupee.in")</f>
        <v>ankush.gupta@zupee.in</v>
      </c>
      <c r="B32" s="31" t="str">
        <f>IFERROR(__xludf.DUMMYFUNCTION("""COMPUTED_VALUE"""),"NOT_FOUND")</f>
        <v>NOT_FOUND</v>
      </c>
      <c r="C32" s="31" t="str">
        <f>IFERROR(__xludf.DUMMYFUNCTION("""COMPUTED_VALUE"""),"User not found")</f>
        <v>User not found</v>
      </c>
      <c r="D32" s="31" t="str">
        <f>IFERROR(__xludf.DUMMYFUNCTION("""COMPUTED_VALUE"""),"Revoked")</f>
        <v>Revoked</v>
      </c>
      <c r="E32" s="31" t="str">
        <f>IFERROR(__xludf.DUMMYFUNCTION("""COMPUTED_VALUE"""),"raman.malik@zupee.in")</f>
        <v>raman.malik@zupee.in</v>
      </c>
      <c r="F32" s="31" t="str">
        <f>IFERROR(__xludf.DUMMYFUNCTION("""COMPUTED_VALUE"""),"Done")</f>
        <v>Done</v>
      </c>
      <c r="G32" s="31" t="str">
        <f>IFERROR(__xludf.DUMMYFUNCTION("""COMPUTED_VALUE"""),"Done")</f>
        <v>Done</v>
      </c>
      <c r="H32" s="31" t="str">
        <f>IFERROR(__xludf.DUMMYFUNCTION("""COMPUTED_VALUE"""),"itservices@zupee.in")</f>
        <v>itservices@zupee.in</v>
      </c>
      <c r="I32" s="31" t="str">
        <f>IFERROR(__xludf.DUMMYFUNCTION("""COMPUTED_VALUE"""),"Data")</f>
        <v>Data</v>
      </c>
      <c r="J32" s="103">
        <f>IFERROR(__xludf.DUMMYFUNCTION("""COMPUTED_VALUE"""),45968.0)</f>
        <v>45968</v>
      </c>
      <c r="K32" s="31"/>
    </row>
    <row r="33">
      <c r="A33" s="31" t="str">
        <f>IFERROR(__xludf.DUMMYFUNCTION("""COMPUTED_VALUE"""),"anuj.mittal@zupee.in")</f>
        <v>anuj.mittal@zupee.in</v>
      </c>
      <c r="B33" s="31" t="str">
        <f>IFERROR(__xludf.DUMMYFUNCTION("""COMPUTED_VALUE"""),"NOT_FOUND")</f>
        <v>NOT_FOUND</v>
      </c>
      <c r="C33" s="31" t="str">
        <f>IFERROR(__xludf.DUMMYFUNCTION("""COMPUTED_VALUE"""),"User not found")</f>
        <v>User not found</v>
      </c>
      <c r="D33" s="31" t="str">
        <f>IFERROR(__xludf.DUMMYFUNCTION("""COMPUTED_VALUE"""),"Revoked")</f>
        <v>Revoked</v>
      </c>
      <c r="E33" s="31" t="str">
        <f>IFERROR(__xludf.DUMMYFUNCTION("""COMPUTED_VALUE"""),"raman.malik@zupee.in")</f>
        <v>raman.malik@zupee.in</v>
      </c>
      <c r="F33" s="31" t="str">
        <f>IFERROR(__xludf.DUMMYFUNCTION("""COMPUTED_VALUE"""),"Done")</f>
        <v>Done</v>
      </c>
      <c r="G33" s="31" t="str">
        <f>IFERROR(__xludf.DUMMYFUNCTION("""COMPUTED_VALUE"""),"Done")</f>
        <v>Done</v>
      </c>
      <c r="H33" s="31" t="str">
        <f>IFERROR(__xludf.DUMMYFUNCTION("""COMPUTED_VALUE"""),"itservices@zupee.in")</f>
        <v>itservices@zupee.in</v>
      </c>
      <c r="I33" s="31" t="str">
        <f>IFERROR(__xludf.DUMMYFUNCTION("""COMPUTED_VALUE"""),"Data")</f>
        <v>Data</v>
      </c>
      <c r="J33" s="103">
        <f>IFERROR(__xludf.DUMMYFUNCTION("""COMPUTED_VALUE"""),45968.0)</f>
        <v>45968</v>
      </c>
      <c r="K33" s="104" t="str">
        <f>IFERROR(__xludf.DUMMYFUNCTION("""COMPUTED_VALUE"""),"Conf By Sairam Mushyam ")</f>
        <v>Conf By Sairam Mushyam </v>
      </c>
    </row>
    <row r="34">
      <c r="A34" s="31" t="str">
        <f>IFERROR(__xludf.DUMMYFUNCTION("""COMPUTED_VALUE"""),"deep.dwivedi@zupee.in")</f>
        <v>deep.dwivedi@zupee.in</v>
      </c>
      <c r="B34" s="31" t="str">
        <f>IFERROR(__xludf.DUMMYFUNCTION("""COMPUTED_VALUE"""),"NOT_FOUND")</f>
        <v>NOT_FOUND</v>
      </c>
      <c r="C34" s="31" t="str">
        <f>IFERROR(__xludf.DUMMYFUNCTION("""COMPUTED_VALUE"""),"User not found")</f>
        <v>User not found</v>
      </c>
      <c r="D34" s="31" t="str">
        <f>IFERROR(__xludf.DUMMYFUNCTION("""COMPUTED_VALUE"""),"Revoked")</f>
        <v>Revoked</v>
      </c>
      <c r="E34" s="31" t="str">
        <f>IFERROR(__xludf.DUMMYFUNCTION("""COMPUTED_VALUE"""),"sairam.mushyam@zupee.in")</f>
        <v>sairam.mushyam@zupee.in</v>
      </c>
      <c r="F34" s="31" t="str">
        <f>IFERROR(__xludf.DUMMYFUNCTION("""COMPUTED_VALUE"""),"Done")</f>
        <v>Done</v>
      </c>
      <c r="G34" s="31" t="str">
        <f>IFERROR(__xludf.DUMMYFUNCTION("""COMPUTED_VALUE"""),"Done")</f>
        <v>Done</v>
      </c>
      <c r="H34" s="31" t="str">
        <f>IFERROR(__xludf.DUMMYFUNCTION("""COMPUTED_VALUE"""),"itservices@zupee.in")</f>
        <v>itservices@zupee.in</v>
      </c>
      <c r="I34" s="31" t="str">
        <f>IFERROR(__xludf.DUMMYFUNCTION("""COMPUTED_VALUE"""),"Data")</f>
        <v>Data</v>
      </c>
      <c r="J34" s="103">
        <f>IFERROR(__xludf.DUMMYFUNCTION("""COMPUTED_VALUE"""),45968.0)</f>
        <v>45968</v>
      </c>
      <c r="K34" s="104" t="str">
        <f>IFERROR(__xludf.DUMMYFUNCTION("""COMPUTED_VALUE"""),"Conf By Sairam Mushyam ")</f>
        <v>Conf By Sairam Mushyam </v>
      </c>
    </row>
    <row r="35">
      <c r="A35" s="31" t="str">
        <f>IFERROR(__xludf.DUMMYFUNCTION("""COMPUTED_VALUE"""),"gaurav.midda@zupee.in")</f>
        <v>gaurav.midda@zupee.in</v>
      </c>
      <c r="B35" s="31" t="str">
        <f>IFERROR(__xludf.DUMMYFUNCTION("""COMPUTED_VALUE"""),"NOT_FOUND")</f>
        <v>NOT_FOUND</v>
      </c>
      <c r="C35" s="31" t="str">
        <f>IFERROR(__xludf.DUMMYFUNCTION("""COMPUTED_VALUE"""),"User not found")</f>
        <v>User not found</v>
      </c>
      <c r="D35" s="31" t="str">
        <f>IFERROR(__xludf.DUMMYFUNCTION("""COMPUTED_VALUE"""),"Revoked")</f>
        <v>Revoked</v>
      </c>
      <c r="E35" s="31" t="str">
        <f>IFERROR(__xludf.DUMMYFUNCTION("""COMPUTED_VALUE"""),"raman.malik@zupee.in")</f>
        <v>raman.malik@zupee.in</v>
      </c>
      <c r="F35" s="31" t="str">
        <f>IFERROR(__xludf.DUMMYFUNCTION("""COMPUTED_VALUE"""),"Done")</f>
        <v>Done</v>
      </c>
      <c r="G35" s="31" t="str">
        <f>IFERROR(__xludf.DUMMYFUNCTION("""COMPUTED_VALUE"""),"Done")</f>
        <v>Done</v>
      </c>
      <c r="H35" s="31" t="str">
        <f>IFERROR(__xludf.DUMMYFUNCTION("""COMPUTED_VALUE"""),"itservices@zupee.in")</f>
        <v>itservices@zupee.in</v>
      </c>
      <c r="I35" s="31" t="str">
        <f>IFERROR(__xludf.DUMMYFUNCTION("""COMPUTED_VALUE"""),"Data")</f>
        <v>Data</v>
      </c>
      <c r="J35" s="103">
        <f>IFERROR(__xludf.DUMMYFUNCTION("""COMPUTED_VALUE"""),45968.0)</f>
        <v>45968</v>
      </c>
      <c r="K35" s="104" t="str">
        <f>IFERROR(__xludf.DUMMYFUNCTION("""COMPUTED_VALUE"""),"Conf By Sairam Mushyam ")</f>
        <v>Conf By Sairam Mushyam </v>
      </c>
    </row>
    <row r="36">
      <c r="A36" s="31" t="str">
        <f>IFERROR(__xludf.DUMMYFUNCTION("""COMPUTED_VALUE"""),"gurchetan.singh@zupee.in")</f>
        <v>gurchetan.singh@zupee.in</v>
      </c>
      <c r="B36" s="31" t="str">
        <f>IFERROR(__xludf.DUMMYFUNCTION("""COMPUTED_VALUE"""),"NOT_FOUND")</f>
        <v>NOT_FOUND</v>
      </c>
      <c r="C36" s="31" t="str">
        <f>IFERROR(__xludf.DUMMYFUNCTION("""COMPUTED_VALUE"""),"User not found")</f>
        <v>User not found</v>
      </c>
      <c r="D36" s="31" t="str">
        <f>IFERROR(__xludf.DUMMYFUNCTION("""COMPUTED_VALUE"""),"Revoked")</f>
        <v>Revoked</v>
      </c>
      <c r="E36" s="31" t="str">
        <f>IFERROR(__xludf.DUMMYFUNCTION("""COMPUTED_VALUE"""),"nitesh.vijay@zupee.in")</f>
        <v>nitesh.vijay@zupee.in</v>
      </c>
      <c r="F36" s="31" t="str">
        <f>IFERROR(__xludf.DUMMYFUNCTION("""COMPUTED_VALUE"""),"Done")</f>
        <v>Done</v>
      </c>
      <c r="G36" s="31" t="str">
        <f>IFERROR(__xludf.DUMMYFUNCTION("""COMPUTED_VALUE"""),"Done")</f>
        <v>Done</v>
      </c>
      <c r="H36" s="31" t="str">
        <f>IFERROR(__xludf.DUMMYFUNCTION("""COMPUTED_VALUE"""),"itservices@zupee.in")</f>
        <v>itservices@zupee.in</v>
      </c>
      <c r="I36" s="31" t="str">
        <f>IFERROR(__xludf.DUMMYFUNCTION("""COMPUTED_VALUE"""),"Data")</f>
        <v>Data</v>
      </c>
      <c r="J36" s="103">
        <f>IFERROR(__xludf.DUMMYFUNCTION("""COMPUTED_VALUE"""),45968.0)</f>
        <v>45968</v>
      </c>
      <c r="K36" s="104" t="str">
        <f>IFERROR(__xludf.DUMMYFUNCTION("""COMPUTED_VALUE"""),"Conf By Sairam Mushyam ")</f>
        <v>Conf By Sairam Mushyam </v>
      </c>
    </row>
    <row r="37">
      <c r="A37" s="31" t="str">
        <f>IFERROR(__xludf.DUMMYFUNCTION("""COMPUTED_VALUE"""),"harsh.anand@zupee.in")</f>
        <v>harsh.anand@zupee.in</v>
      </c>
      <c r="B37" s="31" t="str">
        <f>IFERROR(__xludf.DUMMYFUNCTION("""COMPUTED_VALUE"""),"NOT_FOUND")</f>
        <v>NOT_FOUND</v>
      </c>
      <c r="C37" s="31" t="str">
        <f>IFERROR(__xludf.DUMMYFUNCTION("""COMPUTED_VALUE"""),"User not found")</f>
        <v>User not found</v>
      </c>
      <c r="D37" s="31" t="str">
        <f>IFERROR(__xludf.DUMMYFUNCTION("""COMPUTED_VALUE"""),"Revoked")</f>
        <v>Revoked</v>
      </c>
      <c r="E37" s="31" t="str">
        <f>IFERROR(__xludf.DUMMYFUNCTION("""COMPUTED_VALUE"""),"nitesh.vijay@zupee.in")</f>
        <v>nitesh.vijay@zupee.in</v>
      </c>
      <c r="F37" s="31" t="str">
        <f>IFERROR(__xludf.DUMMYFUNCTION("""COMPUTED_VALUE"""),"Done")</f>
        <v>Done</v>
      </c>
      <c r="G37" s="31" t="str">
        <f>IFERROR(__xludf.DUMMYFUNCTION("""COMPUTED_VALUE"""),"Done")</f>
        <v>Done</v>
      </c>
      <c r="H37" s="31" t="str">
        <f>IFERROR(__xludf.DUMMYFUNCTION("""COMPUTED_VALUE"""),"itservices@zupee.in")</f>
        <v>itservices@zupee.in</v>
      </c>
      <c r="I37" s="31" t="str">
        <f>IFERROR(__xludf.DUMMYFUNCTION("""COMPUTED_VALUE"""),"Data")</f>
        <v>Data</v>
      </c>
      <c r="J37" s="103">
        <f>IFERROR(__xludf.DUMMYFUNCTION("""COMPUTED_VALUE"""),45968.0)</f>
        <v>45968</v>
      </c>
      <c r="K37" s="104" t="str">
        <f>IFERROR(__xludf.DUMMYFUNCTION("""COMPUTED_VALUE"""),"Conf By Sairam Mushyam ")</f>
        <v>Conf By Sairam Mushyam </v>
      </c>
    </row>
    <row r="38">
      <c r="A38" s="31" t="str">
        <f>IFERROR(__xludf.DUMMYFUNCTION("""COMPUTED_VALUE"""),"kashish.rathore@zupee.in")</f>
        <v>kashish.rathore@zupee.in</v>
      </c>
      <c r="B38" s="31" t="str">
        <f>IFERROR(__xludf.DUMMYFUNCTION("""COMPUTED_VALUE"""),"NOT_FOUND")</f>
        <v>NOT_FOUND</v>
      </c>
      <c r="C38" s="31" t="str">
        <f>IFERROR(__xludf.DUMMYFUNCTION("""COMPUTED_VALUE"""),"User not found")</f>
        <v>User not found</v>
      </c>
      <c r="D38" s="31" t="str">
        <f>IFERROR(__xludf.DUMMYFUNCTION("""COMPUTED_VALUE"""),"Revoked")</f>
        <v>Revoked</v>
      </c>
      <c r="E38" s="31" t="str">
        <f>IFERROR(__xludf.DUMMYFUNCTION("""COMPUTED_VALUE"""),"raman.malik@zupee.in")</f>
        <v>raman.malik@zupee.in</v>
      </c>
      <c r="F38" s="31" t="str">
        <f>IFERROR(__xludf.DUMMYFUNCTION("""COMPUTED_VALUE"""),"Done")</f>
        <v>Done</v>
      </c>
      <c r="G38" s="31" t="str">
        <f>IFERROR(__xludf.DUMMYFUNCTION("""COMPUTED_VALUE"""),"Done")</f>
        <v>Done</v>
      </c>
      <c r="H38" s="31" t="str">
        <f>IFERROR(__xludf.DUMMYFUNCTION("""COMPUTED_VALUE"""),"itservices@zupee.in")</f>
        <v>itservices@zupee.in</v>
      </c>
      <c r="I38" s="31" t="str">
        <f>IFERROR(__xludf.DUMMYFUNCTION("""COMPUTED_VALUE"""),"Data")</f>
        <v>Data</v>
      </c>
      <c r="J38" s="103">
        <f>IFERROR(__xludf.DUMMYFUNCTION("""COMPUTED_VALUE"""),45968.0)</f>
        <v>45968</v>
      </c>
      <c r="K38" s="104" t="str">
        <f>IFERROR(__xludf.DUMMYFUNCTION("""COMPUTED_VALUE"""),"Conf By Sairam Mushyam ")</f>
        <v>Conf By Sairam Mushyam </v>
      </c>
    </row>
    <row r="39">
      <c r="A39" s="31" t="str">
        <f>IFERROR(__xludf.DUMMYFUNCTION("""COMPUTED_VALUE"""),"mohd.ghufran@zupee.in")</f>
        <v>mohd.ghufran@zupee.in</v>
      </c>
      <c r="B39" s="31" t="str">
        <f>IFERROR(__xludf.DUMMYFUNCTION("""COMPUTED_VALUE"""),"NOT_FOUND")</f>
        <v>NOT_FOUND</v>
      </c>
      <c r="C39" s="31" t="str">
        <f>IFERROR(__xludf.DUMMYFUNCTION("""COMPUTED_VALUE"""),"User not found")</f>
        <v>User not found</v>
      </c>
      <c r="D39" s="31" t="str">
        <f>IFERROR(__xludf.DUMMYFUNCTION("""COMPUTED_VALUE"""),"Revoked")</f>
        <v>Revoked</v>
      </c>
      <c r="E39" s="31" t="str">
        <f>IFERROR(__xludf.DUMMYFUNCTION("""COMPUTED_VALUE"""),"raman.malik@zupee.in")</f>
        <v>raman.malik@zupee.in</v>
      </c>
      <c r="F39" s="31" t="str">
        <f>IFERROR(__xludf.DUMMYFUNCTION("""COMPUTED_VALUE"""),"Done")</f>
        <v>Done</v>
      </c>
      <c r="G39" s="31" t="str">
        <f>IFERROR(__xludf.DUMMYFUNCTION("""COMPUTED_VALUE"""),"Done")</f>
        <v>Done</v>
      </c>
      <c r="H39" s="31" t="str">
        <f>IFERROR(__xludf.DUMMYFUNCTION("""COMPUTED_VALUE"""),"itservices@zupee.in")</f>
        <v>itservices@zupee.in</v>
      </c>
      <c r="I39" s="31" t="str">
        <f>IFERROR(__xludf.DUMMYFUNCTION("""COMPUTED_VALUE"""),"Data")</f>
        <v>Data</v>
      </c>
      <c r="J39" s="103">
        <f>IFERROR(__xludf.DUMMYFUNCTION("""COMPUTED_VALUE"""),45968.0)</f>
        <v>45968</v>
      </c>
      <c r="K39" s="104" t="str">
        <f>IFERROR(__xludf.DUMMYFUNCTION("""COMPUTED_VALUE"""),"Conf By Sairam Mushyam ")</f>
        <v>Conf By Sairam Mushyam </v>
      </c>
    </row>
    <row r="40">
      <c r="A40" s="31" t="str">
        <f>IFERROR(__xludf.DUMMYFUNCTION("""COMPUTED_VALUE"""),"mohit.choudhary@zupee.in")</f>
        <v>mohit.choudhary@zupee.in</v>
      </c>
      <c r="B40" s="31" t="str">
        <f>IFERROR(__xludf.DUMMYFUNCTION("""COMPUTED_VALUE"""),"NOT_FOUND")</f>
        <v>NOT_FOUND</v>
      </c>
      <c r="C40" s="31" t="str">
        <f>IFERROR(__xludf.DUMMYFUNCTION("""COMPUTED_VALUE"""),"User not found")</f>
        <v>User not found</v>
      </c>
      <c r="D40" s="31" t="str">
        <f>IFERROR(__xludf.DUMMYFUNCTION("""COMPUTED_VALUE"""),"Revoked")</f>
        <v>Revoked</v>
      </c>
      <c r="E40" s="31" t="str">
        <f>IFERROR(__xludf.DUMMYFUNCTION("""COMPUTED_VALUE"""),"raman.malik@zupee.in")</f>
        <v>raman.malik@zupee.in</v>
      </c>
      <c r="F40" s="31" t="str">
        <f>IFERROR(__xludf.DUMMYFUNCTION("""COMPUTED_VALUE"""),"Done")</f>
        <v>Done</v>
      </c>
      <c r="G40" s="31" t="str">
        <f>IFERROR(__xludf.DUMMYFUNCTION("""COMPUTED_VALUE"""),"Done")</f>
        <v>Done</v>
      </c>
      <c r="H40" s="31" t="str">
        <f>IFERROR(__xludf.DUMMYFUNCTION("""COMPUTED_VALUE"""),"itservices@zupee.in")</f>
        <v>itservices@zupee.in</v>
      </c>
      <c r="I40" s="31" t="str">
        <f>IFERROR(__xludf.DUMMYFUNCTION("""COMPUTED_VALUE"""),"Data")</f>
        <v>Data</v>
      </c>
      <c r="J40" s="103">
        <f>IFERROR(__xludf.DUMMYFUNCTION("""COMPUTED_VALUE"""),45968.0)</f>
        <v>45968</v>
      </c>
      <c r="K40" s="104" t="str">
        <f>IFERROR(__xludf.DUMMYFUNCTION("""COMPUTED_VALUE"""),"Conf By Sairam Mushyam ")</f>
        <v>Conf By Sairam Mushyam </v>
      </c>
    </row>
    <row r="41">
      <c r="A41" s="31" t="str">
        <f>IFERROR(__xludf.DUMMYFUNCTION("""COMPUTED_VALUE"""),"naveen.yadav@zupee.in")</f>
        <v>naveen.yadav@zupee.in</v>
      </c>
      <c r="B41" s="31" t="str">
        <f>IFERROR(__xludf.DUMMYFUNCTION("""COMPUTED_VALUE"""),"NOT_FOUND")</f>
        <v>NOT_FOUND</v>
      </c>
      <c r="C41" s="31" t="str">
        <f>IFERROR(__xludf.DUMMYFUNCTION("""COMPUTED_VALUE"""),"User not found")</f>
        <v>User not found</v>
      </c>
      <c r="D41" s="31" t="str">
        <f>IFERROR(__xludf.DUMMYFUNCTION("""COMPUTED_VALUE"""),"Revoked")</f>
        <v>Revoked</v>
      </c>
      <c r="E41" s="31" t="str">
        <f>IFERROR(__xludf.DUMMYFUNCTION("""COMPUTED_VALUE"""),"raman.malik@zupee.in")</f>
        <v>raman.malik@zupee.in</v>
      </c>
      <c r="F41" s="31" t="str">
        <f>IFERROR(__xludf.DUMMYFUNCTION("""COMPUTED_VALUE"""),"Done")</f>
        <v>Done</v>
      </c>
      <c r="G41" s="31" t="str">
        <f>IFERROR(__xludf.DUMMYFUNCTION("""COMPUTED_VALUE"""),"Done")</f>
        <v>Done</v>
      </c>
      <c r="H41" s="31" t="str">
        <f>IFERROR(__xludf.DUMMYFUNCTION("""COMPUTED_VALUE"""),"itservices@zupee.in")</f>
        <v>itservices@zupee.in</v>
      </c>
      <c r="I41" s="31" t="str">
        <f>IFERROR(__xludf.DUMMYFUNCTION("""COMPUTED_VALUE"""),"Data")</f>
        <v>Data</v>
      </c>
      <c r="J41" s="103">
        <f>IFERROR(__xludf.DUMMYFUNCTION("""COMPUTED_VALUE"""),45968.0)</f>
        <v>45968</v>
      </c>
      <c r="K41" s="104" t="str">
        <f>IFERROR(__xludf.DUMMYFUNCTION("""COMPUTED_VALUE"""),"Conf By Sairam Mushyam ")</f>
        <v>Conf By Sairam Mushyam </v>
      </c>
    </row>
    <row r="42">
      <c r="A42" s="31" t="str">
        <f>IFERROR(__xludf.DUMMYFUNCTION("""COMPUTED_VALUE"""),"neha.jain@zupee.in")</f>
        <v>neha.jain@zupee.in</v>
      </c>
      <c r="B42" s="31" t="str">
        <f>IFERROR(__xludf.DUMMYFUNCTION("""COMPUTED_VALUE"""),"NOT_FOUND")</f>
        <v>NOT_FOUND</v>
      </c>
      <c r="C42" s="31" t="str">
        <f>IFERROR(__xludf.DUMMYFUNCTION("""COMPUTED_VALUE"""),"User not found")</f>
        <v>User not found</v>
      </c>
      <c r="D42" s="31" t="str">
        <f>IFERROR(__xludf.DUMMYFUNCTION("""COMPUTED_VALUE"""),"Revoked")</f>
        <v>Revoked</v>
      </c>
      <c r="E42" s="31" t="str">
        <f>IFERROR(__xludf.DUMMYFUNCTION("""COMPUTED_VALUE"""),"sairam.musyam@zupee.in")</f>
        <v>sairam.musyam@zupee.in</v>
      </c>
      <c r="F42" s="31" t="str">
        <f>IFERROR(__xludf.DUMMYFUNCTION("""COMPUTED_VALUE"""),"Done")</f>
        <v>Done</v>
      </c>
      <c r="G42" s="31" t="str">
        <f>IFERROR(__xludf.DUMMYFUNCTION("""COMPUTED_VALUE"""),"Done")</f>
        <v>Done</v>
      </c>
      <c r="H42" s="31" t="str">
        <f>IFERROR(__xludf.DUMMYFUNCTION("""COMPUTED_VALUE"""),"itservices@zupee.in")</f>
        <v>itservices@zupee.in</v>
      </c>
      <c r="I42" s="31" t="str">
        <f>IFERROR(__xludf.DUMMYFUNCTION("""COMPUTED_VALUE"""),"Data")</f>
        <v>Data</v>
      </c>
      <c r="J42" s="103">
        <f>IFERROR(__xludf.DUMMYFUNCTION("""COMPUTED_VALUE"""),45968.0)</f>
        <v>45968</v>
      </c>
      <c r="K42" s="104" t="str">
        <f>IFERROR(__xludf.DUMMYFUNCTION("""COMPUTED_VALUE"""),"Conf By Sairam Mushyam ")</f>
        <v>Conf By Sairam Mushyam </v>
      </c>
    </row>
    <row r="43">
      <c r="A43" s="31" t="str">
        <f>IFERROR(__xludf.DUMMYFUNCTION("""COMPUTED_VALUE"""),"nikhil.sharma@zupee.in")</f>
        <v>nikhil.sharma@zupee.in</v>
      </c>
      <c r="B43" s="31" t="str">
        <f>IFERROR(__xludf.DUMMYFUNCTION("""COMPUTED_VALUE"""),"NOT_FOUND")</f>
        <v>NOT_FOUND</v>
      </c>
      <c r="C43" s="31" t="str">
        <f>IFERROR(__xludf.DUMMYFUNCTION("""COMPUTED_VALUE"""),"User not found")</f>
        <v>User not found</v>
      </c>
      <c r="D43" s="31" t="str">
        <f>IFERROR(__xludf.DUMMYFUNCTION("""COMPUTED_VALUE"""),"Revoked")</f>
        <v>Revoked</v>
      </c>
      <c r="E43" s="31" t="str">
        <f>IFERROR(__xludf.DUMMYFUNCTION("""COMPUTED_VALUE"""),"raman.malik@zupee.in")</f>
        <v>raman.malik@zupee.in</v>
      </c>
      <c r="F43" s="31" t="str">
        <f>IFERROR(__xludf.DUMMYFUNCTION("""COMPUTED_VALUE"""),"Done")</f>
        <v>Done</v>
      </c>
      <c r="G43" s="31" t="str">
        <f>IFERROR(__xludf.DUMMYFUNCTION("""COMPUTED_VALUE"""),"Done")</f>
        <v>Done</v>
      </c>
      <c r="H43" s="31" t="str">
        <f>IFERROR(__xludf.DUMMYFUNCTION("""COMPUTED_VALUE"""),"itservices@zupee.in")</f>
        <v>itservices@zupee.in</v>
      </c>
      <c r="I43" s="31" t="str">
        <f>IFERROR(__xludf.DUMMYFUNCTION("""COMPUTED_VALUE"""),"Data")</f>
        <v>Data</v>
      </c>
      <c r="J43" s="103">
        <f>IFERROR(__xludf.DUMMYFUNCTION("""COMPUTED_VALUE"""),45968.0)</f>
        <v>45968</v>
      </c>
      <c r="K43" s="104" t="str">
        <f>IFERROR(__xludf.DUMMYFUNCTION("""COMPUTED_VALUE"""),"Conf By Sairam Mushyam ")</f>
        <v>Conf By Sairam Mushyam </v>
      </c>
    </row>
    <row r="44">
      <c r="A44" s="31" t="str">
        <f>IFERROR(__xludf.DUMMYFUNCTION("""COMPUTED_VALUE"""),"pankaj.garg@zupee.in")</f>
        <v>pankaj.garg@zupee.in</v>
      </c>
      <c r="B44" s="31" t="str">
        <f>IFERROR(__xludf.DUMMYFUNCTION("""COMPUTED_VALUE"""),"NOT_FOUND")</f>
        <v>NOT_FOUND</v>
      </c>
      <c r="C44" s="31" t="str">
        <f>IFERROR(__xludf.DUMMYFUNCTION("""COMPUTED_VALUE"""),"User not found")</f>
        <v>User not found</v>
      </c>
      <c r="D44" s="31" t="str">
        <f>IFERROR(__xludf.DUMMYFUNCTION("""COMPUTED_VALUE"""),"Revoked")</f>
        <v>Revoked</v>
      </c>
      <c r="E44" s="31" t="str">
        <f>IFERROR(__xludf.DUMMYFUNCTION("""COMPUTED_VALUE"""),"raman.malik@zupee.in")</f>
        <v>raman.malik@zupee.in</v>
      </c>
      <c r="F44" s="31" t="str">
        <f>IFERROR(__xludf.DUMMYFUNCTION("""COMPUTED_VALUE"""),"Done")</f>
        <v>Done</v>
      </c>
      <c r="G44" s="31" t="str">
        <f>IFERROR(__xludf.DUMMYFUNCTION("""COMPUTED_VALUE"""),"Done")</f>
        <v>Done</v>
      </c>
      <c r="H44" s="31" t="str">
        <f>IFERROR(__xludf.DUMMYFUNCTION("""COMPUTED_VALUE"""),"itservices@zupee.in")</f>
        <v>itservices@zupee.in</v>
      </c>
      <c r="I44" s="31" t="str">
        <f>IFERROR(__xludf.DUMMYFUNCTION("""COMPUTED_VALUE"""),"Data")</f>
        <v>Data</v>
      </c>
      <c r="J44" s="103">
        <f>IFERROR(__xludf.DUMMYFUNCTION("""COMPUTED_VALUE"""),45968.0)</f>
        <v>45968</v>
      </c>
      <c r="K44" s="104" t="str">
        <f>IFERROR(__xludf.DUMMYFUNCTION("""COMPUTED_VALUE"""),"Conf By Sairam Mushyam ")</f>
        <v>Conf By Sairam Mushyam </v>
      </c>
    </row>
    <row r="45">
      <c r="A45" s="31" t="str">
        <f>IFERROR(__xludf.DUMMYFUNCTION("""COMPUTED_VALUE"""),"pranjay.dhamija@zupee.in")</f>
        <v>pranjay.dhamija@zupee.in</v>
      </c>
      <c r="B45" s="31" t="str">
        <f>IFERROR(__xludf.DUMMYFUNCTION("""COMPUTED_VALUE"""),"NOT_FOUND")</f>
        <v>NOT_FOUND</v>
      </c>
      <c r="C45" s="31" t="str">
        <f>IFERROR(__xludf.DUMMYFUNCTION("""COMPUTED_VALUE"""),"User not found")</f>
        <v>User not found</v>
      </c>
      <c r="D45" s="31" t="str">
        <f>IFERROR(__xludf.DUMMYFUNCTION("""COMPUTED_VALUE"""),"Revoked")</f>
        <v>Revoked</v>
      </c>
      <c r="E45" s="31" t="str">
        <f>IFERROR(__xludf.DUMMYFUNCTION("""COMPUTED_VALUE"""),"raman.malik@zupee.in")</f>
        <v>raman.malik@zupee.in</v>
      </c>
      <c r="F45" s="31" t="str">
        <f>IFERROR(__xludf.DUMMYFUNCTION("""COMPUTED_VALUE"""),"Done")</f>
        <v>Done</v>
      </c>
      <c r="G45" s="31" t="str">
        <f>IFERROR(__xludf.DUMMYFUNCTION("""COMPUTED_VALUE"""),"Done")</f>
        <v>Done</v>
      </c>
      <c r="H45" s="31" t="str">
        <f>IFERROR(__xludf.DUMMYFUNCTION("""COMPUTED_VALUE"""),"itservices@zupee.in")</f>
        <v>itservices@zupee.in</v>
      </c>
      <c r="I45" s="31" t="str">
        <f>IFERROR(__xludf.DUMMYFUNCTION("""COMPUTED_VALUE"""),"Data")</f>
        <v>Data</v>
      </c>
      <c r="J45" s="103">
        <f>IFERROR(__xludf.DUMMYFUNCTION("""COMPUTED_VALUE"""),45968.0)</f>
        <v>45968</v>
      </c>
      <c r="K45" s="104" t="str">
        <f>IFERROR(__xludf.DUMMYFUNCTION("""COMPUTED_VALUE"""),"Conf By Sairam Mushyam ")</f>
        <v>Conf By Sairam Mushyam </v>
      </c>
    </row>
    <row r="46">
      <c r="A46" s="31" t="str">
        <f>IFERROR(__xludf.DUMMYFUNCTION("""COMPUTED_VALUE"""),"rahul.modi@zupee.in")</f>
        <v>rahul.modi@zupee.in</v>
      </c>
      <c r="B46" s="31" t="str">
        <f>IFERROR(__xludf.DUMMYFUNCTION("""COMPUTED_VALUE"""),"NOT_FOUND")</f>
        <v>NOT_FOUND</v>
      </c>
      <c r="C46" s="31" t="str">
        <f>IFERROR(__xludf.DUMMYFUNCTION("""COMPUTED_VALUE"""),"User not found")</f>
        <v>User not found</v>
      </c>
      <c r="D46" s="31" t="str">
        <f>IFERROR(__xludf.DUMMYFUNCTION("""COMPUTED_VALUE"""),"Revoked")</f>
        <v>Revoked</v>
      </c>
      <c r="E46" s="31" t="str">
        <f>IFERROR(__xludf.DUMMYFUNCTION("""COMPUTED_VALUE"""),"sairam.mushyam@zupee.in")</f>
        <v>sairam.mushyam@zupee.in</v>
      </c>
      <c r="F46" s="31" t="str">
        <f>IFERROR(__xludf.DUMMYFUNCTION("""COMPUTED_VALUE"""),"Done")</f>
        <v>Done</v>
      </c>
      <c r="G46" s="31" t="str">
        <f>IFERROR(__xludf.DUMMYFUNCTION("""COMPUTED_VALUE"""),"Done")</f>
        <v>Done</v>
      </c>
      <c r="H46" s="31" t="str">
        <f>IFERROR(__xludf.DUMMYFUNCTION("""COMPUTED_VALUE"""),"itservices@zupee.in")</f>
        <v>itservices@zupee.in</v>
      </c>
      <c r="I46" s="31" t="str">
        <f>IFERROR(__xludf.DUMMYFUNCTION("""COMPUTED_VALUE"""),"Data")</f>
        <v>Data</v>
      </c>
      <c r="J46" s="103">
        <f>IFERROR(__xludf.DUMMYFUNCTION("""COMPUTED_VALUE"""),45968.0)</f>
        <v>45968</v>
      </c>
      <c r="K46" s="104" t="str">
        <f>IFERROR(__xludf.DUMMYFUNCTION("""COMPUTED_VALUE"""),"Conf By Sairam Mushyam ")</f>
        <v>Conf By Sairam Mushyam </v>
      </c>
    </row>
    <row r="47">
      <c r="A47" s="31" t="str">
        <f>IFERROR(__xludf.DUMMYFUNCTION("""COMPUTED_VALUE"""),"ritesh.gupta@zupee.in")</f>
        <v>ritesh.gupta@zupee.in</v>
      </c>
      <c r="B47" s="31" t="str">
        <f>IFERROR(__xludf.DUMMYFUNCTION("""COMPUTED_VALUE"""),"NOT_FOUND")</f>
        <v>NOT_FOUND</v>
      </c>
      <c r="C47" s="31" t="str">
        <f>IFERROR(__xludf.DUMMYFUNCTION("""COMPUTED_VALUE"""),"User not found")</f>
        <v>User not found</v>
      </c>
      <c r="D47" s="31" t="str">
        <f>IFERROR(__xludf.DUMMYFUNCTION("""COMPUTED_VALUE"""),"Revoked")</f>
        <v>Revoked</v>
      </c>
      <c r="E47" s="31" t="str">
        <f>IFERROR(__xludf.DUMMYFUNCTION("""COMPUTED_VALUE"""),"aman.kumar@zupee.in")</f>
        <v>aman.kumar@zupee.in</v>
      </c>
      <c r="F47" s="31" t="str">
        <f>IFERROR(__xludf.DUMMYFUNCTION("""COMPUTED_VALUE"""),"Done")</f>
        <v>Done</v>
      </c>
      <c r="G47" s="31" t="str">
        <f>IFERROR(__xludf.DUMMYFUNCTION("""COMPUTED_VALUE"""),"Done")</f>
        <v>Done</v>
      </c>
      <c r="H47" s="31" t="str">
        <f>IFERROR(__xludf.DUMMYFUNCTION("""COMPUTED_VALUE"""),"itservices@zupee.in")</f>
        <v>itservices@zupee.in</v>
      </c>
      <c r="I47" s="31" t="str">
        <f>IFERROR(__xludf.DUMMYFUNCTION("""COMPUTED_VALUE"""),"Data")</f>
        <v>Data</v>
      </c>
      <c r="J47" s="103">
        <f>IFERROR(__xludf.DUMMYFUNCTION("""COMPUTED_VALUE"""),45968.0)</f>
        <v>45968</v>
      </c>
      <c r="K47" s="104" t="str">
        <f>IFERROR(__xludf.DUMMYFUNCTION("""COMPUTED_VALUE"""),"Conf By Sairam Mushyam ")</f>
        <v>Conf By Sairam Mushyam </v>
      </c>
    </row>
    <row r="48">
      <c r="A48" s="31" t="str">
        <f>IFERROR(__xludf.DUMMYFUNCTION("""COMPUTED_VALUE"""),"sarthak.saluja@zupee.in")</f>
        <v>sarthak.saluja@zupee.in</v>
      </c>
      <c r="B48" s="31" t="str">
        <f>IFERROR(__xludf.DUMMYFUNCTION("""COMPUTED_VALUE"""),"NOT_FOUND")</f>
        <v>NOT_FOUND</v>
      </c>
      <c r="C48" s="31" t="str">
        <f>IFERROR(__xludf.DUMMYFUNCTION("""COMPUTED_VALUE"""),"User not found")</f>
        <v>User not found</v>
      </c>
      <c r="D48" s="31" t="str">
        <f>IFERROR(__xludf.DUMMYFUNCTION("""COMPUTED_VALUE"""),"Revoked")</f>
        <v>Revoked</v>
      </c>
      <c r="E48" s="31" t="str">
        <f>IFERROR(__xludf.DUMMYFUNCTION("""COMPUTED_VALUE"""),"raman.malik@zupee.in")</f>
        <v>raman.malik@zupee.in</v>
      </c>
      <c r="F48" s="31" t="str">
        <f>IFERROR(__xludf.DUMMYFUNCTION("""COMPUTED_VALUE"""),"Done")</f>
        <v>Done</v>
      </c>
      <c r="G48" s="31" t="str">
        <f>IFERROR(__xludf.DUMMYFUNCTION("""COMPUTED_VALUE"""),"Done")</f>
        <v>Done</v>
      </c>
      <c r="H48" s="31" t="str">
        <f>IFERROR(__xludf.DUMMYFUNCTION("""COMPUTED_VALUE"""),"itservices@zupee.in")</f>
        <v>itservices@zupee.in</v>
      </c>
      <c r="I48" s="31" t="str">
        <f>IFERROR(__xludf.DUMMYFUNCTION("""COMPUTED_VALUE"""),"Data")</f>
        <v>Data</v>
      </c>
      <c r="J48" s="103">
        <f>IFERROR(__xludf.DUMMYFUNCTION("""COMPUTED_VALUE"""),45968.0)</f>
        <v>45968</v>
      </c>
      <c r="K48" s="104" t="str">
        <f>IFERROR(__xludf.DUMMYFUNCTION("""COMPUTED_VALUE"""),"Conf By Sairam Mushyam ")</f>
        <v>Conf By Sairam Mushyam </v>
      </c>
    </row>
    <row r="49">
      <c r="A49" s="31" t="str">
        <f>IFERROR(__xludf.DUMMYFUNCTION("""COMPUTED_VALUE"""),"sushant.upadhyay@zupee.in")</f>
        <v>sushant.upadhyay@zupee.in</v>
      </c>
      <c r="B49" s="31" t="str">
        <f>IFERROR(__xludf.DUMMYFUNCTION("""COMPUTED_VALUE"""),"NOT_FOUND")</f>
        <v>NOT_FOUND</v>
      </c>
      <c r="C49" s="31" t="str">
        <f>IFERROR(__xludf.DUMMYFUNCTION("""COMPUTED_VALUE"""),"User not found")</f>
        <v>User not found</v>
      </c>
      <c r="D49" s="31" t="str">
        <f>IFERROR(__xludf.DUMMYFUNCTION("""COMPUTED_VALUE"""),"Revoked")</f>
        <v>Revoked</v>
      </c>
      <c r="E49" s="31" t="str">
        <f>IFERROR(__xludf.DUMMYFUNCTION("""COMPUTED_VALUE"""),"nitesh.vijay@zupee.in")</f>
        <v>nitesh.vijay@zupee.in</v>
      </c>
      <c r="F49" s="31" t="str">
        <f>IFERROR(__xludf.DUMMYFUNCTION("""COMPUTED_VALUE"""),"Done")</f>
        <v>Done</v>
      </c>
      <c r="G49" s="31" t="str">
        <f>IFERROR(__xludf.DUMMYFUNCTION("""COMPUTED_VALUE"""),"Done")</f>
        <v>Done</v>
      </c>
      <c r="H49" s="31" t="str">
        <f>IFERROR(__xludf.DUMMYFUNCTION("""COMPUTED_VALUE"""),"itservices@zupee.in")</f>
        <v>itservices@zupee.in</v>
      </c>
      <c r="I49" s="31" t="str">
        <f>IFERROR(__xludf.DUMMYFUNCTION("""COMPUTED_VALUE"""),"Data")</f>
        <v>Data</v>
      </c>
      <c r="J49" s="103">
        <f>IFERROR(__xludf.DUMMYFUNCTION("""COMPUTED_VALUE"""),45968.0)</f>
        <v>45968</v>
      </c>
      <c r="K49" s="104" t="str">
        <f>IFERROR(__xludf.DUMMYFUNCTION("""COMPUTED_VALUE"""),"Conf By Sairam Mushyam ")</f>
        <v>Conf By Sairam Mushyam </v>
      </c>
    </row>
    <row r="50">
      <c r="A50" s="31" t="str">
        <f>IFERROR(__xludf.DUMMYFUNCTION("""COMPUTED_VALUE"""),"suyash.kumar@zupee.in")</f>
        <v>suyash.kumar@zupee.in</v>
      </c>
      <c r="B50" s="31" t="str">
        <f>IFERROR(__xludf.DUMMYFUNCTION("""COMPUTED_VALUE"""),"NOT_FOUND")</f>
        <v>NOT_FOUND</v>
      </c>
      <c r="C50" s="31" t="str">
        <f>IFERROR(__xludf.DUMMYFUNCTION("""COMPUTED_VALUE"""),"User not found")</f>
        <v>User not found</v>
      </c>
      <c r="D50" s="31" t="str">
        <f>IFERROR(__xludf.DUMMYFUNCTION("""COMPUTED_VALUE"""),"Revoked")</f>
        <v>Revoked</v>
      </c>
      <c r="E50" s="31" t="str">
        <f>IFERROR(__xludf.DUMMYFUNCTION("""COMPUTED_VALUE"""),"nitesh.vijay@zupee.in")</f>
        <v>nitesh.vijay@zupee.in</v>
      </c>
      <c r="F50" s="31" t="str">
        <f>IFERROR(__xludf.DUMMYFUNCTION("""COMPUTED_VALUE"""),"Done")</f>
        <v>Done</v>
      </c>
      <c r="G50" s="31" t="str">
        <f>IFERROR(__xludf.DUMMYFUNCTION("""COMPUTED_VALUE"""),"Done")</f>
        <v>Done</v>
      </c>
      <c r="H50" s="31" t="str">
        <f>IFERROR(__xludf.DUMMYFUNCTION("""COMPUTED_VALUE"""),"itservices@zupee.in")</f>
        <v>itservices@zupee.in</v>
      </c>
      <c r="I50" s="31" t="str">
        <f>IFERROR(__xludf.DUMMYFUNCTION("""COMPUTED_VALUE"""),"Data")</f>
        <v>Data</v>
      </c>
      <c r="J50" s="103">
        <f>IFERROR(__xludf.DUMMYFUNCTION("""COMPUTED_VALUE"""),45968.0)</f>
        <v>45968</v>
      </c>
      <c r="K50" s="104" t="str">
        <f>IFERROR(__xludf.DUMMYFUNCTION("""COMPUTED_VALUE"""),"Conf By Sairam Mushyam ")</f>
        <v>Conf By Sairam Mushyam </v>
      </c>
    </row>
    <row r="51">
      <c r="A51" s="31" t="str">
        <f>IFERROR(__xludf.DUMMYFUNCTION("""COMPUTED_VALUE"""),"tarun.khandelwal@zupee.in")</f>
        <v>tarun.khandelwal@zupee.in</v>
      </c>
      <c r="B51" s="31" t="str">
        <f>IFERROR(__xludf.DUMMYFUNCTION("""COMPUTED_VALUE"""),"NOT_FOUND")</f>
        <v>NOT_FOUND</v>
      </c>
      <c r="C51" s="31" t="str">
        <f>IFERROR(__xludf.DUMMYFUNCTION("""COMPUTED_VALUE"""),"User not found")</f>
        <v>User not found</v>
      </c>
      <c r="D51" s="31" t="str">
        <f>IFERROR(__xludf.DUMMYFUNCTION("""COMPUTED_VALUE"""),"Revoked")</f>
        <v>Revoked</v>
      </c>
      <c r="E51" s="31" t="str">
        <f>IFERROR(__xludf.DUMMYFUNCTION("""COMPUTED_VALUE"""),"raman.malik@zupee.in")</f>
        <v>raman.malik@zupee.in</v>
      </c>
      <c r="F51" s="31" t="str">
        <f>IFERROR(__xludf.DUMMYFUNCTION("""COMPUTED_VALUE"""),"Done")</f>
        <v>Done</v>
      </c>
      <c r="G51" s="31" t="str">
        <f>IFERROR(__xludf.DUMMYFUNCTION("""COMPUTED_VALUE"""),"Done")</f>
        <v>Done</v>
      </c>
      <c r="H51" s="31" t="str">
        <f>IFERROR(__xludf.DUMMYFUNCTION("""COMPUTED_VALUE"""),"itservices@zupee.in")</f>
        <v>itservices@zupee.in</v>
      </c>
      <c r="I51" s="31" t="str">
        <f>IFERROR(__xludf.DUMMYFUNCTION("""COMPUTED_VALUE"""),"Data")</f>
        <v>Data</v>
      </c>
      <c r="J51" s="103">
        <f>IFERROR(__xludf.DUMMYFUNCTION("""COMPUTED_VALUE"""),45968.0)</f>
        <v>45968</v>
      </c>
      <c r="K51" s="104" t="str">
        <f>IFERROR(__xludf.DUMMYFUNCTION("""COMPUTED_VALUE"""),"Conf By Sairam Mushyam ")</f>
        <v>Conf By Sairam Mushyam </v>
      </c>
    </row>
    <row r="52">
      <c r="A52" s="31" t="str">
        <f>IFERROR(__xludf.DUMMYFUNCTION("""COMPUTED_VALUE"""),"varen.gupta@zupee.in")</f>
        <v>varen.gupta@zupee.in</v>
      </c>
      <c r="B52" s="31" t="str">
        <f>IFERROR(__xludf.DUMMYFUNCTION("""COMPUTED_VALUE"""),"NOT_FOUND")</f>
        <v>NOT_FOUND</v>
      </c>
      <c r="C52" s="31" t="str">
        <f>IFERROR(__xludf.DUMMYFUNCTION("""COMPUTED_VALUE"""),"User not found")</f>
        <v>User not found</v>
      </c>
      <c r="D52" s="31" t="str">
        <f>IFERROR(__xludf.DUMMYFUNCTION("""COMPUTED_VALUE"""),"Revoked")</f>
        <v>Revoked</v>
      </c>
      <c r="E52" s="31" t="str">
        <f>IFERROR(__xludf.DUMMYFUNCTION("""COMPUTED_VALUE"""),"nitesh.vijay@zupee.in")</f>
        <v>nitesh.vijay@zupee.in</v>
      </c>
      <c r="F52" s="31" t="str">
        <f>IFERROR(__xludf.DUMMYFUNCTION("""COMPUTED_VALUE"""),"Done")</f>
        <v>Done</v>
      </c>
      <c r="G52" s="31" t="str">
        <f>IFERROR(__xludf.DUMMYFUNCTION("""COMPUTED_VALUE"""),"Done")</f>
        <v>Done</v>
      </c>
      <c r="H52" s="31" t="str">
        <f>IFERROR(__xludf.DUMMYFUNCTION("""COMPUTED_VALUE"""),"itservices@zupee.in")</f>
        <v>itservices@zupee.in</v>
      </c>
      <c r="I52" s="31" t="str">
        <f>IFERROR(__xludf.DUMMYFUNCTION("""COMPUTED_VALUE"""),"Data")</f>
        <v>Data</v>
      </c>
      <c r="J52" s="103">
        <f>IFERROR(__xludf.DUMMYFUNCTION("""COMPUTED_VALUE"""),45968.0)</f>
        <v>45968</v>
      </c>
      <c r="K52" s="104" t="str">
        <f>IFERROR(__xludf.DUMMYFUNCTION("""COMPUTED_VALUE"""),"Conf By Sairam Mushyam ")</f>
        <v>Conf By Sairam Mushyam </v>
      </c>
    </row>
    <row r="53">
      <c r="A53" s="31" t="str">
        <f>IFERROR(__xludf.DUMMYFUNCTION("""COMPUTED_VALUE"""),"vinay.singh@zupee.in")</f>
        <v>vinay.singh@zupee.in</v>
      </c>
      <c r="B53" s="31" t="str">
        <f>IFERROR(__xludf.DUMMYFUNCTION("""COMPUTED_VALUE"""),"NOT_FOUND")</f>
        <v>NOT_FOUND</v>
      </c>
      <c r="C53" s="31" t="str">
        <f>IFERROR(__xludf.DUMMYFUNCTION("""COMPUTED_VALUE"""),"User not found")</f>
        <v>User not found</v>
      </c>
      <c r="D53" s="31" t="str">
        <f>IFERROR(__xludf.DUMMYFUNCTION("""COMPUTED_VALUE"""),"Revoked")</f>
        <v>Revoked</v>
      </c>
      <c r="E53" s="31" t="str">
        <f>IFERROR(__xludf.DUMMYFUNCTION("""COMPUTED_VALUE"""),"raman.malik@zupee.in")</f>
        <v>raman.malik@zupee.in</v>
      </c>
      <c r="F53" s="31" t="str">
        <f>IFERROR(__xludf.DUMMYFUNCTION("""COMPUTED_VALUE"""),"Done")</f>
        <v>Done</v>
      </c>
      <c r="G53" s="31" t="str">
        <f>IFERROR(__xludf.DUMMYFUNCTION("""COMPUTED_VALUE"""),"Done")</f>
        <v>Done</v>
      </c>
      <c r="H53" s="31" t="str">
        <f>IFERROR(__xludf.DUMMYFUNCTION("""COMPUTED_VALUE"""),"itservices@zupee.in")</f>
        <v>itservices@zupee.in</v>
      </c>
      <c r="I53" s="31" t="str">
        <f>IFERROR(__xludf.DUMMYFUNCTION("""COMPUTED_VALUE"""),"Data")</f>
        <v>Data</v>
      </c>
      <c r="J53" s="103">
        <f>IFERROR(__xludf.DUMMYFUNCTION("""COMPUTED_VALUE"""),45968.0)</f>
        <v>45968</v>
      </c>
      <c r="K53" s="104" t="str">
        <f>IFERROR(__xludf.DUMMYFUNCTION("""COMPUTED_VALUE"""),"Conf By Sairam Mushyam ")</f>
        <v>Conf By Sairam Mushyam </v>
      </c>
    </row>
    <row r="54">
      <c r="A54" s="31" t="str">
        <f>IFERROR(__xludf.DUMMYFUNCTION("""COMPUTED_VALUE"""),"yakshita.behl@zupee.in")</f>
        <v>yakshita.behl@zupee.in</v>
      </c>
      <c r="B54" s="31" t="str">
        <f>IFERROR(__xludf.DUMMYFUNCTION("""COMPUTED_VALUE"""),"NOT_FOUND")</f>
        <v>NOT_FOUND</v>
      </c>
      <c r="C54" s="31" t="str">
        <f>IFERROR(__xludf.DUMMYFUNCTION("""COMPUTED_VALUE"""),"User not found")</f>
        <v>User not found</v>
      </c>
      <c r="D54" s="31" t="str">
        <f>IFERROR(__xludf.DUMMYFUNCTION("""COMPUTED_VALUE"""),"Revoked")</f>
        <v>Revoked</v>
      </c>
      <c r="E54" s="31" t="str">
        <f>IFERROR(__xludf.DUMMYFUNCTION("""COMPUTED_VALUE"""),"raman.malik@zupee.in")</f>
        <v>raman.malik@zupee.in</v>
      </c>
      <c r="F54" s="31" t="str">
        <f>IFERROR(__xludf.DUMMYFUNCTION("""COMPUTED_VALUE"""),"Done")</f>
        <v>Done</v>
      </c>
      <c r="G54" s="31" t="str">
        <f>IFERROR(__xludf.DUMMYFUNCTION("""COMPUTED_VALUE"""),"Done")</f>
        <v>Done</v>
      </c>
      <c r="H54" s="31" t="str">
        <f>IFERROR(__xludf.DUMMYFUNCTION("""COMPUTED_VALUE"""),"itservices@zupee.in")</f>
        <v>itservices@zupee.in</v>
      </c>
      <c r="I54" s="31" t="str">
        <f>IFERROR(__xludf.DUMMYFUNCTION("""COMPUTED_VALUE"""),"Data")</f>
        <v>Data</v>
      </c>
      <c r="J54" s="103">
        <f>IFERROR(__xludf.DUMMYFUNCTION("""COMPUTED_VALUE"""),45968.0)</f>
        <v>45968</v>
      </c>
      <c r="K54" s="104" t="str">
        <f>IFERROR(__xludf.DUMMYFUNCTION("""COMPUTED_VALUE"""),"Conf By Sairam Mushyam ")</f>
        <v>Conf By Sairam Mushyam </v>
      </c>
    </row>
    <row r="55">
      <c r="A55" s="31" t="str">
        <f>IFERROR(__xludf.DUMMYFUNCTION("""COMPUTED_VALUE"""),"yuvam.parmar@zupee.in")</f>
        <v>yuvam.parmar@zupee.in</v>
      </c>
      <c r="B55" s="31" t="str">
        <f>IFERROR(__xludf.DUMMYFUNCTION("""COMPUTED_VALUE"""),"NOT_FOUND")</f>
        <v>NOT_FOUND</v>
      </c>
      <c r="C55" s="31" t="str">
        <f>IFERROR(__xludf.DUMMYFUNCTION("""COMPUTED_VALUE"""),"User not found")</f>
        <v>User not found</v>
      </c>
      <c r="D55" s="31" t="str">
        <f>IFERROR(__xludf.DUMMYFUNCTION("""COMPUTED_VALUE"""),"Revoked")</f>
        <v>Revoked</v>
      </c>
      <c r="E55" s="31" t="str">
        <f>IFERROR(__xludf.DUMMYFUNCTION("""COMPUTED_VALUE"""),"sairam.mushyam@zupee.in")</f>
        <v>sairam.mushyam@zupee.in</v>
      </c>
      <c r="F55" s="31" t="str">
        <f>IFERROR(__xludf.DUMMYFUNCTION("""COMPUTED_VALUE"""),"Done")</f>
        <v>Done</v>
      </c>
      <c r="G55" s="31" t="str">
        <f>IFERROR(__xludf.DUMMYFUNCTION("""COMPUTED_VALUE"""),"Done")</f>
        <v>Done</v>
      </c>
      <c r="H55" s="31" t="str">
        <f>IFERROR(__xludf.DUMMYFUNCTION("""COMPUTED_VALUE"""),"itservices@zupee.in")</f>
        <v>itservices@zupee.in</v>
      </c>
      <c r="I55" s="31" t="str">
        <f>IFERROR(__xludf.DUMMYFUNCTION("""COMPUTED_VALUE"""),"Data")</f>
        <v>Data</v>
      </c>
      <c r="J55" s="103">
        <f>IFERROR(__xludf.DUMMYFUNCTION("""COMPUTED_VALUE"""),45968.0)</f>
        <v>45968</v>
      </c>
      <c r="K55" s="104" t="str">
        <f>IFERROR(__xludf.DUMMYFUNCTION("""COMPUTED_VALUE"""),"Conf By Sairam Mushyam ")</f>
        <v>Conf By Sairam Mushyam </v>
      </c>
    </row>
    <row r="56">
      <c r="A56" s="31" t="str">
        <f>IFERROR(__xludf.DUMMYFUNCTION("""COMPUTED_VALUE"""),"biswajit.dey@zupee.in")</f>
        <v>biswajit.dey@zupee.in</v>
      </c>
      <c r="B56" s="31" t="str">
        <f>IFERROR(__xludf.DUMMYFUNCTION("""COMPUTED_VALUE"""),"NOT_FOUND")</f>
        <v>NOT_FOUND</v>
      </c>
      <c r="C56" s="31" t="str">
        <f>IFERROR(__xludf.DUMMYFUNCTION("""COMPUTED_VALUE"""),"User not found")</f>
        <v>User not found</v>
      </c>
      <c r="D56" s="31" t="str">
        <f>IFERROR(__xludf.DUMMYFUNCTION("""COMPUTED_VALUE"""),"Revoked")</f>
        <v>Revoked</v>
      </c>
      <c r="E56" s="31" t="str">
        <f>IFERROR(__xludf.DUMMYFUNCTION("""COMPUTED_VALUE"""),"katha.tara@zupee.in")</f>
        <v>katha.tara@zupee.in</v>
      </c>
      <c r="F56" s="31" t="str">
        <f>IFERROR(__xludf.DUMMYFUNCTION("""COMPUTED_VALUE"""),"Done")</f>
        <v>Done</v>
      </c>
      <c r="G56" s="31" t="str">
        <f>IFERROR(__xludf.DUMMYFUNCTION("""COMPUTED_VALUE"""),"No-Need")</f>
        <v>No-Need</v>
      </c>
      <c r="H56" s="31" t="str">
        <f>IFERROR(__xludf.DUMMYFUNCTION("""COMPUTED_VALUE"""),"katha.tara@zupee.in")</f>
        <v>katha.tara@zupee.in</v>
      </c>
      <c r="I56" s="31" t="str">
        <f>IFERROR(__xludf.DUMMYFUNCTION("""COMPUTED_VALUE"""),"Brand Marketing")</f>
        <v>Brand Marketing</v>
      </c>
      <c r="J56" s="103">
        <f>IFERROR(__xludf.DUMMYFUNCTION("""COMPUTED_VALUE"""),45972.0)</f>
        <v>45972</v>
      </c>
      <c r="K56" s="104" t="str">
        <f>IFERROR(__xludf.DUMMYFUNCTION("""COMPUTED_VALUE"""),"Conf By ""Katha Pankaj Tara""")</f>
        <v>Conf By "Katha Pankaj Tara"</v>
      </c>
    </row>
    <row r="57">
      <c r="A57" s="31" t="str">
        <f>IFERROR(__xludf.DUMMYFUNCTION("""COMPUTED_VALUE"""),"arvind.gupta@zupee.in")</f>
        <v>arvind.gupta@zupee.in</v>
      </c>
      <c r="B57" s="31" t="str">
        <f>IFERROR(__xludf.DUMMYFUNCTION("""COMPUTED_VALUE"""),"NOT_FOUND")</f>
        <v>NOT_FOUND</v>
      </c>
      <c r="C57" s="31" t="str">
        <f>IFERROR(__xludf.DUMMYFUNCTION("""COMPUTED_VALUE"""),"User not found")</f>
        <v>User not found</v>
      </c>
      <c r="D57" s="31" t="str">
        <f>IFERROR(__xludf.DUMMYFUNCTION("""COMPUTED_VALUE"""),"Revoked")</f>
        <v>Revoked</v>
      </c>
      <c r="E57" s="31" t="str">
        <f>IFERROR(__xludf.DUMMYFUNCTION("""COMPUTED_VALUE"""),"katha.tara@zupee.in")</f>
        <v>katha.tara@zupee.in</v>
      </c>
      <c r="F57" s="31" t="str">
        <f>IFERROR(__xludf.DUMMYFUNCTION("""COMPUTED_VALUE"""),"Done")</f>
        <v>Done</v>
      </c>
      <c r="G57" s="31" t="str">
        <f>IFERROR(__xludf.DUMMYFUNCTION("""COMPUTED_VALUE"""),"No-Need")</f>
        <v>No-Need</v>
      </c>
      <c r="H57" s="31" t="str">
        <f>IFERROR(__xludf.DUMMYFUNCTION("""COMPUTED_VALUE"""),"katha.tara@zupee.in")</f>
        <v>katha.tara@zupee.in</v>
      </c>
      <c r="I57" s="31" t="str">
        <f>IFERROR(__xludf.DUMMYFUNCTION("""COMPUTED_VALUE"""),"Brand Marketing")</f>
        <v>Brand Marketing</v>
      </c>
      <c r="J57" s="103">
        <f>IFERROR(__xludf.DUMMYFUNCTION("""COMPUTED_VALUE"""),45972.0)</f>
        <v>45972</v>
      </c>
      <c r="K57" s="104" t="str">
        <f>IFERROR(__xludf.DUMMYFUNCTION("""COMPUTED_VALUE"""),"Conf By ""Katha Pankaj Tara""")</f>
        <v>Conf By "Katha Pankaj Tara"</v>
      </c>
    </row>
    <row r="58">
      <c r="A58" s="31" t="str">
        <f>IFERROR(__xludf.DUMMYFUNCTION("""COMPUTED_VALUE"""),"dhruv.bisht@zupee.in")</f>
        <v>dhruv.bisht@zupee.in</v>
      </c>
      <c r="B58" s="31" t="str">
        <f>IFERROR(__xludf.DUMMYFUNCTION("""COMPUTED_VALUE"""),"NOT_FOUND")</f>
        <v>NOT_FOUND</v>
      </c>
      <c r="C58" s="31" t="str">
        <f>IFERROR(__xludf.DUMMYFUNCTION("""COMPUTED_VALUE"""),"User not found")</f>
        <v>User not found</v>
      </c>
      <c r="D58" s="31" t="str">
        <f>IFERROR(__xludf.DUMMYFUNCTION("""COMPUTED_VALUE"""),"Revoked")</f>
        <v>Revoked</v>
      </c>
      <c r="E58" s="31" t="str">
        <f>IFERROR(__xludf.DUMMYFUNCTION("""COMPUTED_VALUE"""),"katha.tara@zupee.in")</f>
        <v>katha.tara@zupee.in</v>
      </c>
      <c r="F58" s="31" t="str">
        <f>IFERROR(__xludf.DUMMYFUNCTION("""COMPUTED_VALUE"""),"Done")</f>
        <v>Done</v>
      </c>
      <c r="G58" s="31" t="str">
        <f>IFERROR(__xludf.DUMMYFUNCTION("""COMPUTED_VALUE"""),"No-Need")</f>
        <v>No-Need</v>
      </c>
      <c r="H58" s="31" t="str">
        <f>IFERROR(__xludf.DUMMYFUNCTION("""COMPUTED_VALUE"""),"katha.tara@zupee.in")</f>
        <v>katha.tara@zupee.in</v>
      </c>
      <c r="I58" s="31" t="str">
        <f>IFERROR(__xludf.DUMMYFUNCTION("""COMPUTED_VALUE"""),"Brand Marketing")</f>
        <v>Brand Marketing</v>
      </c>
      <c r="J58" s="103">
        <f>IFERROR(__xludf.DUMMYFUNCTION("""COMPUTED_VALUE"""),45972.0)</f>
        <v>45972</v>
      </c>
      <c r="K58" s="104" t="str">
        <f>IFERROR(__xludf.DUMMYFUNCTION("""COMPUTED_VALUE"""),"Conf By ""Katha Pankaj Tara""")</f>
        <v>Conf By "Katha Pankaj Tara"</v>
      </c>
    </row>
    <row r="59">
      <c r="A59" s="31" t="str">
        <f>IFERROR(__xludf.DUMMYFUNCTION("""COMPUTED_VALUE"""),"gargi.bhadu@zupee.in")</f>
        <v>gargi.bhadu@zupee.in</v>
      </c>
      <c r="B59" s="31" t="str">
        <f>IFERROR(__xludf.DUMMYFUNCTION("""COMPUTED_VALUE"""),"NOT_FOUND")</f>
        <v>NOT_FOUND</v>
      </c>
      <c r="C59" s="31" t="str">
        <f>IFERROR(__xludf.DUMMYFUNCTION("""COMPUTED_VALUE"""),"User not found")</f>
        <v>User not found</v>
      </c>
      <c r="D59" s="31" t="str">
        <f>IFERROR(__xludf.DUMMYFUNCTION("""COMPUTED_VALUE"""),"Revoked")</f>
        <v>Revoked</v>
      </c>
      <c r="E59" s="31" t="str">
        <f>IFERROR(__xludf.DUMMYFUNCTION("""COMPUTED_VALUE"""),"katha.tara@zupee.in")</f>
        <v>katha.tara@zupee.in</v>
      </c>
      <c r="F59" s="31" t="str">
        <f>IFERROR(__xludf.DUMMYFUNCTION("""COMPUTED_VALUE"""),"Done")</f>
        <v>Done</v>
      </c>
      <c r="G59" s="31" t="str">
        <f>IFERROR(__xludf.DUMMYFUNCTION("""COMPUTED_VALUE"""),"No-Need")</f>
        <v>No-Need</v>
      </c>
      <c r="H59" s="31" t="str">
        <f>IFERROR(__xludf.DUMMYFUNCTION("""COMPUTED_VALUE"""),"katha.tara@zupee.in")</f>
        <v>katha.tara@zupee.in</v>
      </c>
      <c r="I59" s="31" t="str">
        <f>IFERROR(__xludf.DUMMYFUNCTION("""COMPUTED_VALUE"""),"Brand Marketing")</f>
        <v>Brand Marketing</v>
      </c>
      <c r="J59" s="103">
        <f>IFERROR(__xludf.DUMMYFUNCTION("""COMPUTED_VALUE"""),45972.0)</f>
        <v>45972</v>
      </c>
      <c r="K59" s="104" t="str">
        <f>IFERROR(__xludf.DUMMYFUNCTION("""COMPUTED_VALUE"""),"Conf By ""Katha Pankaj Tara""")</f>
        <v>Conf By "Katha Pankaj Tara"</v>
      </c>
    </row>
    <row r="60">
      <c r="A60" s="31" t="str">
        <f>IFERROR(__xludf.DUMMYFUNCTION("""COMPUTED_VALUE"""),"khushboo.chopra@zupee.in")</f>
        <v>khushboo.chopra@zupee.in</v>
      </c>
      <c r="B60" s="31" t="str">
        <f>IFERROR(__xludf.DUMMYFUNCTION("""COMPUTED_VALUE"""),"NOT_FOUND")</f>
        <v>NOT_FOUND</v>
      </c>
      <c r="C60" s="31" t="str">
        <f>IFERROR(__xludf.DUMMYFUNCTION("""COMPUTED_VALUE"""),"User not found")</f>
        <v>User not found</v>
      </c>
      <c r="D60" s="31" t="str">
        <f>IFERROR(__xludf.DUMMYFUNCTION("""COMPUTED_VALUE"""),"Revoked")</f>
        <v>Revoked</v>
      </c>
      <c r="E60" s="31" t="str">
        <f>IFERROR(__xludf.DUMMYFUNCTION("""COMPUTED_VALUE"""),"katha.tara@zupee.in")</f>
        <v>katha.tara@zupee.in</v>
      </c>
      <c r="F60" s="31" t="str">
        <f>IFERROR(__xludf.DUMMYFUNCTION("""COMPUTED_VALUE"""),"Done")</f>
        <v>Done</v>
      </c>
      <c r="G60" s="31" t="str">
        <f>IFERROR(__xludf.DUMMYFUNCTION("""COMPUTED_VALUE"""),"No-Need")</f>
        <v>No-Need</v>
      </c>
      <c r="H60" s="31" t="str">
        <f>IFERROR(__xludf.DUMMYFUNCTION("""COMPUTED_VALUE"""),"katha.tara@zupee.in")</f>
        <v>katha.tara@zupee.in</v>
      </c>
      <c r="I60" s="31" t="str">
        <f>IFERROR(__xludf.DUMMYFUNCTION("""COMPUTED_VALUE"""),"Brand Marketing")</f>
        <v>Brand Marketing</v>
      </c>
      <c r="J60" s="103">
        <f>IFERROR(__xludf.DUMMYFUNCTION("""COMPUTED_VALUE"""),45972.0)</f>
        <v>45972</v>
      </c>
      <c r="K60" s="104" t="str">
        <f>IFERROR(__xludf.DUMMYFUNCTION("""COMPUTED_VALUE"""),"Conf By ""Katha Pankaj Tara""")</f>
        <v>Conf By "Katha Pankaj Tara"</v>
      </c>
    </row>
    <row r="61">
      <c r="A61" s="31" t="str">
        <f>IFERROR(__xludf.DUMMYFUNCTION("""COMPUTED_VALUE"""),"manjot.juyal@zupee.in")</f>
        <v>manjot.juyal@zupee.in</v>
      </c>
      <c r="B61" s="31" t="str">
        <f>IFERROR(__xludf.DUMMYFUNCTION("""COMPUTED_VALUE"""),"NOT_FOUND")</f>
        <v>NOT_FOUND</v>
      </c>
      <c r="C61" s="31" t="str">
        <f>IFERROR(__xludf.DUMMYFUNCTION("""COMPUTED_VALUE"""),"User not found")</f>
        <v>User not found</v>
      </c>
      <c r="D61" s="31" t="str">
        <f>IFERROR(__xludf.DUMMYFUNCTION("""COMPUTED_VALUE"""),"Revoked")</f>
        <v>Revoked</v>
      </c>
      <c r="E61" s="31" t="str">
        <f>IFERROR(__xludf.DUMMYFUNCTION("""COMPUTED_VALUE"""),"katha.tara@zupee.in")</f>
        <v>katha.tara@zupee.in</v>
      </c>
      <c r="F61" s="31" t="str">
        <f>IFERROR(__xludf.DUMMYFUNCTION("""COMPUTED_VALUE"""),"Done")</f>
        <v>Done</v>
      </c>
      <c r="G61" s="31" t="str">
        <f>IFERROR(__xludf.DUMMYFUNCTION("""COMPUTED_VALUE"""),"No-Need")</f>
        <v>No-Need</v>
      </c>
      <c r="H61" s="31" t="str">
        <f>IFERROR(__xludf.DUMMYFUNCTION("""COMPUTED_VALUE"""),"katha.tara@zupee.in")</f>
        <v>katha.tara@zupee.in</v>
      </c>
      <c r="I61" s="31" t="str">
        <f>IFERROR(__xludf.DUMMYFUNCTION("""COMPUTED_VALUE"""),"Brand Marketing")</f>
        <v>Brand Marketing</v>
      </c>
      <c r="J61" s="103">
        <f>IFERROR(__xludf.DUMMYFUNCTION("""COMPUTED_VALUE"""),45972.0)</f>
        <v>45972</v>
      </c>
      <c r="K61" s="104" t="str">
        <f>IFERROR(__xludf.DUMMYFUNCTION("""COMPUTED_VALUE"""),"Conf By ""Katha Pankaj Tara""")</f>
        <v>Conf By "Katha Pankaj Tara"</v>
      </c>
    </row>
    <row r="62">
      <c r="A62" s="31" t="str">
        <f>IFERROR(__xludf.DUMMYFUNCTION("""COMPUTED_VALUE"""),"mohammed.nayeem@zupee.in")</f>
        <v>mohammed.nayeem@zupee.in</v>
      </c>
      <c r="B62" s="31" t="str">
        <f>IFERROR(__xludf.DUMMYFUNCTION("""COMPUTED_VALUE"""),"NOT_FOUND")</f>
        <v>NOT_FOUND</v>
      </c>
      <c r="C62" s="31" t="str">
        <f>IFERROR(__xludf.DUMMYFUNCTION("""COMPUTED_VALUE"""),"User not found")</f>
        <v>User not found</v>
      </c>
      <c r="D62" s="31" t="str">
        <f>IFERROR(__xludf.DUMMYFUNCTION("""COMPUTED_VALUE"""),"Revoked")</f>
        <v>Revoked</v>
      </c>
      <c r="E62" s="31" t="str">
        <f>IFERROR(__xludf.DUMMYFUNCTION("""COMPUTED_VALUE"""),"katha.tara@zupee.in")</f>
        <v>katha.tara@zupee.in</v>
      </c>
      <c r="F62" s="31" t="str">
        <f>IFERROR(__xludf.DUMMYFUNCTION("""COMPUTED_VALUE"""),"Done")</f>
        <v>Done</v>
      </c>
      <c r="G62" s="31" t="str">
        <f>IFERROR(__xludf.DUMMYFUNCTION("""COMPUTED_VALUE"""),"No-Need")</f>
        <v>No-Need</v>
      </c>
      <c r="H62" s="31" t="str">
        <f>IFERROR(__xludf.DUMMYFUNCTION("""COMPUTED_VALUE"""),"katha.tara@zupee.in")</f>
        <v>katha.tara@zupee.in</v>
      </c>
      <c r="I62" s="31" t="str">
        <f>IFERROR(__xludf.DUMMYFUNCTION("""COMPUTED_VALUE"""),"Brand Marketing")</f>
        <v>Brand Marketing</v>
      </c>
      <c r="J62" s="103">
        <f>IFERROR(__xludf.DUMMYFUNCTION("""COMPUTED_VALUE"""),45972.0)</f>
        <v>45972</v>
      </c>
      <c r="K62" s="104" t="str">
        <f>IFERROR(__xludf.DUMMYFUNCTION("""COMPUTED_VALUE"""),"Conf By ""Katha Pankaj Tara""")</f>
        <v>Conf By "Katha Pankaj Tara"</v>
      </c>
    </row>
    <row r="63">
      <c r="A63" s="31" t="str">
        <f>IFERROR(__xludf.DUMMYFUNCTION("""COMPUTED_VALUE"""),"nikita.mantri@zupee.in")</f>
        <v>nikita.mantri@zupee.in</v>
      </c>
      <c r="B63" s="31" t="str">
        <f>IFERROR(__xludf.DUMMYFUNCTION("""COMPUTED_VALUE"""),"NOT_FOUND")</f>
        <v>NOT_FOUND</v>
      </c>
      <c r="C63" s="31" t="str">
        <f>IFERROR(__xludf.DUMMYFUNCTION("""COMPUTED_VALUE"""),"User not found")</f>
        <v>User not found</v>
      </c>
      <c r="D63" s="31" t="str">
        <f>IFERROR(__xludf.DUMMYFUNCTION("""COMPUTED_VALUE"""),"Revoked")</f>
        <v>Revoked</v>
      </c>
      <c r="E63" s="31" t="str">
        <f>IFERROR(__xludf.DUMMYFUNCTION("""COMPUTED_VALUE"""),"katha.tara@zupee.in")</f>
        <v>katha.tara@zupee.in</v>
      </c>
      <c r="F63" s="31" t="str">
        <f>IFERROR(__xludf.DUMMYFUNCTION("""COMPUTED_VALUE"""),"Done")</f>
        <v>Done</v>
      </c>
      <c r="G63" s="31" t="str">
        <f>IFERROR(__xludf.DUMMYFUNCTION("""COMPUTED_VALUE"""),"No-Need")</f>
        <v>No-Need</v>
      </c>
      <c r="H63" s="31" t="str">
        <f>IFERROR(__xludf.DUMMYFUNCTION("""COMPUTED_VALUE"""),"katha.tara@zupee.in")</f>
        <v>katha.tara@zupee.in</v>
      </c>
      <c r="I63" s="31" t="str">
        <f>IFERROR(__xludf.DUMMYFUNCTION("""COMPUTED_VALUE"""),"Brand Marketing")</f>
        <v>Brand Marketing</v>
      </c>
      <c r="J63" s="103">
        <f>IFERROR(__xludf.DUMMYFUNCTION("""COMPUTED_VALUE"""),45972.0)</f>
        <v>45972</v>
      </c>
      <c r="K63" s="104" t="str">
        <f>IFERROR(__xludf.DUMMYFUNCTION("""COMPUTED_VALUE"""),"Conf By ""Katha Pankaj Tara""")</f>
        <v>Conf By "Katha Pankaj Tara"</v>
      </c>
    </row>
    <row r="64">
      <c r="A64" s="31" t="str">
        <f>IFERROR(__xludf.DUMMYFUNCTION("""COMPUTED_VALUE"""),"pooja.lunia@zupee.in")</f>
        <v>pooja.lunia@zupee.in</v>
      </c>
      <c r="B64" s="31" t="str">
        <f>IFERROR(__xludf.DUMMYFUNCTION("""COMPUTED_VALUE"""),"NOT_FOUND")</f>
        <v>NOT_FOUND</v>
      </c>
      <c r="C64" s="31" t="str">
        <f>IFERROR(__xludf.DUMMYFUNCTION("""COMPUTED_VALUE"""),"User not found")</f>
        <v>User not found</v>
      </c>
      <c r="D64" s="31" t="str">
        <f>IFERROR(__xludf.DUMMYFUNCTION("""COMPUTED_VALUE"""),"Revoked")</f>
        <v>Revoked</v>
      </c>
      <c r="E64" s="31" t="str">
        <f>IFERROR(__xludf.DUMMYFUNCTION("""COMPUTED_VALUE"""),"katha.tara@zupee.in")</f>
        <v>katha.tara@zupee.in</v>
      </c>
      <c r="F64" s="31" t="str">
        <f>IFERROR(__xludf.DUMMYFUNCTION("""COMPUTED_VALUE"""),"Done")</f>
        <v>Done</v>
      </c>
      <c r="G64" s="31" t="str">
        <f>IFERROR(__xludf.DUMMYFUNCTION("""COMPUTED_VALUE"""),"No-Need")</f>
        <v>No-Need</v>
      </c>
      <c r="H64" s="31" t="str">
        <f>IFERROR(__xludf.DUMMYFUNCTION("""COMPUTED_VALUE"""),"katha.tara@zupee.in")</f>
        <v>katha.tara@zupee.in</v>
      </c>
      <c r="I64" s="31" t="str">
        <f>IFERROR(__xludf.DUMMYFUNCTION("""COMPUTED_VALUE"""),"Brand Marketing")</f>
        <v>Brand Marketing</v>
      </c>
      <c r="J64" s="103">
        <f>IFERROR(__xludf.DUMMYFUNCTION("""COMPUTED_VALUE"""),45972.0)</f>
        <v>45972</v>
      </c>
      <c r="K64" s="104" t="str">
        <f>IFERROR(__xludf.DUMMYFUNCTION("""COMPUTED_VALUE"""),"Conf By ""Katha Pankaj Tara""")</f>
        <v>Conf By "Katha Pankaj Tara"</v>
      </c>
    </row>
    <row r="65">
      <c r="A65" s="31" t="str">
        <f>IFERROR(__xludf.DUMMYFUNCTION("""COMPUTED_VALUE"""),"rijul.sehgal@zupee.in")</f>
        <v>rijul.sehgal@zupee.in</v>
      </c>
      <c r="B65" s="31" t="str">
        <f>IFERROR(__xludf.DUMMYFUNCTION("""COMPUTED_VALUE"""),"NOT_FOUND")</f>
        <v>NOT_FOUND</v>
      </c>
      <c r="C65" s="31" t="str">
        <f>IFERROR(__xludf.DUMMYFUNCTION("""COMPUTED_VALUE"""),"User not found")</f>
        <v>User not found</v>
      </c>
      <c r="D65" s="31" t="str">
        <f>IFERROR(__xludf.DUMMYFUNCTION("""COMPUTED_VALUE"""),"Revoked")</f>
        <v>Revoked</v>
      </c>
      <c r="E65" s="31" t="str">
        <f>IFERROR(__xludf.DUMMYFUNCTION("""COMPUTED_VALUE"""),"katha.tara@zupee.in")</f>
        <v>katha.tara@zupee.in</v>
      </c>
      <c r="F65" s="31" t="str">
        <f>IFERROR(__xludf.DUMMYFUNCTION("""COMPUTED_VALUE"""),"Done")</f>
        <v>Done</v>
      </c>
      <c r="G65" s="31" t="str">
        <f>IFERROR(__xludf.DUMMYFUNCTION("""COMPUTED_VALUE"""),"No-Need")</f>
        <v>No-Need</v>
      </c>
      <c r="H65" s="31" t="str">
        <f>IFERROR(__xludf.DUMMYFUNCTION("""COMPUTED_VALUE"""),"katha.tara@zupee.in")</f>
        <v>katha.tara@zupee.in</v>
      </c>
      <c r="I65" s="31" t="str">
        <f>IFERROR(__xludf.DUMMYFUNCTION("""COMPUTED_VALUE"""),"Brand Marketing")</f>
        <v>Brand Marketing</v>
      </c>
      <c r="J65" s="103">
        <f>IFERROR(__xludf.DUMMYFUNCTION("""COMPUTED_VALUE"""),45972.0)</f>
        <v>45972</v>
      </c>
      <c r="K65" s="104" t="str">
        <f>IFERROR(__xludf.DUMMYFUNCTION("""COMPUTED_VALUE"""),"Conf By ""Katha Pankaj Tara""")</f>
        <v>Conf By "Katha Pankaj Tara"</v>
      </c>
    </row>
    <row r="66">
      <c r="A66" s="31" t="str">
        <f>IFERROR(__xludf.DUMMYFUNCTION("""COMPUTED_VALUE"""),"vedant.sharma@zupee.in")</f>
        <v>vedant.sharma@zupee.in</v>
      </c>
      <c r="B66" s="31" t="str">
        <f>IFERROR(__xludf.DUMMYFUNCTION("""COMPUTED_VALUE"""),"NOT_FOUND")</f>
        <v>NOT_FOUND</v>
      </c>
      <c r="C66" s="31" t="str">
        <f>IFERROR(__xludf.DUMMYFUNCTION("""COMPUTED_VALUE"""),"User not found")</f>
        <v>User not found</v>
      </c>
      <c r="D66" s="31" t="str">
        <f>IFERROR(__xludf.DUMMYFUNCTION("""COMPUTED_VALUE"""),"Revoked")</f>
        <v>Revoked</v>
      </c>
      <c r="E66" s="31" t="str">
        <f>IFERROR(__xludf.DUMMYFUNCTION("""COMPUTED_VALUE"""),"katha.tara@zupee.in")</f>
        <v>katha.tara@zupee.in</v>
      </c>
      <c r="F66" s="31" t="str">
        <f>IFERROR(__xludf.DUMMYFUNCTION("""COMPUTED_VALUE"""),"Done")</f>
        <v>Done</v>
      </c>
      <c r="G66" s="31" t="str">
        <f>IFERROR(__xludf.DUMMYFUNCTION("""COMPUTED_VALUE"""),"No-Need")</f>
        <v>No-Need</v>
      </c>
      <c r="H66" s="31" t="str">
        <f>IFERROR(__xludf.DUMMYFUNCTION("""COMPUTED_VALUE"""),"katha.tara@zupee.in")</f>
        <v>katha.tara@zupee.in</v>
      </c>
      <c r="I66" s="31" t="str">
        <f>IFERROR(__xludf.DUMMYFUNCTION("""COMPUTED_VALUE"""),"Brand Marketing")</f>
        <v>Brand Marketing</v>
      </c>
      <c r="J66" s="103">
        <f>IFERROR(__xludf.DUMMYFUNCTION("""COMPUTED_VALUE"""),45972.0)</f>
        <v>45972</v>
      </c>
      <c r="K66" s="104" t="str">
        <f>IFERROR(__xludf.DUMMYFUNCTION("""COMPUTED_VALUE"""),"Conf By ""Katha Pankaj Tara""")</f>
        <v>Conf By "Katha Pankaj Tara"</v>
      </c>
    </row>
    <row r="67">
      <c r="A67" s="31" t="str">
        <f>IFERROR(__xludf.DUMMYFUNCTION("""COMPUTED_VALUE"""),"mukul.chaudhary@zupee.in")</f>
        <v>mukul.chaudhary@zupee.in</v>
      </c>
      <c r="B67" s="31" t="str">
        <f>IFERROR(__xludf.DUMMYFUNCTION("""COMPUTED_VALUE"""),"NOT_FOUND")</f>
        <v>NOT_FOUND</v>
      </c>
      <c r="C67" s="31" t="str">
        <f>IFERROR(__xludf.DUMMYFUNCTION("""COMPUTED_VALUE"""),"User not found")</f>
        <v>User not found</v>
      </c>
      <c r="D67" s="31" t="str">
        <f>IFERROR(__xludf.DUMMYFUNCTION("""COMPUTED_VALUE"""),"Revoked")</f>
        <v>Revoked</v>
      </c>
      <c r="E67" s="31" t="str">
        <f>IFERROR(__xludf.DUMMYFUNCTION("""COMPUTED_VALUE"""),"katha.tara@zupee.in")</f>
        <v>katha.tara@zupee.in</v>
      </c>
      <c r="F67" s="31" t="str">
        <f>IFERROR(__xludf.DUMMYFUNCTION("""COMPUTED_VALUE"""),"Done")</f>
        <v>Done</v>
      </c>
      <c r="G67" s="31" t="str">
        <f>IFERROR(__xludf.DUMMYFUNCTION("""COMPUTED_VALUE"""),"No-Need")</f>
        <v>No-Need</v>
      </c>
      <c r="H67" s="31" t="str">
        <f>IFERROR(__xludf.DUMMYFUNCTION("""COMPUTED_VALUE"""),"katha.tara@zupee.in")</f>
        <v>katha.tara@zupee.in</v>
      </c>
      <c r="I67" s="31" t="str">
        <f>IFERROR(__xludf.DUMMYFUNCTION("""COMPUTED_VALUE"""),"Brand Marketing")</f>
        <v>Brand Marketing</v>
      </c>
      <c r="J67" s="103">
        <f>IFERROR(__xludf.DUMMYFUNCTION("""COMPUTED_VALUE"""),45972.0)</f>
        <v>45972</v>
      </c>
      <c r="K67" s="104" t="str">
        <f>IFERROR(__xludf.DUMMYFUNCTION("""COMPUTED_VALUE"""),"Conf By ""Katha Pankaj Tara""")</f>
        <v>Conf By "Katha Pankaj Tara"</v>
      </c>
    </row>
    <row r="68">
      <c r="A68" s="31" t="str">
        <f>IFERROR(__xludf.DUMMYFUNCTION("""COMPUTED_VALUE"""),"akhil.nr@zupee.in")</f>
        <v>akhil.nr@zupee.in</v>
      </c>
      <c r="B68" s="31" t="str">
        <f>IFERROR(__xludf.DUMMYFUNCTION("""COMPUTED_VALUE"""),"NOT_FOUND")</f>
        <v>NOT_FOUND</v>
      </c>
      <c r="C68" s="31" t="str">
        <f>IFERROR(__xludf.DUMMYFUNCTION("""COMPUTED_VALUE"""),"User not found")</f>
        <v>User not found</v>
      </c>
      <c r="D68" s="31" t="str">
        <f>IFERROR(__xludf.DUMMYFUNCTION("""COMPUTED_VALUE"""),"Revoked")</f>
        <v>Revoked</v>
      </c>
      <c r="E68" s="31" t="str">
        <f>IFERROR(__xludf.DUMMYFUNCTION("""COMPUTED_VALUE"""),"govind.mittal@zupee.in")</f>
        <v>govind.mittal@zupee.in</v>
      </c>
      <c r="F68" s="31" t="str">
        <f>IFERROR(__xludf.DUMMYFUNCTION("""COMPUTED_VALUE"""),"Done")</f>
        <v>Done</v>
      </c>
      <c r="G68" s="31" t="str">
        <f>IFERROR(__xludf.DUMMYFUNCTION("""COMPUTED_VALUE"""),"No-Need")</f>
        <v>No-Need</v>
      </c>
      <c r="H68" s="31" t="str">
        <f>IFERROR(__xludf.DUMMYFUNCTION("""COMPUTED_VALUE"""),"govind.mittal@zupee.in")</f>
        <v>govind.mittal@zupee.in</v>
      </c>
      <c r="I68" s="31" t="str">
        <f>IFERROR(__xludf.DUMMYFUNCTION("""COMPUTED_VALUE"""),"Public policy")</f>
        <v>Public policy</v>
      </c>
      <c r="J68" s="103">
        <f>IFERROR(__xludf.DUMMYFUNCTION("""COMPUTED_VALUE"""),45973.0)</f>
        <v>45973</v>
      </c>
      <c r="K68" s="104" t="str">
        <f>IFERROR(__xludf.DUMMYFUNCTION("""COMPUTED_VALUE"""),"Conf By Govind Mittal")</f>
        <v>Conf By Govind Mittal</v>
      </c>
    </row>
    <row r="69">
      <c r="A69" s="31" t="str">
        <f>IFERROR(__xludf.DUMMYFUNCTION("""COMPUTED_VALUE"""),"preeti.singh@zupee.in")</f>
        <v>preeti.singh@zupee.in</v>
      </c>
      <c r="B69" s="31" t="str">
        <f>IFERROR(__xludf.DUMMYFUNCTION("""COMPUTED_VALUE"""),"NOT_FOUND")</f>
        <v>NOT_FOUND</v>
      </c>
      <c r="C69" s="31" t="str">
        <f>IFERROR(__xludf.DUMMYFUNCTION("""COMPUTED_VALUE"""),"User not found")</f>
        <v>User not found</v>
      </c>
      <c r="D69" s="31" t="str">
        <f>IFERROR(__xludf.DUMMYFUNCTION("""COMPUTED_VALUE"""),"Revoked")</f>
        <v>Revoked</v>
      </c>
      <c r="E69" s="31" t="str">
        <f>IFERROR(__xludf.DUMMYFUNCTION("""COMPUTED_VALUE"""),"govind.mittal@zupee.in")</f>
        <v>govind.mittal@zupee.in</v>
      </c>
      <c r="F69" s="31" t="str">
        <f>IFERROR(__xludf.DUMMYFUNCTION("""COMPUTED_VALUE"""),"Done")</f>
        <v>Done</v>
      </c>
      <c r="G69" s="31" t="str">
        <f>IFERROR(__xludf.DUMMYFUNCTION("""COMPUTED_VALUE"""),"No-Need")</f>
        <v>No-Need</v>
      </c>
      <c r="H69" s="31" t="str">
        <f>IFERROR(__xludf.DUMMYFUNCTION("""COMPUTED_VALUE"""),"govind.mittal@zupee.in")</f>
        <v>govind.mittal@zupee.in</v>
      </c>
      <c r="I69" s="31" t="str">
        <f>IFERROR(__xludf.DUMMYFUNCTION("""COMPUTED_VALUE"""),"Public policy")</f>
        <v>Public policy</v>
      </c>
      <c r="J69" s="103">
        <f>IFERROR(__xludf.DUMMYFUNCTION("""COMPUTED_VALUE"""),45973.0)</f>
        <v>45973</v>
      </c>
      <c r="K69" s="104" t="str">
        <f>IFERROR(__xludf.DUMMYFUNCTION("""COMPUTED_VALUE"""),"Conf By Govind Mittal")</f>
        <v>Conf By Govind Mittal</v>
      </c>
    </row>
    <row r="70">
      <c r="A70" s="31" t="str">
        <f>IFERROR(__xludf.DUMMYFUNCTION("""COMPUTED_VALUE"""),"sunny.anand@zupee.in")</f>
        <v>sunny.anand@zupee.in</v>
      </c>
      <c r="B70" s="31" t="str">
        <f>IFERROR(__xludf.DUMMYFUNCTION("""COMPUTED_VALUE"""),"NOT_FOUND")</f>
        <v>NOT_FOUND</v>
      </c>
      <c r="C70" s="31" t="str">
        <f>IFERROR(__xludf.DUMMYFUNCTION("""COMPUTED_VALUE"""),"User not found")</f>
        <v>User not found</v>
      </c>
      <c r="D70" s="31" t="str">
        <f>IFERROR(__xludf.DUMMYFUNCTION("""COMPUTED_VALUE"""),"Revoked")</f>
        <v>Revoked</v>
      </c>
      <c r="E70" s="31" t="str">
        <f>IFERROR(__xludf.DUMMYFUNCTION("""COMPUTED_VALUE"""),"govind.mittal@zupee.in")</f>
        <v>govind.mittal@zupee.in</v>
      </c>
      <c r="F70" s="31" t="str">
        <f>IFERROR(__xludf.DUMMYFUNCTION("""COMPUTED_VALUE"""),"Done")</f>
        <v>Done</v>
      </c>
      <c r="G70" s="31" t="str">
        <f>IFERROR(__xludf.DUMMYFUNCTION("""COMPUTED_VALUE"""),"No-Need")</f>
        <v>No-Need</v>
      </c>
      <c r="H70" s="31" t="str">
        <f>IFERROR(__xludf.DUMMYFUNCTION("""COMPUTED_VALUE"""),"govind.mittal@zupee.in")</f>
        <v>govind.mittal@zupee.in</v>
      </c>
      <c r="I70" s="31" t="str">
        <f>IFERROR(__xludf.DUMMYFUNCTION("""COMPUTED_VALUE"""),"Public Policy")</f>
        <v>Public Policy</v>
      </c>
      <c r="J70" s="103">
        <f>IFERROR(__xludf.DUMMYFUNCTION("""COMPUTED_VALUE"""),45973.0)</f>
        <v>45973</v>
      </c>
      <c r="K70" s="104" t="str">
        <f>IFERROR(__xludf.DUMMYFUNCTION("""COMPUTED_VALUE"""),"Conf By Govind Mittal")</f>
        <v>Conf By Govind Mittal</v>
      </c>
    </row>
    <row r="71">
      <c r="A71" s="31" t="str">
        <f>IFERROR(__xludf.DUMMYFUNCTION("""COMPUTED_VALUE"""),"prachi.kabthiyal@zupee.in")</f>
        <v>prachi.kabthiyal@zupee.in</v>
      </c>
      <c r="B71" s="31" t="str">
        <f>IFERROR(__xludf.DUMMYFUNCTION("""COMPUTED_VALUE"""),"NOT_FOUND")</f>
        <v>NOT_FOUND</v>
      </c>
      <c r="C71" s="31" t="str">
        <f>IFERROR(__xludf.DUMMYFUNCTION("""COMPUTED_VALUE"""),"User not found")</f>
        <v>User not found</v>
      </c>
      <c r="D71" s="31" t="str">
        <f>IFERROR(__xludf.DUMMYFUNCTION("""COMPUTED_VALUE"""),"Revoked")</f>
        <v>Revoked</v>
      </c>
      <c r="E71" s="31" t="str">
        <f>IFERROR(__xludf.DUMMYFUNCTION("""COMPUTED_VALUE"""),"amrit.anand@zupee.in")</f>
        <v>amrit.anand@zupee.in</v>
      </c>
      <c r="F71" s="31" t="str">
        <f>IFERROR(__xludf.DUMMYFUNCTION("""COMPUTED_VALUE"""),"Done")</f>
        <v>Done</v>
      </c>
      <c r="G71" s="31" t="str">
        <f>IFERROR(__xludf.DUMMYFUNCTION("""COMPUTED_VALUE"""),"No-Need")</f>
        <v>No-Need</v>
      </c>
      <c r="H71" s="31" t="str">
        <f>IFERROR(__xludf.DUMMYFUNCTION("""COMPUTED_VALUE"""),"govind.mittal@zupee.in")</f>
        <v>govind.mittal@zupee.in</v>
      </c>
      <c r="I71" s="31" t="str">
        <f>IFERROR(__xludf.DUMMYFUNCTION("""COMPUTED_VALUE"""),"P R &amp; C C")</f>
        <v>P R &amp; C C</v>
      </c>
      <c r="J71" s="103">
        <f>IFERROR(__xludf.DUMMYFUNCTION("""COMPUTED_VALUE"""),45973.0)</f>
        <v>45973</v>
      </c>
      <c r="K71" s="104" t="str">
        <f>IFERROR(__xludf.DUMMYFUNCTION("""COMPUTED_VALUE"""),"Conf By Govind Mittal")</f>
        <v>Conf By Govind Mittal</v>
      </c>
    </row>
    <row r="72">
      <c r="A72" s="31" t="str">
        <f>IFERROR(__xludf.DUMMYFUNCTION("""COMPUTED_VALUE"""),"yash.oberoi@zupee.in")</f>
        <v>yash.oberoi@zupee.in</v>
      </c>
      <c r="B72" s="31" t="str">
        <f>IFERROR(__xludf.DUMMYFUNCTION("""COMPUTED_VALUE"""),"NOT_FOUND")</f>
        <v>NOT_FOUND</v>
      </c>
      <c r="C72" s="31" t="str">
        <f>IFERROR(__xludf.DUMMYFUNCTION("""COMPUTED_VALUE"""),"User not found")</f>
        <v>User not found</v>
      </c>
      <c r="D72" s="31" t="str">
        <f>IFERROR(__xludf.DUMMYFUNCTION("""COMPUTED_VALUE"""),"Revoked")</f>
        <v>Revoked</v>
      </c>
      <c r="E72" s="31" t="str">
        <f>IFERROR(__xludf.DUMMYFUNCTION("""COMPUTED_VALUE"""),"amrit.anand@zupee.in")</f>
        <v>amrit.anand@zupee.in</v>
      </c>
      <c r="F72" s="31" t="str">
        <f>IFERROR(__xludf.DUMMYFUNCTION("""COMPUTED_VALUE"""),"Done")</f>
        <v>Done</v>
      </c>
      <c r="G72" s="31" t="str">
        <f>IFERROR(__xludf.DUMMYFUNCTION("""COMPUTED_VALUE"""),"No-Need")</f>
        <v>No-Need</v>
      </c>
      <c r="H72" s="31" t="str">
        <f>IFERROR(__xludf.DUMMYFUNCTION("""COMPUTED_VALUE"""),"govind.mittal@zupee.in")</f>
        <v>govind.mittal@zupee.in</v>
      </c>
      <c r="I72" s="31" t="str">
        <f>IFERROR(__xludf.DUMMYFUNCTION("""COMPUTED_VALUE"""),"P R &amp; C C")</f>
        <v>P R &amp; C C</v>
      </c>
      <c r="J72" s="103">
        <f>IFERROR(__xludf.DUMMYFUNCTION("""COMPUTED_VALUE"""),45973.0)</f>
        <v>45973</v>
      </c>
      <c r="K72" s="104" t="str">
        <f>IFERROR(__xludf.DUMMYFUNCTION("""COMPUTED_VALUE"""),"Conf By Govind Mittal")</f>
        <v>Conf By Govind Mittal</v>
      </c>
    </row>
    <row r="73">
      <c r="A73" s="31" t="str">
        <f>IFERROR(__xludf.DUMMYFUNCTION("""COMPUTED_VALUE"""),"abhishek.swami@zupee.in")</f>
        <v>abhishek.swami@zupee.in</v>
      </c>
      <c r="B73" s="31" t="str">
        <f>IFERROR(__xludf.DUMMYFUNCTION("""COMPUTED_VALUE"""),"NOT_FOUND")</f>
        <v>NOT_FOUND</v>
      </c>
      <c r="C73" s="31" t="str">
        <f>IFERROR(__xludf.DUMMYFUNCTION("""COMPUTED_VALUE"""),"User not found")</f>
        <v>User not found</v>
      </c>
      <c r="D73" s="31" t="str">
        <f>IFERROR(__xludf.DUMMYFUNCTION("""COMPUTED_VALUE"""),"Revoked")</f>
        <v>Revoked</v>
      </c>
      <c r="E73" s="31" t="str">
        <f>IFERROR(__xludf.DUMMYFUNCTION("""COMPUTED_VALUE"""),"mohit.garg@zupee.in")</f>
        <v>mohit.garg@zupee.in</v>
      </c>
      <c r="F73" s="31" t="str">
        <f>IFERROR(__xludf.DUMMYFUNCTION("""COMPUTED_VALUE"""),"Done")</f>
        <v>Done</v>
      </c>
      <c r="G73" s="31" t="str">
        <f>IFERROR(__xludf.DUMMYFUNCTION("""COMPUTED_VALUE"""),"No-Need")</f>
        <v>No-Need</v>
      </c>
      <c r="H73" s="31" t="str">
        <f>IFERROR(__xludf.DUMMYFUNCTION("""COMPUTED_VALUE"""),"No-Need")</f>
        <v>No-Need</v>
      </c>
      <c r="I73" s="31" t="str">
        <f>IFERROR(__xludf.DUMMYFUNCTION("""COMPUTED_VALUE"""),"Digital Marketing")</f>
        <v>Digital Marketing</v>
      </c>
      <c r="J73" s="103">
        <f>IFERROR(__xludf.DUMMYFUNCTION("""COMPUTED_VALUE"""),45979.0)</f>
        <v>45979</v>
      </c>
      <c r="K73" s="31" t="str">
        <f>IFERROR(__xludf.DUMMYFUNCTION("""COMPUTED_VALUE"""),"Conf By Mohit Garg")</f>
        <v>Conf By Mohit Garg</v>
      </c>
    </row>
    <row r="74">
      <c r="A74" s="31" t="str">
        <f>IFERROR(__xludf.DUMMYFUNCTION("""COMPUTED_VALUE"""),"aditya.jaswal@zupee.in")</f>
        <v>aditya.jaswal@zupee.in</v>
      </c>
      <c r="B74" s="31" t="str">
        <f>IFERROR(__xludf.DUMMYFUNCTION("""COMPUTED_VALUE"""),"NOT_FOUND")</f>
        <v>NOT_FOUND</v>
      </c>
      <c r="C74" s="31" t="str">
        <f>IFERROR(__xludf.DUMMYFUNCTION("""COMPUTED_VALUE"""),"User not found")</f>
        <v>User not found</v>
      </c>
      <c r="D74" s="31" t="str">
        <f>IFERROR(__xludf.DUMMYFUNCTION("""COMPUTED_VALUE"""),"Revoked")</f>
        <v>Revoked</v>
      </c>
      <c r="E74" s="31" t="str">
        <f>IFERROR(__xludf.DUMMYFUNCTION("""COMPUTED_VALUE"""),"mohit.garg@zupee.in")</f>
        <v>mohit.garg@zupee.in</v>
      </c>
      <c r="F74" s="31" t="str">
        <f>IFERROR(__xludf.DUMMYFUNCTION("""COMPUTED_VALUE"""),"Done")</f>
        <v>Done</v>
      </c>
      <c r="G74" s="31" t="str">
        <f>IFERROR(__xludf.DUMMYFUNCTION("""COMPUTED_VALUE"""),"No-Need")</f>
        <v>No-Need</v>
      </c>
      <c r="H74" s="31" t="str">
        <f>IFERROR(__xludf.DUMMYFUNCTION("""COMPUTED_VALUE"""),"No-Need")</f>
        <v>No-Need</v>
      </c>
      <c r="I74" s="31" t="str">
        <f>IFERROR(__xludf.DUMMYFUNCTION("""COMPUTED_VALUE"""),"Digital Marketing")</f>
        <v>Digital Marketing</v>
      </c>
      <c r="J74" s="103">
        <f>IFERROR(__xludf.DUMMYFUNCTION("""COMPUTED_VALUE"""),45979.0)</f>
        <v>45979</v>
      </c>
      <c r="K74" s="31" t="str">
        <f>IFERROR(__xludf.DUMMYFUNCTION("""COMPUTED_VALUE"""),"Conf By Mohit Garg")</f>
        <v>Conf By Mohit Garg</v>
      </c>
    </row>
    <row r="75">
      <c r="A75" s="31" t="str">
        <f>IFERROR(__xludf.DUMMYFUNCTION("""COMPUTED_VALUE"""),"akanksha.anand@zupee.in")</f>
        <v>akanksha.anand@zupee.in</v>
      </c>
      <c r="B75" s="31" t="str">
        <f>IFERROR(__xludf.DUMMYFUNCTION("""COMPUTED_VALUE"""),"NOT_FOUND")</f>
        <v>NOT_FOUND</v>
      </c>
      <c r="C75" s="31" t="str">
        <f>IFERROR(__xludf.DUMMYFUNCTION("""COMPUTED_VALUE"""),"User not found")</f>
        <v>User not found</v>
      </c>
      <c r="D75" s="31" t="str">
        <f>IFERROR(__xludf.DUMMYFUNCTION("""COMPUTED_VALUE"""),"Revoked")</f>
        <v>Revoked</v>
      </c>
      <c r="E75" s="31" t="str">
        <f>IFERROR(__xludf.DUMMYFUNCTION("""COMPUTED_VALUE"""),"mohit.garg@zupee.in")</f>
        <v>mohit.garg@zupee.in</v>
      </c>
      <c r="F75" s="31" t="str">
        <f>IFERROR(__xludf.DUMMYFUNCTION("""COMPUTED_VALUE"""),"Done")</f>
        <v>Done</v>
      </c>
      <c r="G75" s="31" t="str">
        <f>IFERROR(__xludf.DUMMYFUNCTION("""COMPUTED_VALUE"""),"No-Need")</f>
        <v>No-Need</v>
      </c>
      <c r="H75" s="31" t="str">
        <f>IFERROR(__xludf.DUMMYFUNCTION("""COMPUTED_VALUE"""),"No-Need")</f>
        <v>No-Need</v>
      </c>
      <c r="I75" s="31" t="str">
        <f>IFERROR(__xludf.DUMMYFUNCTION("""COMPUTED_VALUE"""),"Digital Marketing")</f>
        <v>Digital Marketing</v>
      </c>
      <c r="J75" s="103">
        <f>IFERROR(__xludf.DUMMYFUNCTION("""COMPUTED_VALUE"""),45979.0)</f>
        <v>45979</v>
      </c>
      <c r="K75" s="31" t="str">
        <f>IFERROR(__xludf.DUMMYFUNCTION("""COMPUTED_VALUE"""),"Conf By Mohit Garg")</f>
        <v>Conf By Mohit Garg</v>
      </c>
    </row>
    <row r="76">
      <c r="A76" s="31" t="str">
        <f>IFERROR(__xludf.DUMMYFUNCTION("""COMPUTED_VALUE"""),"akrant.sharma@zupee.in")</f>
        <v>akrant.sharma@zupee.in</v>
      </c>
      <c r="B76" s="31" t="str">
        <f>IFERROR(__xludf.DUMMYFUNCTION("""COMPUTED_VALUE"""),"NOT_FOUND")</f>
        <v>NOT_FOUND</v>
      </c>
      <c r="C76" s="31" t="str">
        <f>IFERROR(__xludf.DUMMYFUNCTION("""COMPUTED_VALUE"""),"User not found")</f>
        <v>User not found</v>
      </c>
      <c r="D76" s="31" t="str">
        <f>IFERROR(__xludf.DUMMYFUNCTION("""COMPUTED_VALUE"""),"Revoked")</f>
        <v>Revoked</v>
      </c>
      <c r="E76" s="31" t="str">
        <f>IFERROR(__xludf.DUMMYFUNCTION("""COMPUTED_VALUE"""),"mohit.garg@zupee.in")</f>
        <v>mohit.garg@zupee.in</v>
      </c>
      <c r="F76" s="31" t="str">
        <f>IFERROR(__xludf.DUMMYFUNCTION("""COMPUTED_VALUE"""),"Done")</f>
        <v>Done</v>
      </c>
      <c r="G76" s="31" t="str">
        <f>IFERROR(__xludf.DUMMYFUNCTION("""COMPUTED_VALUE"""),"No-Need")</f>
        <v>No-Need</v>
      </c>
      <c r="H76" s="31" t="str">
        <f>IFERROR(__xludf.DUMMYFUNCTION("""COMPUTED_VALUE"""),"No-Need")</f>
        <v>No-Need</v>
      </c>
      <c r="I76" s="31" t="str">
        <f>IFERROR(__xludf.DUMMYFUNCTION("""COMPUTED_VALUE"""),"Digital Marketing")</f>
        <v>Digital Marketing</v>
      </c>
      <c r="J76" s="103">
        <f>IFERROR(__xludf.DUMMYFUNCTION("""COMPUTED_VALUE"""),45979.0)</f>
        <v>45979</v>
      </c>
      <c r="K76" s="31" t="str">
        <f>IFERROR(__xludf.DUMMYFUNCTION("""COMPUTED_VALUE"""),"Conf By Mohit Garg")</f>
        <v>Conf By Mohit Garg</v>
      </c>
    </row>
    <row r="77">
      <c r="A77" s="31" t="str">
        <f>IFERROR(__xludf.DUMMYFUNCTION("""COMPUTED_VALUE"""),"arsalan.abbasi@zupee.in")</f>
        <v>arsalan.abbasi@zupee.in</v>
      </c>
      <c r="B77" s="31" t="str">
        <f>IFERROR(__xludf.DUMMYFUNCTION("""COMPUTED_VALUE"""),"NOT_FOUND")</f>
        <v>NOT_FOUND</v>
      </c>
      <c r="C77" s="31" t="str">
        <f>IFERROR(__xludf.DUMMYFUNCTION("""COMPUTED_VALUE"""),"User not found")</f>
        <v>User not found</v>
      </c>
      <c r="D77" s="31" t="str">
        <f>IFERROR(__xludf.DUMMYFUNCTION("""COMPUTED_VALUE"""),"Revoked")</f>
        <v>Revoked</v>
      </c>
      <c r="E77" s="31" t="str">
        <f>IFERROR(__xludf.DUMMYFUNCTION("""COMPUTED_VALUE"""),"mohit.garg@zupee.in")</f>
        <v>mohit.garg@zupee.in</v>
      </c>
      <c r="F77" s="31" t="str">
        <f>IFERROR(__xludf.DUMMYFUNCTION("""COMPUTED_VALUE"""),"Done")</f>
        <v>Done</v>
      </c>
      <c r="G77" s="31" t="str">
        <f>IFERROR(__xludf.DUMMYFUNCTION("""COMPUTED_VALUE"""),"No-Need")</f>
        <v>No-Need</v>
      </c>
      <c r="H77" s="31" t="str">
        <f>IFERROR(__xludf.DUMMYFUNCTION("""COMPUTED_VALUE"""),"No-Need")</f>
        <v>No-Need</v>
      </c>
      <c r="I77" s="31" t="str">
        <f>IFERROR(__xludf.DUMMYFUNCTION("""COMPUTED_VALUE"""),"Digital Marketing")</f>
        <v>Digital Marketing</v>
      </c>
      <c r="J77" s="103">
        <f>IFERROR(__xludf.DUMMYFUNCTION("""COMPUTED_VALUE"""),45979.0)</f>
        <v>45979</v>
      </c>
      <c r="K77" s="31" t="str">
        <f>IFERROR(__xludf.DUMMYFUNCTION("""COMPUTED_VALUE"""),"Conf By Mohit Garg")</f>
        <v>Conf By Mohit Garg</v>
      </c>
    </row>
    <row r="78">
      <c r="A78" s="31" t="str">
        <f>IFERROR(__xludf.DUMMYFUNCTION("""COMPUTED_VALUE"""),"himanshu.solanki@zupee.in")</f>
        <v>himanshu.solanki@zupee.in</v>
      </c>
      <c r="B78" s="31" t="str">
        <f>IFERROR(__xludf.DUMMYFUNCTION("""COMPUTED_VALUE"""),"NOT_FOUND")</f>
        <v>NOT_FOUND</v>
      </c>
      <c r="C78" s="31" t="str">
        <f>IFERROR(__xludf.DUMMYFUNCTION("""COMPUTED_VALUE"""),"User not found")</f>
        <v>User not found</v>
      </c>
      <c r="D78" s="31" t="str">
        <f>IFERROR(__xludf.DUMMYFUNCTION("""COMPUTED_VALUE"""),"Revoked")</f>
        <v>Revoked</v>
      </c>
      <c r="E78" s="31" t="str">
        <f>IFERROR(__xludf.DUMMYFUNCTION("""COMPUTED_VALUE"""),"mohit.garg@zupee.in")</f>
        <v>mohit.garg@zupee.in</v>
      </c>
      <c r="F78" s="31" t="str">
        <f>IFERROR(__xludf.DUMMYFUNCTION("""COMPUTED_VALUE"""),"Done")</f>
        <v>Done</v>
      </c>
      <c r="G78" s="31" t="str">
        <f>IFERROR(__xludf.DUMMYFUNCTION("""COMPUTED_VALUE"""),"No-Need")</f>
        <v>No-Need</v>
      </c>
      <c r="H78" s="31" t="str">
        <f>IFERROR(__xludf.DUMMYFUNCTION("""COMPUTED_VALUE"""),"No-Need")</f>
        <v>No-Need</v>
      </c>
      <c r="I78" s="31" t="str">
        <f>IFERROR(__xludf.DUMMYFUNCTION("""COMPUTED_VALUE"""),"Digital Marketing")</f>
        <v>Digital Marketing</v>
      </c>
      <c r="J78" s="103">
        <f>IFERROR(__xludf.DUMMYFUNCTION("""COMPUTED_VALUE"""),45979.0)</f>
        <v>45979</v>
      </c>
      <c r="K78" s="31" t="str">
        <f>IFERROR(__xludf.DUMMYFUNCTION("""COMPUTED_VALUE"""),"Conf By Mohit Garg")</f>
        <v>Conf By Mohit Garg</v>
      </c>
    </row>
    <row r="79">
      <c r="A79" s="31" t="str">
        <f>IFERROR(__xludf.DUMMYFUNCTION("""COMPUTED_VALUE"""),"jitendra.rawat@zupee.in")</f>
        <v>jitendra.rawat@zupee.in</v>
      </c>
      <c r="B79" s="31" t="str">
        <f>IFERROR(__xludf.DUMMYFUNCTION("""COMPUTED_VALUE"""),"NOT_FOUND")</f>
        <v>NOT_FOUND</v>
      </c>
      <c r="C79" s="31" t="str">
        <f>IFERROR(__xludf.DUMMYFUNCTION("""COMPUTED_VALUE"""),"User not found")</f>
        <v>User not found</v>
      </c>
      <c r="D79" s="31" t="str">
        <f>IFERROR(__xludf.DUMMYFUNCTION("""COMPUTED_VALUE"""),"Revoked")</f>
        <v>Revoked</v>
      </c>
      <c r="E79" s="31" t="str">
        <f>IFERROR(__xludf.DUMMYFUNCTION("""COMPUTED_VALUE"""),"mohit.garg@zupee.in")</f>
        <v>mohit.garg@zupee.in</v>
      </c>
      <c r="F79" s="31" t="str">
        <f>IFERROR(__xludf.DUMMYFUNCTION("""COMPUTED_VALUE"""),"Done")</f>
        <v>Done</v>
      </c>
      <c r="G79" s="31" t="str">
        <f>IFERROR(__xludf.DUMMYFUNCTION("""COMPUTED_VALUE"""),"No-Need")</f>
        <v>No-Need</v>
      </c>
      <c r="H79" s="31" t="str">
        <f>IFERROR(__xludf.DUMMYFUNCTION("""COMPUTED_VALUE"""),"No-Need")</f>
        <v>No-Need</v>
      </c>
      <c r="I79" s="31" t="str">
        <f>IFERROR(__xludf.DUMMYFUNCTION("""COMPUTED_VALUE"""),"Digital Marketing")</f>
        <v>Digital Marketing</v>
      </c>
      <c r="J79" s="103">
        <f>IFERROR(__xludf.DUMMYFUNCTION("""COMPUTED_VALUE"""),45979.0)</f>
        <v>45979</v>
      </c>
      <c r="K79" s="31" t="str">
        <f>IFERROR(__xludf.DUMMYFUNCTION("""COMPUTED_VALUE"""),"Conf By Mohit Garg")</f>
        <v>Conf By Mohit Garg</v>
      </c>
    </row>
    <row r="80">
      <c r="A80" s="31" t="str">
        <f>IFERROR(__xludf.DUMMYFUNCTION("""COMPUTED_VALUE"""),"kamya.aggarwal@zupee.in")</f>
        <v>kamya.aggarwal@zupee.in</v>
      </c>
      <c r="B80" s="31" t="str">
        <f>IFERROR(__xludf.DUMMYFUNCTION("""COMPUTED_VALUE"""),"NOT_FOUND")</f>
        <v>NOT_FOUND</v>
      </c>
      <c r="C80" s="31" t="str">
        <f>IFERROR(__xludf.DUMMYFUNCTION("""COMPUTED_VALUE"""),"User not found")</f>
        <v>User not found</v>
      </c>
      <c r="D80" s="31" t="str">
        <f>IFERROR(__xludf.DUMMYFUNCTION("""COMPUTED_VALUE"""),"Revoked")</f>
        <v>Revoked</v>
      </c>
      <c r="E80" s="31" t="str">
        <f>IFERROR(__xludf.DUMMYFUNCTION("""COMPUTED_VALUE"""),"mohit.garg@zupee.in")</f>
        <v>mohit.garg@zupee.in</v>
      </c>
      <c r="F80" s="31" t="str">
        <f>IFERROR(__xludf.DUMMYFUNCTION("""COMPUTED_VALUE"""),"Done")</f>
        <v>Done</v>
      </c>
      <c r="G80" s="31" t="str">
        <f>IFERROR(__xludf.DUMMYFUNCTION("""COMPUTED_VALUE"""),"No-Need")</f>
        <v>No-Need</v>
      </c>
      <c r="H80" s="31" t="str">
        <f>IFERROR(__xludf.DUMMYFUNCTION("""COMPUTED_VALUE"""),"No-Need")</f>
        <v>No-Need</v>
      </c>
      <c r="I80" s="31" t="str">
        <f>IFERROR(__xludf.DUMMYFUNCTION("""COMPUTED_VALUE"""),"Digital Marketing")</f>
        <v>Digital Marketing</v>
      </c>
      <c r="J80" s="103">
        <f>IFERROR(__xludf.DUMMYFUNCTION("""COMPUTED_VALUE"""),45979.0)</f>
        <v>45979</v>
      </c>
      <c r="K80" s="31" t="str">
        <f>IFERROR(__xludf.DUMMYFUNCTION("""COMPUTED_VALUE"""),"Conf By Mohit Garg")</f>
        <v>Conf By Mohit Garg</v>
      </c>
    </row>
    <row r="81">
      <c r="A81" s="31" t="str">
        <f>IFERROR(__xludf.DUMMYFUNCTION("""COMPUTED_VALUE"""),"mounica.duvva@zupee.in")</f>
        <v>mounica.duvva@zupee.in</v>
      </c>
      <c r="B81" s="31" t="str">
        <f>IFERROR(__xludf.DUMMYFUNCTION("""COMPUTED_VALUE"""),"NOT_FOUND")</f>
        <v>NOT_FOUND</v>
      </c>
      <c r="C81" s="31" t="str">
        <f>IFERROR(__xludf.DUMMYFUNCTION("""COMPUTED_VALUE"""),"User not found")</f>
        <v>User not found</v>
      </c>
      <c r="D81" s="31" t="str">
        <f>IFERROR(__xludf.DUMMYFUNCTION("""COMPUTED_VALUE"""),"Revoked")</f>
        <v>Revoked</v>
      </c>
      <c r="E81" s="31" t="str">
        <f>IFERROR(__xludf.DUMMYFUNCTION("""COMPUTED_VALUE"""),"mohit.garg@zupee.in")</f>
        <v>mohit.garg@zupee.in</v>
      </c>
      <c r="F81" s="31" t="str">
        <f>IFERROR(__xludf.DUMMYFUNCTION("""COMPUTED_VALUE"""),"Done")</f>
        <v>Done</v>
      </c>
      <c r="G81" s="31" t="str">
        <f>IFERROR(__xludf.DUMMYFUNCTION("""COMPUTED_VALUE"""),"No-Need")</f>
        <v>No-Need</v>
      </c>
      <c r="H81" s="31" t="str">
        <f>IFERROR(__xludf.DUMMYFUNCTION("""COMPUTED_VALUE"""),"No-Need")</f>
        <v>No-Need</v>
      </c>
      <c r="I81" s="31" t="str">
        <f>IFERROR(__xludf.DUMMYFUNCTION("""COMPUTED_VALUE"""),"Digital Marketing")</f>
        <v>Digital Marketing</v>
      </c>
      <c r="J81" s="103">
        <f>IFERROR(__xludf.DUMMYFUNCTION("""COMPUTED_VALUE"""),45979.0)</f>
        <v>45979</v>
      </c>
      <c r="K81" s="31" t="str">
        <f>IFERROR(__xludf.DUMMYFUNCTION("""COMPUTED_VALUE"""),"Conf By Mohit Garg")</f>
        <v>Conf By Mohit Garg</v>
      </c>
    </row>
    <row r="82">
      <c r="A82" s="31" t="str">
        <f>IFERROR(__xludf.DUMMYFUNCTION("""COMPUTED_VALUE"""),"ritwika.maitra@zupee.in")</f>
        <v>ritwika.maitra@zupee.in</v>
      </c>
      <c r="B82" s="31" t="str">
        <f>IFERROR(__xludf.DUMMYFUNCTION("""COMPUTED_VALUE"""),"NOT_FOUND")</f>
        <v>NOT_FOUND</v>
      </c>
      <c r="C82" s="31" t="str">
        <f>IFERROR(__xludf.DUMMYFUNCTION("""COMPUTED_VALUE"""),"User not found")</f>
        <v>User not found</v>
      </c>
      <c r="D82" s="31" t="str">
        <f>IFERROR(__xludf.DUMMYFUNCTION("""COMPUTED_VALUE"""),"Revoked")</f>
        <v>Revoked</v>
      </c>
      <c r="E82" s="31" t="str">
        <f>IFERROR(__xludf.DUMMYFUNCTION("""COMPUTED_VALUE"""),"mohit.garg@zupee.in")</f>
        <v>mohit.garg@zupee.in</v>
      </c>
      <c r="F82" s="31" t="str">
        <f>IFERROR(__xludf.DUMMYFUNCTION("""COMPUTED_VALUE"""),"Done")</f>
        <v>Done</v>
      </c>
      <c r="G82" s="31" t="str">
        <f>IFERROR(__xludf.DUMMYFUNCTION("""COMPUTED_VALUE"""),"No-Need")</f>
        <v>No-Need</v>
      </c>
      <c r="H82" s="31" t="str">
        <f>IFERROR(__xludf.DUMMYFUNCTION("""COMPUTED_VALUE"""),"No-Need")</f>
        <v>No-Need</v>
      </c>
      <c r="I82" s="31" t="str">
        <f>IFERROR(__xludf.DUMMYFUNCTION("""COMPUTED_VALUE"""),"Digital Marketing")</f>
        <v>Digital Marketing</v>
      </c>
      <c r="J82" s="103">
        <f>IFERROR(__xludf.DUMMYFUNCTION("""COMPUTED_VALUE"""),45979.0)</f>
        <v>45979</v>
      </c>
      <c r="K82" s="31" t="str">
        <f>IFERROR(__xludf.DUMMYFUNCTION("""COMPUTED_VALUE"""),"Conf By Mohit Garg")</f>
        <v>Conf By Mohit Garg</v>
      </c>
    </row>
    <row r="83">
      <c r="A83" s="31" t="str">
        <f>IFERROR(__xludf.DUMMYFUNCTION("""COMPUTED_VALUE"""),"ritwika.rai@zupee.in")</f>
        <v>ritwika.rai@zupee.in</v>
      </c>
      <c r="B83" s="31" t="str">
        <f>IFERROR(__xludf.DUMMYFUNCTION("""COMPUTED_VALUE"""),"NOT_FOUND")</f>
        <v>NOT_FOUND</v>
      </c>
      <c r="C83" s="31" t="str">
        <f>IFERROR(__xludf.DUMMYFUNCTION("""COMPUTED_VALUE"""),"User not found")</f>
        <v>User not found</v>
      </c>
      <c r="D83" s="31" t="str">
        <f>IFERROR(__xludf.DUMMYFUNCTION("""COMPUTED_VALUE"""),"Revoked")</f>
        <v>Revoked</v>
      </c>
      <c r="E83" s="31" t="str">
        <f>IFERROR(__xludf.DUMMYFUNCTION("""COMPUTED_VALUE"""),"mohit.garg@zupee.in")</f>
        <v>mohit.garg@zupee.in</v>
      </c>
      <c r="F83" s="31" t="str">
        <f>IFERROR(__xludf.DUMMYFUNCTION("""COMPUTED_VALUE"""),"Done")</f>
        <v>Done</v>
      </c>
      <c r="G83" s="31" t="str">
        <f>IFERROR(__xludf.DUMMYFUNCTION("""COMPUTED_VALUE"""),"No-Need")</f>
        <v>No-Need</v>
      </c>
      <c r="H83" s="31" t="str">
        <f>IFERROR(__xludf.DUMMYFUNCTION("""COMPUTED_VALUE"""),"No-Need")</f>
        <v>No-Need</v>
      </c>
      <c r="I83" s="31" t="str">
        <f>IFERROR(__xludf.DUMMYFUNCTION("""COMPUTED_VALUE"""),"Digital Marketing")</f>
        <v>Digital Marketing</v>
      </c>
      <c r="J83" s="103">
        <f>IFERROR(__xludf.DUMMYFUNCTION("""COMPUTED_VALUE"""),45979.0)</f>
        <v>45979</v>
      </c>
      <c r="K83" s="31" t="str">
        <f>IFERROR(__xludf.DUMMYFUNCTION("""COMPUTED_VALUE"""),"Conf By Mohit Garg")</f>
        <v>Conf By Mohit Garg</v>
      </c>
    </row>
    <row r="84">
      <c r="A84" s="31" t="str">
        <f>IFERROR(__xludf.DUMMYFUNCTION("""COMPUTED_VALUE"""),"samir.halder@zupee.in")</f>
        <v>samir.halder@zupee.in</v>
      </c>
      <c r="B84" s="31" t="str">
        <f>IFERROR(__xludf.DUMMYFUNCTION("""COMPUTED_VALUE"""),"NOT_FOUND")</f>
        <v>NOT_FOUND</v>
      </c>
      <c r="C84" s="31" t="str">
        <f>IFERROR(__xludf.DUMMYFUNCTION("""COMPUTED_VALUE"""),"User not found")</f>
        <v>User not found</v>
      </c>
      <c r="D84" s="31" t="str">
        <f>IFERROR(__xludf.DUMMYFUNCTION("""COMPUTED_VALUE"""),"Revoked")</f>
        <v>Revoked</v>
      </c>
      <c r="E84" s="31" t="str">
        <f>IFERROR(__xludf.DUMMYFUNCTION("""COMPUTED_VALUE"""),"mohit.garg@zupee.in")</f>
        <v>mohit.garg@zupee.in</v>
      </c>
      <c r="F84" s="31" t="str">
        <f>IFERROR(__xludf.DUMMYFUNCTION("""COMPUTED_VALUE"""),"Done")</f>
        <v>Done</v>
      </c>
      <c r="G84" s="31" t="str">
        <f>IFERROR(__xludf.DUMMYFUNCTION("""COMPUTED_VALUE"""),"No-Need")</f>
        <v>No-Need</v>
      </c>
      <c r="H84" s="31" t="str">
        <f>IFERROR(__xludf.DUMMYFUNCTION("""COMPUTED_VALUE"""),"No-Need")</f>
        <v>No-Need</v>
      </c>
      <c r="I84" s="31" t="str">
        <f>IFERROR(__xludf.DUMMYFUNCTION("""COMPUTED_VALUE"""),"Digital Marketing")</f>
        <v>Digital Marketing</v>
      </c>
      <c r="J84" s="103">
        <f>IFERROR(__xludf.DUMMYFUNCTION("""COMPUTED_VALUE"""),45979.0)</f>
        <v>45979</v>
      </c>
      <c r="K84" s="31" t="str">
        <f>IFERROR(__xludf.DUMMYFUNCTION("""COMPUTED_VALUE"""),"Conf By Mohit Garg")</f>
        <v>Conf By Mohit Garg</v>
      </c>
    </row>
    <row r="85">
      <c r="A85" s="31" t="str">
        <f>IFERROR(__xludf.DUMMYFUNCTION("""COMPUTED_VALUE"""),"shivam.kumar@zupee.in
")</f>
        <v>shivam.kumar@zupee.in
</v>
      </c>
      <c r="B85" s="31" t="str">
        <f>IFERROR(__xludf.DUMMYFUNCTION("""COMPUTED_VALUE"""),"NOT_FOUND")</f>
        <v>NOT_FOUND</v>
      </c>
      <c r="C85" s="31" t="str">
        <f>IFERROR(__xludf.DUMMYFUNCTION("""COMPUTED_VALUE"""),"User not found")</f>
        <v>User not found</v>
      </c>
      <c r="D85" s="31" t="str">
        <f>IFERROR(__xludf.DUMMYFUNCTION("""COMPUTED_VALUE"""),"Revoked ")</f>
        <v>Revoked </v>
      </c>
      <c r="E85" s="31" t="str">
        <f>IFERROR(__xludf.DUMMYFUNCTION("""COMPUTED_VALUE"""),"No-Need")</f>
        <v>No-Need</v>
      </c>
      <c r="F85" s="31" t="str">
        <f>IFERROR(__xludf.DUMMYFUNCTION("""COMPUTED_VALUE"""),"No-Need")</f>
        <v>No-Need</v>
      </c>
      <c r="G85" s="31" t="str">
        <f>IFERROR(__xludf.DUMMYFUNCTION("""COMPUTED_VALUE"""),"No-Need")</f>
        <v>No-Need</v>
      </c>
      <c r="H85" s="31"/>
      <c r="I85" s="31" t="str">
        <f>IFERROR(__xludf.DUMMYFUNCTION("""COMPUTED_VALUE"""),"IT Infra")</f>
        <v>IT Infra</v>
      </c>
      <c r="J85" s="31"/>
      <c r="K85" s="31"/>
    </row>
    <row r="86">
      <c r="A86" s="31" t="str">
        <f>IFERROR(__xludf.DUMMYFUNCTION("""COMPUTED_VALUE"""),"utkarsh.sharma@zupee.in")</f>
        <v>utkarsh.sharma@zupee.in</v>
      </c>
      <c r="B86" s="31" t="str">
        <f>IFERROR(__xludf.DUMMYFUNCTION("""COMPUTED_VALUE"""),"NOT_FOUND")</f>
        <v>NOT_FOUND</v>
      </c>
      <c r="C86" s="31" t="str">
        <f>IFERROR(__xludf.DUMMYFUNCTION("""COMPUTED_VALUE"""),"User not found")</f>
        <v>User not found</v>
      </c>
      <c r="D86" s="31" t="str">
        <f>IFERROR(__xludf.DUMMYFUNCTION("""COMPUTED_VALUE"""),"Revoked")</f>
        <v>Revoked</v>
      </c>
      <c r="E86" s="31" t="str">
        <f>IFERROR(__xludf.DUMMYFUNCTION("""COMPUTED_VALUE"""),"mohit.garg@zupee.in")</f>
        <v>mohit.garg@zupee.in</v>
      </c>
      <c r="F86" s="31" t="str">
        <f>IFERROR(__xludf.DUMMYFUNCTION("""COMPUTED_VALUE"""),"Done")</f>
        <v>Done</v>
      </c>
      <c r="G86" s="31" t="str">
        <f>IFERROR(__xludf.DUMMYFUNCTION("""COMPUTED_VALUE"""),"No-Need")</f>
        <v>No-Need</v>
      </c>
      <c r="H86" s="31" t="str">
        <f>IFERROR(__xludf.DUMMYFUNCTION("""COMPUTED_VALUE"""),"No-Need")</f>
        <v>No-Need</v>
      </c>
      <c r="I86" s="31" t="str">
        <f>IFERROR(__xludf.DUMMYFUNCTION("""COMPUTED_VALUE"""),"Digital Marketing")</f>
        <v>Digital Marketing</v>
      </c>
      <c r="J86" s="103">
        <f>IFERROR(__xludf.DUMMYFUNCTION("""COMPUTED_VALUE"""),45979.0)</f>
        <v>45979</v>
      </c>
      <c r="K86" s="31" t="str">
        <f>IFERROR(__xludf.DUMMYFUNCTION("""COMPUTED_VALUE"""),"Conf By Mohit Garg")</f>
        <v>Conf By Mohit Garg</v>
      </c>
    </row>
    <row r="87">
      <c r="A87" s="31" t="str">
        <f>IFERROR(__xludf.DUMMYFUNCTION("""COMPUTED_VALUE"""),"abhishek.k@zupee.in")</f>
        <v>abhishek.k@zupee.in</v>
      </c>
      <c r="B87" s="31" t="str">
        <f>IFERROR(__xludf.DUMMYFUNCTION("""COMPUTED_VALUE"""),"NOT_FOUND")</f>
        <v>NOT_FOUND</v>
      </c>
      <c r="C87" s="31" t="str">
        <f>IFERROR(__xludf.DUMMYFUNCTION("""COMPUTED_VALUE"""),"User not found")</f>
        <v>User not found</v>
      </c>
      <c r="D87" s="31" t="str">
        <f>IFERROR(__xludf.DUMMYFUNCTION("""COMPUTED_VALUE"""),"Revoked ")</f>
        <v>Revoked </v>
      </c>
      <c r="E87" s="31" t="str">
        <f>IFERROR(__xludf.DUMMYFUNCTION("""COMPUTED_VALUE"""),"sumit.yadav@zupee.in")</f>
        <v>sumit.yadav@zupee.in</v>
      </c>
      <c r="F87" s="31" t="str">
        <f>IFERROR(__xludf.DUMMYFUNCTION("""COMPUTED_VALUE"""),"Done")</f>
        <v>Done</v>
      </c>
      <c r="G87" s="31" t="str">
        <f>IFERROR(__xludf.DUMMYFUNCTION("""COMPUTED_VALUE"""),"No-Need")</f>
        <v>No-Need</v>
      </c>
      <c r="H87" s="31" t="str">
        <f>IFERROR(__xludf.DUMMYFUNCTION("""COMPUTED_VALUE"""),"N/A")</f>
        <v>N/A</v>
      </c>
      <c r="I87" s="31" t="str">
        <f>IFERROR(__xludf.DUMMYFUNCTION("""COMPUTED_VALUE"""),"CRM")</f>
        <v>CRM</v>
      </c>
      <c r="J87" s="103">
        <f>IFERROR(__xludf.DUMMYFUNCTION("""COMPUTED_VALUE"""),45917.0)</f>
        <v>45917</v>
      </c>
      <c r="K87" s="104" t="str">
        <f>IFERROR(__xludf.DUMMYFUNCTION("""COMPUTED_VALUE"""),"Conf By Mrityunjay Kumar")</f>
        <v>Conf By Mrityunjay Kumar</v>
      </c>
    </row>
    <row r="88">
      <c r="A88" s="31" t="str">
        <f>IFERROR(__xludf.DUMMYFUNCTION("""COMPUTED_VALUE"""),"aditya.pawar@zupee.in")</f>
        <v>aditya.pawar@zupee.in</v>
      </c>
      <c r="B88" s="31" t="str">
        <f>IFERROR(__xludf.DUMMYFUNCTION("""COMPUTED_VALUE"""),"NOT_FOUND")</f>
        <v>NOT_FOUND</v>
      </c>
      <c r="C88" s="31" t="str">
        <f>IFERROR(__xludf.DUMMYFUNCTION("""COMPUTED_VALUE"""),"User not found")</f>
        <v>User not found</v>
      </c>
      <c r="D88" s="31" t="str">
        <f>IFERROR(__xludf.DUMMYFUNCTION("""COMPUTED_VALUE"""),"Revoked ")</f>
        <v>Revoked </v>
      </c>
      <c r="E88" s="31" t="str">
        <f>IFERROR(__xludf.DUMMYFUNCTION("""COMPUTED_VALUE"""),"sumit.yadav@zupee.in")</f>
        <v>sumit.yadav@zupee.in</v>
      </c>
      <c r="F88" s="31" t="str">
        <f>IFERROR(__xludf.DUMMYFUNCTION("""COMPUTED_VALUE"""),"Done")</f>
        <v>Done</v>
      </c>
      <c r="G88" s="31" t="str">
        <f>IFERROR(__xludf.DUMMYFUNCTION("""COMPUTED_VALUE"""),"No-Need")</f>
        <v>No-Need</v>
      </c>
      <c r="H88" s="31" t="str">
        <f>IFERROR(__xludf.DUMMYFUNCTION("""COMPUTED_VALUE"""),"N/A")</f>
        <v>N/A</v>
      </c>
      <c r="I88" s="31" t="str">
        <f>IFERROR(__xludf.DUMMYFUNCTION("""COMPUTED_VALUE"""),"CRM")</f>
        <v>CRM</v>
      </c>
      <c r="J88" s="103">
        <f>IFERROR(__xludf.DUMMYFUNCTION("""COMPUTED_VALUE"""),45917.0)</f>
        <v>45917</v>
      </c>
      <c r="K88" s="104" t="str">
        <f>IFERROR(__xludf.DUMMYFUNCTION("""COMPUTED_VALUE"""),"Conf By Mrityunjay Kumar")</f>
        <v>Conf By Mrityunjay Kumar</v>
      </c>
    </row>
    <row r="89">
      <c r="A89" s="31" t="str">
        <f>IFERROR(__xludf.DUMMYFUNCTION("""COMPUTED_VALUE"""),"arpit.rathore@zupee.in")</f>
        <v>arpit.rathore@zupee.in</v>
      </c>
      <c r="B89" s="31" t="str">
        <f>IFERROR(__xludf.DUMMYFUNCTION("""COMPUTED_VALUE"""),"NOT_FOUND")</f>
        <v>NOT_FOUND</v>
      </c>
      <c r="C89" s="31" t="str">
        <f>IFERROR(__xludf.DUMMYFUNCTION("""COMPUTED_VALUE"""),"User not found")</f>
        <v>User not found</v>
      </c>
      <c r="D89" s="31" t="str">
        <f>IFERROR(__xludf.DUMMYFUNCTION("""COMPUTED_VALUE"""),"Revoked ")</f>
        <v>Revoked </v>
      </c>
      <c r="E89" s="31" t="str">
        <f>IFERROR(__xludf.DUMMYFUNCTION("""COMPUTED_VALUE"""),"sumit.yadav@zupee.in")</f>
        <v>sumit.yadav@zupee.in</v>
      </c>
      <c r="F89" s="31" t="str">
        <f>IFERROR(__xludf.DUMMYFUNCTION("""COMPUTED_VALUE"""),"Done")</f>
        <v>Done</v>
      </c>
      <c r="G89" s="31" t="str">
        <f>IFERROR(__xludf.DUMMYFUNCTION("""COMPUTED_VALUE"""),"No-Need")</f>
        <v>No-Need</v>
      </c>
      <c r="H89" s="31" t="str">
        <f>IFERROR(__xludf.DUMMYFUNCTION("""COMPUTED_VALUE"""),"N/A")</f>
        <v>N/A</v>
      </c>
      <c r="I89" s="31" t="str">
        <f>IFERROR(__xludf.DUMMYFUNCTION("""COMPUTED_VALUE"""),"CRM")</f>
        <v>CRM</v>
      </c>
      <c r="J89" s="103">
        <f>IFERROR(__xludf.DUMMYFUNCTION("""COMPUTED_VALUE"""),45917.0)</f>
        <v>45917</v>
      </c>
      <c r="K89" s="104" t="str">
        <f>IFERROR(__xludf.DUMMYFUNCTION("""COMPUTED_VALUE"""),"Conf By Mrityunjay Kumar")</f>
        <v>Conf By Mrityunjay Kumar</v>
      </c>
    </row>
    <row r="90">
      <c r="A90" s="31" t="str">
        <f>IFERROR(__xludf.DUMMYFUNCTION("""COMPUTED_VALUE"""),"banta.singh@zupee.in")</f>
        <v>banta.singh@zupee.in</v>
      </c>
      <c r="B90" s="31" t="str">
        <f>IFERROR(__xludf.DUMMYFUNCTION("""COMPUTED_VALUE"""),"NOT_FOUND")</f>
        <v>NOT_FOUND</v>
      </c>
      <c r="C90" s="31" t="str">
        <f>IFERROR(__xludf.DUMMYFUNCTION("""COMPUTED_VALUE"""),"User not found")</f>
        <v>User not found</v>
      </c>
      <c r="D90" s="31" t="str">
        <f>IFERROR(__xludf.DUMMYFUNCTION("""COMPUTED_VALUE"""),"Revoked ")</f>
        <v>Revoked </v>
      </c>
      <c r="E90" s="31" t="str">
        <f>IFERROR(__xludf.DUMMYFUNCTION("""COMPUTED_VALUE"""),"sumit.yadav@zupee.in")</f>
        <v>sumit.yadav@zupee.in</v>
      </c>
      <c r="F90" s="31" t="str">
        <f>IFERROR(__xludf.DUMMYFUNCTION("""COMPUTED_VALUE"""),"Done")</f>
        <v>Done</v>
      </c>
      <c r="G90" s="31" t="str">
        <f>IFERROR(__xludf.DUMMYFUNCTION("""COMPUTED_VALUE"""),"No-Need")</f>
        <v>No-Need</v>
      </c>
      <c r="H90" s="31" t="str">
        <f>IFERROR(__xludf.DUMMYFUNCTION("""COMPUTED_VALUE"""),"N/A")</f>
        <v>N/A</v>
      </c>
      <c r="I90" s="31" t="str">
        <f>IFERROR(__xludf.DUMMYFUNCTION("""COMPUTED_VALUE"""),"CRM")</f>
        <v>CRM</v>
      </c>
      <c r="J90" s="103">
        <f>IFERROR(__xludf.DUMMYFUNCTION("""COMPUTED_VALUE"""),45917.0)</f>
        <v>45917</v>
      </c>
      <c r="K90" s="104" t="str">
        <f>IFERROR(__xludf.DUMMYFUNCTION("""COMPUTED_VALUE"""),"Conf By Mrityunjay Kumar")</f>
        <v>Conf By Mrityunjay Kumar</v>
      </c>
    </row>
    <row r="91">
      <c r="A91" s="31" t="str">
        <f>IFERROR(__xludf.DUMMYFUNCTION("""COMPUTED_VALUE"""),"dev.gupta@zupee.in")</f>
        <v>dev.gupta@zupee.in</v>
      </c>
      <c r="B91" s="31" t="str">
        <f>IFERROR(__xludf.DUMMYFUNCTION("""COMPUTED_VALUE"""),"NOT_FOUND")</f>
        <v>NOT_FOUND</v>
      </c>
      <c r="C91" s="31" t="str">
        <f>IFERROR(__xludf.DUMMYFUNCTION("""COMPUTED_VALUE"""),"User not found")</f>
        <v>User not found</v>
      </c>
      <c r="D91" s="31" t="str">
        <f>IFERROR(__xludf.DUMMYFUNCTION("""COMPUTED_VALUE"""),"Revoked ")</f>
        <v>Revoked </v>
      </c>
      <c r="E91" s="31" t="str">
        <f>IFERROR(__xludf.DUMMYFUNCTION("""COMPUTED_VALUE"""),"sumit.yadav@zupee.in")</f>
        <v>sumit.yadav@zupee.in</v>
      </c>
      <c r="F91" s="31" t="str">
        <f>IFERROR(__xludf.DUMMYFUNCTION("""COMPUTED_VALUE"""),"Done")</f>
        <v>Done</v>
      </c>
      <c r="G91" s="31" t="str">
        <f>IFERROR(__xludf.DUMMYFUNCTION("""COMPUTED_VALUE"""),"No-Need")</f>
        <v>No-Need</v>
      </c>
      <c r="H91" s="31" t="str">
        <f>IFERROR(__xludf.DUMMYFUNCTION("""COMPUTED_VALUE"""),"N/A")</f>
        <v>N/A</v>
      </c>
      <c r="I91" s="31" t="str">
        <f>IFERROR(__xludf.DUMMYFUNCTION("""COMPUTED_VALUE"""),"CRM")</f>
        <v>CRM</v>
      </c>
      <c r="J91" s="103">
        <f>IFERROR(__xludf.DUMMYFUNCTION("""COMPUTED_VALUE"""),45917.0)</f>
        <v>45917</v>
      </c>
      <c r="K91" s="104" t="str">
        <f>IFERROR(__xludf.DUMMYFUNCTION("""COMPUTED_VALUE"""),"Conf By Mrityunjay Kumar")</f>
        <v>Conf By Mrityunjay Kumar</v>
      </c>
    </row>
    <row r="92">
      <c r="A92" s="31" t="str">
        <f>IFERROR(__xludf.DUMMYFUNCTION("""COMPUTED_VALUE"""),"harsh.thaplyal@zupee.in")</f>
        <v>harsh.thaplyal@zupee.in</v>
      </c>
      <c r="B92" s="31" t="str">
        <f>IFERROR(__xludf.DUMMYFUNCTION("""COMPUTED_VALUE"""),"NOT_FOUND")</f>
        <v>NOT_FOUND</v>
      </c>
      <c r="C92" s="31" t="str">
        <f>IFERROR(__xludf.DUMMYFUNCTION("""COMPUTED_VALUE"""),"User not found")</f>
        <v>User not found</v>
      </c>
      <c r="D92" s="31" t="str">
        <f>IFERROR(__xludf.DUMMYFUNCTION("""COMPUTED_VALUE"""),"Revoked ")</f>
        <v>Revoked </v>
      </c>
      <c r="E92" s="31" t="str">
        <f>IFERROR(__xludf.DUMMYFUNCTION("""COMPUTED_VALUE"""),"sumit.yadav@zupee.in")</f>
        <v>sumit.yadav@zupee.in</v>
      </c>
      <c r="F92" s="31" t="str">
        <f>IFERROR(__xludf.DUMMYFUNCTION("""COMPUTED_VALUE"""),"Done")</f>
        <v>Done</v>
      </c>
      <c r="G92" s="31" t="str">
        <f>IFERROR(__xludf.DUMMYFUNCTION("""COMPUTED_VALUE"""),"No-Need")</f>
        <v>No-Need</v>
      </c>
      <c r="H92" s="31" t="str">
        <f>IFERROR(__xludf.DUMMYFUNCTION("""COMPUTED_VALUE"""),"N/A")</f>
        <v>N/A</v>
      </c>
      <c r="I92" s="31" t="str">
        <f>IFERROR(__xludf.DUMMYFUNCTION("""COMPUTED_VALUE"""),"CRM")</f>
        <v>CRM</v>
      </c>
      <c r="J92" s="103">
        <f>IFERROR(__xludf.DUMMYFUNCTION("""COMPUTED_VALUE"""),45917.0)</f>
        <v>45917</v>
      </c>
      <c r="K92" s="104" t="str">
        <f>IFERROR(__xludf.DUMMYFUNCTION("""COMPUTED_VALUE"""),"Conf By Mrityunjay Kumar")</f>
        <v>Conf By Mrityunjay Kumar</v>
      </c>
    </row>
    <row r="93">
      <c r="A93" s="31" t="str">
        <f>IFERROR(__xludf.DUMMYFUNCTION("""COMPUTED_VALUE"""),"iqra.islam@zupee.in")</f>
        <v>iqra.islam@zupee.in</v>
      </c>
      <c r="B93" s="31" t="str">
        <f>IFERROR(__xludf.DUMMYFUNCTION("""COMPUTED_VALUE"""),"NOT_FOUND")</f>
        <v>NOT_FOUND</v>
      </c>
      <c r="C93" s="31" t="str">
        <f>IFERROR(__xludf.DUMMYFUNCTION("""COMPUTED_VALUE"""),"User not found")</f>
        <v>User not found</v>
      </c>
      <c r="D93" s="31" t="str">
        <f>IFERROR(__xludf.DUMMYFUNCTION("""COMPUTED_VALUE"""),"Revoked ")</f>
        <v>Revoked </v>
      </c>
      <c r="E93" s="31" t="str">
        <f>IFERROR(__xludf.DUMMYFUNCTION("""COMPUTED_VALUE"""),"sumit.yadav@zupee.in")</f>
        <v>sumit.yadav@zupee.in</v>
      </c>
      <c r="F93" s="31" t="str">
        <f>IFERROR(__xludf.DUMMYFUNCTION("""COMPUTED_VALUE"""),"Done")</f>
        <v>Done</v>
      </c>
      <c r="G93" s="31" t="str">
        <f>IFERROR(__xludf.DUMMYFUNCTION("""COMPUTED_VALUE"""),"No-Need")</f>
        <v>No-Need</v>
      </c>
      <c r="H93" s="31" t="str">
        <f>IFERROR(__xludf.DUMMYFUNCTION("""COMPUTED_VALUE"""),"N/A")</f>
        <v>N/A</v>
      </c>
      <c r="I93" s="31" t="str">
        <f>IFERROR(__xludf.DUMMYFUNCTION("""COMPUTED_VALUE"""),"CRM")</f>
        <v>CRM</v>
      </c>
      <c r="J93" s="103">
        <f>IFERROR(__xludf.DUMMYFUNCTION("""COMPUTED_VALUE"""),45917.0)</f>
        <v>45917</v>
      </c>
      <c r="K93" s="104" t="str">
        <f>IFERROR(__xludf.DUMMYFUNCTION("""COMPUTED_VALUE"""),"Conf By Mrityunjay Kumar")</f>
        <v>Conf By Mrityunjay Kumar</v>
      </c>
    </row>
    <row r="94">
      <c r="A94" s="31" t="str">
        <f>IFERROR(__xludf.DUMMYFUNCTION("""COMPUTED_VALUE"""),"janvi.rajpoot@zupee.in")</f>
        <v>janvi.rajpoot@zupee.in</v>
      </c>
      <c r="B94" s="31" t="str">
        <f>IFERROR(__xludf.DUMMYFUNCTION("""COMPUTED_VALUE"""),"NOT_FOUND")</f>
        <v>NOT_FOUND</v>
      </c>
      <c r="C94" s="31" t="str">
        <f>IFERROR(__xludf.DUMMYFUNCTION("""COMPUTED_VALUE"""),"User not found")</f>
        <v>User not found</v>
      </c>
      <c r="D94" s="31" t="str">
        <f>IFERROR(__xludf.DUMMYFUNCTION("""COMPUTED_VALUE"""),"Revoked ")</f>
        <v>Revoked </v>
      </c>
      <c r="E94" s="31" t="str">
        <f>IFERROR(__xludf.DUMMYFUNCTION("""COMPUTED_VALUE"""),"sumit.yadav@zupee.in")</f>
        <v>sumit.yadav@zupee.in</v>
      </c>
      <c r="F94" s="31" t="str">
        <f>IFERROR(__xludf.DUMMYFUNCTION("""COMPUTED_VALUE"""),"Done")</f>
        <v>Done</v>
      </c>
      <c r="G94" s="31" t="str">
        <f>IFERROR(__xludf.DUMMYFUNCTION("""COMPUTED_VALUE"""),"No-Need")</f>
        <v>No-Need</v>
      </c>
      <c r="H94" s="31" t="str">
        <f>IFERROR(__xludf.DUMMYFUNCTION("""COMPUTED_VALUE"""),"N/A")</f>
        <v>N/A</v>
      </c>
      <c r="I94" s="31" t="str">
        <f>IFERROR(__xludf.DUMMYFUNCTION("""COMPUTED_VALUE"""),"CRM")</f>
        <v>CRM</v>
      </c>
      <c r="J94" s="103">
        <f>IFERROR(__xludf.DUMMYFUNCTION("""COMPUTED_VALUE"""),45917.0)</f>
        <v>45917</v>
      </c>
      <c r="K94" s="104" t="str">
        <f>IFERROR(__xludf.DUMMYFUNCTION("""COMPUTED_VALUE"""),"Conf By Mrityunjay Kumar")</f>
        <v>Conf By Mrityunjay Kumar</v>
      </c>
    </row>
    <row r="95">
      <c r="A95" s="31" t="str">
        <f>IFERROR(__xludf.DUMMYFUNCTION("""COMPUTED_VALUE"""),"nikhil.kumar@zupee.in")</f>
        <v>nikhil.kumar@zupee.in</v>
      </c>
      <c r="B95" s="31" t="str">
        <f>IFERROR(__xludf.DUMMYFUNCTION("""COMPUTED_VALUE"""),"NOT_FOUND")</f>
        <v>NOT_FOUND</v>
      </c>
      <c r="C95" s="31" t="str">
        <f>IFERROR(__xludf.DUMMYFUNCTION("""COMPUTED_VALUE"""),"User not found")</f>
        <v>User not found</v>
      </c>
      <c r="D95" s="31" t="str">
        <f>IFERROR(__xludf.DUMMYFUNCTION("""COMPUTED_VALUE"""),"Revoked ")</f>
        <v>Revoked </v>
      </c>
      <c r="E95" s="31" t="str">
        <f>IFERROR(__xludf.DUMMYFUNCTION("""COMPUTED_VALUE"""),"sumit.yadav@zupee.in")</f>
        <v>sumit.yadav@zupee.in</v>
      </c>
      <c r="F95" s="31" t="str">
        <f>IFERROR(__xludf.DUMMYFUNCTION("""COMPUTED_VALUE"""),"Done")</f>
        <v>Done</v>
      </c>
      <c r="G95" s="31" t="str">
        <f>IFERROR(__xludf.DUMMYFUNCTION("""COMPUTED_VALUE"""),"No-Need")</f>
        <v>No-Need</v>
      </c>
      <c r="H95" s="31" t="str">
        <f>IFERROR(__xludf.DUMMYFUNCTION("""COMPUTED_VALUE"""),"N/A")</f>
        <v>N/A</v>
      </c>
      <c r="I95" s="31" t="str">
        <f>IFERROR(__xludf.DUMMYFUNCTION("""COMPUTED_VALUE"""),"CRM")</f>
        <v>CRM</v>
      </c>
      <c r="J95" s="103">
        <f>IFERROR(__xludf.DUMMYFUNCTION("""COMPUTED_VALUE"""),45917.0)</f>
        <v>45917</v>
      </c>
      <c r="K95" s="104" t="str">
        <f>IFERROR(__xludf.DUMMYFUNCTION("""COMPUTED_VALUE"""),"Conf By Mrityunjay Kumar")</f>
        <v>Conf By Mrityunjay Kumar</v>
      </c>
    </row>
    <row r="96">
      <c r="A96" s="31" t="str">
        <f>IFERROR(__xludf.DUMMYFUNCTION("""COMPUTED_VALUE"""),"rahil.choudhary@zupee.in")</f>
        <v>rahil.choudhary@zupee.in</v>
      </c>
      <c r="B96" s="31" t="str">
        <f>IFERROR(__xludf.DUMMYFUNCTION("""COMPUTED_VALUE"""),"NOT_FOUND")</f>
        <v>NOT_FOUND</v>
      </c>
      <c r="C96" s="31" t="str">
        <f>IFERROR(__xludf.DUMMYFUNCTION("""COMPUTED_VALUE"""),"User not found")</f>
        <v>User not found</v>
      </c>
      <c r="D96" s="31" t="str">
        <f>IFERROR(__xludf.DUMMYFUNCTION("""COMPUTED_VALUE"""),"Revoked ")</f>
        <v>Revoked </v>
      </c>
      <c r="E96" s="31" t="str">
        <f>IFERROR(__xludf.DUMMYFUNCTION("""COMPUTED_VALUE"""),"sumit.yadav@zupee.in")</f>
        <v>sumit.yadav@zupee.in</v>
      </c>
      <c r="F96" s="31" t="str">
        <f>IFERROR(__xludf.DUMMYFUNCTION("""COMPUTED_VALUE"""),"Done")</f>
        <v>Done</v>
      </c>
      <c r="G96" s="31" t="str">
        <f>IFERROR(__xludf.DUMMYFUNCTION("""COMPUTED_VALUE"""),"No-Need")</f>
        <v>No-Need</v>
      </c>
      <c r="H96" s="31" t="str">
        <f>IFERROR(__xludf.DUMMYFUNCTION("""COMPUTED_VALUE"""),"N/A")</f>
        <v>N/A</v>
      </c>
      <c r="I96" s="31" t="str">
        <f>IFERROR(__xludf.DUMMYFUNCTION("""COMPUTED_VALUE"""),"CRM")</f>
        <v>CRM</v>
      </c>
      <c r="J96" s="103">
        <f>IFERROR(__xludf.DUMMYFUNCTION("""COMPUTED_VALUE"""),45917.0)</f>
        <v>45917</v>
      </c>
      <c r="K96" s="104" t="str">
        <f>IFERROR(__xludf.DUMMYFUNCTION("""COMPUTED_VALUE"""),"Conf By Mrityunjay Kumar")</f>
        <v>Conf By Mrityunjay Kumar</v>
      </c>
    </row>
    <row r="97">
      <c r="A97" s="31" t="str">
        <f>IFERROR(__xludf.DUMMYFUNCTION("""COMPUTED_VALUE"""),"rahul.saini@zupee.in")</f>
        <v>rahul.saini@zupee.in</v>
      </c>
      <c r="B97" s="31" t="str">
        <f>IFERROR(__xludf.DUMMYFUNCTION("""COMPUTED_VALUE"""),"NOT_FOUND")</f>
        <v>NOT_FOUND</v>
      </c>
      <c r="C97" s="31" t="str">
        <f>IFERROR(__xludf.DUMMYFUNCTION("""COMPUTED_VALUE"""),"User not found")</f>
        <v>User not found</v>
      </c>
      <c r="D97" s="31" t="str">
        <f>IFERROR(__xludf.DUMMYFUNCTION("""COMPUTED_VALUE"""),"Revoked ")</f>
        <v>Revoked </v>
      </c>
      <c r="E97" s="31" t="str">
        <f>IFERROR(__xludf.DUMMYFUNCTION("""COMPUTED_VALUE"""),"sumit.yadav@zupee.in")</f>
        <v>sumit.yadav@zupee.in</v>
      </c>
      <c r="F97" s="31" t="str">
        <f>IFERROR(__xludf.DUMMYFUNCTION("""COMPUTED_VALUE"""),"Done")</f>
        <v>Done</v>
      </c>
      <c r="G97" s="31" t="str">
        <f>IFERROR(__xludf.DUMMYFUNCTION("""COMPUTED_VALUE"""),"No-Need")</f>
        <v>No-Need</v>
      </c>
      <c r="H97" s="31" t="str">
        <f>IFERROR(__xludf.DUMMYFUNCTION("""COMPUTED_VALUE"""),"N/A")</f>
        <v>N/A</v>
      </c>
      <c r="I97" s="31" t="str">
        <f>IFERROR(__xludf.DUMMYFUNCTION("""COMPUTED_VALUE"""),"CRM")</f>
        <v>CRM</v>
      </c>
      <c r="J97" s="103">
        <f>IFERROR(__xludf.DUMMYFUNCTION("""COMPUTED_VALUE"""),45917.0)</f>
        <v>45917</v>
      </c>
      <c r="K97" s="104" t="str">
        <f>IFERROR(__xludf.DUMMYFUNCTION("""COMPUTED_VALUE"""),"Conf By Mrityunjay Kumar")</f>
        <v>Conf By Mrityunjay Kumar</v>
      </c>
    </row>
    <row r="98">
      <c r="A98" s="31" t="str">
        <f>IFERROR(__xludf.DUMMYFUNCTION("""COMPUTED_VALUE"""),"rahul.thakur@zupee.in")</f>
        <v>rahul.thakur@zupee.in</v>
      </c>
      <c r="B98" s="31" t="str">
        <f>IFERROR(__xludf.DUMMYFUNCTION("""COMPUTED_VALUE"""),"NOT_FOUND")</f>
        <v>NOT_FOUND</v>
      </c>
      <c r="C98" s="31" t="str">
        <f>IFERROR(__xludf.DUMMYFUNCTION("""COMPUTED_VALUE"""),"User not found")</f>
        <v>User not found</v>
      </c>
      <c r="D98" s="31" t="str">
        <f>IFERROR(__xludf.DUMMYFUNCTION("""COMPUTED_VALUE"""),"Revoked ")</f>
        <v>Revoked </v>
      </c>
      <c r="E98" s="31" t="str">
        <f>IFERROR(__xludf.DUMMYFUNCTION("""COMPUTED_VALUE"""),"sumit.yadav@zupee.in")</f>
        <v>sumit.yadav@zupee.in</v>
      </c>
      <c r="F98" s="31" t="str">
        <f>IFERROR(__xludf.DUMMYFUNCTION("""COMPUTED_VALUE"""),"Done")</f>
        <v>Done</v>
      </c>
      <c r="G98" s="31" t="str">
        <f>IFERROR(__xludf.DUMMYFUNCTION("""COMPUTED_VALUE"""),"No-Need")</f>
        <v>No-Need</v>
      </c>
      <c r="H98" s="31" t="str">
        <f>IFERROR(__xludf.DUMMYFUNCTION("""COMPUTED_VALUE"""),"N/A")</f>
        <v>N/A</v>
      </c>
      <c r="I98" s="31" t="str">
        <f>IFERROR(__xludf.DUMMYFUNCTION("""COMPUTED_VALUE"""),"CRM")</f>
        <v>CRM</v>
      </c>
      <c r="J98" s="103">
        <f>IFERROR(__xludf.DUMMYFUNCTION("""COMPUTED_VALUE"""),45917.0)</f>
        <v>45917</v>
      </c>
      <c r="K98" s="104" t="str">
        <f>IFERROR(__xludf.DUMMYFUNCTION("""COMPUTED_VALUE"""),"Conf By Mrityunjay Kumar")</f>
        <v>Conf By Mrityunjay Kumar</v>
      </c>
    </row>
    <row r="99">
      <c r="A99" s="31" t="str">
        <f>IFERROR(__xludf.DUMMYFUNCTION("""COMPUTED_VALUE"""),"ramendra.singh@zupee.in")</f>
        <v>ramendra.singh@zupee.in</v>
      </c>
      <c r="B99" s="31" t="str">
        <f>IFERROR(__xludf.DUMMYFUNCTION("""COMPUTED_VALUE"""),"NOT_FOUND")</f>
        <v>NOT_FOUND</v>
      </c>
      <c r="C99" s="31" t="str">
        <f>IFERROR(__xludf.DUMMYFUNCTION("""COMPUTED_VALUE"""),"User not found")</f>
        <v>User not found</v>
      </c>
      <c r="D99" s="31" t="str">
        <f>IFERROR(__xludf.DUMMYFUNCTION("""COMPUTED_VALUE"""),"Revoked ")</f>
        <v>Revoked </v>
      </c>
      <c r="E99" s="31" t="str">
        <f>IFERROR(__xludf.DUMMYFUNCTION("""COMPUTED_VALUE"""),"sumit.yadav@zupee.in")</f>
        <v>sumit.yadav@zupee.in</v>
      </c>
      <c r="F99" s="31" t="str">
        <f>IFERROR(__xludf.DUMMYFUNCTION("""COMPUTED_VALUE"""),"Done")</f>
        <v>Done</v>
      </c>
      <c r="G99" s="31" t="str">
        <f>IFERROR(__xludf.DUMMYFUNCTION("""COMPUTED_VALUE"""),"No-Need")</f>
        <v>No-Need</v>
      </c>
      <c r="H99" s="31" t="str">
        <f>IFERROR(__xludf.DUMMYFUNCTION("""COMPUTED_VALUE"""),"N/A")</f>
        <v>N/A</v>
      </c>
      <c r="I99" s="31" t="str">
        <f>IFERROR(__xludf.DUMMYFUNCTION("""COMPUTED_VALUE"""),"CRM")</f>
        <v>CRM</v>
      </c>
      <c r="J99" s="103">
        <f>IFERROR(__xludf.DUMMYFUNCTION("""COMPUTED_VALUE"""),45917.0)</f>
        <v>45917</v>
      </c>
      <c r="K99" s="104" t="str">
        <f>IFERROR(__xludf.DUMMYFUNCTION("""COMPUTED_VALUE"""),"Conf By Mrityunjay Kumar")</f>
        <v>Conf By Mrityunjay Kumar</v>
      </c>
    </row>
    <row r="100">
      <c r="A100" s="31" t="str">
        <f>IFERROR(__xludf.DUMMYFUNCTION("""COMPUTED_VALUE"""),"ravneet.kaur@zupee.in")</f>
        <v>ravneet.kaur@zupee.in</v>
      </c>
      <c r="B100" s="31" t="str">
        <f>IFERROR(__xludf.DUMMYFUNCTION("""COMPUTED_VALUE"""),"NOT_FOUND")</f>
        <v>NOT_FOUND</v>
      </c>
      <c r="C100" s="31" t="str">
        <f>IFERROR(__xludf.DUMMYFUNCTION("""COMPUTED_VALUE"""),"User not found")</f>
        <v>User not found</v>
      </c>
      <c r="D100" s="31" t="str">
        <f>IFERROR(__xludf.DUMMYFUNCTION("""COMPUTED_VALUE"""),"Revoked ")</f>
        <v>Revoked </v>
      </c>
      <c r="E100" s="31" t="str">
        <f>IFERROR(__xludf.DUMMYFUNCTION("""COMPUTED_VALUE"""),"sumit.yadav@zupee.in")</f>
        <v>sumit.yadav@zupee.in</v>
      </c>
      <c r="F100" s="31" t="str">
        <f>IFERROR(__xludf.DUMMYFUNCTION("""COMPUTED_VALUE"""),"Done")</f>
        <v>Done</v>
      </c>
      <c r="G100" s="31" t="str">
        <f>IFERROR(__xludf.DUMMYFUNCTION("""COMPUTED_VALUE"""),"No-Need")</f>
        <v>No-Need</v>
      </c>
      <c r="H100" s="31" t="str">
        <f>IFERROR(__xludf.DUMMYFUNCTION("""COMPUTED_VALUE"""),"N/A")</f>
        <v>N/A</v>
      </c>
      <c r="I100" s="31" t="str">
        <f>IFERROR(__xludf.DUMMYFUNCTION("""COMPUTED_VALUE"""),"CRM")</f>
        <v>CRM</v>
      </c>
      <c r="J100" s="103">
        <f>IFERROR(__xludf.DUMMYFUNCTION("""COMPUTED_VALUE"""),45917.0)</f>
        <v>45917</v>
      </c>
      <c r="K100" s="104" t="str">
        <f>IFERROR(__xludf.DUMMYFUNCTION("""COMPUTED_VALUE"""),"Conf By Mrityunjay Kumar")</f>
        <v>Conf By Mrityunjay Kumar</v>
      </c>
    </row>
    <row r="101">
      <c r="A101" s="31" t="str">
        <f>IFERROR(__xludf.DUMMYFUNCTION("""COMPUTED_VALUE"""),"rishabh.solanki@zupee.in")</f>
        <v>rishabh.solanki@zupee.in</v>
      </c>
      <c r="B101" s="31" t="str">
        <f>IFERROR(__xludf.DUMMYFUNCTION("""COMPUTED_VALUE"""),"NOT_FOUND")</f>
        <v>NOT_FOUND</v>
      </c>
      <c r="C101" s="31" t="str">
        <f>IFERROR(__xludf.DUMMYFUNCTION("""COMPUTED_VALUE"""),"User not found")</f>
        <v>User not found</v>
      </c>
      <c r="D101" s="31" t="str">
        <f>IFERROR(__xludf.DUMMYFUNCTION("""COMPUTED_VALUE"""),"Revoked ")</f>
        <v>Revoked </v>
      </c>
      <c r="E101" s="31" t="str">
        <f>IFERROR(__xludf.DUMMYFUNCTION("""COMPUTED_VALUE"""),"sumit.yadav@zupee.in")</f>
        <v>sumit.yadav@zupee.in</v>
      </c>
      <c r="F101" s="31" t="str">
        <f>IFERROR(__xludf.DUMMYFUNCTION("""COMPUTED_VALUE"""),"Done")</f>
        <v>Done</v>
      </c>
      <c r="G101" s="31" t="str">
        <f>IFERROR(__xludf.DUMMYFUNCTION("""COMPUTED_VALUE"""),"No-Need")</f>
        <v>No-Need</v>
      </c>
      <c r="H101" s="31" t="str">
        <f>IFERROR(__xludf.DUMMYFUNCTION("""COMPUTED_VALUE"""),"N/A")</f>
        <v>N/A</v>
      </c>
      <c r="I101" s="31" t="str">
        <f>IFERROR(__xludf.DUMMYFUNCTION("""COMPUTED_VALUE"""),"CRM")</f>
        <v>CRM</v>
      </c>
      <c r="J101" s="103">
        <f>IFERROR(__xludf.DUMMYFUNCTION("""COMPUTED_VALUE"""),45917.0)</f>
        <v>45917</v>
      </c>
      <c r="K101" s="104" t="str">
        <f>IFERROR(__xludf.DUMMYFUNCTION("""COMPUTED_VALUE"""),"Conf By Mrityunjay Kumar")</f>
        <v>Conf By Mrityunjay Kumar</v>
      </c>
    </row>
    <row r="102">
      <c r="A102" s="31" t="str">
        <f>IFERROR(__xludf.DUMMYFUNCTION("""COMPUTED_VALUE"""),"shreya.pandey@zupee.in")</f>
        <v>shreya.pandey@zupee.in</v>
      </c>
      <c r="B102" s="31" t="str">
        <f>IFERROR(__xludf.DUMMYFUNCTION("""COMPUTED_VALUE"""),"NOT_FOUND")</f>
        <v>NOT_FOUND</v>
      </c>
      <c r="C102" s="31" t="str">
        <f>IFERROR(__xludf.DUMMYFUNCTION("""COMPUTED_VALUE"""),"User not found")</f>
        <v>User not found</v>
      </c>
      <c r="D102" s="31" t="str">
        <f>IFERROR(__xludf.DUMMYFUNCTION("""COMPUTED_VALUE"""),"Revoked ")</f>
        <v>Revoked </v>
      </c>
      <c r="E102" s="31" t="str">
        <f>IFERROR(__xludf.DUMMYFUNCTION("""COMPUTED_VALUE"""),"sumit.yadav@zupee.in")</f>
        <v>sumit.yadav@zupee.in</v>
      </c>
      <c r="F102" s="31" t="str">
        <f>IFERROR(__xludf.DUMMYFUNCTION("""COMPUTED_VALUE"""),"Done")</f>
        <v>Done</v>
      </c>
      <c r="G102" s="31" t="str">
        <f>IFERROR(__xludf.DUMMYFUNCTION("""COMPUTED_VALUE"""),"No-Need")</f>
        <v>No-Need</v>
      </c>
      <c r="H102" s="31" t="str">
        <f>IFERROR(__xludf.DUMMYFUNCTION("""COMPUTED_VALUE"""),"N/A")</f>
        <v>N/A</v>
      </c>
      <c r="I102" s="31" t="str">
        <f>IFERROR(__xludf.DUMMYFUNCTION("""COMPUTED_VALUE"""),"CRM")</f>
        <v>CRM</v>
      </c>
      <c r="J102" s="103">
        <f>IFERROR(__xludf.DUMMYFUNCTION("""COMPUTED_VALUE"""),45917.0)</f>
        <v>45917</v>
      </c>
      <c r="K102" s="104" t="str">
        <f>IFERROR(__xludf.DUMMYFUNCTION("""COMPUTED_VALUE"""),"Conf By Mrityunjay Kumar")</f>
        <v>Conf By Mrityunjay Kumar</v>
      </c>
    </row>
    <row r="103">
      <c r="A103" s="31" t="str">
        <f>IFERROR(__xludf.DUMMYFUNCTION("""COMPUTED_VALUE"""),"simran.verma@zupee.in")</f>
        <v>simran.verma@zupee.in</v>
      </c>
      <c r="B103" s="31" t="str">
        <f>IFERROR(__xludf.DUMMYFUNCTION("""COMPUTED_VALUE"""),"NOT_FOUND")</f>
        <v>NOT_FOUND</v>
      </c>
      <c r="C103" s="31" t="str">
        <f>IFERROR(__xludf.DUMMYFUNCTION("""COMPUTED_VALUE"""),"User not found")</f>
        <v>User not found</v>
      </c>
      <c r="D103" s="31" t="str">
        <f>IFERROR(__xludf.DUMMYFUNCTION("""COMPUTED_VALUE"""),"Revoked ")</f>
        <v>Revoked </v>
      </c>
      <c r="E103" s="31" t="str">
        <f>IFERROR(__xludf.DUMMYFUNCTION("""COMPUTED_VALUE"""),"sumit.yadav@zupee.in")</f>
        <v>sumit.yadav@zupee.in</v>
      </c>
      <c r="F103" s="31" t="str">
        <f>IFERROR(__xludf.DUMMYFUNCTION("""COMPUTED_VALUE"""),"Done")</f>
        <v>Done</v>
      </c>
      <c r="G103" s="31" t="str">
        <f>IFERROR(__xludf.DUMMYFUNCTION("""COMPUTED_VALUE"""),"No-Need")</f>
        <v>No-Need</v>
      </c>
      <c r="H103" s="31" t="str">
        <f>IFERROR(__xludf.DUMMYFUNCTION("""COMPUTED_VALUE"""),"N/A")</f>
        <v>N/A</v>
      </c>
      <c r="I103" s="31" t="str">
        <f>IFERROR(__xludf.DUMMYFUNCTION("""COMPUTED_VALUE"""),"CRM")</f>
        <v>CRM</v>
      </c>
      <c r="J103" s="103">
        <f>IFERROR(__xludf.DUMMYFUNCTION("""COMPUTED_VALUE"""),45917.0)</f>
        <v>45917</v>
      </c>
      <c r="K103" s="104" t="str">
        <f>IFERROR(__xludf.DUMMYFUNCTION("""COMPUTED_VALUE"""),"Conf By Mrityunjay Kumar")</f>
        <v>Conf By Mrityunjay Kumar</v>
      </c>
    </row>
    <row r="104">
      <c r="A104" s="31" t="str">
        <f>IFERROR(__xludf.DUMMYFUNCTION("""COMPUTED_VALUE"""),"tripat.kaur@zupee.in")</f>
        <v>tripat.kaur@zupee.in</v>
      </c>
      <c r="B104" s="31" t="str">
        <f>IFERROR(__xludf.DUMMYFUNCTION("""COMPUTED_VALUE"""),"NOT_FOUND")</f>
        <v>NOT_FOUND</v>
      </c>
      <c r="C104" s="31" t="str">
        <f>IFERROR(__xludf.DUMMYFUNCTION("""COMPUTED_VALUE"""),"User not found")</f>
        <v>User not found</v>
      </c>
      <c r="D104" s="31" t="str">
        <f>IFERROR(__xludf.DUMMYFUNCTION("""COMPUTED_VALUE"""),"Revoked ")</f>
        <v>Revoked </v>
      </c>
      <c r="E104" s="31" t="str">
        <f>IFERROR(__xludf.DUMMYFUNCTION("""COMPUTED_VALUE"""),"sumit.yadav@zupee.in")</f>
        <v>sumit.yadav@zupee.in</v>
      </c>
      <c r="F104" s="31" t="str">
        <f>IFERROR(__xludf.DUMMYFUNCTION("""COMPUTED_VALUE"""),"Done")</f>
        <v>Done</v>
      </c>
      <c r="G104" s="31" t="str">
        <f>IFERROR(__xludf.DUMMYFUNCTION("""COMPUTED_VALUE"""),"No-Need")</f>
        <v>No-Need</v>
      </c>
      <c r="H104" s="31" t="str">
        <f>IFERROR(__xludf.DUMMYFUNCTION("""COMPUTED_VALUE"""),"N/A")</f>
        <v>N/A</v>
      </c>
      <c r="I104" s="31" t="str">
        <f>IFERROR(__xludf.DUMMYFUNCTION("""COMPUTED_VALUE"""),"CRM")</f>
        <v>CRM</v>
      </c>
      <c r="J104" s="103">
        <f>IFERROR(__xludf.DUMMYFUNCTION("""COMPUTED_VALUE"""),45917.0)</f>
        <v>45917</v>
      </c>
      <c r="K104" s="104" t="str">
        <f>IFERROR(__xludf.DUMMYFUNCTION("""COMPUTED_VALUE"""),"Conf By Mrityunjay Kumar")</f>
        <v>Conf By Mrityunjay Kumar</v>
      </c>
    </row>
    <row r="105">
      <c r="A105" s="31" t="str">
        <f>IFERROR(__xludf.DUMMYFUNCTION("""COMPUTED_VALUE"""),"tulika.bhatnagar@zupee.in")</f>
        <v>tulika.bhatnagar@zupee.in</v>
      </c>
      <c r="B105" s="31" t="str">
        <f>IFERROR(__xludf.DUMMYFUNCTION("""COMPUTED_VALUE"""),"NOT_FOUND")</f>
        <v>NOT_FOUND</v>
      </c>
      <c r="C105" s="31" t="str">
        <f>IFERROR(__xludf.DUMMYFUNCTION("""COMPUTED_VALUE"""),"User not found")</f>
        <v>User not found</v>
      </c>
      <c r="D105" s="31" t="str">
        <f>IFERROR(__xludf.DUMMYFUNCTION("""COMPUTED_VALUE"""),"Revoked ")</f>
        <v>Revoked </v>
      </c>
      <c r="E105" s="31" t="str">
        <f>IFERROR(__xludf.DUMMYFUNCTION("""COMPUTED_VALUE"""),"sumit.yadav@zupee.in")</f>
        <v>sumit.yadav@zupee.in</v>
      </c>
      <c r="F105" s="31" t="str">
        <f>IFERROR(__xludf.DUMMYFUNCTION("""COMPUTED_VALUE"""),"Done")</f>
        <v>Done</v>
      </c>
      <c r="G105" s="31" t="str">
        <f>IFERROR(__xludf.DUMMYFUNCTION("""COMPUTED_VALUE"""),"No-Need")</f>
        <v>No-Need</v>
      </c>
      <c r="H105" s="31" t="str">
        <f>IFERROR(__xludf.DUMMYFUNCTION("""COMPUTED_VALUE"""),"N/A")</f>
        <v>N/A</v>
      </c>
      <c r="I105" s="31" t="str">
        <f>IFERROR(__xludf.DUMMYFUNCTION("""COMPUTED_VALUE"""),"CRM")</f>
        <v>CRM</v>
      </c>
      <c r="J105" s="103">
        <f>IFERROR(__xludf.DUMMYFUNCTION("""COMPUTED_VALUE"""),45917.0)</f>
        <v>45917</v>
      </c>
      <c r="K105" s="104" t="str">
        <f>IFERROR(__xludf.DUMMYFUNCTION("""COMPUTED_VALUE"""),"Conf By Mrityunjay Kumar")</f>
        <v>Conf By Mrityunjay Kumar</v>
      </c>
    </row>
    <row r="106">
      <c r="A106" s="31" t="str">
        <f>IFERROR(__xludf.DUMMYFUNCTION("""COMPUTED_VALUE"""),"uma.batra@zupee.in")</f>
        <v>uma.batra@zupee.in</v>
      </c>
      <c r="B106" s="31" t="str">
        <f>IFERROR(__xludf.DUMMYFUNCTION("""COMPUTED_VALUE"""),"NOT_FOUND")</f>
        <v>NOT_FOUND</v>
      </c>
      <c r="C106" s="31" t="str">
        <f>IFERROR(__xludf.DUMMYFUNCTION("""COMPUTED_VALUE"""),"User not found")</f>
        <v>User not found</v>
      </c>
      <c r="D106" s="31" t="str">
        <f>IFERROR(__xludf.DUMMYFUNCTION("""COMPUTED_VALUE"""),"Revoked ")</f>
        <v>Revoked </v>
      </c>
      <c r="E106" s="31" t="str">
        <f>IFERROR(__xludf.DUMMYFUNCTION("""COMPUTED_VALUE"""),"sumit.yadav@zupee.in")</f>
        <v>sumit.yadav@zupee.in</v>
      </c>
      <c r="F106" s="31" t="str">
        <f>IFERROR(__xludf.DUMMYFUNCTION("""COMPUTED_VALUE"""),"Done")</f>
        <v>Done</v>
      </c>
      <c r="G106" s="31" t="str">
        <f>IFERROR(__xludf.DUMMYFUNCTION("""COMPUTED_VALUE"""),"No-Need")</f>
        <v>No-Need</v>
      </c>
      <c r="H106" s="31" t="str">
        <f>IFERROR(__xludf.DUMMYFUNCTION("""COMPUTED_VALUE"""),"N/A")</f>
        <v>N/A</v>
      </c>
      <c r="I106" s="31" t="str">
        <f>IFERROR(__xludf.DUMMYFUNCTION("""COMPUTED_VALUE"""),"CRM")</f>
        <v>CRM</v>
      </c>
      <c r="J106" s="103">
        <f>IFERROR(__xludf.DUMMYFUNCTION("""COMPUTED_VALUE"""),45917.0)</f>
        <v>45917</v>
      </c>
      <c r="K106" s="104" t="str">
        <f>IFERROR(__xludf.DUMMYFUNCTION("""COMPUTED_VALUE"""),"Conf By Mrityunjay Kumar")</f>
        <v>Conf By Mrityunjay Kumar</v>
      </c>
    </row>
    <row r="107">
      <c r="A107" s="31" t="str">
        <f>IFERROR(__xludf.DUMMYFUNCTION("""COMPUTED_VALUE"""),"zaid.anwar@zupee.in")</f>
        <v>zaid.anwar@zupee.in</v>
      </c>
      <c r="B107" s="31" t="str">
        <f>IFERROR(__xludf.DUMMYFUNCTION("""COMPUTED_VALUE"""),"NOT_FOUND")</f>
        <v>NOT_FOUND</v>
      </c>
      <c r="C107" s="31" t="str">
        <f>IFERROR(__xludf.DUMMYFUNCTION("""COMPUTED_VALUE"""),"User not found")</f>
        <v>User not found</v>
      </c>
      <c r="D107" s="31" t="str">
        <f>IFERROR(__xludf.DUMMYFUNCTION("""COMPUTED_VALUE"""),"Revoked ")</f>
        <v>Revoked </v>
      </c>
      <c r="E107" s="31" t="str">
        <f>IFERROR(__xludf.DUMMYFUNCTION("""COMPUTED_VALUE"""),"sumit.yadav@zupee.in")</f>
        <v>sumit.yadav@zupee.in</v>
      </c>
      <c r="F107" s="31" t="str">
        <f>IFERROR(__xludf.DUMMYFUNCTION("""COMPUTED_VALUE"""),"Done")</f>
        <v>Done</v>
      </c>
      <c r="G107" s="31" t="str">
        <f>IFERROR(__xludf.DUMMYFUNCTION("""COMPUTED_VALUE"""),"No-Need")</f>
        <v>No-Need</v>
      </c>
      <c r="H107" s="31" t="str">
        <f>IFERROR(__xludf.DUMMYFUNCTION("""COMPUTED_VALUE"""),"N/A")</f>
        <v>N/A</v>
      </c>
      <c r="I107" s="31" t="str">
        <f>IFERROR(__xludf.DUMMYFUNCTION("""COMPUTED_VALUE"""),"CRM")</f>
        <v>CRM</v>
      </c>
      <c r="J107" s="103">
        <f>IFERROR(__xludf.DUMMYFUNCTION("""COMPUTED_VALUE"""),45917.0)</f>
        <v>45917</v>
      </c>
      <c r="K107" s="104" t="str">
        <f>IFERROR(__xludf.DUMMYFUNCTION("""COMPUTED_VALUE"""),"Conf By Mrityunjay Kumar")</f>
        <v>Conf By Mrityunjay Kumar</v>
      </c>
    </row>
    <row r="108">
      <c r="A108" s="31" t="str">
        <f>IFERROR(__xludf.DUMMYFUNCTION("""COMPUTED_VALUE"""),"rohit.sahni@zupee.in")</f>
        <v>rohit.sahni@zupee.in</v>
      </c>
      <c r="B108" s="31" t="str">
        <f>IFERROR(__xludf.DUMMYFUNCTION("""COMPUTED_VALUE"""),"NOT_FOUND")</f>
        <v>NOT_FOUND</v>
      </c>
      <c r="C108" s="31" t="str">
        <f>IFERROR(__xludf.DUMMYFUNCTION("""COMPUTED_VALUE"""),"User not found")</f>
        <v>User not found</v>
      </c>
      <c r="D108" s="31" t="str">
        <f>IFERROR(__xludf.DUMMYFUNCTION("""COMPUTED_VALUE"""),"Revoked ")</f>
        <v>Revoked </v>
      </c>
      <c r="E108" s="31" t="str">
        <f>IFERROR(__xludf.DUMMYFUNCTION("""COMPUTED_VALUE"""),"sumit.yadav@zupee.in")</f>
        <v>sumit.yadav@zupee.in</v>
      </c>
      <c r="F108" s="31" t="str">
        <f>IFERROR(__xludf.DUMMYFUNCTION("""COMPUTED_VALUE"""),"Done")</f>
        <v>Done</v>
      </c>
      <c r="G108" s="31" t="str">
        <f>IFERROR(__xludf.DUMMYFUNCTION("""COMPUTED_VALUE"""),"No-Need")</f>
        <v>No-Need</v>
      </c>
      <c r="H108" s="31" t="str">
        <f>IFERROR(__xludf.DUMMYFUNCTION("""COMPUTED_VALUE"""),"N/A")</f>
        <v>N/A</v>
      </c>
      <c r="I108" s="31" t="str">
        <f>IFERROR(__xludf.DUMMYFUNCTION("""COMPUTED_VALUE"""),"CRM")</f>
        <v>CRM</v>
      </c>
      <c r="J108" s="103">
        <f>IFERROR(__xludf.DUMMYFUNCTION("""COMPUTED_VALUE"""),45917.0)</f>
        <v>45917</v>
      </c>
      <c r="K108" s="104" t="str">
        <f>IFERROR(__xludf.DUMMYFUNCTION("""COMPUTED_VALUE"""),"Conf By Mrityunjay Kumar")</f>
        <v>Conf By Mrityunjay Kumar</v>
      </c>
    </row>
    <row r="109">
      <c r="A109" s="31" t="str">
        <f>IFERROR(__xludf.DUMMYFUNCTION("""COMPUTED_VALUE"""),"akhil.mudgal@zupee.in")</f>
        <v>akhil.mudgal@zupee.in</v>
      </c>
      <c r="B109" s="31" t="str">
        <f>IFERROR(__xludf.DUMMYFUNCTION("""COMPUTED_VALUE"""),"NOT_FOUND")</f>
        <v>NOT_FOUND</v>
      </c>
      <c r="C109" s="31" t="str">
        <f>IFERROR(__xludf.DUMMYFUNCTION("""COMPUTED_VALUE"""),"User not found")</f>
        <v>User not found</v>
      </c>
      <c r="D109" s="31" t="str">
        <f>IFERROR(__xludf.DUMMYFUNCTION("""COMPUTED_VALUE"""),"Revoked ")</f>
        <v>Revoked </v>
      </c>
      <c r="E109" s="31" t="str">
        <f>IFERROR(__xludf.DUMMYFUNCTION("""COMPUTED_VALUE"""),"No-Need")</f>
        <v>No-Need</v>
      </c>
      <c r="F109" s="31" t="str">
        <f>IFERROR(__xludf.DUMMYFUNCTION("""COMPUTED_VALUE"""),"No-Need")</f>
        <v>No-Need</v>
      </c>
      <c r="G109" s="31" t="str">
        <f>IFERROR(__xludf.DUMMYFUNCTION("""COMPUTED_VALUE"""),"No-Need")</f>
        <v>No-Need</v>
      </c>
      <c r="H109" s="31" t="str">
        <f>IFERROR(__xludf.DUMMYFUNCTION("""COMPUTED_VALUE"""),"N/A")</f>
        <v>N/A</v>
      </c>
      <c r="I109" s="31" t="str">
        <f>IFERROR(__xludf.DUMMYFUNCTION("""COMPUTED_VALUE"""),"Technology")</f>
        <v>Technology</v>
      </c>
      <c r="J109" s="103">
        <f>IFERROR(__xludf.DUMMYFUNCTION("""COMPUTED_VALUE"""),45922.0)</f>
        <v>45922</v>
      </c>
      <c r="K109" s="104" t="str">
        <f>IFERROR(__xludf.DUMMYFUNCTION("""COMPUTED_VALUE"""),"Confrm By Abhishek Gupta")</f>
        <v>Confrm By Abhishek Gupta</v>
      </c>
    </row>
    <row r="110">
      <c r="A110" s="31" t="str">
        <f>IFERROR(__xludf.DUMMYFUNCTION("""COMPUTED_VALUE"""),"divij.bhola@zupee.in")</f>
        <v>divij.bhola@zupee.in</v>
      </c>
      <c r="B110" s="31" t="str">
        <f>IFERROR(__xludf.DUMMYFUNCTION("""COMPUTED_VALUE"""),"NOT_FOUND")</f>
        <v>NOT_FOUND</v>
      </c>
      <c r="C110" s="31" t="str">
        <f>IFERROR(__xludf.DUMMYFUNCTION("""COMPUTED_VALUE"""),"User not found")</f>
        <v>User not found</v>
      </c>
      <c r="D110" s="31" t="str">
        <f>IFERROR(__xludf.DUMMYFUNCTION("""COMPUTED_VALUE"""),"Revoked ")</f>
        <v>Revoked </v>
      </c>
      <c r="E110" s="31" t="str">
        <f>IFERROR(__xludf.DUMMYFUNCTION("""COMPUTED_VALUE"""),"No-Need")</f>
        <v>No-Need</v>
      </c>
      <c r="F110" s="31" t="str">
        <f>IFERROR(__xludf.DUMMYFUNCTION("""COMPUTED_VALUE"""),"No-Need")</f>
        <v>No-Need</v>
      </c>
      <c r="G110" s="31" t="str">
        <f>IFERROR(__xludf.DUMMYFUNCTION("""COMPUTED_VALUE"""),"No-Need")</f>
        <v>No-Need</v>
      </c>
      <c r="H110" s="31" t="str">
        <f>IFERROR(__xludf.DUMMYFUNCTION("""COMPUTED_VALUE"""),"N/A")</f>
        <v>N/A</v>
      </c>
      <c r="I110" s="31" t="str">
        <f>IFERROR(__xludf.DUMMYFUNCTION("""COMPUTED_VALUE"""),"Technology")</f>
        <v>Technology</v>
      </c>
      <c r="J110" s="103">
        <f>IFERROR(__xludf.DUMMYFUNCTION("""COMPUTED_VALUE"""),45922.0)</f>
        <v>45922</v>
      </c>
      <c r="K110" s="104" t="str">
        <f>IFERROR(__xludf.DUMMYFUNCTION("""COMPUTED_VALUE"""),"Confrm By Abhishek Gupta")</f>
        <v>Confrm By Abhishek Gupta</v>
      </c>
    </row>
    <row r="111">
      <c r="A111" s="31" t="str">
        <f>IFERROR(__xludf.DUMMYFUNCTION("""COMPUTED_VALUE"""),"lokesh.gawande@zupee.in")</f>
        <v>lokesh.gawande@zupee.in</v>
      </c>
      <c r="B111" s="31" t="str">
        <f>IFERROR(__xludf.DUMMYFUNCTION("""COMPUTED_VALUE"""),"NOT_FOUND")</f>
        <v>NOT_FOUND</v>
      </c>
      <c r="C111" s="31" t="str">
        <f>IFERROR(__xludf.DUMMYFUNCTION("""COMPUTED_VALUE"""),"User not found")</f>
        <v>User not found</v>
      </c>
      <c r="D111" s="31" t="str">
        <f>IFERROR(__xludf.DUMMYFUNCTION("""COMPUTED_VALUE"""),"Revoked ")</f>
        <v>Revoked </v>
      </c>
      <c r="E111" s="31" t="str">
        <f>IFERROR(__xludf.DUMMYFUNCTION("""COMPUTED_VALUE"""),"No-Need")</f>
        <v>No-Need</v>
      </c>
      <c r="F111" s="31" t="str">
        <f>IFERROR(__xludf.DUMMYFUNCTION("""COMPUTED_VALUE"""),"No-Need")</f>
        <v>No-Need</v>
      </c>
      <c r="G111" s="31" t="str">
        <f>IFERROR(__xludf.DUMMYFUNCTION("""COMPUTED_VALUE"""),"No-Need")</f>
        <v>No-Need</v>
      </c>
      <c r="H111" s="31" t="str">
        <f>IFERROR(__xludf.DUMMYFUNCTION("""COMPUTED_VALUE"""),"N/A")</f>
        <v>N/A</v>
      </c>
      <c r="I111" s="31" t="str">
        <f>IFERROR(__xludf.DUMMYFUNCTION("""COMPUTED_VALUE"""),"Technology")</f>
        <v>Technology</v>
      </c>
      <c r="J111" s="103">
        <f>IFERROR(__xludf.DUMMYFUNCTION("""COMPUTED_VALUE"""),45922.0)</f>
        <v>45922</v>
      </c>
      <c r="K111" s="104" t="str">
        <f>IFERROR(__xludf.DUMMYFUNCTION("""COMPUTED_VALUE"""),"Confrm By Abhishek Gupta")</f>
        <v>Confrm By Abhishek Gupta</v>
      </c>
    </row>
    <row r="112">
      <c r="A112" s="31" t="str">
        <f>IFERROR(__xludf.DUMMYFUNCTION("""COMPUTED_VALUE"""),"manas.singh@zupee.in")</f>
        <v>manas.singh@zupee.in</v>
      </c>
      <c r="B112" s="31" t="str">
        <f>IFERROR(__xludf.DUMMYFUNCTION("""COMPUTED_VALUE"""),"NOT_FOUND")</f>
        <v>NOT_FOUND</v>
      </c>
      <c r="C112" s="31" t="str">
        <f>IFERROR(__xludf.DUMMYFUNCTION("""COMPUTED_VALUE"""),"User not found")</f>
        <v>User not found</v>
      </c>
      <c r="D112" s="31" t="str">
        <f>IFERROR(__xludf.DUMMYFUNCTION("""COMPUTED_VALUE"""),"Revoked ")</f>
        <v>Revoked </v>
      </c>
      <c r="E112" s="31" t="str">
        <f>IFERROR(__xludf.DUMMYFUNCTION("""COMPUTED_VALUE"""),"No-Need")</f>
        <v>No-Need</v>
      </c>
      <c r="F112" s="31" t="str">
        <f>IFERROR(__xludf.DUMMYFUNCTION("""COMPUTED_VALUE"""),"No-Need")</f>
        <v>No-Need</v>
      </c>
      <c r="G112" s="31" t="str">
        <f>IFERROR(__xludf.DUMMYFUNCTION("""COMPUTED_VALUE"""),"No-Need")</f>
        <v>No-Need</v>
      </c>
      <c r="H112" s="31" t="str">
        <f>IFERROR(__xludf.DUMMYFUNCTION("""COMPUTED_VALUE"""),"N/A")</f>
        <v>N/A</v>
      </c>
      <c r="I112" s="31" t="str">
        <f>IFERROR(__xludf.DUMMYFUNCTION("""COMPUTED_VALUE"""),"Technology")</f>
        <v>Technology</v>
      </c>
      <c r="J112" s="103">
        <f>IFERROR(__xludf.DUMMYFUNCTION("""COMPUTED_VALUE"""),45922.0)</f>
        <v>45922</v>
      </c>
      <c r="K112" s="104" t="str">
        <f>IFERROR(__xludf.DUMMYFUNCTION("""COMPUTED_VALUE"""),"Confrm By Abhishek Gupta")</f>
        <v>Confrm By Abhishek Gupta</v>
      </c>
    </row>
    <row r="113">
      <c r="A113" s="31" t="str">
        <f>IFERROR(__xludf.DUMMYFUNCTION("""COMPUTED_VALUE"""),"rajnish.kumar1@zupee.in")</f>
        <v>rajnish.kumar1@zupee.in</v>
      </c>
      <c r="B113" s="31" t="str">
        <f>IFERROR(__xludf.DUMMYFUNCTION("""COMPUTED_VALUE"""),"NOT_FOUND")</f>
        <v>NOT_FOUND</v>
      </c>
      <c r="C113" s="31" t="str">
        <f>IFERROR(__xludf.DUMMYFUNCTION("""COMPUTED_VALUE"""),"User not found")</f>
        <v>User not found</v>
      </c>
      <c r="D113" s="31" t="str">
        <f>IFERROR(__xludf.DUMMYFUNCTION("""COMPUTED_VALUE"""),"Revoked ")</f>
        <v>Revoked </v>
      </c>
      <c r="E113" s="31" t="str">
        <f>IFERROR(__xludf.DUMMYFUNCTION("""COMPUTED_VALUE"""),"No-Need")</f>
        <v>No-Need</v>
      </c>
      <c r="F113" s="31" t="str">
        <f>IFERROR(__xludf.DUMMYFUNCTION("""COMPUTED_VALUE"""),"No-Need")</f>
        <v>No-Need</v>
      </c>
      <c r="G113" s="31" t="str">
        <f>IFERROR(__xludf.DUMMYFUNCTION("""COMPUTED_VALUE"""),"No-Need")</f>
        <v>No-Need</v>
      </c>
      <c r="H113" s="31" t="str">
        <f>IFERROR(__xludf.DUMMYFUNCTION("""COMPUTED_VALUE"""),"N/A")</f>
        <v>N/A</v>
      </c>
      <c r="I113" s="31" t="str">
        <f>IFERROR(__xludf.DUMMYFUNCTION("""COMPUTED_VALUE"""),"Technology")</f>
        <v>Technology</v>
      </c>
      <c r="J113" s="103">
        <f>IFERROR(__xludf.DUMMYFUNCTION("""COMPUTED_VALUE"""),45922.0)</f>
        <v>45922</v>
      </c>
      <c r="K113" s="104" t="str">
        <f>IFERROR(__xludf.DUMMYFUNCTION("""COMPUTED_VALUE"""),"Confrm By Abhishek Gupta")</f>
        <v>Confrm By Abhishek Gupta</v>
      </c>
    </row>
    <row r="114">
      <c r="A114" s="31" t="str">
        <f>IFERROR(__xludf.DUMMYFUNCTION("""COMPUTED_VALUE"""),"shiv.kumar1@zupee.in")</f>
        <v>shiv.kumar1@zupee.in</v>
      </c>
      <c r="B114" s="31" t="str">
        <f>IFERROR(__xludf.DUMMYFUNCTION("""COMPUTED_VALUE"""),"NOT_FOUND")</f>
        <v>NOT_FOUND</v>
      </c>
      <c r="C114" s="31" t="str">
        <f>IFERROR(__xludf.DUMMYFUNCTION("""COMPUTED_VALUE"""),"User not found")</f>
        <v>User not found</v>
      </c>
      <c r="D114" s="31" t="str">
        <f>IFERROR(__xludf.DUMMYFUNCTION("""COMPUTED_VALUE"""),"Revoked ")</f>
        <v>Revoked </v>
      </c>
      <c r="E114" s="31" t="str">
        <f>IFERROR(__xludf.DUMMYFUNCTION("""COMPUTED_VALUE"""),"No-Need")</f>
        <v>No-Need</v>
      </c>
      <c r="F114" s="31" t="str">
        <f>IFERROR(__xludf.DUMMYFUNCTION("""COMPUTED_VALUE"""),"No-Need")</f>
        <v>No-Need</v>
      </c>
      <c r="G114" s="31" t="str">
        <f>IFERROR(__xludf.DUMMYFUNCTION("""COMPUTED_VALUE"""),"No-Need")</f>
        <v>No-Need</v>
      </c>
      <c r="H114" s="31" t="str">
        <f>IFERROR(__xludf.DUMMYFUNCTION("""COMPUTED_VALUE"""),"N/A")</f>
        <v>N/A</v>
      </c>
      <c r="I114" s="31" t="str">
        <f>IFERROR(__xludf.DUMMYFUNCTION("""COMPUTED_VALUE"""),"Technology")</f>
        <v>Technology</v>
      </c>
      <c r="J114" s="103">
        <f>IFERROR(__xludf.DUMMYFUNCTION("""COMPUTED_VALUE"""),45922.0)</f>
        <v>45922</v>
      </c>
      <c r="K114" s="104" t="str">
        <f>IFERROR(__xludf.DUMMYFUNCTION("""COMPUTED_VALUE"""),"Confrm By Abhishek Gupta")</f>
        <v>Confrm By Abhishek Gupta</v>
      </c>
    </row>
    <row r="115">
      <c r="A115" s="31" t="str">
        <f>IFERROR(__xludf.DUMMYFUNCTION("""COMPUTED_VALUE"""),"shuvamoy.roy@zupee.in")</f>
        <v>shuvamoy.roy@zupee.in</v>
      </c>
      <c r="B115" s="31" t="str">
        <f>IFERROR(__xludf.DUMMYFUNCTION("""COMPUTED_VALUE"""),"NOT_FOUND")</f>
        <v>NOT_FOUND</v>
      </c>
      <c r="C115" s="31" t="str">
        <f>IFERROR(__xludf.DUMMYFUNCTION("""COMPUTED_VALUE"""),"User not found")</f>
        <v>User not found</v>
      </c>
      <c r="D115" s="31" t="str">
        <f>IFERROR(__xludf.DUMMYFUNCTION("""COMPUTED_VALUE"""),"Revoked ")</f>
        <v>Revoked </v>
      </c>
      <c r="E115" s="31" t="str">
        <f>IFERROR(__xludf.DUMMYFUNCTION("""COMPUTED_VALUE"""),"No-Need")</f>
        <v>No-Need</v>
      </c>
      <c r="F115" s="31" t="str">
        <f>IFERROR(__xludf.DUMMYFUNCTION("""COMPUTED_VALUE"""),"No-Need")</f>
        <v>No-Need</v>
      </c>
      <c r="G115" s="31" t="str">
        <f>IFERROR(__xludf.DUMMYFUNCTION("""COMPUTED_VALUE"""),"No-Need")</f>
        <v>No-Need</v>
      </c>
      <c r="H115" s="31" t="str">
        <f>IFERROR(__xludf.DUMMYFUNCTION("""COMPUTED_VALUE"""),"N/A")</f>
        <v>N/A</v>
      </c>
      <c r="I115" s="31" t="str">
        <f>IFERROR(__xludf.DUMMYFUNCTION("""COMPUTED_VALUE"""),"Technology")</f>
        <v>Technology</v>
      </c>
      <c r="J115" s="103">
        <f>IFERROR(__xludf.DUMMYFUNCTION("""COMPUTED_VALUE"""),45922.0)</f>
        <v>45922</v>
      </c>
      <c r="K115" s="104" t="str">
        <f>IFERROR(__xludf.DUMMYFUNCTION("""COMPUTED_VALUE"""),"Confrm By Abhishek Gupta")</f>
        <v>Confrm By Abhishek Gupta</v>
      </c>
    </row>
    <row r="116">
      <c r="A116" s="31" t="str">
        <f>IFERROR(__xludf.DUMMYFUNCTION("""COMPUTED_VALUE"""),"vikas.pandey@zupee.in")</f>
        <v>vikas.pandey@zupee.in</v>
      </c>
      <c r="B116" s="31" t="str">
        <f>IFERROR(__xludf.DUMMYFUNCTION("""COMPUTED_VALUE"""),"NOT_FOUND")</f>
        <v>NOT_FOUND</v>
      </c>
      <c r="C116" s="31" t="str">
        <f>IFERROR(__xludf.DUMMYFUNCTION("""COMPUTED_VALUE"""),"User not found")</f>
        <v>User not found</v>
      </c>
      <c r="D116" s="31" t="str">
        <f>IFERROR(__xludf.DUMMYFUNCTION("""COMPUTED_VALUE"""),"Revoked ")</f>
        <v>Revoked </v>
      </c>
      <c r="E116" s="31" t="str">
        <f>IFERROR(__xludf.DUMMYFUNCTION("""COMPUTED_VALUE"""),"No-Need")</f>
        <v>No-Need</v>
      </c>
      <c r="F116" s="31" t="str">
        <f>IFERROR(__xludf.DUMMYFUNCTION("""COMPUTED_VALUE"""),"No-Need")</f>
        <v>No-Need</v>
      </c>
      <c r="G116" s="31" t="str">
        <f>IFERROR(__xludf.DUMMYFUNCTION("""COMPUTED_VALUE"""),"No-Need")</f>
        <v>No-Need</v>
      </c>
      <c r="H116" s="31" t="str">
        <f>IFERROR(__xludf.DUMMYFUNCTION("""COMPUTED_VALUE"""),"N/A")</f>
        <v>N/A</v>
      </c>
      <c r="I116" s="31" t="str">
        <f>IFERROR(__xludf.DUMMYFUNCTION("""COMPUTED_VALUE"""),"Technology")</f>
        <v>Technology</v>
      </c>
      <c r="J116" s="103">
        <f>IFERROR(__xludf.DUMMYFUNCTION("""COMPUTED_VALUE"""),45922.0)</f>
        <v>45922</v>
      </c>
      <c r="K116" s="104" t="str">
        <f>IFERROR(__xludf.DUMMYFUNCTION("""COMPUTED_VALUE"""),"Confrm By Abhishek Gupta")</f>
        <v>Confrm By Abhishek Gupta</v>
      </c>
    </row>
    <row r="117">
      <c r="A117" s="31" t="str">
        <f>IFERROR(__xludf.DUMMYFUNCTION("""COMPUTED_VALUE"""),"faizal.khan@zupee.in")</f>
        <v>faizal.khan@zupee.in</v>
      </c>
      <c r="B117" s="31" t="str">
        <f>IFERROR(__xludf.DUMMYFUNCTION("""COMPUTED_VALUE"""),"NOT_FOUND")</f>
        <v>NOT_FOUND</v>
      </c>
      <c r="C117" s="31" t="str">
        <f>IFERROR(__xludf.DUMMYFUNCTION("""COMPUTED_VALUE"""),"User not found")</f>
        <v>User not found</v>
      </c>
      <c r="D117" s="31" t="str">
        <f>IFERROR(__xludf.DUMMYFUNCTION("""COMPUTED_VALUE"""),"Revoked ")</f>
        <v>Revoked </v>
      </c>
      <c r="E117" s="31" t="str">
        <f>IFERROR(__xludf.DUMMYFUNCTION("""COMPUTED_VALUE"""),"No-Need")</f>
        <v>No-Need</v>
      </c>
      <c r="F117" s="31" t="str">
        <f>IFERROR(__xludf.DUMMYFUNCTION("""COMPUTED_VALUE"""),"No-Need")</f>
        <v>No-Need</v>
      </c>
      <c r="G117" s="31" t="str">
        <f>IFERROR(__xludf.DUMMYFUNCTION("""COMPUTED_VALUE"""),"No-Need")</f>
        <v>No-Need</v>
      </c>
      <c r="H117" s="31" t="str">
        <f>IFERROR(__xludf.DUMMYFUNCTION("""COMPUTED_VALUE"""),"N/A")</f>
        <v>N/A</v>
      </c>
      <c r="I117" s="31" t="str">
        <f>IFERROR(__xludf.DUMMYFUNCTION("""COMPUTED_VALUE"""),"Technology")</f>
        <v>Technology</v>
      </c>
      <c r="J117" s="103">
        <f>IFERROR(__xludf.DUMMYFUNCTION("""COMPUTED_VALUE"""),45924.0)</f>
        <v>45924</v>
      </c>
      <c r="K117" s="104" t="str">
        <f>IFERROR(__xludf.DUMMYFUNCTION("""COMPUTED_VALUE"""),"Confrm By Abhishek Gupta")</f>
        <v>Confrm By Abhishek Gupta</v>
      </c>
    </row>
    <row r="118">
      <c r="A118" s="31" t="str">
        <f>IFERROR(__xludf.DUMMYFUNCTION("""COMPUTED_VALUE"""),"soyesh.dixit@zupee.in")</f>
        <v>soyesh.dixit@zupee.in</v>
      </c>
      <c r="B118" s="31" t="str">
        <f>IFERROR(__xludf.DUMMYFUNCTION("""COMPUTED_VALUE"""),"NOT_FOUND")</f>
        <v>NOT_FOUND</v>
      </c>
      <c r="C118" s="31" t="str">
        <f>IFERROR(__xludf.DUMMYFUNCTION("""COMPUTED_VALUE"""),"User not found")</f>
        <v>User not found</v>
      </c>
      <c r="D118" s="31" t="str">
        <f>IFERROR(__xludf.DUMMYFUNCTION("""COMPUTED_VALUE"""),"Revoked ")</f>
        <v>Revoked </v>
      </c>
      <c r="E118" s="31" t="str">
        <f>IFERROR(__xludf.DUMMYFUNCTION("""COMPUTED_VALUE"""),"rajkumar.singh@zupee.in")</f>
        <v>rajkumar.singh@zupee.in</v>
      </c>
      <c r="F118" s="31" t="str">
        <f>IFERROR(__xludf.DUMMYFUNCTION("""COMPUTED_VALUE"""),"Done")</f>
        <v>Done</v>
      </c>
      <c r="G118" s="31" t="str">
        <f>IFERROR(__xludf.DUMMYFUNCTION("""COMPUTED_VALUE"""),"No-Need")</f>
        <v>No-Need</v>
      </c>
      <c r="H118" s="31" t="str">
        <f>IFERROR(__xludf.DUMMYFUNCTION("""COMPUTED_VALUE"""),"N/A")</f>
        <v>N/A</v>
      </c>
      <c r="I118" s="31" t="str">
        <f>IFERROR(__xludf.DUMMYFUNCTION("""COMPUTED_VALUE"""),"IT Infra")</f>
        <v>IT Infra</v>
      </c>
      <c r="J118" s="103">
        <f>IFERROR(__xludf.DUMMYFUNCTION("""COMPUTED_VALUE"""),45924.0)</f>
        <v>45924</v>
      </c>
      <c r="K118" s="104" t="str">
        <f>IFERROR(__xludf.DUMMYFUNCTION("""COMPUTED_VALUE"""),"Confrm By Rajkumar")</f>
        <v>Confrm By Rajkumar</v>
      </c>
    </row>
    <row r="119">
      <c r="A119" s="31" t="str">
        <f>IFERROR(__xludf.DUMMYFUNCTION("""COMPUTED_VALUE"""),"kunal.shivhare@zupee.in")</f>
        <v>kunal.shivhare@zupee.in</v>
      </c>
      <c r="B119" s="31" t="str">
        <f>IFERROR(__xludf.DUMMYFUNCTION("""COMPUTED_VALUE"""),"NOT_FOUND")</f>
        <v>NOT_FOUND</v>
      </c>
      <c r="C119" s="31" t="str">
        <f>IFERROR(__xludf.DUMMYFUNCTION("""COMPUTED_VALUE"""),"User not found")</f>
        <v>User not found</v>
      </c>
      <c r="D119" s="31" t="str">
        <f>IFERROR(__xludf.DUMMYFUNCTION("""COMPUTED_VALUE"""),"Revoked ")</f>
        <v>Revoked </v>
      </c>
      <c r="E119" s="31" t="str">
        <f>IFERROR(__xludf.DUMMYFUNCTION("""COMPUTED_VALUE"""),"No-Need")</f>
        <v>No-Need</v>
      </c>
      <c r="F119" s="31" t="str">
        <f>IFERROR(__xludf.DUMMYFUNCTION("""COMPUTED_VALUE"""),"No-Need")</f>
        <v>No-Need</v>
      </c>
      <c r="G119" s="31" t="str">
        <f>IFERROR(__xludf.DUMMYFUNCTION("""COMPUTED_VALUE"""),"No-Need")</f>
        <v>No-Need</v>
      </c>
      <c r="H119" s="31" t="str">
        <f>IFERROR(__xludf.DUMMYFUNCTION("""COMPUTED_VALUE"""),"N/A")</f>
        <v>N/A</v>
      </c>
      <c r="I119" s="31" t="str">
        <f>IFERROR(__xludf.DUMMYFUNCTION("""COMPUTED_VALUE"""),"Technology")</f>
        <v>Technology</v>
      </c>
      <c r="J119" s="103">
        <f>IFERROR(__xludf.DUMMYFUNCTION("""COMPUTED_VALUE"""),45924.0)</f>
        <v>45924</v>
      </c>
      <c r="K119" s="104" t="str">
        <f>IFERROR(__xludf.DUMMYFUNCTION("""COMPUTED_VALUE"""),"Confrm By Abhishek Gupta")</f>
        <v>Confrm By Abhishek Gupta</v>
      </c>
    </row>
    <row r="120">
      <c r="A120" s="31" t="str">
        <f>IFERROR(__xludf.DUMMYFUNCTION("""COMPUTED_VALUE"""),"nitin.kaplas@zupee.in")</f>
        <v>nitin.kaplas@zupee.in</v>
      </c>
      <c r="B120" s="31" t="str">
        <f>IFERROR(__xludf.DUMMYFUNCTION("""COMPUTED_VALUE"""),"NOT_FOUND")</f>
        <v>NOT_FOUND</v>
      </c>
      <c r="C120" s="31" t="str">
        <f>IFERROR(__xludf.DUMMYFUNCTION("""COMPUTED_VALUE"""),"User not found")</f>
        <v>User not found</v>
      </c>
      <c r="D120" s="31" t="str">
        <f>IFERROR(__xludf.DUMMYFUNCTION("""COMPUTED_VALUE"""),"Revoked ")</f>
        <v>Revoked </v>
      </c>
      <c r="E120" s="31" t="str">
        <f>IFERROR(__xludf.DUMMYFUNCTION("""COMPUTED_VALUE"""),"No-Need")</f>
        <v>No-Need</v>
      </c>
      <c r="F120" s="31" t="str">
        <f>IFERROR(__xludf.DUMMYFUNCTION("""COMPUTED_VALUE"""),"No-Need")</f>
        <v>No-Need</v>
      </c>
      <c r="G120" s="31" t="str">
        <f>IFERROR(__xludf.DUMMYFUNCTION("""COMPUTED_VALUE"""),"No-Need")</f>
        <v>No-Need</v>
      </c>
      <c r="H120" s="31" t="str">
        <f>IFERROR(__xludf.DUMMYFUNCTION("""COMPUTED_VALUE"""),"N/A")</f>
        <v>N/A</v>
      </c>
      <c r="I120" s="31" t="str">
        <f>IFERROR(__xludf.DUMMYFUNCTION("""COMPUTED_VALUE"""),"Technology")</f>
        <v>Technology</v>
      </c>
      <c r="J120" s="103">
        <f>IFERROR(__xludf.DUMMYFUNCTION("""COMPUTED_VALUE"""),45924.0)</f>
        <v>45924</v>
      </c>
      <c r="K120" s="104" t="str">
        <f>IFERROR(__xludf.DUMMYFUNCTION("""COMPUTED_VALUE"""),"Confrm By Abhishek Gupta")</f>
        <v>Confrm By Abhishek Gupta</v>
      </c>
    </row>
    <row r="121">
      <c r="A121" s="31" t="str">
        <f>IFERROR(__xludf.DUMMYFUNCTION("""COMPUTED_VALUE"""),"shivam.kumar@zupee.in")</f>
        <v>shivam.kumar@zupee.in</v>
      </c>
      <c r="B121" s="31" t="str">
        <f>IFERROR(__xludf.DUMMYFUNCTION("""COMPUTED_VALUE"""),"NOT_FOUND")</f>
        <v>NOT_FOUND</v>
      </c>
      <c r="C121" s="31" t="str">
        <f>IFERROR(__xludf.DUMMYFUNCTION("""COMPUTED_VALUE"""),"User not found")</f>
        <v>User not found</v>
      </c>
      <c r="D121" s="31" t="str">
        <f>IFERROR(__xludf.DUMMYFUNCTION("""COMPUTED_VALUE"""),"Revoked ")</f>
        <v>Revoked </v>
      </c>
      <c r="E121" s="31" t="str">
        <f>IFERROR(__xludf.DUMMYFUNCTION("""COMPUTED_VALUE"""),"rajkumar.singh@zupee.in")</f>
        <v>rajkumar.singh@zupee.in</v>
      </c>
      <c r="F121" s="31" t="str">
        <f>IFERROR(__xludf.DUMMYFUNCTION("""COMPUTED_VALUE"""),"Done")</f>
        <v>Done</v>
      </c>
      <c r="G121" s="31" t="str">
        <f>IFERROR(__xludf.DUMMYFUNCTION("""COMPUTED_VALUE"""),"No-Need")</f>
        <v>No-Need</v>
      </c>
      <c r="H121" s="31"/>
      <c r="I121" s="31" t="str">
        <f>IFERROR(__xludf.DUMMYFUNCTION("""COMPUTED_VALUE"""),"IT Infra")</f>
        <v>IT Infra</v>
      </c>
      <c r="J121" s="103">
        <f>IFERROR(__xludf.DUMMYFUNCTION("""COMPUTED_VALUE"""),45924.0)</f>
        <v>45924</v>
      </c>
      <c r="K121" s="104" t="str">
        <f>IFERROR(__xludf.DUMMYFUNCTION("""COMPUTED_VALUE"""),"Confrm By Rajkumar")</f>
        <v>Confrm By Rajkumar</v>
      </c>
    </row>
    <row r="122">
      <c r="A122" s="31" t="str">
        <f>IFERROR(__xludf.DUMMYFUNCTION("""COMPUTED_VALUE"""),"aakash.phogat@zupee.in")</f>
        <v>aakash.phogat@zupee.in</v>
      </c>
      <c r="B122" s="31" t="str">
        <f>IFERROR(__xludf.DUMMYFUNCTION("""COMPUTED_VALUE"""),"NOT_FOUND")</f>
        <v>NOT_FOUND</v>
      </c>
      <c r="C122" s="31" t="str">
        <f>IFERROR(__xludf.DUMMYFUNCTION("""COMPUTED_VALUE"""),"User not found")</f>
        <v>User not found</v>
      </c>
      <c r="D122" s="31" t="str">
        <f>IFERROR(__xludf.DUMMYFUNCTION("""COMPUTED_VALUE"""),"Revoked ")</f>
        <v>Revoked </v>
      </c>
      <c r="E122" s="31" t="str">
        <f>IFERROR(__xludf.DUMMYFUNCTION("""COMPUTED_VALUE"""),"No-Need")</f>
        <v>No-Need</v>
      </c>
      <c r="F122" s="31" t="str">
        <f>IFERROR(__xludf.DUMMYFUNCTION("""COMPUTED_VALUE"""),"No-Need")</f>
        <v>No-Need</v>
      </c>
      <c r="G122" s="31" t="str">
        <f>IFERROR(__xludf.DUMMYFUNCTION("""COMPUTED_VALUE"""),"No-Need")</f>
        <v>No-Need</v>
      </c>
      <c r="H122" s="31" t="str">
        <f>IFERROR(__xludf.DUMMYFUNCTION("""COMPUTED_VALUE"""),"N/A")</f>
        <v>N/A</v>
      </c>
      <c r="I122" s="31" t="str">
        <f>IFERROR(__xludf.DUMMYFUNCTION("""COMPUTED_VALUE"""),"Technology")</f>
        <v>Technology</v>
      </c>
      <c r="J122" s="103">
        <f>IFERROR(__xludf.DUMMYFUNCTION("""COMPUTED_VALUE"""),45925.0)</f>
        <v>45925</v>
      </c>
      <c r="K122" s="104" t="str">
        <f>IFERROR(__xludf.DUMMYFUNCTION("""COMPUTED_VALUE"""),"Confrm By Abhishek Gupta")</f>
        <v>Confrm By Abhishek Gupta</v>
      </c>
    </row>
    <row r="123">
      <c r="A123" s="31" t="str">
        <f>IFERROR(__xludf.DUMMYFUNCTION("""COMPUTED_VALUE"""),"gaurav.gaurav@zupee.in")</f>
        <v>gaurav.gaurav@zupee.in</v>
      </c>
      <c r="B123" s="31" t="str">
        <f>IFERROR(__xludf.DUMMYFUNCTION("""COMPUTED_VALUE"""),"NOT_FOUND")</f>
        <v>NOT_FOUND</v>
      </c>
      <c r="C123" s="31" t="str">
        <f>IFERROR(__xludf.DUMMYFUNCTION("""COMPUTED_VALUE"""),"User not found")</f>
        <v>User not found</v>
      </c>
      <c r="D123" s="31" t="str">
        <f>IFERROR(__xludf.DUMMYFUNCTION("""COMPUTED_VALUE"""),"Revoked ")</f>
        <v>Revoked </v>
      </c>
      <c r="E123" s="31" t="str">
        <f>IFERROR(__xludf.DUMMYFUNCTION("""COMPUTED_VALUE"""),"No-Need")</f>
        <v>No-Need</v>
      </c>
      <c r="F123" s="31" t="str">
        <f>IFERROR(__xludf.DUMMYFUNCTION("""COMPUTED_VALUE"""),"No-Need")</f>
        <v>No-Need</v>
      </c>
      <c r="G123" s="31" t="str">
        <f>IFERROR(__xludf.DUMMYFUNCTION("""COMPUTED_VALUE"""),"No-Need")</f>
        <v>No-Need</v>
      </c>
      <c r="H123" s="31" t="str">
        <f>IFERROR(__xludf.DUMMYFUNCTION("""COMPUTED_VALUE"""),"N/A")</f>
        <v>N/A</v>
      </c>
      <c r="I123" s="31" t="str">
        <f>IFERROR(__xludf.DUMMYFUNCTION("""COMPUTED_VALUE"""),"Technology")</f>
        <v>Technology</v>
      </c>
      <c r="J123" s="103">
        <f>IFERROR(__xludf.DUMMYFUNCTION("""COMPUTED_VALUE"""),45925.0)</f>
        <v>45925</v>
      </c>
      <c r="K123" s="104" t="str">
        <f>IFERROR(__xludf.DUMMYFUNCTION("""COMPUTED_VALUE"""),"Confrm By Abhishek Gupta")</f>
        <v>Confrm By Abhishek Gupta</v>
      </c>
    </row>
    <row r="124">
      <c r="A124" s="31" t="str">
        <f>IFERROR(__xludf.DUMMYFUNCTION("""COMPUTED_VALUE"""),"roma.mehta@zupee.in")</f>
        <v>roma.mehta@zupee.in</v>
      </c>
      <c r="B124" s="31" t="str">
        <f>IFERROR(__xludf.DUMMYFUNCTION("""COMPUTED_VALUE"""),"NOT_FOUND")</f>
        <v>NOT_FOUND</v>
      </c>
      <c r="C124" s="31" t="str">
        <f>IFERROR(__xludf.DUMMYFUNCTION("""COMPUTED_VALUE"""),"User not found")</f>
        <v>User not found</v>
      </c>
      <c r="D124" s="31" t="str">
        <f>IFERROR(__xludf.DUMMYFUNCTION("""COMPUTED_VALUE"""),"Revoked ")</f>
        <v>Revoked </v>
      </c>
      <c r="E124" s="31" t="str">
        <f>IFERROR(__xludf.DUMMYFUNCTION("""COMPUTED_VALUE"""),"rajkumar.singh@zupee.in")</f>
        <v>rajkumar.singh@zupee.in</v>
      </c>
      <c r="F124" s="31" t="str">
        <f>IFERROR(__xludf.DUMMYFUNCTION("""COMPUTED_VALUE"""),"Done")</f>
        <v>Done</v>
      </c>
      <c r="G124" s="31" t="str">
        <f>IFERROR(__xludf.DUMMYFUNCTION("""COMPUTED_VALUE"""),"Done")</f>
        <v>Done</v>
      </c>
      <c r="H124" s="31" t="str">
        <f>IFERROR(__xludf.DUMMYFUNCTION("""COMPUTED_VALUE"""),"itservices@zupee.in")</f>
        <v>itservices@zupee.in</v>
      </c>
      <c r="I124" s="31" t="str">
        <f>IFERROR(__xludf.DUMMYFUNCTION("""COMPUTED_VALUE"""),"IT Infra")</f>
        <v>IT Infra</v>
      </c>
      <c r="J124" s="103">
        <f>IFERROR(__xludf.DUMMYFUNCTION("""COMPUTED_VALUE"""),45929.0)</f>
        <v>45929</v>
      </c>
      <c r="K124" s="104" t="str">
        <f>IFERROR(__xludf.DUMMYFUNCTION("""COMPUTED_VALUE"""),"Confrm By Rajkumar")</f>
        <v>Confrm By Rajkumar</v>
      </c>
    </row>
    <row r="125">
      <c r="A125" s="31" t="str">
        <f>IFERROR(__xludf.DUMMYFUNCTION("""COMPUTED_VALUE"""),"anuj.srivastava@zupee.in")</f>
        <v>anuj.srivastava@zupee.in</v>
      </c>
      <c r="B125" s="31" t="str">
        <f>IFERROR(__xludf.DUMMYFUNCTION("""COMPUTED_VALUE"""),"NOT_FOUND")</f>
        <v>NOT_FOUND</v>
      </c>
      <c r="C125" s="31" t="str">
        <f>IFERROR(__xludf.DUMMYFUNCTION("""COMPUTED_VALUE"""),"User not found")</f>
        <v>User not found</v>
      </c>
      <c r="D125" s="31" t="str">
        <f>IFERROR(__xludf.DUMMYFUNCTION("""COMPUTED_VALUE"""),"Revoked ")</f>
        <v>Revoked </v>
      </c>
      <c r="E125" s="31" t="str">
        <f>IFERROR(__xludf.DUMMYFUNCTION("""COMPUTED_VALUE"""),"No-Need")</f>
        <v>No-Need</v>
      </c>
      <c r="F125" s="31" t="str">
        <f>IFERROR(__xludf.DUMMYFUNCTION("""COMPUTED_VALUE"""),"No-Need")</f>
        <v>No-Need</v>
      </c>
      <c r="G125" s="31" t="str">
        <f>IFERROR(__xludf.DUMMYFUNCTION("""COMPUTED_VALUE"""),"No-Need")</f>
        <v>No-Need</v>
      </c>
      <c r="H125" s="31" t="str">
        <f>IFERROR(__xludf.DUMMYFUNCTION("""COMPUTED_VALUE"""),"N/A")</f>
        <v>N/A</v>
      </c>
      <c r="I125" s="31" t="str">
        <f>IFERROR(__xludf.DUMMYFUNCTION("""COMPUTED_VALUE"""),"Technology")</f>
        <v>Technology</v>
      </c>
      <c r="J125" s="103">
        <f>IFERROR(__xludf.DUMMYFUNCTION("""COMPUTED_VALUE"""),45931.0)</f>
        <v>45931</v>
      </c>
      <c r="K125" s="104" t="str">
        <f>IFERROR(__xludf.DUMMYFUNCTION("""COMPUTED_VALUE"""),"Confrm By Abhishek Gupta")</f>
        <v>Confrm By Abhishek Gupta</v>
      </c>
    </row>
    <row r="126">
      <c r="A126" s="31" t="str">
        <f>IFERROR(__xludf.DUMMYFUNCTION("""COMPUTED_VALUE"""),"akshata.upari@zupee.in")</f>
        <v>akshata.upari@zupee.in</v>
      </c>
      <c r="B126" s="31" t="str">
        <f>IFERROR(__xludf.DUMMYFUNCTION("""COMPUTED_VALUE"""),"NOT_FOUND")</f>
        <v>NOT_FOUND</v>
      </c>
      <c r="C126" s="31" t="str">
        <f>IFERROR(__xludf.DUMMYFUNCTION("""COMPUTED_VALUE"""),"User not found")</f>
        <v>User not found</v>
      </c>
      <c r="D126" s="31" t="str">
        <f>IFERROR(__xludf.DUMMYFUNCTION("""COMPUTED_VALUE"""),"Revoked ")</f>
        <v>Revoked </v>
      </c>
      <c r="E126" s="31" t="str">
        <f>IFERROR(__xludf.DUMMYFUNCTION("""COMPUTED_VALUE"""),"sumit.yadav@zupee.in")</f>
        <v>sumit.yadav@zupee.in</v>
      </c>
      <c r="F126" s="31" t="str">
        <f>IFERROR(__xludf.DUMMYFUNCTION("""COMPUTED_VALUE"""),"Done")</f>
        <v>Done</v>
      </c>
      <c r="G126" s="31" t="str">
        <f>IFERROR(__xludf.DUMMYFUNCTION("""COMPUTED_VALUE"""),"No-Need")</f>
        <v>No-Need</v>
      </c>
      <c r="H126" s="31" t="str">
        <f>IFERROR(__xludf.DUMMYFUNCTION("""COMPUTED_VALUE"""),"N/A")</f>
        <v>N/A</v>
      </c>
      <c r="I126" s="31" t="str">
        <f>IFERROR(__xludf.DUMMYFUNCTION("""COMPUTED_VALUE"""),"CRM")</f>
        <v>CRM</v>
      </c>
      <c r="J126" s="103">
        <f>IFERROR(__xludf.DUMMYFUNCTION("""COMPUTED_VALUE"""),45944.0)</f>
        <v>45944</v>
      </c>
      <c r="K126" s="104" t="str">
        <f>IFERROR(__xludf.DUMMYFUNCTION("""COMPUTED_VALUE"""),"Conf By Mrityunjay Kumar")</f>
        <v>Conf By Mrityunjay Kumar</v>
      </c>
    </row>
    <row r="127">
      <c r="A127" s="31" t="str">
        <f>IFERROR(__xludf.DUMMYFUNCTION("""COMPUTED_VALUE"""),"bharti.rani@zupee.in")</f>
        <v>bharti.rani@zupee.in</v>
      </c>
      <c r="B127" s="31" t="str">
        <f>IFERROR(__xludf.DUMMYFUNCTION("""COMPUTED_VALUE"""),"NOT_FOUND")</f>
        <v>NOT_FOUND</v>
      </c>
      <c r="C127" s="31" t="str">
        <f>IFERROR(__xludf.DUMMYFUNCTION("""COMPUTED_VALUE"""),"User not found")</f>
        <v>User not found</v>
      </c>
      <c r="D127" s="31" t="str">
        <f>IFERROR(__xludf.DUMMYFUNCTION("""COMPUTED_VALUE"""),"Revoked ")</f>
        <v>Revoked </v>
      </c>
      <c r="E127" s="31" t="str">
        <f>IFERROR(__xludf.DUMMYFUNCTION("""COMPUTED_VALUE"""),"sumit.yadav@zupee.in")</f>
        <v>sumit.yadav@zupee.in</v>
      </c>
      <c r="F127" s="31" t="str">
        <f>IFERROR(__xludf.DUMMYFUNCTION("""COMPUTED_VALUE"""),"Done")</f>
        <v>Done</v>
      </c>
      <c r="G127" s="31" t="str">
        <f>IFERROR(__xludf.DUMMYFUNCTION("""COMPUTED_VALUE"""),"No-Need")</f>
        <v>No-Need</v>
      </c>
      <c r="H127" s="31" t="str">
        <f>IFERROR(__xludf.DUMMYFUNCTION("""COMPUTED_VALUE"""),"N/A")</f>
        <v>N/A</v>
      </c>
      <c r="I127" s="31" t="str">
        <f>IFERROR(__xludf.DUMMYFUNCTION("""COMPUTED_VALUE"""),"CRM")</f>
        <v>CRM</v>
      </c>
      <c r="J127" s="103">
        <f>IFERROR(__xludf.DUMMYFUNCTION("""COMPUTED_VALUE"""),45944.0)</f>
        <v>45944</v>
      </c>
      <c r="K127" s="104" t="str">
        <f>IFERROR(__xludf.DUMMYFUNCTION("""COMPUTED_VALUE"""),"Conf By Mrityunjay Kumar")</f>
        <v>Conf By Mrityunjay Kumar</v>
      </c>
    </row>
    <row r="128">
      <c r="A128" s="31" t="str">
        <f>IFERROR(__xludf.DUMMYFUNCTION("""COMPUTED_VALUE"""),"bhoomika.arora@zupee.in")</f>
        <v>bhoomika.arora@zupee.in</v>
      </c>
      <c r="B128" s="31" t="str">
        <f>IFERROR(__xludf.DUMMYFUNCTION("""COMPUTED_VALUE"""),"NOT_FOUND")</f>
        <v>NOT_FOUND</v>
      </c>
      <c r="C128" s="31" t="str">
        <f>IFERROR(__xludf.DUMMYFUNCTION("""COMPUTED_VALUE"""),"User not found")</f>
        <v>User not found</v>
      </c>
      <c r="D128" s="31" t="str">
        <f>IFERROR(__xludf.DUMMYFUNCTION("""COMPUTED_VALUE"""),"Revoked ")</f>
        <v>Revoked </v>
      </c>
      <c r="E128" s="31" t="str">
        <f>IFERROR(__xludf.DUMMYFUNCTION("""COMPUTED_VALUE"""),"sumit.yadav@zupee.in")</f>
        <v>sumit.yadav@zupee.in</v>
      </c>
      <c r="F128" s="31" t="str">
        <f>IFERROR(__xludf.DUMMYFUNCTION("""COMPUTED_VALUE"""),"Done")</f>
        <v>Done</v>
      </c>
      <c r="G128" s="31" t="str">
        <f>IFERROR(__xludf.DUMMYFUNCTION("""COMPUTED_VALUE"""),"No-Need")</f>
        <v>No-Need</v>
      </c>
      <c r="H128" s="31" t="str">
        <f>IFERROR(__xludf.DUMMYFUNCTION("""COMPUTED_VALUE"""),"N/A")</f>
        <v>N/A</v>
      </c>
      <c r="I128" s="31" t="str">
        <f>IFERROR(__xludf.DUMMYFUNCTION("""COMPUTED_VALUE"""),"CRM")</f>
        <v>CRM</v>
      </c>
      <c r="J128" s="103">
        <f>IFERROR(__xludf.DUMMYFUNCTION("""COMPUTED_VALUE"""),45944.0)</f>
        <v>45944</v>
      </c>
      <c r="K128" s="104" t="str">
        <f>IFERROR(__xludf.DUMMYFUNCTION("""COMPUTED_VALUE"""),"Conf By Mrityunjay Kumar")</f>
        <v>Conf By Mrityunjay Kumar</v>
      </c>
    </row>
    <row r="129">
      <c r="A129" s="31" t="str">
        <f>IFERROR(__xludf.DUMMYFUNCTION("""COMPUTED_VALUE"""),"deeplata.singh@zupee.in")</f>
        <v>deeplata.singh@zupee.in</v>
      </c>
      <c r="B129" s="31" t="str">
        <f>IFERROR(__xludf.DUMMYFUNCTION("""COMPUTED_VALUE"""),"NOT_FOUND")</f>
        <v>NOT_FOUND</v>
      </c>
      <c r="C129" s="31" t="str">
        <f>IFERROR(__xludf.DUMMYFUNCTION("""COMPUTED_VALUE"""),"User not found")</f>
        <v>User not found</v>
      </c>
      <c r="D129" s="31" t="str">
        <f>IFERROR(__xludf.DUMMYFUNCTION("""COMPUTED_VALUE"""),"Revoked ")</f>
        <v>Revoked </v>
      </c>
      <c r="E129" s="31" t="str">
        <f>IFERROR(__xludf.DUMMYFUNCTION("""COMPUTED_VALUE"""),"sumit.yadav@zupee.in")</f>
        <v>sumit.yadav@zupee.in</v>
      </c>
      <c r="F129" s="31" t="str">
        <f>IFERROR(__xludf.DUMMYFUNCTION("""COMPUTED_VALUE"""),"Done")</f>
        <v>Done</v>
      </c>
      <c r="G129" s="31" t="str">
        <f>IFERROR(__xludf.DUMMYFUNCTION("""COMPUTED_VALUE"""),"No-Need")</f>
        <v>No-Need</v>
      </c>
      <c r="H129" s="31" t="str">
        <f>IFERROR(__xludf.DUMMYFUNCTION("""COMPUTED_VALUE"""),"N/A")</f>
        <v>N/A</v>
      </c>
      <c r="I129" s="31" t="str">
        <f>IFERROR(__xludf.DUMMYFUNCTION("""COMPUTED_VALUE"""),"CRM")</f>
        <v>CRM</v>
      </c>
      <c r="J129" s="103">
        <f>IFERROR(__xludf.DUMMYFUNCTION("""COMPUTED_VALUE"""),45944.0)</f>
        <v>45944</v>
      </c>
      <c r="K129" s="104" t="str">
        <f>IFERROR(__xludf.DUMMYFUNCTION("""COMPUTED_VALUE"""),"Conf By Mrityunjay Kumar")</f>
        <v>Conf By Mrityunjay Kumar</v>
      </c>
    </row>
    <row r="130">
      <c r="A130" s="31" t="str">
        <f>IFERROR(__xludf.DUMMYFUNCTION("""COMPUTED_VALUE"""),"diksha.verma@zupee.in")</f>
        <v>diksha.verma@zupee.in</v>
      </c>
      <c r="B130" s="31" t="str">
        <f>IFERROR(__xludf.DUMMYFUNCTION("""COMPUTED_VALUE"""),"NOT_FOUND")</f>
        <v>NOT_FOUND</v>
      </c>
      <c r="C130" s="31" t="str">
        <f>IFERROR(__xludf.DUMMYFUNCTION("""COMPUTED_VALUE"""),"User not found")</f>
        <v>User not found</v>
      </c>
      <c r="D130" s="31" t="str">
        <f>IFERROR(__xludf.DUMMYFUNCTION("""COMPUTED_VALUE"""),"Revoked ")</f>
        <v>Revoked </v>
      </c>
      <c r="E130" s="31" t="str">
        <f>IFERROR(__xludf.DUMMYFUNCTION("""COMPUTED_VALUE"""),"sumit.yadav@zupee.in")</f>
        <v>sumit.yadav@zupee.in</v>
      </c>
      <c r="F130" s="31" t="str">
        <f>IFERROR(__xludf.DUMMYFUNCTION("""COMPUTED_VALUE"""),"Done")</f>
        <v>Done</v>
      </c>
      <c r="G130" s="31" t="str">
        <f>IFERROR(__xludf.DUMMYFUNCTION("""COMPUTED_VALUE"""),"No-Need")</f>
        <v>No-Need</v>
      </c>
      <c r="H130" s="31" t="str">
        <f>IFERROR(__xludf.DUMMYFUNCTION("""COMPUTED_VALUE"""),"N/A")</f>
        <v>N/A</v>
      </c>
      <c r="I130" s="31" t="str">
        <f>IFERROR(__xludf.DUMMYFUNCTION("""COMPUTED_VALUE"""),"CRM")</f>
        <v>CRM</v>
      </c>
      <c r="J130" s="103">
        <f>IFERROR(__xludf.DUMMYFUNCTION("""COMPUTED_VALUE"""),45944.0)</f>
        <v>45944</v>
      </c>
      <c r="K130" s="104" t="str">
        <f>IFERROR(__xludf.DUMMYFUNCTION("""COMPUTED_VALUE"""),"Conf By Mrityunjay Kumar")</f>
        <v>Conf By Mrityunjay Kumar</v>
      </c>
    </row>
    <row r="131">
      <c r="A131" s="31" t="str">
        <f>IFERROR(__xludf.DUMMYFUNCTION("""COMPUTED_VALUE"""),"divya.dhiman@zupee.in")</f>
        <v>divya.dhiman@zupee.in</v>
      </c>
      <c r="B131" s="31" t="str">
        <f>IFERROR(__xludf.DUMMYFUNCTION("""COMPUTED_VALUE"""),"NOT_FOUND")</f>
        <v>NOT_FOUND</v>
      </c>
      <c r="C131" s="31" t="str">
        <f>IFERROR(__xludf.DUMMYFUNCTION("""COMPUTED_VALUE"""),"User not found")</f>
        <v>User not found</v>
      </c>
      <c r="D131" s="31" t="str">
        <f>IFERROR(__xludf.DUMMYFUNCTION("""COMPUTED_VALUE"""),"Revoked ")</f>
        <v>Revoked </v>
      </c>
      <c r="E131" s="31" t="str">
        <f>IFERROR(__xludf.DUMMYFUNCTION("""COMPUTED_VALUE"""),"sumit.yadav@zupee.in")</f>
        <v>sumit.yadav@zupee.in</v>
      </c>
      <c r="F131" s="31" t="str">
        <f>IFERROR(__xludf.DUMMYFUNCTION("""COMPUTED_VALUE"""),"Done")</f>
        <v>Done</v>
      </c>
      <c r="G131" s="31" t="str">
        <f>IFERROR(__xludf.DUMMYFUNCTION("""COMPUTED_VALUE"""),"No-Need")</f>
        <v>No-Need</v>
      </c>
      <c r="H131" s="31" t="str">
        <f>IFERROR(__xludf.DUMMYFUNCTION("""COMPUTED_VALUE"""),"N/A")</f>
        <v>N/A</v>
      </c>
      <c r="I131" s="31" t="str">
        <f>IFERROR(__xludf.DUMMYFUNCTION("""COMPUTED_VALUE"""),"CRM")</f>
        <v>CRM</v>
      </c>
      <c r="J131" s="103">
        <f>IFERROR(__xludf.DUMMYFUNCTION("""COMPUTED_VALUE"""),45944.0)</f>
        <v>45944</v>
      </c>
      <c r="K131" s="104" t="str">
        <f>IFERROR(__xludf.DUMMYFUNCTION("""COMPUTED_VALUE"""),"Conf By Mrityunjay Kumar")</f>
        <v>Conf By Mrityunjay Kumar</v>
      </c>
    </row>
    <row r="132">
      <c r="A132" s="31" t="str">
        <f>IFERROR(__xludf.DUMMYFUNCTION("""COMPUTED_VALUE"""),"gaurav.m@zupee.in")</f>
        <v>gaurav.m@zupee.in</v>
      </c>
      <c r="B132" s="31" t="str">
        <f>IFERROR(__xludf.DUMMYFUNCTION("""COMPUTED_VALUE"""),"NOT_FOUND")</f>
        <v>NOT_FOUND</v>
      </c>
      <c r="C132" s="31" t="str">
        <f>IFERROR(__xludf.DUMMYFUNCTION("""COMPUTED_VALUE"""),"User not found")</f>
        <v>User not found</v>
      </c>
      <c r="D132" s="31" t="str">
        <f>IFERROR(__xludf.DUMMYFUNCTION("""COMPUTED_VALUE"""),"Revoked ")</f>
        <v>Revoked </v>
      </c>
      <c r="E132" s="31" t="str">
        <f>IFERROR(__xludf.DUMMYFUNCTION("""COMPUTED_VALUE"""),"sumit.yadav@zupee.in")</f>
        <v>sumit.yadav@zupee.in</v>
      </c>
      <c r="F132" s="31" t="str">
        <f>IFERROR(__xludf.DUMMYFUNCTION("""COMPUTED_VALUE"""),"Done")</f>
        <v>Done</v>
      </c>
      <c r="G132" s="31" t="str">
        <f>IFERROR(__xludf.DUMMYFUNCTION("""COMPUTED_VALUE"""),"No-Need")</f>
        <v>No-Need</v>
      </c>
      <c r="H132" s="31" t="str">
        <f>IFERROR(__xludf.DUMMYFUNCTION("""COMPUTED_VALUE"""),"N/A")</f>
        <v>N/A</v>
      </c>
      <c r="I132" s="31" t="str">
        <f>IFERROR(__xludf.DUMMYFUNCTION("""COMPUTED_VALUE"""),"CRM")</f>
        <v>CRM</v>
      </c>
      <c r="J132" s="103">
        <f>IFERROR(__xludf.DUMMYFUNCTION("""COMPUTED_VALUE"""),45944.0)</f>
        <v>45944</v>
      </c>
      <c r="K132" s="104" t="str">
        <f>IFERROR(__xludf.DUMMYFUNCTION("""COMPUTED_VALUE"""),"Conf By Mrityunjay Kumar")</f>
        <v>Conf By Mrityunjay Kumar</v>
      </c>
    </row>
    <row r="133">
      <c r="A133" s="31" t="str">
        <f>IFERROR(__xludf.DUMMYFUNCTION("""COMPUTED_VALUE"""),"gauri.menghani@zupee.in")</f>
        <v>gauri.menghani@zupee.in</v>
      </c>
      <c r="B133" s="31" t="str">
        <f>IFERROR(__xludf.DUMMYFUNCTION("""COMPUTED_VALUE"""),"NOT_FOUND")</f>
        <v>NOT_FOUND</v>
      </c>
      <c r="C133" s="31" t="str">
        <f>IFERROR(__xludf.DUMMYFUNCTION("""COMPUTED_VALUE"""),"User not found")</f>
        <v>User not found</v>
      </c>
      <c r="D133" s="31" t="str">
        <f>IFERROR(__xludf.DUMMYFUNCTION("""COMPUTED_VALUE"""),"Revoked ")</f>
        <v>Revoked </v>
      </c>
      <c r="E133" s="31" t="str">
        <f>IFERROR(__xludf.DUMMYFUNCTION("""COMPUTED_VALUE"""),"sumit.yadav@zupee.in")</f>
        <v>sumit.yadav@zupee.in</v>
      </c>
      <c r="F133" s="31" t="str">
        <f>IFERROR(__xludf.DUMMYFUNCTION("""COMPUTED_VALUE"""),"Done")</f>
        <v>Done</v>
      </c>
      <c r="G133" s="31" t="str">
        <f>IFERROR(__xludf.DUMMYFUNCTION("""COMPUTED_VALUE"""),"No-Need")</f>
        <v>No-Need</v>
      </c>
      <c r="H133" s="31" t="str">
        <f>IFERROR(__xludf.DUMMYFUNCTION("""COMPUTED_VALUE"""),"N/A")</f>
        <v>N/A</v>
      </c>
      <c r="I133" s="31" t="str">
        <f>IFERROR(__xludf.DUMMYFUNCTION("""COMPUTED_VALUE"""),"CRM")</f>
        <v>CRM</v>
      </c>
      <c r="J133" s="103">
        <f>IFERROR(__xludf.DUMMYFUNCTION("""COMPUTED_VALUE"""),45944.0)</f>
        <v>45944</v>
      </c>
      <c r="K133" s="104" t="str">
        <f>IFERROR(__xludf.DUMMYFUNCTION("""COMPUTED_VALUE"""),"Conf By Mrityunjay Kumar")</f>
        <v>Conf By Mrityunjay Kumar</v>
      </c>
    </row>
    <row r="134">
      <c r="A134" s="31" t="str">
        <f>IFERROR(__xludf.DUMMYFUNCTION("""COMPUTED_VALUE"""),"iteshree.ipsita@zupee.in")</f>
        <v>iteshree.ipsita@zupee.in</v>
      </c>
      <c r="B134" s="31" t="str">
        <f>IFERROR(__xludf.DUMMYFUNCTION("""COMPUTED_VALUE"""),"NOT_FOUND")</f>
        <v>NOT_FOUND</v>
      </c>
      <c r="C134" s="31" t="str">
        <f>IFERROR(__xludf.DUMMYFUNCTION("""COMPUTED_VALUE"""),"User not found")</f>
        <v>User not found</v>
      </c>
      <c r="D134" s="31" t="str">
        <f>IFERROR(__xludf.DUMMYFUNCTION("""COMPUTED_VALUE"""),"Revoked ")</f>
        <v>Revoked </v>
      </c>
      <c r="E134" s="31" t="str">
        <f>IFERROR(__xludf.DUMMYFUNCTION("""COMPUTED_VALUE"""),"sumit.yadav@zupee.in")</f>
        <v>sumit.yadav@zupee.in</v>
      </c>
      <c r="F134" s="31" t="str">
        <f>IFERROR(__xludf.DUMMYFUNCTION("""COMPUTED_VALUE"""),"Done")</f>
        <v>Done</v>
      </c>
      <c r="G134" s="31" t="str">
        <f>IFERROR(__xludf.DUMMYFUNCTION("""COMPUTED_VALUE"""),"No-Need")</f>
        <v>No-Need</v>
      </c>
      <c r="H134" s="31" t="str">
        <f>IFERROR(__xludf.DUMMYFUNCTION("""COMPUTED_VALUE"""),"N/A")</f>
        <v>N/A</v>
      </c>
      <c r="I134" s="31" t="str">
        <f>IFERROR(__xludf.DUMMYFUNCTION("""COMPUTED_VALUE"""),"CRM")</f>
        <v>CRM</v>
      </c>
      <c r="J134" s="103">
        <f>IFERROR(__xludf.DUMMYFUNCTION("""COMPUTED_VALUE"""),45944.0)</f>
        <v>45944</v>
      </c>
      <c r="K134" s="104" t="str">
        <f>IFERROR(__xludf.DUMMYFUNCTION("""COMPUTED_VALUE"""),"Conf By Mrityunjay Kumar")</f>
        <v>Conf By Mrityunjay Kumar</v>
      </c>
    </row>
    <row r="135">
      <c r="A135" s="31" t="str">
        <f>IFERROR(__xludf.DUMMYFUNCTION("""COMPUTED_VALUE"""),"kailash.lalta@zupee.in")</f>
        <v>kailash.lalta@zupee.in</v>
      </c>
      <c r="B135" s="31" t="str">
        <f>IFERROR(__xludf.DUMMYFUNCTION("""COMPUTED_VALUE"""),"NOT_FOUND")</f>
        <v>NOT_FOUND</v>
      </c>
      <c r="C135" s="31" t="str">
        <f>IFERROR(__xludf.DUMMYFUNCTION("""COMPUTED_VALUE"""),"User not found")</f>
        <v>User not found</v>
      </c>
      <c r="D135" s="31" t="str">
        <f>IFERROR(__xludf.DUMMYFUNCTION("""COMPUTED_VALUE"""),"Revoked ")</f>
        <v>Revoked </v>
      </c>
      <c r="E135" s="31" t="str">
        <f>IFERROR(__xludf.DUMMYFUNCTION("""COMPUTED_VALUE"""),"sumit.yadav@zupee.in")</f>
        <v>sumit.yadav@zupee.in</v>
      </c>
      <c r="F135" s="31" t="str">
        <f>IFERROR(__xludf.DUMMYFUNCTION("""COMPUTED_VALUE"""),"Done")</f>
        <v>Done</v>
      </c>
      <c r="G135" s="31" t="str">
        <f>IFERROR(__xludf.DUMMYFUNCTION("""COMPUTED_VALUE"""),"No-Need")</f>
        <v>No-Need</v>
      </c>
      <c r="H135" s="31" t="str">
        <f>IFERROR(__xludf.DUMMYFUNCTION("""COMPUTED_VALUE"""),"N/A")</f>
        <v>N/A</v>
      </c>
      <c r="I135" s="31" t="str">
        <f>IFERROR(__xludf.DUMMYFUNCTION("""COMPUTED_VALUE"""),"CRM")</f>
        <v>CRM</v>
      </c>
      <c r="J135" s="103">
        <f>IFERROR(__xludf.DUMMYFUNCTION("""COMPUTED_VALUE"""),45944.0)</f>
        <v>45944</v>
      </c>
      <c r="K135" s="104" t="str">
        <f>IFERROR(__xludf.DUMMYFUNCTION("""COMPUTED_VALUE"""),"Conf By Mrityunjay Kumar")</f>
        <v>Conf By Mrityunjay Kumar</v>
      </c>
    </row>
    <row r="136">
      <c r="A136" s="31" t="str">
        <f>IFERROR(__xludf.DUMMYFUNCTION("""COMPUTED_VALUE"""),"pawan.sarswat@zupee.in")</f>
        <v>pawan.sarswat@zupee.in</v>
      </c>
      <c r="B136" s="31" t="str">
        <f>IFERROR(__xludf.DUMMYFUNCTION("""COMPUTED_VALUE"""),"NOT_FOUND")</f>
        <v>NOT_FOUND</v>
      </c>
      <c r="C136" s="31" t="str">
        <f>IFERROR(__xludf.DUMMYFUNCTION("""COMPUTED_VALUE"""),"User not found")</f>
        <v>User not found</v>
      </c>
      <c r="D136" s="31" t="str">
        <f>IFERROR(__xludf.DUMMYFUNCTION("""COMPUTED_VALUE"""),"Revoked ")</f>
        <v>Revoked </v>
      </c>
      <c r="E136" s="31" t="str">
        <f>IFERROR(__xludf.DUMMYFUNCTION("""COMPUTED_VALUE"""),"sumit.yadav@zupee.in")</f>
        <v>sumit.yadav@zupee.in</v>
      </c>
      <c r="F136" s="31" t="str">
        <f>IFERROR(__xludf.DUMMYFUNCTION("""COMPUTED_VALUE"""),"Done")</f>
        <v>Done</v>
      </c>
      <c r="G136" s="31" t="str">
        <f>IFERROR(__xludf.DUMMYFUNCTION("""COMPUTED_VALUE"""),"No-Need")</f>
        <v>No-Need</v>
      </c>
      <c r="H136" s="31" t="str">
        <f>IFERROR(__xludf.DUMMYFUNCTION("""COMPUTED_VALUE"""),"N/A")</f>
        <v>N/A</v>
      </c>
      <c r="I136" s="31" t="str">
        <f>IFERROR(__xludf.DUMMYFUNCTION("""COMPUTED_VALUE"""),"CRM")</f>
        <v>CRM</v>
      </c>
      <c r="J136" s="103">
        <f>IFERROR(__xludf.DUMMYFUNCTION("""COMPUTED_VALUE"""),45944.0)</f>
        <v>45944</v>
      </c>
      <c r="K136" s="104" t="str">
        <f>IFERROR(__xludf.DUMMYFUNCTION("""COMPUTED_VALUE"""),"Conf By Mrityunjay Kumar")</f>
        <v>Conf By Mrityunjay Kumar</v>
      </c>
    </row>
    <row r="137">
      <c r="A137" s="31" t="str">
        <f>IFERROR(__xludf.DUMMYFUNCTION("""COMPUTED_VALUE"""),"rahul.jaat@zupee.in")</f>
        <v>rahul.jaat@zupee.in</v>
      </c>
      <c r="B137" s="31" t="str">
        <f>IFERROR(__xludf.DUMMYFUNCTION("""COMPUTED_VALUE"""),"NOT_FOUND")</f>
        <v>NOT_FOUND</v>
      </c>
      <c r="C137" s="31" t="str">
        <f>IFERROR(__xludf.DUMMYFUNCTION("""COMPUTED_VALUE"""),"User not found")</f>
        <v>User not found</v>
      </c>
      <c r="D137" s="31" t="str">
        <f>IFERROR(__xludf.DUMMYFUNCTION("""COMPUTED_VALUE"""),"Revoked ")</f>
        <v>Revoked </v>
      </c>
      <c r="E137" s="31" t="str">
        <f>IFERROR(__xludf.DUMMYFUNCTION("""COMPUTED_VALUE"""),"sumit.yadav@zupee.in")</f>
        <v>sumit.yadav@zupee.in</v>
      </c>
      <c r="F137" s="31" t="str">
        <f>IFERROR(__xludf.DUMMYFUNCTION("""COMPUTED_VALUE"""),"Done")</f>
        <v>Done</v>
      </c>
      <c r="G137" s="31" t="str">
        <f>IFERROR(__xludf.DUMMYFUNCTION("""COMPUTED_VALUE"""),"No-Need")</f>
        <v>No-Need</v>
      </c>
      <c r="H137" s="31" t="str">
        <f>IFERROR(__xludf.DUMMYFUNCTION("""COMPUTED_VALUE"""),"N/A")</f>
        <v>N/A</v>
      </c>
      <c r="I137" s="31" t="str">
        <f>IFERROR(__xludf.DUMMYFUNCTION("""COMPUTED_VALUE"""),"CRM")</f>
        <v>CRM</v>
      </c>
      <c r="J137" s="103">
        <f>IFERROR(__xludf.DUMMYFUNCTION("""COMPUTED_VALUE"""),45944.0)</f>
        <v>45944</v>
      </c>
      <c r="K137" s="104" t="str">
        <f>IFERROR(__xludf.DUMMYFUNCTION("""COMPUTED_VALUE"""),"Conf By Mrityunjay Kumar")</f>
        <v>Conf By Mrityunjay Kumar</v>
      </c>
    </row>
    <row r="138">
      <c r="A138" s="31" t="str">
        <f>IFERROR(__xludf.DUMMYFUNCTION("""COMPUTED_VALUE"""),"rahul.shukla@zupee.in")</f>
        <v>rahul.shukla@zupee.in</v>
      </c>
      <c r="B138" s="31" t="str">
        <f>IFERROR(__xludf.DUMMYFUNCTION("""COMPUTED_VALUE"""),"NOT_FOUND")</f>
        <v>NOT_FOUND</v>
      </c>
      <c r="C138" s="31" t="str">
        <f>IFERROR(__xludf.DUMMYFUNCTION("""COMPUTED_VALUE"""),"User not found")</f>
        <v>User not found</v>
      </c>
      <c r="D138" s="31" t="str">
        <f>IFERROR(__xludf.DUMMYFUNCTION("""COMPUTED_VALUE"""),"Revoked ")</f>
        <v>Revoked </v>
      </c>
      <c r="E138" s="31" t="str">
        <f>IFERROR(__xludf.DUMMYFUNCTION("""COMPUTED_VALUE"""),"sumit.yadav@zupee.in")</f>
        <v>sumit.yadav@zupee.in</v>
      </c>
      <c r="F138" s="31" t="str">
        <f>IFERROR(__xludf.DUMMYFUNCTION("""COMPUTED_VALUE"""),"Done")</f>
        <v>Done</v>
      </c>
      <c r="G138" s="31" t="str">
        <f>IFERROR(__xludf.DUMMYFUNCTION("""COMPUTED_VALUE"""),"No-Need")</f>
        <v>No-Need</v>
      </c>
      <c r="H138" s="31" t="str">
        <f>IFERROR(__xludf.DUMMYFUNCTION("""COMPUTED_VALUE"""),"N/A")</f>
        <v>N/A</v>
      </c>
      <c r="I138" s="31" t="str">
        <f>IFERROR(__xludf.DUMMYFUNCTION("""COMPUTED_VALUE"""),"CRM")</f>
        <v>CRM</v>
      </c>
      <c r="J138" s="103">
        <f>IFERROR(__xludf.DUMMYFUNCTION("""COMPUTED_VALUE"""),45944.0)</f>
        <v>45944</v>
      </c>
      <c r="K138" s="104" t="str">
        <f>IFERROR(__xludf.DUMMYFUNCTION("""COMPUTED_VALUE"""),"Conf By Mrityunjay Kumar")</f>
        <v>Conf By Mrityunjay Kumar</v>
      </c>
    </row>
    <row r="139">
      <c r="A139" s="31" t="str">
        <f>IFERROR(__xludf.DUMMYFUNCTION("""COMPUTED_VALUE"""),"shobhit.sharma@zupee.in")</f>
        <v>shobhit.sharma@zupee.in</v>
      </c>
      <c r="B139" s="31" t="str">
        <f>IFERROR(__xludf.DUMMYFUNCTION("""COMPUTED_VALUE"""),"NOT_FOUND")</f>
        <v>NOT_FOUND</v>
      </c>
      <c r="C139" s="31" t="str">
        <f>IFERROR(__xludf.DUMMYFUNCTION("""COMPUTED_VALUE"""),"User not found")</f>
        <v>User not found</v>
      </c>
      <c r="D139" s="31" t="str">
        <f>IFERROR(__xludf.DUMMYFUNCTION("""COMPUTED_VALUE"""),"Revoked ")</f>
        <v>Revoked </v>
      </c>
      <c r="E139" s="31" t="str">
        <f>IFERROR(__xludf.DUMMYFUNCTION("""COMPUTED_VALUE"""),"sumit.yadav@zupee.in")</f>
        <v>sumit.yadav@zupee.in</v>
      </c>
      <c r="F139" s="31" t="str">
        <f>IFERROR(__xludf.DUMMYFUNCTION("""COMPUTED_VALUE"""),"Done")</f>
        <v>Done</v>
      </c>
      <c r="G139" s="31" t="str">
        <f>IFERROR(__xludf.DUMMYFUNCTION("""COMPUTED_VALUE"""),"No-Need")</f>
        <v>No-Need</v>
      </c>
      <c r="H139" s="31" t="str">
        <f>IFERROR(__xludf.DUMMYFUNCTION("""COMPUTED_VALUE"""),"N/A")</f>
        <v>N/A</v>
      </c>
      <c r="I139" s="31" t="str">
        <f>IFERROR(__xludf.DUMMYFUNCTION("""COMPUTED_VALUE"""),"CRM")</f>
        <v>CRM</v>
      </c>
      <c r="J139" s="103">
        <f>IFERROR(__xludf.DUMMYFUNCTION("""COMPUTED_VALUE"""),45944.0)</f>
        <v>45944</v>
      </c>
      <c r="K139" s="104" t="str">
        <f>IFERROR(__xludf.DUMMYFUNCTION("""COMPUTED_VALUE"""),"Conf By Mrityunjay Kumar")</f>
        <v>Conf By Mrityunjay Kumar</v>
      </c>
    </row>
    <row r="140">
      <c r="A140" s="31" t="str">
        <f>IFERROR(__xludf.DUMMYFUNCTION("""COMPUTED_VALUE"""),"srijith.shaji@zupee.in")</f>
        <v>srijith.shaji@zupee.in</v>
      </c>
      <c r="B140" s="31" t="str">
        <f>IFERROR(__xludf.DUMMYFUNCTION("""COMPUTED_VALUE"""),"NOT_FOUND")</f>
        <v>NOT_FOUND</v>
      </c>
      <c r="C140" s="31" t="str">
        <f>IFERROR(__xludf.DUMMYFUNCTION("""COMPUTED_VALUE"""),"User not found")</f>
        <v>User not found</v>
      </c>
      <c r="D140" s="31" t="str">
        <f>IFERROR(__xludf.DUMMYFUNCTION("""COMPUTED_VALUE"""),"Revoked ")</f>
        <v>Revoked </v>
      </c>
      <c r="E140" s="31" t="str">
        <f>IFERROR(__xludf.DUMMYFUNCTION("""COMPUTED_VALUE"""),"sumit.yadav@zupee.in")</f>
        <v>sumit.yadav@zupee.in</v>
      </c>
      <c r="F140" s="31" t="str">
        <f>IFERROR(__xludf.DUMMYFUNCTION("""COMPUTED_VALUE"""),"Done")</f>
        <v>Done</v>
      </c>
      <c r="G140" s="31" t="str">
        <f>IFERROR(__xludf.DUMMYFUNCTION("""COMPUTED_VALUE"""),"No-Need")</f>
        <v>No-Need</v>
      </c>
      <c r="H140" s="31" t="str">
        <f>IFERROR(__xludf.DUMMYFUNCTION("""COMPUTED_VALUE"""),"N/A")</f>
        <v>N/A</v>
      </c>
      <c r="I140" s="31" t="str">
        <f>IFERROR(__xludf.DUMMYFUNCTION("""COMPUTED_VALUE"""),"CRM")</f>
        <v>CRM</v>
      </c>
      <c r="J140" s="103">
        <f>IFERROR(__xludf.DUMMYFUNCTION("""COMPUTED_VALUE"""),45944.0)</f>
        <v>45944</v>
      </c>
      <c r="K140" s="104" t="str">
        <f>IFERROR(__xludf.DUMMYFUNCTION("""COMPUTED_VALUE"""),"Conf By Mrityunjay Kumar")</f>
        <v>Conf By Mrityunjay Kumar</v>
      </c>
    </row>
    <row r="141">
      <c r="A141" s="31" t="str">
        <f>IFERROR(__xludf.DUMMYFUNCTION("""COMPUTED_VALUE"""),"suman.kumar@zupee.in")</f>
        <v>suman.kumar@zupee.in</v>
      </c>
      <c r="B141" s="31" t="str">
        <f>IFERROR(__xludf.DUMMYFUNCTION("""COMPUTED_VALUE"""),"NOT_FOUND")</f>
        <v>NOT_FOUND</v>
      </c>
      <c r="C141" s="31" t="str">
        <f>IFERROR(__xludf.DUMMYFUNCTION("""COMPUTED_VALUE"""),"User not found")</f>
        <v>User not found</v>
      </c>
      <c r="D141" s="31" t="str">
        <f>IFERROR(__xludf.DUMMYFUNCTION("""COMPUTED_VALUE"""),"Revoked ")</f>
        <v>Revoked </v>
      </c>
      <c r="E141" s="31" t="str">
        <f>IFERROR(__xludf.DUMMYFUNCTION("""COMPUTED_VALUE"""),"sumit.yadav@zupee.in")</f>
        <v>sumit.yadav@zupee.in</v>
      </c>
      <c r="F141" s="31" t="str">
        <f>IFERROR(__xludf.DUMMYFUNCTION("""COMPUTED_VALUE"""),"Done")</f>
        <v>Done</v>
      </c>
      <c r="G141" s="31" t="str">
        <f>IFERROR(__xludf.DUMMYFUNCTION("""COMPUTED_VALUE"""),"No-Need")</f>
        <v>No-Need</v>
      </c>
      <c r="H141" s="31" t="str">
        <f>IFERROR(__xludf.DUMMYFUNCTION("""COMPUTED_VALUE"""),"N/A")</f>
        <v>N/A</v>
      </c>
      <c r="I141" s="31" t="str">
        <f>IFERROR(__xludf.DUMMYFUNCTION("""COMPUTED_VALUE"""),"CRM")</f>
        <v>CRM</v>
      </c>
      <c r="J141" s="103">
        <f>IFERROR(__xludf.DUMMYFUNCTION("""COMPUTED_VALUE"""),45944.0)</f>
        <v>45944</v>
      </c>
      <c r="K141" s="104" t="str">
        <f>IFERROR(__xludf.DUMMYFUNCTION("""COMPUTED_VALUE"""),"Conf By Mrityunjay Kumar")</f>
        <v>Conf By Mrityunjay Kumar</v>
      </c>
    </row>
    <row r="142">
      <c r="A142" s="31" t="str">
        <f>IFERROR(__xludf.DUMMYFUNCTION("""COMPUTED_VALUE"""),"sumit.paul@zupee.in")</f>
        <v>sumit.paul@zupee.in</v>
      </c>
      <c r="B142" s="31" t="str">
        <f>IFERROR(__xludf.DUMMYFUNCTION("""COMPUTED_VALUE"""),"NOT_FOUND")</f>
        <v>NOT_FOUND</v>
      </c>
      <c r="C142" s="31" t="str">
        <f>IFERROR(__xludf.DUMMYFUNCTION("""COMPUTED_VALUE"""),"User not found")</f>
        <v>User not found</v>
      </c>
      <c r="D142" s="31" t="str">
        <f>IFERROR(__xludf.DUMMYFUNCTION("""COMPUTED_VALUE"""),"Revoked ")</f>
        <v>Revoked </v>
      </c>
      <c r="E142" s="31" t="str">
        <f>IFERROR(__xludf.DUMMYFUNCTION("""COMPUTED_VALUE"""),"sumit.yadav@zupee.in")</f>
        <v>sumit.yadav@zupee.in</v>
      </c>
      <c r="F142" s="31" t="str">
        <f>IFERROR(__xludf.DUMMYFUNCTION("""COMPUTED_VALUE"""),"Done")</f>
        <v>Done</v>
      </c>
      <c r="G142" s="31" t="str">
        <f>IFERROR(__xludf.DUMMYFUNCTION("""COMPUTED_VALUE"""),"No-Need")</f>
        <v>No-Need</v>
      </c>
      <c r="H142" s="31" t="str">
        <f>IFERROR(__xludf.DUMMYFUNCTION("""COMPUTED_VALUE"""),"N/A")</f>
        <v>N/A</v>
      </c>
      <c r="I142" s="31" t="str">
        <f>IFERROR(__xludf.DUMMYFUNCTION("""COMPUTED_VALUE"""),"CRM")</f>
        <v>CRM</v>
      </c>
      <c r="J142" s="103">
        <f>IFERROR(__xludf.DUMMYFUNCTION("""COMPUTED_VALUE"""),45944.0)</f>
        <v>45944</v>
      </c>
      <c r="K142" s="104" t="str">
        <f>IFERROR(__xludf.DUMMYFUNCTION("""COMPUTED_VALUE"""),"Conf By Mrityunjay Kumar")</f>
        <v>Conf By Mrityunjay Kumar</v>
      </c>
    </row>
    <row r="143">
      <c r="A143" s="31" t="str">
        <f>IFERROR(__xludf.DUMMYFUNCTION("""COMPUTED_VALUE"""),"suvra.das@zupee.in")</f>
        <v>suvra.das@zupee.in</v>
      </c>
      <c r="B143" s="31" t="str">
        <f>IFERROR(__xludf.DUMMYFUNCTION("""COMPUTED_VALUE"""),"NOT_FOUND")</f>
        <v>NOT_FOUND</v>
      </c>
      <c r="C143" s="31" t="str">
        <f>IFERROR(__xludf.DUMMYFUNCTION("""COMPUTED_VALUE"""),"User not found")</f>
        <v>User not found</v>
      </c>
      <c r="D143" s="31" t="str">
        <f>IFERROR(__xludf.DUMMYFUNCTION("""COMPUTED_VALUE"""),"Revoked ")</f>
        <v>Revoked </v>
      </c>
      <c r="E143" s="31" t="str">
        <f>IFERROR(__xludf.DUMMYFUNCTION("""COMPUTED_VALUE"""),"sumit.yadav@zupee.in")</f>
        <v>sumit.yadav@zupee.in</v>
      </c>
      <c r="F143" s="31" t="str">
        <f>IFERROR(__xludf.DUMMYFUNCTION("""COMPUTED_VALUE"""),"Done")</f>
        <v>Done</v>
      </c>
      <c r="G143" s="31" t="str">
        <f>IFERROR(__xludf.DUMMYFUNCTION("""COMPUTED_VALUE"""),"No-Need")</f>
        <v>No-Need</v>
      </c>
      <c r="H143" s="31" t="str">
        <f>IFERROR(__xludf.DUMMYFUNCTION("""COMPUTED_VALUE"""),"N/A")</f>
        <v>N/A</v>
      </c>
      <c r="I143" s="31" t="str">
        <f>IFERROR(__xludf.DUMMYFUNCTION("""COMPUTED_VALUE"""),"CRM")</f>
        <v>CRM</v>
      </c>
      <c r="J143" s="103">
        <f>IFERROR(__xludf.DUMMYFUNCTION("""COMPUTED_VALUE"""),45944.0)</f>
        <v>45944</v>
      </c>
      <c r="K143" s="104" t="str">
        <f>IFERROR(__xludf.DUMMYFUNCTION("""COMPUTED_VALUE"""),"Conf By Mrityunjay Kumar")</f>
        <v>Conf By Mrityunjay Kumar</v>
      </c>
    </row>
    <row r="144">
      <c r="A144" s="31" t="str">
        <f>IFERROR(__xludf.DUMMYFUNCTION("""COMPUTED_VALUE"""),"teena.gupta@zupee.in")</f>
        <v>teena.gupta@zupee.in</v>
      </c>
      <c r="B144" s="31" t="str">
        <f>IFERROR(__xludf.DUMMYFUNCTION("""COMPUTED_VALUE"""),"NOT_FOUND")</f>
        <v>NOT_FOUND</v>
      </c>
      <c r="C144" s="31" t="str">
        <f>IFERROR(__xludf.DUMMYFUNCTION("""COMPUTED_VALUE"""),"User not found")</f>
        <v>User not found</v>
      </c>
      <c r="D144" s="31" t="str">
        <f>IFERROR(__xludf.DUMMYFUNCTION("""COMPUTED_VALUE"""),"Revoked ")</f>
        <v>Revoked </v>
      </c>
      <c r="E144" s="31" t="str">
        <f>IFERROR(__xludf.DUMMYFUNCTION("""COMPUTED_VALUE"""),"sumit.yadav@zupee.in")</f>
        <v>sumit.yadav@zupee.in</v>
      </c>
      <c r="F144" s="31" t="str">
        <f>IFERROR(__xludf.DUMMYFUNCTION("""COMPUTED_VALUE"""),"Done")</f>
        <v>Done</v>
      </c>
      <c r="G144" s="31" t="str">
        <f>IFERROR(__xludf.DUMMYFUNCTION("""COMPUTED_VALUE"""),"No-Need")</f>
        <v>No-Need</v>
      </c>
      <c r="H144" s="31" t="str">
        <f>IFERROR(__xludf.DUMMYFUNCTION("""COMPUTED_VALUE"""),"N/A")</f>
        <v>N/A</v>
      </c>
      <c r="I144" s="31" t="str">
        <f>IFERROR(__xludf.DUMMYFUNCTION("""COMPUTED_VALUE"""),"CRM")</f>
        <v>CRM</v>
      </c>
      <c r="J144" s="103">
        <f>IFERROR(__xludf.DUMMYFUNCTION("""COMPUTED_VALUE"""),45944.0)</f>
        <v>45944</v>
      </c>
      <c r="K144" s="104" t="str">
        <f>IFERROR(__xludf.DUMMYFUNCTION("""COMPUTED_VALUE"""),"Conf By Mrityunjay Kumar")</f>
        <v>Conf By Mrityunjay Kumar</v>
      </c>
    </row>
    <row r="145">
      <c r="A145" s="31" t="str">
        <f>IFERROR(__xludf.DUMMYFUNCTION("""COMPUTED_VALUE"""),"umair.iliyas@zupee.in")</f>
        <v>umair.iliyas@zupee.in</v>
      </c>
      <c r="B145" s="31" t="str">
        <f>IFERROR(__xludf.DUMMYFUNCTION("""COMPUTED_VALUE"""),"NOT_FOUND")</f>
        <v>NOT_FOUND</v>
      </c>
      <c r="C145" s="31" t="str">
        <f>IFERROR(__xludf.DUMMYFUNCTION("""COMPUTED_VALUE"""),"User not found")</f>
        <v>User not found</v>
      </c>
      <c r="D145" s="31" t="str">
        <f>IFERROR(__xludf.DUMMYFUNCTION("""COMPUTED_VALUE"""),"Revoked ")</f>
        <v>Revoked </v>
      </c>
      <c r="E145" s="31" t="str">
        <f>IFERROR(__xludf.DUMMYFUNCTION("""COMPUTED_VALUE"""),"sumit.yadav@zupee.in")</f>
        <v>sumit.yadav@zupee.in</v>
      </c>
      <c r="F145" s="31" t="str">
        <f>IFERROR(__xludf.DUMMYFUNCTION("""COMPUTED_VALUE"""),"Done")</f>
        <v>Done</v>
      </c>
      <c r="G145" s="31" t="str">
        <f>IFERROR(__xludf.DUMMYFUNCTION("""COMPUTED_VALUE"""),"No-Need")</f>
        <v>No-Need</v>
      </c>
      <c r="H145" s="31" t="str">
        <f>IFERROR(__xludf.DUMMYFUNCTION("""COMPUTED_VALUE"""),"N/A")</f>
        <v>N/A</v>
      </c>
      <c r="I145" s="31" t="str">
        <f>IFERROR(__xludf.DUMMYFUNCTION("""COMPUTED_VALUE"""),"CRM")</f>
        <v>CRM</v>
      </c>
      <c r="J145" s="103">
        <f>IFERROR(__xludf.DUMMYFUNCTION("""COMPUTED_VALUE"""),45944.0)</f>
        <v>45944</v>
      </c>
      <c r="K145" s="104" t="str">
        <f>IFERROR(__xludf.DUMMYFUNCTION("""COMPUTED_VALUE"""),"Conf By Mrityunjay Kumar")</f>
        <v>Conf By Mrityunjay Kumar</v>
      </c>
    </row>
    <row r="146">
      <c r="A146" s="31" t="str">
        <f>IFERROR(__xludf.DUMMYFUNCTION("""COMPUTED_VALUE"""),"vivek.claudius@zupee.in")</f>
        <v>vivek.claudius@zupee.in</v>
      </c>
      <c r="B146" s="31" t="str">
        <f>IFERROR(__xludf.DUMMYFUNCTION("""COMPUTED_VALUE"""),"NOT_FOUND")</f>
        <v>NOT_FOUND</v>
      </c>
      <c r="C146" s="31" t="str">
        <f>IFERROR(__xludf.DUMMYFUNCTION("""COMPUTED_VALUE"""),"User not found")</f>
        <v>User not found</v>
      </c>
      <c r="D146" s="31" t="str">
        <f>IFERROR(__xludf.DUMMYFUNCTION("""COMPUTED_VALUE"""),"Revoked ")</f>
        <v>Revoked </v>
      </c>
      <c r="E146" s="31" t="str">
        <f>IFERROR(__xludf.DUMMYFUNCTION("""COMPUTED_VALUE"""),"sumit.yadav@zupee.in")</f>
        <v>sumit.yadav@zupee.in</v>
      </c>
      <c r="F146" s="31" t="str">
        <f>IFERROR(__xludf.DUMMYFUNCTION("""COMPUTED_VALUE"""),"Done")</f>
        <v>Done</v>
      </c>
      <c r="G146" s="31" t="str">
        <f>IFERROR(__xludf.DUMMYFUNCTION("""COMPUTED_VALUE"""),"No-Need")</f>
        <v>No-Need</v>
      </c>
      <c r="H146" s="31" t="str">
        <f>IFERROR(__xludf.DUMMYFUNCTION("""COMPUTED_VALUE"""),"N/A")</f>
        <v>N/A</v>
      </c>
      <c r="I146" s="31" t="str">
        <f>IFERROR(__xludf.DUMMYFUNCTION("""COMPUTED_VALUE"""),"CRM")</f>
        <v>CRM</v>
      </c>
      <c r="J146" s="103">
        <f>IFERROR(__xludf.DUMMYFUNCTION("""COMPUTED_VALUE"""),45944.0)</f>
        <v>45944</v>
      </c>
      <c r="K146" s="104" t="str">
        <f>IFERROR(__xludf.DUMMYFUNCTION("""COMPUTED_VALUE"""),"Conf By Mrityunjay Kumar")</f>
        <v>Conf By Mrityunjay Kumar</v>
      </c>
    </row>
    <row r="147">
      <c r="A147" s="31" t="str">
        <f>IFERROR(__xludf.DUMMYFUNCTION("""COMPUTED_VALUE"""),"sameer.negi@zupee.in")</f>
        <v>sameer.negi@zupee.in</v>
      </c>
      <c r="B147" s="31" t="str">
        <f>IFERROR(__xludf.DUMMYFUNCTION("""COMPUTED_VALUE"""),"NOT_FOUND")</f>
        <v>NOT_FOUND</v>
      </c>
      <c r="C147" s="31" t="str">
        <f>IFERROR(__xludf.DUMMYFUNCTION("""COMPUTED_VALUE"""),"User not found")</f>
        <v>User not found</v>
      </c>
      <c r="D147" s="31" t="str">
        <f>IFERROR(__xludf.DUMMYFUNCTION("""COMPUTED_VALUE"""),"Revoked ")</f>
        <v>Revoked </v>
      </c>
      <c r="E147" s="31" t="str">
        <f>IFERROR(__xludf.DUMMYFUNCTION("""COMPUTED_VALUE"""),"No-Need")</f>
        <v>No-Need</v>
      </c>
      <c r="F147" s="31" t="str">
        <f>IFERROR(__xludf.DUMMYFUNCTION("""COMPUTED_VALUE"""),"No-Need")</f>
        <v>No-Need</v>
      </c>
      <c r="G147" s="31" t="str">
        <f>IFERROR(__xludf.DUMMYFUNCTION("""COMPUTED_VALUE"""),"No-Need")</f>
        <v>No-Need</v>
      </c>
      <c r="H147" s="31" t="str">
        <f>IFERROR(__xludf.DUMMYFUNCTION("""COMPUTED_VALUE"""),"N/A")</f>
        <v>N/A</v>
      </c>
      <c r="I147" s="31" t="str">
        <f>IFERROR(__xludf.DUMMYFUNCTION("""COMPUTED_VALUE"""),"IT Infra")</f>
        <v>IT Infra</v>
      </c>
      <c r="J147" s="103">
        <f>IFERROR(__xludf.DUMMYFUNCTION("""COMPUTED_VALUE"""),45944.0)</f>
        <v>45944</v>
      </c>
      <c r="K147" s="104" t="str">
        <f>IFERROR(__xludf.DUMMYFUNCTION("""COMPUTED_VALUE"""),"Confrm By Rajkumar")</f>
        <v>Confrm By Rajkumar</v>
      </c>
    </row>
    <row r="148">
      <c r="A148" s="31" t="str">
        <f>IFERROR(__xludf.DUMMYFUNCTION("""COMPUTED_VALUE"""),"aashi.mangal@zupee.in")</f>
        <v>aashi.mangal@zupee.in</v>
      </c>
      <c r="B148" s="31" t="str">
        <f>IFERROR(__xludf.DUMMYFUNCTION("""COMPUTED_VALUE"""),"NOT_FOUND")</f>
        <v>NOT_FOUND</v>
      </c>
      <c r="C148" s="31" t="str">
        <f>IFERROR(__xludf.DUMMYFUNCTION("""COMPUTED_VALUE"""),"User not found")</f>
        <v>User not found</v>
      </c>
      <c r="D148" s="31" t="str">
        <f>IFERROR(__xludf.DUMMYFUNCTION("""COMPUTED_VALUE"""),"Revoked ")</f>
        <v>Revoked </v>
      </c>
      <c r="E148" s="31" t="str">
        <f>IFERROR(__xludf.DUMMYFUNCTION("""COMPUTED_VALUE"""),"No-Need")</f>
        <v>No-Need</v>
      </c>
      <c r="F148" s="31" t="str">
        <f>IFERROR(__xludf.DUMMYFUNCTION("""COMPUTED_VALUE"""),"No-Need")</f>
        <v>No-Need</v>
      </c>
      <c r="G148" s="31" t="str">
        <f>IFERROR(__xludf.DUMMYFUNCTION("""COMPUTED_VALUE"""),"No-Need")</f>
        <v>No-Need</v>
      </c>
      <c r="H148" s="31" t="str">
        <f>IFERROR(__xludf.DUMMYFUNCTION("""COMPUTED_VALUE"""),"N/A")</f>
        <v>N/A</v>
      </c>
      <c r="I148" s="31" t="str">
        <f>IFERROR(__xludf.DUMMYFUNCTION("""COMPUTED_VALUE"""),"Technology")</f>
        <v>Technology</v>
      </c>
      <c r="J148" s="103">
        <f>IFERROR(__xludf.DUMMYFUNCTION("""COMPUTED_VALUE"""),45944.0)</f>
        <v>45944</v>
      </c>
      <c r="K148" s="104" t="str">
        <f>IFERROR(__xludf.DUMMYFUNCTION("""COMPUTED_VALUE"""),"Confrm By Abhishek Gupta")</f>
        <v>Confrm By Abhishek Gupta</v>
      </c>
    </row>
    <row r="149">
      <c r="A149" s="31" t="str">
        <f>IFERROR(__xludf.DUMMYFUNCTION("""COMPUTED_VALUE"""),"adarsh.kumar@zupee.in")</f>
        <v>adarsh.kumar@zupee.in</v>
      </c>
      <c r="B149" s="31" t="str">
        <f>IFERROR(__xludf.DUMMYFUNCTION("""COMPUTED_VALUE"""),"NOT_FOUND")</f>
        <v>NOT_FOUND</v>
      </c>
      <c r="C149" s="31" t="str">
        <f>IFERROR(__xludf.DUMMYFUNCTION("""COMPUTED_VALUE"""),"User not found")</f>
        <v>User not found</v>
      </c>
      <c r="D149" s="31" t="str">
        <f>IFERROR(__xludf.DUMMYFUNCTION("""COMPUTED_VALUE"""),"Revoked ")</f>
        <v>Revoked </v>
      </c>
      <c r="E149" s="31" t="str">
        <f>IFERROR(__xludf.DUMMYFUNCTION("""COMPUTED_VALUE"""),"No-Need")</f>
        <v>No-Need</v>
      </c>
      <c r="F149" s="31" t="str">
        <f>IFERROR(__xludf.DUMMYFUNCTION("""COMPUTED_VALUE"""),"No-Need")</f>
        <v>No-Need</v>
      </c>
      <c r="G149" s="31" t="str">
        <f>IFERROR(__xludf.DUMMYFUNCTION("""COMPUTED_VALUE"""),"No-Need")</f>
        <v>No-Need</v>
      </c>
      <c r="H149" s="31" t="str">
        <f>IFERROR(__xludf.DUMMYFUNCTION("""COMPUTED_VALUE"""),"N/A")</f>
        <v>N/A</v>
      </c>
      <c r="I149" s="31" t="str">
        <f>IFERROR(__xludf.DUMMYFUNCTION("""COMPUTED_VALUE"""),"Technology")</f>
        <v>Technology</v>
      </c>
      <c r="J149" s="103">
        <f>IFERROR(__xludf.DUMMYFUNCTION("""COMPUTED_VALUE"""),45944.0)</f>
        <v>45944</v>
      </c>
      <c r="K149" s="104" t="str">
        <f>IFERROR(__xludf.DUMMYFUNCTION("""COMPUTED_VALUE"""),"Confrm By Abhishek Gupta")</f>
        <v>Confrm By Abhishek Gupta</v>
      </c>
    </row>
    <row r="150">
      <c r="A150" s="31" t="str">
        <f>IFERROR(__xludf.DUMMYFUNCTION("""COMPUTED_VALUE"""),"amarjeet.yadav@zupee.in")</f>
        <v>amarjeet.yadav@zupee.in</v>
      </c>
      <c r="B150" s="31" t="str">
        <f>IFERROR(__xludf.DUMMYFUNCTION("""COMPUTED_VALUE"""),"NOT_FOUND")</f>
        <v>NOT_FOUND</v>
      </c>
      <c r="C150" s="31" t="str">
        <f>IFERROR(__xludf.DUMMYFUNCTION("""COMPUTED_VALUE"""),"User not found")</f>
        <v>User not found</v>
      </c>
      <c r="D150" s="31" t="str">
        <f>IFERROR(__xludf.DUMMYFUNCTION("""COMPUTED_VALUE"""),"Revoked ")</f>
        <v>Revoked </v>
      </c>
      <c r="E150" s="31" t="str">
        <f>IFERROR(__xludf.DUMMYFUNCTION("""COMPUTED_VALUE"""),"No-Need")</f>
        <v>No-Need</v>
      </c>
      <c r="F150" s="31" t="str">
        <f>IFERROR(__xludf.DUMMYFUNCTION("""COMPUTED_VALUE"""),"No-Need")</f>
        <v>No-Need</v>
      </c>
      <c r="G150" s="31" t="str">
        <f>IFERROR(__xludf.DUMMYFUNCTION("""COMPUTED_VALUE"""),"No-Need")</f>
        <v>No-Need</v>
      </c>
      <c r="H150" s="31" t="str">
        <f>IFERROR(__xludf.DUMMYFUNCTION("""COMPUTED_VALUE"""),"N/A")</f>
        <v>N/A</v>
      </c>
      <c r="I150" s="31" t="str">
        <f>IFERROR(__xludf.DUMMYFUNCTION("""COMPUTED_VALUE"""),"Technology")</f>
        <v>Technology</v>
      </c>
      <c r="J150" s="103">
        <f>IFERROR(__xludf.DUMMYFUNCTION("""COMPUTED_VALUE"""),45944.0)</f>
        <v>45944</v>
      </c>
      <c r="K150" s="104" t="str">
        <f>IFERROR(__xludf.DUMMYFUNCTION("""COMPUTED_VALUE"""),"Confrm By Abhishek Gupta")</f>
        <v>Confrm By Abhishek Gupta</v>
      </c>
    </row>
    <row r="151">
      <c r="A151" s="31" t="str">
        <f>IFERROR(__xludf.DUMMYFUNCTION("""COMPUTED_VALUE"""),"amroj.sandhu@zupee.in")</f>
        <v>amroj.sandhu@zupee.in</v>
      </c>
      <c r="B151" s="31" t="str">
        <f>IFERROR(__xludf.DUMMYFUNCTION("""COMPUTED_VALUE"""),"NOT_FOUND")</f>
        <v>NOT_FOUND</v>
      </c>
      <c r="C151" s="31" t="str">
        <f>IFERROR(__xludf.DUMMYFUNCTION("""COMPUTED_VALUE"""),"User not found")</f>
        <v>User not found</v>
      </c>
      <c r="D151" s="31" t="str">
        <f>IFERROR(__xludf.DUMMYFUNCTION("""COMPUTED_VALUE"""),"Revoked ")</f>
        <v>Revoked </v>
      </c>
      <c r="E151" s="31" t="str">
        <f>IFERROR(__xludf.DUMMYFUNCTION("""COMPUTED_VALUE"""),"No-Need")</f>
        <v>No-Need</v>
      </c>
      <c r="F151" s="31" t="str">
        <f>IFERROR(__xludf.DUMMYFUNCTION("""COMPUTED_VALUE"""),"No-Need")</f>
        <v>No-Need</v>
      </c>
      <c r="G151" s="31" t="str">
        <f>IFERROR(__xludf.DUMMYFUNCTION("""COMPUTED_VALUE"""),"No-Need")</f>
        <v>No-Need</v>
      </c>
      <c r="H151" s="31" t="str">
        <f>IFERROR(__xludf.DUMMYFUNCTION("""COMPUTED_VALUE"""),"N/A")</f>
        <v>N/A</v>
      </c>
      <c r="I151" s="31" t="str">
        <f>IFERROR(__xludf.DUMMYFUNCTION("""COMPUTED_VALUE"""),"Technology")</f>
        <v>Technology</v>
      </c>
      <c r="J151" s="103">
        <f>IFERROR(__xludf.DUMMYFUNCTION("""COMPUTED_VALUE"""),45944.0)</f>
        <v>45944</v>
      </c>
      <c r="K151" s="104" t="str">
        <f>IFERROR(__xludf.DUMMYFUNCTION("""COMPUTED_VALUE"""),"Confrm By Abhishek Gupta")</f>
        <v>Confrm By Abhishek Gupta</v>
      </c>
    </row>
    <row r="152">
      <c r="A152" s="31" t="str">
        <f>IFERROR(__xludf.DUMMYFUNCTION("""COMPUTED_VALUE"""),"anuj.gupta@zupee.in")</f>
        <v>anuj.gupta@zupee.in</v>
      </c>
      <c r="B152" s="31" t="str">
        <f>IFERROR(__xludf.DUMMYFUNCTION("""COMPUTED_VALUE"""),"NOT_FOUND")</f>
        <v>NOT_FOUND</v>
      </c>
      <c r="C152" s="31" t="str">
        <f>IFERROR(__xludf.DUMMYFUNCTION("""COMPUTED_VALUE"""),"User not found")</f>
        <v>User not found</v>
      </c>
      <c r="D152" s="31" t="str">
        <f>IFERROR(__xludf.DUMMYFUNCTION("""COMPUTED_VALUE"""),"Revoked ")</f>
        <v>Revoked </v>
      </c>
      <c r="E152" s="31" t="str">
        <f>IFERROR(__xludf.DUMMYFUNCTION("""COMPUTED_VALUE"""),"No-Need")</f>
        <v>No-Need</v>
      </c>
      <c r="F152" s="31" t="str">
        <f>IFERROR(__xludf.DUMMYFUNCTION("""COMPUTED_VALUE"""),"No-Need")</f>
        <v>No-Need</v>
      </c>
      <c r="G152" s="31" t="str">
        <f>IFERROR(__xludf.DUMMYFUNCTION("""COMPUTED_VALUE"""),"No-Need")</f>
        <v>No-Need</v>
      </c>
      <c r="H152" s="31" t="str">
        <f>IFERROR(__xludf.DUMMYFUNCTION("""COMPUTED_VALUE"""),"N/A")</f>
        <v>N/A</v>
      </c>
      <c r="I152" s="31" t="str">
        <f>IFERROR(__xludf.DUMMYFUNCTION("""COMPUTED_VALUE"""),"Technology")</f>
        <v>Technology</v>
      </c>
      <c r="J152" s="103">
        <f>IFERROR(__xludf.DUMMYFUNCTION("""COMPUTED_VALUE"""),45944.0)</f>
        <v>45944</v>
      </c>
      <c r="K152" s="104" t="str">
        <f>IFERROR(__xludf.DUMMYFUNCTION("""COMPUTED_VALUE"""),"Confrm By Abhishek Gupta")</f>
        <v>Confrm By Abhishek Gupta</v>
      </c>
    </row>
    <row r="153">
      <c r="A153" s="31" t="str">
        <f>IFERROR(__xludf.DUMMYFUNCTION("""COMPUTED_VALUE"""),"ayush.singhal@zupee.in")</f>
        <v>ayush.singhal@zupee.in</v>
      </c>
      <c r="B153" s="31" t="str">
        <f>IFERROR(__xludf.DUMMYFUNCTION("""COMPUTED_VALUE"""),"NOT_FOUND")</f>
        <v>NOT_FOUND</v>
      </c>
      <c r="C153" s="31" t="str">
        <f>IFERROR(__xludf.DUMMYFUNCTION("""COMPUTED_VALUE"""),"User not found")</f>
        <v>User not found</v>
      </c>
      <c r="D153" s="31" t="str">
        <f>IFERROR(__xludf.DUMMYFUNCTION("""COMPUTED_VALUE"""),"Revoked ")</f>
        <v>Revoked </v>
      </c>
      <c r="E153" s="31" t="str">
        <f>IFERROR(__xludf.DUMMYFUNCTION("""COMPUTED_VALUE"""),"No-Need")</f>
        <v>No-Need</v>
      </c>
      <c r="F153" s="31" t="str">
        <f>IFERROR(__xludf.DUMMYFUNCTION("""COMPUTED_VALUE"""),"No-Need")</f>
        <v>No-Need</v>
      </c>
      <c r="G153" s="31" t="str">
        <f>IFERROR(__xludf.DUMMYFUNCTION("""COMPUTED_VALUE"""),"No-Need")</f>
        <v>No-Need</v>
      </c>
      <c r="H153" s="31" t="str">
        <f>IFERROR(__xludf.DUMMYFUNCTION("""COMPUTED_VALUE"""),"N/A")</f>
        <v>N/A</v>
      </c>
      <c r="I153" s="31" t="str">
        <f>IFERROR(__xludf.DUMMYFUNCTION("""COMPUTED_VALUE"""),"Technology")</f>
        <v>Technology</v>
      </c>
      <c r="J153" s="103">
        <f>IFERROR(__xludf.DUMMYFUNCTION("""COMPUTED_VALUE"""),45944.0)</f>
        <v>45944</v>
      </c>
      <c r="K153" s="104" t="str">
        <f>IFERROR(__xludf.DUMMYFUNCTION("""COMPUTED_VALUE"""),"Confrm By Abhishek Gupta")</f>
        <v>Confrm By Abhishek Gupta</v>
      </c>
    </row>
    <row r="154">
      <c r="A154" s="31" t="str">
        <f>IFERROR(__xludf.DUMMYFUNCTION("""COMPUTED_VALUE"""),"bal.sikandar@zupee.in")</f>
        <v>bal.sikandar@zupee.in</v>
      </c>
      <c r="B154" s="31" t="str">
        <f>IFERROR(__xludf.DUMMYFUNCTION("""COMPUTED_VALUE"""),"NOT_FOUND")</f>
        <v>NOT_FOUND</v>
      </c>
      <c r="C154" s="31" t="str">
        <f>IFERROR(__xludf.DUMMYFUNCTION("""COMPUTED_VALUE"""),"User not found")</f>
        <v>User not found</v>
      </c>
      <c r="D154" s="31" t="str">
        <f>IFERROR(__xludf.DUMMYFUNCTION("""COMPUTED_VALUE"""),"Revoked ")</f>
        <v>Revoked </v>
      </c>
      <c r="E154" s="31" t="str">
        <f>IFERROR(__xludf.DUMMYFUNCTION("""COMPUTED_VALUE"""),"No-Need")</f>
        <v>No-Need</v>
      </c>
      <c r="F154" s="31" t="str">
        <f>IFERROR(__xludf.DUMMYFUNCTION("""COMPUTED_VALUE"""),"No-Need")</f>
        <v>No-Need</v>
      </c>
      <c r="G154" s="31" t="str">
        <f>IFERROR(__xludf.DUMMYFUNCTION("""COMPUTED_VALUE"""),"No-Need")</f>
        <v>No-Need</v>
      </c>
      <c r="H154" s="31" t="str">
        <f>IFERROR(__xludf.DUMMYFUNCTION("""COMPUTED_VALUE"""),"N/A")</f>
        <v>N/A</v>
      </c>
      <c r="I154" s="31" t="str">
        <f>IFERROR(__xludf.DUMMYFUNCTION("""COMPUTED_VALUE"""),"Technology")</f>
        <v>Technology</v>
      </c>
      <c r="J154" s="103">
        <f>IFERROR(__xludf.DUMMYFUNCTION("""COMPUTED_VALUE"""),45944.0)</f>
        <v>45944</v>
      </c>
      <c r="K154" s="104" t="str">
        <f>IFERROR(__xludf.DUMMYFUNCTION("""COMPUTED_VALUE"""),"Confrm By Abhishek Gupta")</f>
        <v>Confrm By Abhishek Gupta</v>
      </c>
    </row>
    <row r="155">
      <c r="A155" s="31" t="str">
        <f>IFERROR(__xludf.DUMMYFUNCTION("""COMPUTED_VALUE"""),"dhanishtha.bansal@zupee.in")</f>
        <v>dhanishtha.bansal@zupee.in</v>
      </c>
      <c r="B155" s="31" t="str">
        <f>IFERROR(__xludf.DUMMYFUNCTION("""COMPUTED_VALUE"""),"NOT_FOUND")</f>
        <v>NOT_FOUND</v>
      </c>
      <c r="C155" s="31" t="str">
        <f>IFERROR(__xludf.DUMMYFUNCTION("""COMPUTED_VALUE"""),"User not found")</f>
        <v>User not found</v>
      </c>
      <c r="D155" s="31" t="str">
        <f>IFERROR(__xludf.DUMMYFUNCTION("""COMPUTED_VALUE"""),"Revoked ")</f>
        <v>Revoked </v>
      </c>
      <c r="E155" s="31" t="str">
        <f>IFERROR(__xludf.DUMMYFUNCTION("""COMPUTED_VALUE"""),"No-Need")</f>
        <v>No-Need</v>
      </c>
      <c r="F155" s="31" t="str">
        <f>IFERROR(__xludf.DUMMYFUNCTION("""COMPUTED_VALUE"""),"No-Need")</f>
        <v>No-Need</v>
      </c>
      <c r="G155" s="31" t="str">
        <f>IFERROR(__xludf.DUMMYFUNCTION("""COMPUTED_VALUE"""),"No-Need")</f>
        <v>No-Need</v>
      </c>
      <c r="H155" s="31" t="str">
        <f>IFERROR(__xludf.DUMMYFUNCTION("""COMPUTED_VALUE"""),"N/A")</f>
        <v>N/A</v>
      </c>
      <c r="I155" s="31" t="str">
        <f>IFERROR(__xludf.DUMMYFUNCTION("""COMPUTED_VALUE"""),"Technology")</f>
        <v>Technology</v>
      </c>
      <c r="J155" s="103">
        <f>IFERROR(__xludf.DUMMYFUNCTION("""COMPUTED_VALUE"""),45944.0)</f>
        <v>45944</v>
      </c>
      <c r="K155" s="104" t="str">
        <f>IFERROR(__xludf.DUMMYFUNCTION("""COMPUTED_VALUE"""),"Confrm By Abhishek Gupta")</f>
        <v>Confrm By Abhishek Gupta</v>
      </c>
    </row>
    <row r="156">
      <c r="A156" s="31" t="str">
        <f>IFERROR(__xludf.DUMMYFUNCTION("""COMPUTED_VALUE"""),"jeevan.singla@zupee.in")</f>
        <v>jeevan.singla@zupee.in</v>
      </c>
      <c r="B156" s="31" t="str">
        <f>IFERROR(__xludf.DUMMYFUNCTION("""COMPUTED_VALUE"""),"NOT_FOUND")</f>
        <v>NOT_FOUND</v>
      </c>
      <c r="C156" s="31" t="str">
        <f>IFERROR(__xludf.DUMMYFUNCTION("""COMPUTED_VALUE"""),"User not found")</f>
        <v>User not found</v>
      </c>
      <c r="D156" s="31" t="str">
        <f>IFERROR(__xludf.DUMMYFUNCTION("""COMPUTED_VALUE"""),"Revoked ")</f>
        <v>Revoked </v>
      </c>
      <c r="E156" s="31" t="str">
        <f>IFERROR(__xludf.DUMMYFUNCTION("""COMPUTED_VALUE"""),"No-Need")</f>
        <v>No-Need</v>
      </c>
      <c r="F156" s="31" t="str">
        <f>IFERROR(__xludf.DUMMYFUNCTION("""COMPUTED_VALUE"""),"No-Need")</f>
        <v>No-Need</v>
      </c>
      <c r="G156" s="31" t="str">
        <f>IFERROR(__xludf.DUMMYFUNCTION("""COMPUTED_VALUE"""),"No-Need")</f>
        <v>No-Need</v>
      </c>
      <c r="H156" s="31" t="str">
        <f>IFERROR(__xludf.DUMMYFUNCTION("""COMPUTED_VALUE"""),"N/A")</f>
        <v>N/A</v>
      </c>
      <c r="I156" s="31" t="str">
        <f>IFERROR(__xludf.DUMMYFUNCTION("""COMPUTED_VALUE"""),"Technology")</f>
        <v>Technology</v>
      </c>
      <c r="J156" s="103">
        <f>IFERROR(__xludf.DUMMYFUNCTION("""COMPUTED_VALUE"""),45944.0)</f>
        <v>45944</v>
      </c>
      <c r="K156" s="104" t="str">
        <f>IFERROR(__xludf.DUMMYFUNCTION("""COMPUTED_VALUE"""),"Confrm By Abhishek Gupta")</f>
        <v>Confrm By Abhishek Gupta</v>
      </c>
    </row>
    <row r="157">
      <c r="A157" s="31" t="str">
        <f>IFERROR(__xludf.DUMMYFUNCTION("""COMPUTED_VALUE"""),"mayank.kumar@zupee.in")</f>
        <v>mayank.kumar@zupee.in</v>
      </c>
      <c r="B157" s="31" t="str">
        <f>IFERROR(__xludf.DUMMYFUNCTION("""COMPUTED_VALUE"""),"NOT_FOUND")</f>
        <v>NOT_FOUND</v>
      </c>
      <c r="C157" s="31" t="str">
        <f>IFERROR(__xludf.DUMMYFUNCTION("""COMPUTED_VALUE"""),"User not found")</f>
        <v>User not found</v>
      </c>
      <c r="D157" s="31" t="str">
        <f>IFERROR(__xludf.DUMMYFUNCTION("""COMPUTED_VALUE"""),"Revoked ")</f>
        <v>Revoked </v>
      </c>
      <c r="E157" s="31" t="str">
        <f>IFERROR(__xludf.DUMMYFUNCTION("""COMPUTED_VALUE"""),"No-Need")</f>
        <v>No-Need</v>
      </c>
      <c r="F157" s="31" t="str">
        <f>IFERROR(__xludf.DUMMYFUNCTION("""COMPUTED_VALUE"""),"No-Need")</f>
        <v>No-Need</v>
      </c>
      <c r="G157" s="31" t="str">
        <f>IFERROR(__xludf.DUMMYFUNCTION("""COMPUTED_VALUE"""),"No-Need")</f>
        <v>No-Need</v>
      </c>
      <c r="H157" s="31" t="str">
        <f>IFERROR(__xludf.DUMMYFUNCTION("""COMPUTED_VALUE"""),"N/A")</f>
        <v>N/A</v>
      </c>
      <c r="I157" s="31" t="str">
        <f>IFERROR(__xludf.DUMMYFUNCTION("""COMPUTED_VALUE"""),"Technology")</f>
        <v>Technology</v>
      </c>
      <c r="J157" s="103">
        <f>IFERROR(__xludf.DUMMYFUNCTION("""COMPUTED_VALUE"""),45944.0)</f>
        <v>45944</v>
      </c>
      <c r="K157" s="104" t="str">
        <f>IFERROR(__xludf.DUMMYFUNCTION("""COMPUTED_VALUE"""),"Confrm By Abhishek Gupta")</f>
        <v>Confrm By Abhishek Gupta</v>
      </c>
    </row>
    <row r="158">
      <c r="A158" s="31" t="str">
        <f>IFERROR(__xludf.DUMMYFUNCTION("""COMPUTED_VALUE"""),"sameer.alam@zupee.in")</f>
        <v>sameer.alam@zupee.in</v>
      </c>
      <c r="B158" s="31" t="str">
        <f>IFERROR(__xludf.DUMMYFUNCTION("""COMPUTED_VALUE"""),"NOT_FOUND")</f>
        <v>NOT_FOUND</v>
      </c>
      <c r="C158" s="31" t="str">
        <f>IFERROR(__xludf.DUMMYFUNCTION("""COMPUTED_VALUE"""),"User not found")</f>
        <v>User not found</v>
      </c>
      <c r="D158" s="31" t="str">
        <f>IFERROR(__xludf.DUMMYFUNCTION("""COMPUTED_VALUE"""),"Revoked ")</f>
        <v>Revoked </v>
      </c>
      <c r="E158" s="31" t="str">
        <f>IFERROR(__xludf.DUMMYFUNCTION("""COMPUTED_VALUE"""),"No-Need")</f>
        <v>No-Need</v>
      </c>
      <c r="F158" s="31" t="str">
        <f>IFERROR(__xludf.DUMMYFUNCTION("""COMPUTED_VALUE"""),"No-Need")</f>
        <v>No-Need</v>
      </c>
      <c r="G158" s="31" t="str">
        <f>IFERROR(__xludf.DUMMYFUNCTION("""COMPUTED_VALUE"""),"No-Need")</f>
        <v>No-Need</v>
      </c>
      <c r="H158" s="31" t="str">
        <f>IFERROR(__xludf.DUMMYFUNCTION("""COMPUTED_VALUE"""),"N/A")</f>
        <v>N/A</v>
      </c>
      <c r="I158" s="31" t="str">
        <f>IFERROR(__xludf.DUMMYFUNCTION("""COMPUTED_VALUE"""),"Technology")</f>
        <v>Technology</v>
      </c>
      <c r="J158" s="103">
        <f>IFERROR(__xludf.DUMMYFUNCTION("""COMPUTED_VALUE"""),45944.0)</f>
        <v>45944</v>
      </c>
      <c r="K158" s="104" t="str">
        <f>IFERROR(__xludf.DUMMYFUNCTION("""COMPUTED_VALUE"""),"Confrm By Abhishek Gupta")</f>
        <v>Confrm By Abhishek Gupta</v>
      </c>
    </row>
    <row r="159">
      <c r="A159" s="31" t="str">
        <f>IFERROR(__xludf.DUMMYFUNCTION("""COMPUTED_VALUE"""),"munnu.kumar@zupee.in")</f>
        <v>munnu.kumar@zupee.in</v>
      </c>
      <c r="B159" s="31" t="str">
        <f>IFERROR(__xludf.DUMMYFUNCTION("""COMPUTED_VALUE"""),"NOT_FOUND")</f>
        <v>NOT_FOUND</v>
      </c>
      <c r="C159" s="31" t="str">
        <f>IFERROR(__xludf.DUMMYFUNCTION("""COMPUTED_VALUE"""),"User not found")</f>
        <v>User not found</v>
      </c>
      <c r="D159" s="31" t="str">
        <f>IFERROR(__xludf.DUMMYFUNCTION("""COMPUTED_VALUE"""),"Revoked ")</f>
        <v>Revoked </v>
      </c>
      <c r="E159" s="31" t="str">
        <f>IFERROR(__xludf.DUMMYFUNCTION("""COMPUTED_VALUE"""),"No-Need")</f>
        <v>No-Need</v>
      </c>
      <c r="F159" s="31" t="str">
        <f>IFERROR(__xludf.DUMMYFUNCTION("""COMPUTED_VALUE"""),"No-Need")</f>
        <v>No-Need</v>
      </c>
      <c r="G159" s="31" t="str">
        <f>IFERROR(__xludf.DUMMYFUNCTION("""COMPUTED_VALUE"""),"No-Need")</f>
        <v>No-Need</v>
      </c>
      <c r="H159" s="31" t="str">
        <f>IFERROR(__xludf.DUMMYFUNCTION("""COMPUTED_VALUE"""),"N/A")</f>
        <v>N/A</v>
      </c>
      <c r="I159" s="31" t="str">
        <f>IFERROR(__xludf.DUMMYFUNCTION("""COMPUTED_VALUE"""),"Technology")</f>
        <v>Technology</v>
      </c>
      <c r="J159" s="103">
        <f>IFERROR(__xludf.DUMMYFUNCTION("""COMPUTED_VALUE"""),45944.0)</f>
        <v>45944</v>
      </c>
      <c r="K159" s="104" t="str">
        <f>IFERROR(__xludf.DUMMYFUNCTION("""COMPUTED_VALUE"""),"Confrm By Abhishek Gupta")</f>
        <v>Confrm By Abhishek Gupta</v>
      </c>
    </row>
    <row r="160">
      <c r="A160" s="31" t="str">
        <f>IFERROR(__xludf.DUMMYFUNCTION("""COMPUTED_VALUE"""),"naman.khandelwal@zupee.in")</f>
        <v>naman.khandelwal@zupee.in</v>
      </c>
      <c r="B160" s="31" t="str">
        <f>IFERROR(__xludf.DUMMYFUNCTION("""COMPUTED_VALUE"""),"NOT_FOUND")</f>
        <v>NOT_FOUND</v>
      </c>
      <c r="C160" s="31" t="str">
        <f>IFERROR(__xludf.DUMMYFUNCTION("""COMPUTED_VALUE"""),"User not found")</f>
        <v>User not found</v>
      </c>
      <c r="D160" s="31" t="str">
        <f>IFERROR(__xludf.DUMMYFUNCTION("""COMPUTED_VALUE"""),"Revoked ")</f>
        <v>Revoked </v>
      </c>
      <c r="E160" s="31" t="str">
        <f>IFERROR(__xludf.DUMMYFUNCTION("""COMPUTED_VALUE"""),"No-Need")</f>
        <v>No-Need</v>
      </c>
      <c r="F160" s="31" t="str">
        <f>IFERROR(__xludf.DUMMYFUNCTION("""COMPUTED_VALUE"""),"No-Need")</f>
        <v>No-Need</v>
      </c>
      <c r="G160" s="31" t="str">
        <f>IFERROR(__xludf.DUMMYFUNCTION("""COMPUTED_VALUE"""),"No-Need")</f>
        <v>No-Need</v>
      </c>
      <c r="H160" s="31" t="str">
        <f>IFERROR(__xludf.DUMMYFUNCTION("""COMPUTED_VALUE"""),"N/A")</f>
        <v>N/A</v>
      </c>
      <c r="I160" s="31" t="str">
        <f>IFERROR(__xludf.DUMMYFUNCTION("""COMPUTED_VALUE"""),"Technology")</f>
        <v>Technology</v>
      </c>
      <c r="J160" s="103">
        <f>IFERROR(__xludf.DUMMYFUNCTION("""COMPUTED_VALUE"""),45944.0)</f>
        <v>45944</v>
      </c>
      <c r="K160" s="104" t="str">
        <f>IFERROR(__xludf.DUMMYFUNCTION("""COMPUTED_VALUE"""),"Confrm By Abhishek Gupta")</f>
        <v>Confrm By Abhishek Gupta</v>
      </c>
    </row>
    <row r="161">
      <c r="A161" s="31" t="str">
        <f>IFERROR(__xludf.DUMMYFUNCTION("""COMPUTED_VALUE"""),"nasir.ali@zupee.in")</f>
        <v>nasir.ali@zupee.in</v>
      </c>
      <c r="B161" s="31" t="str">
        <f>IFERROR(__xludf.DUMMYFUNCTION("""COMPUTED_VALUE"""),"NOT_FOUND")</f>
        <v>NOT_FOUND</v>
      </c>
      <c r="C161" s="31" t="str">
        <f>IFERROR(__xludf.DUMMYFUNCTION("""COMPUTED_VALUE"""),"User not found")</f>
        <v>User not found</v>
      </c>
      <c r="D161" s="31" t="str">
        <f>IFERROR(__xludf.DUMMYFUNCTION("""COMPUTED_VALUE"""),"Revoked ")</f>
        <v>Revoked </v>
      </c>
      <c r="E161" s="31" t="str">
        <f>IFERROR(__xludf.DUMMYFUNCTION("""COMPUTED_VALUE"""),"No-Need")</f>
        <v>No-Need</v>
      </c>
      <c r="F161" s="31" t="str">
        <f>IFERROR(__xludf.DUMMYFUNCTION("""COMPUTED_VALUE"""),"No-Need")</f>
        <v>No-Need</v>
      </c>
      <c r="G161" s="31" t="str">
        <f>IFERROR(__xludf.DUMMYFUNCTION("""COMPUTED_VALUE"""),"No-Need")</f>
        <v>No-Need</v>
      </c>
      <c r="H161" s="31" t="str">
        <f>IFERROR(__xludf.DUMMYFUNCTION("""COMPUTED_VALUE"""),"N/A")</f>
        <v>N/A</v>
      </c>
      <c r="I161" s="31" t="str">
        <f>IFERROR(__xludf.DUMMYFUNCTION("""COMPUTED_VALUE"""),"Technology")</f>
        <v>Technology</v>
      </c>
      <c r="J161" s="103">
        <f>IFERROR(__xludf.DUMMYFUNCTION("""COMPUTED_VALUE"""),45944.0)</f>
        <v>45944</v>
      </c>
      <c r="K161" s="104" t="str">
        <f>IFERROR(__xludf.DUMMYFUNCTION("""COMPUTED_VALUE"""),"Confrm By Abhishek Gupta")</f>
        <v>Confrm By Abhishek Gupta</v>
      </c>
    </row>
    <row r="162">
      <c r="A162" s="31" t="str">
        <f>IFERROR(__xludf.DUMMYFUNCTION("""COMPUTED_VALUE"""),"pranjal.saxena@zupee.in")</f>
        <v>pranjal.saxena@zupee.in</v>
      </c>
      <c r="B162" s="31" t="str">
        <f>IFERROR(__xludf.DUMMYFUNCTION("""COMPUTED_VALUE"""),"NOT_FOUND")</f>
        <v>NOT_FOUND</v>
      </c>
      <c r="C162" s="31" t="str">
        <f>IFERROR(__xludf.DUMMYFUNCTION("""COMPUTED_VALUE"""),"User not found")</f>
        <v>User not found</v>
      </c>
      <c r="D162" s="31" t="str">
        <f>IFERROR(__xludf.DUMMYFUNCTION("""COMPUTED_VALUE"""),"Revoked ")</f>
        <v>Revoked </v>
      </c>
      <c r="E162" s="31" t="str">
        <f>IFERROR(__xludf.DUMMYFUNCTION("""COMPUTED_VALUE"""),"No-Need")</f>
        <v>No-Need</v>
      </c>
      <c r="F162" s="31" t="str">
        <f>IFERROR(__xludf.DUMMYFUNCTION("""COMPUTED_VALUE"""),"No-Need")</f>
        <v>No-Need</v>
      </c>
      <c r="G162" s="31" t="str">
        <f>IFERROR(__xludf.DUMMYFUNCTION("""COMPUTED_VALUE"""),"No-Need")</f>
        <v>No-Need</v>
      </c>
      <c r="H162" s="31" t="str">
        <f>IFERROR(__xludf.DUMMYFUNCTION("""COMPUTED_VALUE"""),"N/A")</f>
        <v>N/A</v>
      </c>
      <c r="I162" s="31" t="str">
        <f>IFERROR(__xludf.DUMMYFUNCTION("""COMPUTED_VALUE"""),"Technology")</f>
        <v>Technology</v>
      </c>
      <c r="J162" s="103">
        <f>IFERROR(__xludf.DUMMYFUNCTION("""COMPUTED_VALUE"""),45944.0)</f>
        <v>45944</v>
      </c>
      <c r="K162" s="104" t="str">
        <f>IFERROR(__xludf.DUMMYFUNCTION("""COMPUTED_VALUE"""),"Confrm By Abhishek Gupta")</f>
        <v>Confrm By Abhishek Gupta</v>
      </c>
    </row>
    <row r="163">
      <c r="A163" s="31" t="str">
        <f>IFERROR(__xludf.DUMMYFUNCTION("""COMPUTED_VALUE"""),"shivam.yadav@zupee.in")</f>
        <v>shivam.yadav@zupee.in</v>
      </c>
      <c r="B163" s="31" t="str">
        <f>IFERROR(__xludf.DUMMYFUNCTION("""COMPUTED_VALUE"""),"NOT_FOUND")</f>
        <v>NOT_FOUND</v>
      </c>
      <c r="C163" s="31" t="str">
        <f>IFERROR(__xludf.DUMMYFUNCTION("""COMPUTED_VALUE"""),"User not found")</f>
        <v>User not found</v>
      </c>
      <c r="D163" s="31" t="str">
        <f>IFERROR(__xludf.DUMMYFUNCTION("""COMPUTED_VALUE"""),"Revoked ")</f>
        <v>Revoked </v>
      </c>
      <c r="E163" s="31" t="str">
        <f>IFERROR(__xludf.DUMMYFUNCTION("""COMPUTED_VALUE"""),"No-Need")</f>
        <v>No-Need</v>
      </c>
      <c r="F163" s="31" t="str">
        <f>IFERROR(__xludf.DUMMYFUNCTION("""COMPUTED_VALUE"""),"No-Need")</f>
        <v>No-Need</v>
      </c>
      <c r="G163" s="31" t="str">
        <f>IFERROR(__xludf.DUMMYFUNCTION("""COMPUTED_VALUE"""),"No-Need")</f>
        <v>No-Need</v>
      </c>
      <c r="H163" s="31" t="str">
        <f>IFERROR(__xludf.DUMMYFUNCTION("""COMPUTED_VALUE"""),"N/A")</f>
        <v>N/A</v>
      </c>
      <c r="I163" s="31" t="str">
        <f>IFERROR(__xludf.DUMMYFUNCTION("""COMPUTED_VALUE"""),"Technology")</f>
        <v>Technology</v>
      </c>
      <c r="J163" s="103">
        <f>IFERROR(__xludf.DUMMYFUNCTION("""COMPUTED_VALUE"""),45944.0)</f>
        <v>45944</v>
      </c>
      <c r="K163" s="104" t="str">
        <f>IFERROR(__xludf.DUMMYFUNCTION("""COMPUTED_VALUE"""),"Confrm By Abhishek Gupta")</f>
        <v>Confrm By Abhishek Gupta</v>
      </c>
    </row>
    <row r="164">
      <c r="A164" s="31" t="str">
        <f>IFERROR(__xludf.DUMMYFUNCTION("""COMPUTED_VALUE"""),"sidharth.dhiman@zupee.in")</f>
        <v>sidharth.dhiman@zupee.in</v>
      </c>
      <c r="B164" s="31" t="str">
        <f>IFERROR(__xludf.DUMMYFUNCTION("""COMPUTED_VALUE"""),"NOT_FOUND")</f>
        <v>NOT_FOUND</v>
      </c>
      <c r="C164" s="31" t="str">
        <f>IFERROR(__xludf.DUMMYFUNCTION("""COMPUTED_VALUE"""),"User not found")</f>
        <v>User not found</v>
      </c>
      <c r="D164" s="31" t="str">
        <f>IFERROR(__xludf.DUMMYFUNCTION("""COMPUTED_VALUE"""),"Revoked ")</f>
        <v>Revoked </v>
      </c>
      <c r="E164" s="31" t="str">
        <f>IFERROR(__xludf.DUMMYFUNCTION("""COMPUTED_VALUE"""),"No-Need")</f>
        <v>No-Need</v>
      </c>
      <c r="F164" s="31" t="str">
        <f>IFERROR(__xludf.DUMMYFUNCTION("""COMPUTED_VALUE"""),"No-Need")</f>
        <v>No-Need</v>
      </c>
      <c r="G164" s="31" t="str">
        <f>IFERROR(__xludf.DUMMYFUNCTION("""COMPUTED_VALUE"""),"No-Need")</f>
        <v>No-Need</v>
      </c>
      <c r="H164" s="31" t="str">
        <f>IFERROR(__xludf.DUMMYFUNCTION("""COMPUTED_VALUE"""),"N/A")</f>
        <v>N/A</v>
      </c>
      <c r="I164" s="31" t="str">
        <f>IFERROR(__xludf.DUMMYFUNCTION("""COMPUTED_VALUE"""),"Technology")</f>
        <v>Technology</v>
      </c>
      <c r="J164" s="103">
        <f>IFERROR(__xludf.DUMMYFUNCTION("""COMPUTED_VALUE"""),45944.0)</f>
        <v>45944</v>
      </c>
      <c r="K164" s="104" t="str">
        <f>IFERROR(__xludf.DUMMYFUNCTION("""COMPUTED_VALUE"""),"Confrm By Abhishek Gupta")</f>
        <v>Confrm By Abhishek Gupta</v>
      </c>
    </row>
    <row r="165">
      <c r="A165" s="31" t="str">
        <f>IFERROR(__xludf.DUMMYFUNCTION("""COMPUTED_VALUE"""),"sonu.modi@zupee.in")</f>
        <v>sonu.modi@zupee.in</v>
      </c>
      <c r="B165" s="31" t="str">
        <f>IFERROR(__xludf.DUMMYFUNCTION("""COMPUTED_VALUE"""),"NOT_FOUND")</f>
        <v>NOT_FOUND</v>
      </c>
      <c r="C165" s="31" t="str">
        <f>IFERROR(__xludf.DUMMYFUNCTION("""COMPUTED_VALUE"""),"User not found")</f>
        <v>User not found</v>
      </c>
      <c r="D165" s="31" t="str">
        <f>IFERROR(__xludf.DUMMYFUNCTION("""COMPUTED_VALUE"""),"Revoked ")</f>
        <v>Revoked </v>
      </c>
      <c r="E165" s="31" t="str">
        <f>IFERROR(__xludf.DUMMYFUNCTION("""COMPUTED_VALUE"""),"No-Need")</f>
        <v>No-Need</v>
      </c>
      <c r="F165" s="31" t="str">
        <f>IFERROR(__xludf.DUMMYFUNCTION("""COMPUTED_VALUE"""),"No-Need")</f>
        <v>No-Need</v>
      </c>
      <c r="G165" s="31" t="str">
        <f>IFERROR(__xludf.DUMMYFUNCTION("""COMPUTED_VALUE"""),"No-Need")</f>
        <v>No-Need</v>
      </c>
      <c r="H165" s="31" t="str">
        <f>IFERROR(__xludf.DUMMYFUNCTION("""COMPUTED_VALUE"""),"N/A")</f>
        <v>N/A</v>
      </c>
      <c r="I165" s="31" t="str">
        <f>IFERROR(__xludf.DUMMYFUNCTION("""COMPUTED_VALUE"""),"Technology")</f>
        <v>Technology</v>
      </c>
      <c r="J165" s="103">
        <f>IFERROR(__xludf.DUMMYFUNCTION("""COMPUTED_VALUE"""),45944.0)</f>
        <v>45944</v>
      </c>
      <c r="K165" s="104" t="str">
        <f>IFERROR(__xludf.DUMMYFUNCTION("""COMPUTED_VALUE"""),"Confrm By Abhishek Gupta")</f>
        <v>Confrm By Abhishek Gupta</v>
      </c>
    </row>
    <row r="166">
      <c r="A166" s="31" t="str">
        <f>IFERROR(__xludf.DUMMYFUNCTION("""COMPUTED_VALUE"""),"soumya.manna@zupee.in")</f>
        <v>soumya.manna@zupee.in</v>
      </c>
      <c r="B166" s="31" t="str">
        <f>IFERROR(__xludf.DUMMYFUNCTION("""COMPUTED_VALUE"""),"NOT_FOUND")</f>
        <v>NOT_FOUND</v>
      </c>
      <c r="C166" s="31" t="str">
        <f>IFERROR(__xludf.DUMMYFUNCTION("""COMPUTED_VALUE"""),"User not found")</f>
        <v>User not found</v>
      </c>
      <c r="D166" s="31" t="str">
        <f>IFERROR(__xludf.DUMMYFUNCTION("""COMPUTED_VALUE"""),"Revoked ")</f>
        <v>Revoked </v>
      </c>
      <c r="E166" s="31" t="str">
        <f>IFERROR(__xludf.DUMMYFUNCTION("""COMPUTED_VALUE"""),"No-Need")</f>
        <v>No-Need</v>
      </c>
      <c r="F166" s="31" t="str">
        <f>IFERROR(__xludf.DUMMYFUNCTION("""COMPUTED_VALUE"""),"No-Need")</f>
        <v>No-Need</v>
      </c>
      <c r="G166" s="31" t="str">
        <f>IFERROR(__xludf.DUMMYFUNCTION("""COMPUTED_VALUE"""),"No-Need")</f>
        <v>No-Need</v>
      </c>
      <c r="H166" s="31" t="str">
        <f>IFERROR(__xludf.DUMMYFUNCTION("""COMPUTED_VALUE"""),"N/A")</f>
        <v>N/A</v>
      </c>
      <c r="I166" s="31" t="str">
        <f>IFERROR(__xludf.DUMMYFUNCTION("""COMPUTED_VALUE"""),"Technology")</f>
        <v>Technology</v>
      </c>
      <c r="J166" s="103">
        <f>IFERROR(__xludf.DUMMYFUNCTION("""COMPUTED_VALUE"""),45944.0)</f>
        <v>45944</v>
      </c>
      <c r="K166" s="104" t="str">
        <f>IFERROR(__xludf.DUMMYFUNCTION("""COMPUTED_VALUE"""),"Confrm By Abhishek Gupta")</f>
        <v>Confrm By Abhishek Gupta</v>
      </c>
    </row>
    <row r="167">
      <c r="A167" s="31" t="str">
        <f>IFERROR(__xludf.DUMMYFUNCTION("""COMPUTED_VALUE"""),"sourabh.kumar@zupee.in")</f>
        <v>sourabh.kumar@zupee.in</v>
      </c>
      <c r="B167" s="31" t="str">
        <f>IFERROR(__xludf.DUMMYFUNCTION("""COMPUTED_VALUE"""),"NOT_FOUND")</f>
        <v>NOT_FOUND</v>
      </c>
      <c r="C167" s="31" t="str">
        <f>IFERROR(__xludf.DUMMYFUNCTION("""COMPUTED_VALUE"""),"User not found")</f>
        <v>User not found</v>
      </c>
      <c r="D167" s="31" t="str">
        <f>IFERROR(__xludf.DUMMYFUNCTION("""COMPUTED_VALUE"""),"Revoked ")</f>
        <v>Revoked </v>
      </c>
      <c r="E167" s="31" t="str">
        <f>IFERROR(__xludf.DUMMYFUNCTION("""COMPUTED_VALUE"""),"No-Need")</f>
        <v>No-Need</v>
      </c>
      <c r="F167" s="31" t="str">
        <f>IFERROR(__xludf.DUMMYFUNCTION("""COMPUTED_VALUE"""),"No-Need")</f>
        <v>No-Need</v>
      </c>
      <c r="G167" s="31" t="str">
        <f>IFERROR(__xludf.DUMMYFUNCTION("""COMPUTED_VALUE"""),"No-Need")</f>
        <v>No-Need</v>
      </c>
      <c r="H167" s="31" t="str">
        <f>IFERROR(__xludf.DUMMYFUNCTION("""COMPUTED_VALUE"""),"N/A")</f>
        <v>N/A</v>
      </c>
      <c r="I167" s="31" t="str">
        <f>IFERROR(__xludf.DUMMYFUNCTION("""COMPUTED_VALUE"""),"Technology")</f>
        <v>Technology</v>
      </c>
      <c r="J167" s="103">
        <f>IFERROR(__xludf.DUMMYFUNCTION("""COMPUTED_VALUE"""),45944.0)</f>
        <v>45944</v>
      </c>
      <c r="K167" s="104" t="str">
        <f>IFERROR(__xludf.DUMMYFUNCTION("""COMPUTED_VALUE"""),"Confrm By Abhishek Gupta")</f>
        <v>Confrm By Abhishek Gupta</v>
      </c>
    </row>
    <row r="168">
      <c r="A168" s="31" t="str">
        <f>IFERROR(__xludf.DUMMYFUNCTION("""COMPUTED_VALUE"""),"tarun.kumar@zupee.in")</f>
        <v>tarun.kumar@zupee.in</v>
      </c>
      <c r="B168" s="31" t="str">
        <f>IFERROR(__xludf.DUMMYFUNCTION("""COMPUTED_VALUE"""),"NOT_FOUND")</f>
        <v>NOT_FOUND</v>
      </c>
      <c r="C168" s="31" t="str">
        <f>IFERROR(__xludf.DUMMYFUNCTION("""COMPUTED_VALUE"""),"User not found")</f>
        <v>User not found</v>
      </c>
      <c r="D168" s="31" t="str">
        <f>IFERROR(__xludf.DUMMYFUNCTION("""COMPUTED_VALUE"""),"Revoked ")</f>
        <v>Revoked </v>
      </c>
      <c r="E168" s="31" t="str">
        <f>IFERROR(__xludf.DUMMYFUNCTION("""COMPUTED_VALUE"""),"No-Need")</f>
        <v>No-Need</v>
      </c>
      <c r="F168" s="31" t="str">
        <f>IFERROR(__xludf.DUMMYFUNCTION("""COMPUTED_VALUE"""),"No-Need")</f>
        <v>No-Need</v>
      </c>
      <c r="G168" s="31" t="str">
        <f>IFERROR(__xludf.DUMMYFUNCTION("""COMPUTED_VALUE"""),"No-Need")</f>
        <v>No-Need</v>
      </c>
      <c r="H168" s="31" t="str">
        <f>IFERROR(__xludf.DUMMYFUNCTION("""COMPUTED_VALUE"""),"N/A")</f>
        <v>N/A</v>
      </c>
      <c r="I168" s="31" t="str">
        <f>IFERROR(__xludf.DUMMYFUNCTION("""COMPUTED_VALUE"""),"Technology")</f>
        <v>Technology</v>
      </c>
      <c r="J168" s="103">
        <f>IFERROR(__xludf.DUMMYFUNCTION("""COMPUTED_VALUE"""),45944.0)</f>
        <v>45944</v>
      </c>
      <c r="K168" s="104" t="str">
        <f>IFERROR(__xludf.DUMMYFUNCTION("""COMPUTED_VALUE"""),"Confrm By Abhishek Gupta")</f>
        <v>Confrm By Abhishek Gupta</v>
      </c>
    </row>
    <row r="169">
      <c r="A169" s="31" t="str">
        <f>IFERROR(__xludf.DUMMYFUNCTION("""COMPUTED_VALUE"""),"harshit.varshney@zupee.in")</f>
        <v>harshit.varshney@zupee.in</v>
      </c>
      <c r="B169" s="31" t="str">
        <f>IFERROR(__xludf.DUMMYFUNCTION("""COMPUTED_VALUE"""),"NOT_FOUND")</f>
        <v>NOT_FOUND</v>
      </c>
      <c r="C169" s="31" t="str">
        <f>IFERROR(__xludf.DUMMYFUNCTION("""COMPUTED_VALUE"""),"User not found")</f>
        <v>User not found</v>
      </c>
      <c r="D169" s="31" t="str">
        <f>IFERROR(__xludf.DUMMYFUNCTION("""COMPUTED_VALUE"""),"Revoked ")</f>
        <v>Revoked </v>
      </c>
      <c r="E169" s="31" t="str">
        <f>IFERROR(__xludf.DUMMYFUNCTION("""COMPUTED_VALUE"""),"No-Need")</f>
        <v>No-Need</v>
      </c>
      <c r="F169" s="31" t="str">
        <f>IFERROR(__xludf.DUMMYFUNCTION("""COMPUTED_VALUE"""),"No-Need")</f>
        <v>No-Need</v>
      </c>
      <c r="G169" s="31" t="str">
        <f>IFERROR(__xludf.DUMMYFUNCTION("""COMPUTED_VALUE"""),"No-Need")</f>
        <v>No-Need</v>
      </c>
      <c r="H169" s="31" t="str">
        <f>IFERROR(__xludf.DUMMYFUNCTION("""COMPUTED_VALUE"""),"N/A")</f>
        <v>N/A</v>
      </c>
      <c r="I169" s="31" t="str">
        <f>IFERROR(__xludf.DUMMYFUNCTION("""COMPUTED_VALUE"""),"Technology")</f>
        <v>Technology</v>
      </c>
      <c r="J169" s="103">
        <f>IFERROR(__xludf.DUMMYFUNCTION("""COMPUTED_VALUE"""),45947.0)</f>
        <v>45947</v>
      </c>
      <c r="K169" s="104" t="str">
        <f>IFERROR(__xludf.DUMMYFUNCTION("""COMPUTED_VALUE"""),"Confrm By Abhishek Gupta")</f>
        <v>Confrm By Abhishek Gupta</v>
      </c>
    </row>
    <row r="170">
      <c r="A170" s="31" t="str">
        <f>IFERROR(__xludf.DUMMYFUNCTION("""COMPUTED_VALUE"""),"praveen.kumar@zupee.in")</f>
        <v>praveen.kumar@zupee.in</v>
      </c>
      <c r="B170" s="31" t="str">
        <f>IFERROR(__xludf.DUMMYFUNCTION("""COMPUTED_VALUE"""),"NOT_FOUND")</f>
        <v>NOT_FOUND</v>
      </c>
      <c r="C170" s="31" t="str">
        <f>IFERROR(__xludf.DUMMYFUNCTION("""COMPUTED_VALUE"""),"User not found")</f>
        <v>User not found</v>
      </c>
      <c r="D170" s="31" t="str">
        <f>IFERROR(__xludf.DUMMYFUNCTION("""COMPUTED_VALUE"""),"Revoked ")</f>
        <v>Revoked </v>
      </c>
      <c r="E170" s="31" t="str">
        <f>IFERROR(__xludf.DUMMYFUNCTION("""COMPUTED_VALUE"""),"No-Need")</f>
        <v>No-Need</v>
      </c>
      <c r="F170" s="31" t="str">
        <f>IFERROR(__xludf.DUMMYFUNCTION("""COMPUTED_VALUE"""),"No-Need")</f>
        <v>No-Need</v>
      </c>
      <c r="G170" s="31" t="str">
        <f>IFERROR(__xludf.DUMMYFUNCTION("""COMPUTED_VALUE"""),"No-Need")</f>
        <v>No-Need</v>
      </c>
      <c r="H170" s="31" t="str">
        <f>IFERROR(__xludf.DUMMYFUNCTION("""COMPUTED_VALUE"""),"N/A")</f>
        <v>N/A</v>
      </c>
      <c r="I170" s="31" t="str">
        <f>IFERROR(__xludf.DUMMYFUNCTION("""COMPUTED_VALUE"""),"Technology")</f>
        <v>Technology</v>
      </c>
      <c r="J170" s="103">
        <f>IFERROR(__xludf.DUMMYFUNCTION("""COMPUTED_VALUE"""),45947.0)</f>
        <v>45947</v>
      </c>
      <c r="K170" s="104" t="str">
        <f>IFERROR(__xludf.DUMMYFUNCTION("""COMPUTED_VALUE"""),"Confrm By Abhishek Gupta")</f>
        <v>Confrm By Abhishek Gupta</v>
      </c>
    </row>
    <row r="171">
      <c r="A171" s="31" t="str">
        <f>IFERROR(__xludf.DUMMYFUNCTION("""COMPUTED_VALUE"""),"sagar.saini@zupee.in")</f>
        <v>sagar.saini@zupee.in</v>
      </c>
      <c r="B171" s="31" t="str">
        <f>IFERROR(__xludf.DUMMYFUNCTION("""COMPUTED_VALUE"""),"NOT_FOUND")</f>
        <v>NOT_FOUND</v>
      </c>
      <c r="C171" s="31" t="str">
        <f>IFERROR(__xludf.DUMMYFUNCTION("""COMPUTED_VALUE"""),"User not found")</f>
        <v>User not found</v>
      </c>
      <c r="D171" s="31" t="str">
        <f>IFERROR(__xludf.DUMMYFUNCTION("""COMPUTED_VALUE"""),"Revoked ")</f>
        <v>Revoked </v>
      </c>
      <c r="E171" s="31" t="str">
        <f>IFERROR(__xludf.DUMMYFUNCTION("""COMPUTED_VALUE"""),"mrityunjay.k@zupee.in")</f>
        <v>mrityunjay.k@zupee.in</v>
      </c>
      <c r="F171" s="31"/>
      <c r="G171" s="31"/>
      <c r="H171" s="31"/>
      <c r="I171" s="31"/>
      <c r="J171" s="103">
        <f>IFERROR(__xludf.DUMMYFUNCTION("""COMPUTED_VALUE"""),45947.0)</f>
        <v>45947</v>
      </c>
      <c r="K171" s="31"/>
    </row>
    <row r="172">
      <c r="A172" s="31" t="str">
        <f>IFERROR(__xludf.DUMMYFUNCTION("""COMPUTED_VALUE"""),"suraj.kumar@zupee.in")</f>
        <v>suraj.kumar@zupee.in</v>
      </c>
      <c r="B172" s="31" t="str">
        <f>IFERROR(__xludf.DUMMYFUNCTION("""COMPUTED_VALUE"""),"NOT_FOUND")</f>
        <v>NOT_FOUND</v>
      </c>
      <c r="C172" s="31" t="str">
        <f>IFERROR(__xludf.DUMMYFUNCTION("""COMPUTED_VALUE"""),"User not found")</f>
        <v>User not found</v>
      </c>
      <c r="D172" s="31" t="str">
        <f>IFERROR(__xludf.DUMMYFUNCTION("""COMPUTED_VALUE"""),"Revoked ")</f>
        <v>Revoked </v>
      </c>
      <c r="E172" s="31" t="str">
        <f>IFERROR(__xludf.DUMMYFUNCTION("""COMPUTED_VALUE"""),"No-Need")</f>
        <v>No-Need</v>
      </c>
      <c r="F172" s="31" t="str">
        <f>IFERROR(__xludf.DUMMYFUNCTION("""COMPUTED_VALUE"""),"No-Need")</f>
        <v>No-Need</v>
      </c>
      <c r="G172" s="31" t="str">
        <f>IFERROR(__xludf.DUMMYFUNCTION("""COMPUTED_VALUE"""),"No-Need")</f>
        <v>No-Need</v>
      </c>
      <c r="H172" s="31" t="str">
        <f>IFERROR(__xludf.DUMMYFUNCTION("""COMPUTED_VALUE"""),"N/A")</f>
        <v>N/A</v>
      </c>
      <c r="I172" s="31" t="str">
        <f>IFERROR(__xludf.DUMMYFUNCTION("""COMPUTED_VALUE"""),"IT Infra")</f>
        <v>IT Infra</v>
      </c>
      <c r="J172" s="103">
        <f>IFERROR(__xludf.DUMMYFUNCTION("""COMPUTED_VALUE"""),45952.0)</f>
        <v>45952</v>
      </c>
      <c r="K172" s="104" t="str">
        <f>IFERROR(__xludf.DUMMYFUNCTION("""COMPUTED_VALUE"""),"Confrm By Rajkumar")</f>
        <v>Confrm By Rajkumar</v>
      </c>
    </row>
    <row r="173">
      <c r="A173" s="31" t="str">
        <f>IFERROR(__xludf.DUMMYFUNCTION("""COMPUTED_VALUE"""),"vinay.mishra@zupee.in")</f>
        <v>vinay.mishra@zupee.in</v>
      </c>
      <c r="B173" s="31" t="str">
        <f>IFERROR(__xludf.DUMMYFUNCTION("""COMPUTED_VALUE"""),"NOT_FOUND")</f>
        <v>NOT_FOUND</v>
      </c>
      <c r="C173" s="31" t="str">
        <f>IFERROR(__xludf.DUMMYFUNCTION("""COMPUTED_VALUE"""),"User not found")</f>
        <v>User not found</v>
      </c>
      <c r="D173" s="31" t="str">
        <f>IFERROR(__xludf.DUMMYFUNCTION("""COMPUTED_VALUE"""),"Revoked ")</f>
        <v>Revoked </v>
      </c>
      <c r="E173" s="31" t="str">
        <f>IFERROR(__xludf.DUMMYFUNCTION("""COMPUTED_VALUE"""),"No-Need")</f>
        <v>No-Need</v>
      </c>
      <c r="F173" s="31" t="str">
        <f>IFERROR(__xludf.DUMMYFUNCTION("""COMPUTED_VALUE"""),"No-Need")</f>
        <v>No-Need</v>
      </c>
      <c r="G173" s="31" t="str">
        <f>IFERROR(__xludf.DUMMYFUNCTION("""COMPUTED_VALUE"""),"No-Need")</f>
        <v>No-Need</v>
      </c>
      <c r="H173" s="31" t="str">
        <f>IFERROR(__xludf.DUMMYFUNCTION("""COMPUTED_VALUE"""),"N/A")</f>
        <v>N/A</v>
      </c>
      <c r="I173" s="31" t="str">
        <f>IFERROR(__xludf.DUMMYFUNCTION("""COMPUTED_VALUE"""),"IT Infra")</f>
        <v>IT Infra</v>
      </c>
      <c r="J173" s="103">
        <f>IFERROR(__xludf.DUMMYFUNCTION("""COMPUTED_VALUE"""),45952.0)</f>
        <v>45952</v>
      </c>
      <c r="K173" s="104" t="str">
        <f>IFERROR(__xludf.DUMMYFUNCTION("""COMPUTED_VALUE"""),"Confrm By Rajkumar")</f>
        <v>Confrm By Rajkumar</v>
      </c>
    </row>
    <row r="174">
      <c r="A174" s="31" t="str">
        <f>IFERROR(__xludf.DUMMYFUNCTION("""COMPUTED_VALUE"""),"madhuri.dutta@zupee.in")</f>
        <v>madhuri.dutta@zupee.in</v>
      </c>
      <c r="B174" s="31" t="str">
        <f>IFERROR(__xludf.DUMMYFUNCTION("""COMPUTED_VALUE"""),"NOT_FOUND")</f>
        <v>NOT_FOUND</v>
      </c>
      <c r="C174" s="31" t="str">
        <f>IFERROR(__xludf.DUMMYFUNCTION("""COMPUTED_VALUE"""),"User not found")</f>
        <v>User not found</v>
      </c>
      <c r="D174" s="31" t="str">
        <f>IFERROR(__xludf.DUMMYFUNCTION("""COMPUTED_VALUE"""),"Revoked ")</f>
        <v>Revoked </v>
      </c>
      <c r="E174" s="31" t="str">
        <f>IFERROR(__xludf.DUMMYFUNCTION("""COMPUTED_VALUE"""),"sushil.patel@zupee.in")</f>
        <v>sushil.patel@zupee.in</v>
      </c>
      <c r="F174" s="31" t="str">
        <f>IFERROR(__xludf.DUMMYFUNCTION("""COMPUTED_VALUE"""),"Done")</f>
        <v>Done</v>
      </c>
      <c r="G174" s="31" t="str">
        <f>IFERROR(__xludf.DUMMYFUNCTION("""COMPUTED_VALUE"""),"No-Need")</f>
        <v>No-Need</v>
      </c>
      <c r="H174" s="31" t="str">
        <f>IFERROR(__xludf.DUMMYFUNCTION("""COMPUTED_VALUE"""),"sushil.patel@zupee.in")</f>
        <v>sushil.patel@zupee.in</v>
      </c>
      <c r="I174" s="31" t="str">
        <f>IFERROR(__xludf.DUMMYFUNCTION("""COMPUTED_VALUE"""),"Human Resource")</f>
        <v>Human Resource</v>
      </c>
      <c r="J174" s="103">
        <f>IFERROR(__xludf.DUMMYFUNCTION("""COMPUTED_VALUE"""),45957.0)</f>
        <v>45957</v>
      </c>
      <c r="K174" s="104" t="str">
        <f>IFERROR(__xludf.DUMMYFUNCTION("""COMPUTED_VALUE"""),"Confrm By Sushil Patel")</f>
        <v>Confrm By Sushil Patel</v>
      </c>
    </row>
    <row r="175">
      <c r="A175" s="31" t="str">
        <f>IFERROR(__xludf.DUMMYFUNCTION("""COMPUTED_VALUE"""),"aksshay.malaviya@zupee.in")</f>
        <v>aksshay.malaviya@zupee.in</v>
      </c>
      <c r="B175" s="31" t="str">
        <f>IFERROR(__xludf.DUMMYFUNCTION("""COMPUTED_VALUE"""),"NOT_FOUND")</f>
        <v>NOT_FOUND</v>
      </c>
      <c r="C175" s="31" t="str">
        <f>IFERROR(__xludf.DUMMYFUNCTION("""COMPUTED_VALUE"""),"User not found")</f>
        <v>User not found</v>
      </c>
      <c r="D175" s="31" t="str">
        <f>IFERROR(__xludf.DUMMYFUNCTION("""COMPUTED_VALUE"""),"Revoked ")</f>
        <v>Revoked </v>
      </c>
      <c r="E175" s="31" t="str">
        <f>IFERROR(__xludf.DUMMYFUNCTION("""COMPUTED_VALUE"""),"sushil.patel@zupee.in")</f>
        <v>sushil.patel@zupee.in</v>
      </c>
      <c r="F175" s="31" t="str">
        <f>IFERROR(__xludf.DUMMYFUNCTION("""COMPUTED_VALUE"""),"Done")</f>
        <v>Done</v>
      </c>
      <c r="G175" s="31" t="str">
        <f>IFERROR(__xludf.DUMMYFUNCTION("""COMPUTED_VALUE"""),"No-Need")</f>
        <v>No-Need</v>
      </c>
      <c r="H175" s="31" t="str">
        <f>IFERROR(__xludf.DUMMYFUNCTION("""COMPUTED_VALUE"""),"sushil.patel@zupee.in")</f>
        <v>sushil.patel@zupee.in</v>
      </c>
      <c r="I175" s="31" t="str">
        <f>IFERROR(__xludf.DUMMYFUNCTION("""COMPUTED_VALUE"""),"Human Resource")</f>
        <v>Human Resource</v>
      </c>
      <c r="J175" s="103">
        <f>IFERROR(__xludf.DUMMYFUNCTION("""COMPUTED_VALUE"""),45957.0)</f>
        <v>45957</v>
      </c>
      <c r="K175" s="104" t="str">
        <f>IFERROR(__xludf.DUMMYFUNCTION("""COMPUTED_VALUE"""),"Confrm By Sushil Patel")</f>
        <v>Confrm By Sushil Patel</v>
      </c>
    </row>
    <row r="176">
      <c r="A176" s="31" t="str">
        <f>IFERROR(__xludf.DUMMYFUNCTION("""COMPUTED_VALUE"""),"gaurav.saxena@zupee.in")</f>
        <v>gaurav.saxena@zupee.in</v>
      </c>
      <c r="B176" s="31" t="str">
        <f>IFERROR(__xludf.DUMMYFUNCTION("""COMPUTED_VALUE"""),"NOT_FOUND")</f>
        <v>NOT_FOUND</v>
      </c>
      <c r="C176" s="31" t="str">
        <f>IFERROR(__xludf.DUMMYFUNCTION("""COMPUTED_VALUE"""),"User not found")</f>
        <v>User not found</v>
      </c>
      <c r="D176" s="31" t="str">
        <f>IFERROR(__xludf.DUMMYFUNCTION("""COMPUTED_VALUE"""),"Revoked ")</f>
        <v>Revoked </v>
      </c>
      <c r="E176" s="31" t="str">
        <f>IFERROR(__xludf.DUMMYFUNCTION("""COMPUTED_VALUE"""),"sushil.patel@zupee.in, hrbackup@zupee.in")</f>
        <v>sushil.patel@zupee.in, hrbackup@zupee.in</v>
      </c>
      <c r="F176" s="31" t="str">
        <f>IFERROR(__xludf.DUMMYFUNCTION("""COMPUTED_VALUE"""),"Done")</f>
        <v>Done</v>
      </c>
      <c r="G176" s="31" t="str">
        <f>IFERROR(__xludf.DUMMYFUNCTION("""COMPUTED_VALUE"""),"No-Need")</f>
        <v>No-Need</v>
      </c>
      <c r="H176" s="31" t="str">
        <f>IFERROR(__xludf.DUMMYFUNCTION("""COMPUTED_VALUE"""),"sushil.patel@zupee.in")</f>
        <v>sushil.patel@zupee.in</v>
      </c>
      <c r="I176" s="31" t="str">
        <f>IFERROR(__xludf.DUMMYFUNCTION("""COMPUTED_VALUE"""),"Human Resource")</f>
        <v>Human Resource</v>
      </c>
      <c r="J176" s="103">
        <f>IFERROR(__xludf.DUMMYFUNCTION("""COMPUTED_VALUE"""),45957.0)</f>
        <v>45957</v>
      </c>
      <c r="K176" s="104" t="str">
        <f>IFERROR(__xludf.DUMMYFUNCTION("""COMPUTED_VALUE"""),"Confrm By Sushil Patel")</f>
        <v>Confrm By Sushil Patel</v>
      </c>
    </row>
    <row r="177">
      <c r="A177" s="31" t="str">
        <f>IFERROR(__xludf.DUMMYFUNCTION("""COMPUTED_VALUE"""),"aarti.mangla@zupee.in")</f>
        <v>aarti.mangla@zupee.in</v>
      </c>
      <c r="B177" s="31" t="str">
        <f>IFERROR(__xludf.DUMMYFUNCTION("""COMPUTED_VALUE"""),"NOT_FOUND")</f>
        <v>NOT_FOUND</v>
      </c>
      <c r="C177" s="31" t="str">
        <f>IFERROR(__xludf.DUMMYFUNCTION("""COMPUTED_VALUE"""),"User not found")</f>
        <v>User not found</v>
      </c>
      <c r="D177" s="31" t="str">
        <f>IFERROR(__xludf.DUMMYFUNCTION("""COMPUTED_VALUE"""),"Revoked ")</f>
        <v>Revoked </v>
      </c>
      <c r="E177" s="31" t="str">
        <f>IFERROR(__xludf.DUMMYFUNCTION("""COMPUTED_VALUE"""),"financebackup@zupee.in")</f>
        <v>financebackup@zupee.in</v>
      </c>
      <c r="F177" s="31" t="str">
        <f>IFERROR(__xludf.DUMMYFUNCTION("""COMPUTED_VALUE"""),"Done")</f>
        <v>Done</v>
      </c>
      <c r="G177" s="31" t="str">
        <f>IFERROR(__xludf.DUMMYFUNCTION("""COMPUTED_VALUE"""),"Done")</f>
        <v>Done</v>
      </c>
      <c r="H177" s="31" t="str">
        <f>IFERROR(__xludf.DUMMYFUNCTION("""COMPUTED_VALUE"""),"financebackup@zupee.in")</f>
        <v>financebackup@zupee.in</v>
      </c>
      <c r="I177" s="31" t="str">
        <f>IFERROR(__xludf.DUMMYFUNCTION("""COMPUTED_VALUE"""),"Finance")</f>
        <v>Finance</v>
      </c>
      <c r="J177" s="103">
        <f>IFERROR(__xludf.DUMMYFUNCTION("""COMPUTED_VALUE"""),45957.0)</f>
        <v>45957</v>
      </c>
      <c r="K177" s="104" t="str">
        <f>IFERROR(__xludf.DUMMYFUNCTION("""COMPUTED_VALUE"""),"Conf By Ankit Maheshwari")</f>
        <v>Conf By Ankit Maheshwari</v>
      </c>
    </row>
    <row r="178">
      <c r="A178" s="31" t="str">
        <f>IFERROR(__xludf.DUMMYFUNCTION("""COMPUTED_VALUE"""),"amul.singh@zupee.in")</f>
        <v>amul.singh@zupee.in</v>
      </c>
      <c r="B178" s="31" t="str">
        <f>IFERROR(__xludf.DUMMYFUNCTION("""COMPUTED_VALUE"""),"NOT_FOUND")</f>
        <v>NOT_FOUND</v>
      </c>
      <c r="C178" s="31" t="str">
        <f>IFERROR(__xludf.DUMMYFUNCTION("""COMPUTED_VALUE"""),"User not found")</f>
        <v>User not found</v>
      </c>
      <c r="D178" s="31" t="str">
        <f>IFERROR(__xludf.DUMMYFUNCTION("""COMPUTED_VALUE"""),"Revoked ")</f>
        <v>Revoked </v>
      </c>
      <c r="E178" s="31" t="str">
        <f>IFERROR(__xludf.DUMMYFUNCTION("""COMPUTED_VALUE"""),"financebackup@zupee.in")</f>
        <v>financebackup@zupee.in</v>
      </c>
      <c r="F178" s="31" t="str">
        <f>IFERROR(__xludf.DUMMYFUNCTION("""COMPUTED_VALUE"""),"Done")</f>
        <v>Done</v>
      </c>
      <c r="G178" s="31" t="str">
        <f>IFERROR(__xludf.DUMMYFUNCTION("""COMPUTED_VALUE"""),"Done")</f>
        <v>Done</v>
      </c>
      <c r="H178" s="31" t="str">
        <f>IFERROR(__xludf.DUMMYFUNCTION("""COMPUTED_VALUE"""),"financebackup@zupee.in")</f>
        <v>financebackup@zupee.in</v>
      </c>
      <c r="I178" s="31" t="str">
        <f>IFERROR(__xludf.DUMMYFUNCTION("""COMPUTED_VALUE"""),"Finance")</f>
        <v>Finance</v>
      </c>
      <c r="J178" s="103">
        <f>IFERROR(__xludf.DUMMYFUNCTION("""COMPUTED_VALUE"""),45957.0)</f>
        <v>45957</v>
      </c>
      <c r="K178" s="104" t="str">
        <f>IFERROR(__xludf.DUMMYFUNCTION("""COMPUTED_VALUE"""),"Conf By Ankit Maheshwari")</f>
        <v>Conf By Ankit Maheshwari</v>
      </c>
    </row>
    <row r="179">
      <c r="A179" s="31" t="str">
        <f>IFERROR(__xludf.DUMMYFUNCTION("""COMPUTED_VALUE"""),"anil.meher@zupee.in")</f>
        <v>anil.meher@zupee.in</v>
      </c>
      <c r="B179" s="31" t="str">
        <f>IFERROR(__xludf.DUMMYFUNCTION("""COMPUTED_VALUE"""),"NOT_FOUND")</f>
        <v>NOT_FOUND</v>
      </c>
      <c r="C179" s="31" t="str">
        <f>IFERROR(__xludf.DUMMYFUNCTION("""COMPUTED_VALUE"""),"User not found")</f>
        <v>User not found</v>
      </c>
      <c r="D179" s="31" t="str">
        <f>IFERROR(__xludf.DUMMYFUNCTION("""COMPUTED_VALUE"""),"Revoked ")</f>
        <v>Revoked </v>
      </c>
      <c r="E179" s="31" t="str">
        <f>IFERROR(__xludf.DUMMYFUNCTION("""COMPUTED_VALUE"""),"financebackup@zupee.in")</f>
        <v>financebackup@zupee.in</v>
      </c>
      <c r="F179" s="31" t="str">
        <f>IFERROR(__xludf.DUMMYFUNCTION("""COMPUTED_VALUE"""),"Done")</f>
        <v>Done</v>
      </c>
      <c r="G179" s="31" t="str">
        <f>IFERROR(__xludf.DUMMYFUNCTION("""COMPUTED_VALUE"""),"Done")</f>
        <v>Done</v>
      </c>
      <c r="H179" s="31" t="str">
        <f>IFERROR(__xludf.DUMMYFUNCTION("""COMPUTED_VALUE"""),"financebackup@zupee.in")</f>
        <v>financebackup@zupee.in</v>
      </c>
      <c r="I179" s="31" t="str">
        <f>IFERROR(__xludf.DUMMYFUNCTION("""COMPUTED_VALUE"""),"Finance")</f>
        <v>Finance</v>
      </c>
      <c r="J179" s="103">
        <f>IFERROR(__xludf.DUMMYFUNCTION("""COMPUTED_VALUE"""),45957.0)</f>
        <v>45957</v>
      </c>
      <c r="K179" s="104" t="str">
        <f>IFERROR(__xludf.DUMMYFUNCTION("""COMPUTED_VALUE"""),"Conf By Ankit Maheshwari")</f>
        <v>Conf By Ankit Maheshwari</v>
      </c>
    </row>
    <row r="180">
      <c r="A180" s="31" t="str">
        <f>IFERROR(__xludf.DUMMYFUNCTION("""COMPUTED_VALUE"""),"ankur.a@zupee.in")</f>
        <v>ankur.a@zupee.in</v>
      </c>
      <c r="B180" s="31" t="str">
        <f>IFERROR(__xludf.DUMMYFUNCTION("""COMPUTED_VALUE"""),"NOT_FOUND")</f>
        <v>NOT_FOUND</v>
      </c>
      <c r="C180" s="31" t="str">
        <f>IFERROR(__xludf.DUMMYFUNCTION("""COMPUTED_VALUE"""),"User not found")</f>
        <v>User not found</v>
      </c>
      <c r="D180" s="31" t="str">
        <f>IFERROR(__xludf.DUMMYFUNCTION("""COMPUTED_VALUE"""),"Revoked ")</f>
        <v>Revoked </v>
      </c>
      <c r="E180" s="31" t="str">
        <f>IFERROR(__xludf.DUMMYFUNCTION("""COMPUTED_VALUE"""),"financebackup@zupee.in")</f>
        <v>financebackup@zupee.in</v>
      </c>
      <c r="F180" s="31" t="str">
        <f>IFERROR(__xludf.DUMMYFUNCTION("""COMPUTED_VALUE"""),"Done")</f>
        <v>Done</v>
      </c>
      <c r="G180" s="31" t="str">
        <f>IFERROR(__xludf.DUMMYFUNCTION("""COMPUTED_VALUE"""),"Done")</f>
        <v>Done</v>
      </c>
      <c r="H180" s="31" t="str">
        <f>IFERROR(__xludf.DUMMYFUNCTION("""COMPUTED_VALUE"""),"financebackup@zupee.in")</f>
        <v>financebackup@zupee.in</v>
      </c>
      <c r="I180" s="31" t="str">
        <f>IFERROR(__xludf.DUMMYFUNCTION("""COMPUTED_VALUE"""),"Finance")</f>
        <v>Finance</v>
      </c>
      <c r="J180" s="103">
        <f>IFERROR(__xludf.DUMMYFUNCTION("""COMPUTED_VALUE"""),45957.0)</f>
        <v>45957</v>
      </c>
      <c r="K180" s="104" t="str">
        <f>IFERROR(__xludf.DUMMYFUNCTION("""COMPUTED_VALUE"""),"Conf By Ankit Maheshwari")</f>
        <v>Conf By Ankit Maheshwari</v>
      </c>
    </row>
    <row r="181">
      <c r="A181" s="31" t="str">
        <f>IFERROR(__xludf.DUMMYFUNCTION("""COMPUTED_VALUE"""),"aryan.bahl@zupee.in")</f>
        <v>aryan.bahl@zupee.in</v>
      </c>
      <c r="B181" s="31" t="str">
        <f>IFERROR(__xludf.DUMMYFUNCTION("""COMPUTED_VALUE"""),"NOT_FOUND")</f>
        <v>NOT_FOUND</v>
      </c>
      <c r="C181" s="31" t="str">
        <f>IFERROR(__xludf.DUMMYFUNCTION("""COMPUTED_VALUE"""),"User not found")</f>
        <v>User not found</v>
      </c>
      <c r="D181" s="31" t="str">
        <f>IFERROR(__xludf.DUMMYFUNCTION("""COMPUTED_VALUE"""),"Revoked ")</f>
        <v>Revoked </v>
      </c>
      <c r="E181" s="31" t="str">
        <f>IFERROR(__xludf.DUMMYFUNCTION("""COMPUTED_VALUE"""),"financebackup@zupee.in")</f>
        <v>financebackup@zupee.in</v>
      </c>
      <c r="F181" s="31" t="str">
        <f>IFERROR(__xludf.DUMMYFUNCTION("""COMPUTED_VALUE"""),"Done")</f>
        <v>Done</v>
      </c>
      <c r="G181" s="31" t="str">
        <f>IFERROR(__xludf.DUMMYFUNCTION("""COMPUTED_VALUE"""),"Done")</f>
        <v>Done</v>
      </c>
      <c r="H181" s="31" t="str">
        <f>IFERROR(__xludf.DUMMYFUNCTION("""COMPUTED_VALUE"""),"financebackup@zupee.in")</f>
        <v>financebackup@zupee.in</v>
      </c>
      <c r="I181" s="31" t="str">
        <f>IFERROR(__xludf.DUMMYFUNCTION("""COMPUTED_VALUE"""),"Finance")</f>
        <v>Finance</v>
      </c>
      <c r="J181" s="103">
        <f>IFERROR(__xludf.DUMMYFUNCTION("""COMPUTED_VALUE"""),45957.0)</f>
        <v>45957</v>
      </c>
      <c r="K181" s="104" t="str">
        <f>IFERROR(__xludf.DUMMYFUNCTION("""COMPUTED_VALUE"""),"Conf By Ankit Maheshwari")</f>
        <v>Conf By Ankit Maheshwari</v>
      </c>
    </row>
    <row r="182">
      <c r="A182" s="31" t="str">
        <f>IFERROR(__xludf.DUMMYFUNCTION("""COMPUTED_VALUE"""),"deepak.mehndiratta@zupee.in")</f>
        <v>deepak.mehndiratta@zupee.in</v>
      </c>
      <c r="B182" s="31" t="str">
        <f>IFERROR(__xludf.DUMMYFUNCTION("""COMPUTED_VALUE"""),"NOT_FOUND")</f>
        <v>NOT_FOUND</v>
      </c>
      <c r="C182" s="31" t="str">
        <f>IFERROR(__xludf.DUMMYFUNCTION("""COMPUTED_VALUE"""),"User not found")</f>
        <v>User not found</v>
      </c>
      <c r="D182" s="31" t="str">
        <f>IFERROR(__xludf.DUMMYFUNCTION("""COMPUTED_VALUE"""),"Revoked ")</f>
        <v>Revoked </v>
      </c>
      <c r="E182" s="31" t="str">
        <f>IFERROR(__xludf.DUMMYFUNCTION("""COMPUTED_VALUE"""),"financebackup@zupee.in")</f>
        <v>financebackup@zupee.in</v>
      </c>
      <c r="F182" s="31" t="str">
        <f>IFERROR(__xludf.DUMMYFUNCTION("""COMPUTED_VALUE"""),"Done")</f>
        <v>Done</v>
      </c>
      <c r="G182" s="31" t="str">
        <f>IFERROR(__xludf.DUMMYFUNCTION("""COMPUTED_VALUE"""),"Done")</f>
        <v>Done</v>
      </c>
      <c r="H182" s="31" t="str">
        <f>IFERROR(__xludf.DUMMYFUNCTION("""COMPUTED_VALUE"""),"financebackup@zupee.in")</f>
        <v>financebackup@zupee.in</v>
      </c>
      <c r="I182" s="31" t="str">
        <f>IFERROR(__xludf.DUMMYFUNCTION("""COMPUTED_VALUE"""),"Finance")</f>
        <v>Finance</v>
      </c>
      <c r="J182" s="103">
        <f>IFERROR(__xludf.DUMMYFUNCTION("""COMPUTED_VALUE"""),45957.0)</f>
        <v>45957</v>
      </c>
      <c r="K182" s="104" t="str">
        <f>IFERROR(__xludf.DUMMYFUNCTION("""COMPUTED_VALUE"""),"Conf By Ankit Maheshwari")</f>
        <v>Conf By Ankit Maheshwari</v>
      </c>
    </row>
    <row r="183">
      <c r="A183" s="31" t="str">
        <f>IFERROR(__xludf.DUMMYFUNCTION("""COMPUTED_VALUE"""),"garima.bothra@zupee.in")</f>
        <v>garima.bothra@zupee.in</v>
      </c>
      <c r="B183" s="31" t="str">
        <f>IFERROR(__xludf.DUMMYFUNCTION("""COMPUTED_VALUE"""),"NOT_FOUND")</f>
        <v>NOT_FOUND</v>
      </c>
      <c r="C183" s="31" t="str">
        <f>IFERROR(__xludf.DUMMYFUNCTION("""COMPUTED_VALUE"""),"User not found")</f>
        <v>User not found</v>
      </c>
      <c r="D183" s="31" t="str">
        <f>IFERROR(__xludf.DUMMYFUNCTION("""COMPUTED_VALUE"""),"Revoked ")</f>
        <v>Revoked </v>
      </c>
      <c r="E183" s="31" t="str">
        <f>IFERROR(__xludf.DUMMYFUNCTION("""COMPUTED_VALUE"""),"financebackup@zupee.in")</f>
        <v>financebackup@zupee.in</v>
      </c>
      <c r="F183" s="31" t="str">
        <f>IFERROR(__xludf.DUMMYFUNCTION("""COMPUTED_VALUE"""),"Done")</f>
        <v>Done</v>
      </c>
      <c r="G183" s="31" t="str">
        <f>IFERROR(__xludf.DUMMYFUNCTION("""COMPUTED_VALUE"""),"Done")</f>
        <v>Done</v>
      </c>
      <c r="H183" s="31" t="str">
        <f>IFERROR(__xludf.DUMMYFUNCTION("""COMPUTED_VALUE"""),"financebackup@zupee.in")</f>
        <v>financebackup@zupee.in</v>
      </c>
      <c r="I183" s="31" t="str">
        <f>IFERROR(__xludf.DUMMYFUNCTION("""COMPUTED_VALUE"""),"Finance")</f>
        <v>Finance</v>
      </c>
      <c r="J183" s="103">
        <f>IFERROR(__xludf.DUMMYFUNCTION("""COMPUTED_VALUE"""),45957.0)</f>
        <v>45957</v>
      </c>
      <c r="K183" s="104" t="str">
        <f>IFERROR(__xludf.DUMMYFUNCTION("""COMPUTED_VALUE"""),"Conf By Ankit Maheshwari")</f>
        <v>Conf By Ankit Maheshwari</v>
      </c>
    </row>
    <row r="184">
      <c r="A184" s="31" t="str">
        <f>IFERROR(__xludf.DUMMYFUNCTION("""COMPUTED_VALUE"""),"molik.chauhan@zupee.in")</f>
        <v>molik.chauhan@zupee.in</v>
      </c>
      <c r="B184" s="31" t="str">
        <f>IFERROR(__xludf.DUMMYFUNCTION("""COMPUTED_VALUE"""),"NOT_FOUND")</f>
        <v>NOT_FOUND</v>
      </c>
      <c r="C184" s="31" t="str">
        <f>IFERROR(__xludf.DUMMYFUNCTION("""COMPUTED_VALUE"""),"User not found")</f>
        <v>User not found</v>
      </c>
      <c r="D184" s="31" t="str">
        <f>IFERROR(__xludf.DUMMYFUNCTION("""COMPUTED_VALUE"""),"Revoked ")</f>
        <v>Revoked </v>
      </c>
      <c r="E184" s="31" t="str">
        <f>IFERROR(__xludf.DUMMYFUNCTION("""COMPUTED_VALUE"""),"financebackup@zupee.in")</f>
        <v>financebackup@zupee.in</v>
      </c>
      <c r="F184" s="31" t="str">
        <f>IFERROR(__xludf.DUMMYFUNCTION("""COMPUTED_VALUE"""),"Done")</f>
        <v>Done</v>
      </c>
      <c r="G184" s="31" t="str">
        <f>IFERROR(__xludf.DUMMYFUNCTION("""COMPUTED_VALUE"""),"Done")</f>
        <v>Done</v>
      </c>
      <c r="H184" s="31" t="str">
        <f>IFERROR(__xludf.DUMMYFUNCTION("""COMPUTED_VALUE"""),"financebackup@zupee.in")</f>
        <v>financebackup@zupee.in</v>
      </c>
      <c r="I184" s="31" t="str">
        <f>IFERROR(__xludf.DUMMYFUNCTION("""COMPUTED_VALUE"""),"Finance")</f>
        <v>Finance</v>
      </c>
      <c r="J184" s="103">
        <f>IFERROR(__xludf.DUMMYFUNCTION("""COMPUTED_VALUE"""),45957.0)</f>
        <v>45957</v>
      </c>
      <c r="K184" s="104" t="str">
        <f>IFERROR(__xludf.DUMMYFUNCTION("""COMPUTED_VALUE"""),"Conf By Ankit Maheshwari")</f>
        <v>Conf By Ankit Maheshwari</v>
      </c>
    </row>
    <row r="185">
      <c r="A185" s="31" t="str">
        <f>IFERROR(__xludf.DUMMYFUNCTION("""COMPUTED_VALUE"""),"pavit.batra@zupee.in")</f>
        <v>pavit.batra@zupee.in</v>
      </c>
      <c r="B185" s="31" t="str">
        <f>IFERROR(__xludf.DUMMYFUNCTION("""COMPUTED_VALUE"""),"NOT_FOUND")</f>
        <v>NOT_FOUND</v>
      </c>
      <c r="C185" s="31" t="str">
        <f>IFERROR(__xludf.DUMMYFUNCTION("""COMPUTED_VALUE"""),"User not found")</f>
        <v>User not found</v>
      </c>
      <c r="D185" s="31" t="str">
        <f>IFERROR(__xludf.DUMMYFUNCTION("""COMPUTED_VALUE"""),"Revoked ")</f>
        <v>Revoked </v>
      </c>
      <c r="E185" s="31" t="str">
        <f>IFERROR(__xludf.DUMMYFUNCTION("""COMPUTED_VALUE"""),"financebackup@zupee.in")</f>
        <v>financebackup@zupee.in</v>
      </c>
      <c r="F185" s="31" t="str">
        <f>IFERROR(__xludf.DUMMYFUNCTION("""COMPUTED_VALUE"""),"Done")</f>
        <v>Done</v>
      </c>
      <c r="G185" s="31" t="str">
        <f>IFERROR(__xludf.DUMMYFUNCTION("""COMPUTED_VALUE"""),"Done")</f>
        <v>Done</v>
      </c>
      <c r="H185" s="31" t="str">
        <f>IFERROR(__xludf.DUMMYFUNCTION("""COMPUTED_VALUE"""),"financebackup@zupee.in")</f>
        <v>financebackup@zupee.in</v>
      </c>
      <c r="I185" s="31" t="str">
        <f>IFERROR(__xludf.DUMMYFUNCTION("""COMPUTED_VALUE"""),"Finance")</f>
        <v>Finance</v>
      </c>
      <c r="J185" s="103">
        <f>IFERROR(__xludf.DUMMYFUNCTION("""COMPUTED_VALUE"""),45957.0)</f>
        <v>45957</v>
      </c>
      <c r="K185" s="104" t="str">
        <f>IFERROR(__xludf.DUMMYFUNCTION("""COMPUTED_VALUE"""),"Conf By Ankit Maheshwari")</f>
        <v>Conf By Ankit Maheshwari</v>
      </c>
    </row>
    <row r="186">
      <c r="A186" s="31" t="str">
        <f>IFERROR(__xludf.DUMMYFUNCTION("""COMPUTED_VALUE"""),"rachit.agrawal@zupee.in")</f>
        <v>rachit.agrawal@zupee.in</v>
      </c>
      <c r="B186" s="31" t="str">
        <f>IFERROR(__xludf.DUMMYFUNCTION("""COMPUTED_VALUE"""),"NOT_FOUND")</f>
        <v>NOT_FOUND</v>
      </c>
      <c r="C186" s="31" t="str">
        <f>IFERROR(__xludf.DUMMYFUNCTION("""COMPUTED_VALUE"""),"User not found")</f>
        <v>User not found</v>
      </c>
      <c r="D186" s="31" t="str">
        <f>IFERROR(__xludf.DUMMYFUNCTION("""COMPUTED_VALUE"""),"Revoked ")</f>
        <v>Revoked </v>
      </c>
      <c r="E186" s="31" t="str">
        <f>IFERROR(__xludf.DUMMYFUNCTION("""COMPUTED_VALUE"""),"financebackup@zupee.in")</f>
        <v>financebackup@zupee.in</v>
      </c>
      <c r="F186" s="31" t="str">
        <f>IFERROR(__xludf.DUMMYFUNCTION("""COMPUTED_VALUE"""),"Done")</f>
        <v>Done</v>
      </c>
      <c r="G186" s="31" t="str">
        <f>IFERROR(__xludf.DUMMYFUNCTION("""COMPUTED_VALUE"""),"Done")</f>
        <v>Done</v>
      </c>
      <c r="H186" s="31" t="str">
        <f>IFERROR(__xludf.DUMMYFUNCTION("""COMPUTED_VALUE"""),"financebackup@zupee.in")</f>
        <v>financebackup@zupee.in</v>
      </c>
      <c r="I186" s="31" t="str">
        <f>IFERROR(__xludf.DUMMYFUNCTION("""COMPUTED_VALUE"""),"Finance")</f>
        <v>Finance</v>
      </c>
      <c r="J186" s="103">
        <f>IFERROR(__xludf.DUMMYFUNCTION("""COMPUTED_VALUE"""),45957.0)</f>
        <v>45957</v>
      </c>
      <c r="K186" s="104" t="str">
        <f>IFERROR(__xludf.DUMMYFUNCTION("""COMPUTED_VALUE"""),"Conf By Ankit Maheshwari")</f>
        <v>Conf By Ankit Maheshwari</v>
      </c>
    </row>
    <row r="187">
      <c r="A187" s="31" t="str">
        <f>IFERROR(__xludf.DUMMYFUNCTION("""COMPUTED_VALUE"""),"shitiza.arora@zupee.in")</f>
        <v>shitiza.arora@zupee.in</v>
      </c>
      <c r="B187" s="31" t="str">
        <f>IFERROR(__xludf.DUMMYFUNCTION("""COMPUTED_VALUE"""),"NOT_FOUND")</f>
        <v>NOT_FOUND</v>
      </c>
      <c r="C187" s="31" t="str">
        <f>IFERROR(__xludf.DUMMYFUNCTION("""COMPUTED_VALUE"""),"User not found")</f>
        <v>User not found</v>
      </c>
      <c r="D187" s="31" t="str">
        <f>IFERROR(__xludf.DUMMYFUNCTION("""COMPUTED_VALUE"""),"Revoked ")</f>
        <v>Revoked </v>
      </c>
      <c r="E187" s="31" t="str">
        <f>IFERROR(__xludf.DUMMYFUNCTION("""COMPUTED_VALUE"""),"financebackup@zupee.in")</f>
        <v>financebackup@zupee.in</v>
      </c>
      <c r="F187" s="31" t="str">
        <f>IFERROR(__xludf.DUMMYFUNCTION("""COMPUTED_VALUE"""),"Done")</f>
        <v>Done</v>
      </c>
      <c r="G187" s="31" t="str">
        <f>IFERROR(__xludf.DUMMYFUNCTION("""COMPUTED_VALUE"""),"Done")</f>
        <v>Done</v>
      </c>
      <c r="H187" s="31" t="str">
        <f>IFERROR(__xludf.DUMMYFUNCTION("""COMPUTED_VALUE"""),"financebackup@zupee.in")</f>
        <v>financebackup@zupee.in</v>
      </c>
      <c r="I187" s="31" t="str">
        <f>IFERROR(__xludf.DUMMYFUNCTION("""COMPUTED_VALUE"""),"Finance")</f>
        <v>Finance</v>
      </c>
      <c r="J187" s="103">
        <f>IFERROR(__xludf.DUMMYFUNCTION("""COMPUTED_VALUE"""),45957.0)</f>
        <v>45957</v>
      </c>
      <c r="K187" s="104" t="str">
        <f>IFERROR(__xludf.DUMMYFUNCTION("""COMPUTED_VALUE"""),"Conf By Ankit Maheshwari")</f>
        <v>Conf By Ankit Maheshwari</v>
      </c>
    </row>
    <row r="188">
      <c r="A188" s="31" t="str">
        <f>IFERROR(__xludf.DUMMYFUNCTION("""COMPUTED_VALUE"""),"shreyansh.jain@zupee.in")</f>
        <v>shreyansh.jain@zupee.in</v>
      </c>
      <c r="B188" s="31" t="str">
        <f>IFERROR(__xludf.DUMMYFUNCTION("""COMPUTED_VALUE"""),"NOT_FOUND")</f>
        <v>NOT_FOUND</v>
      </c>
      <c r="C188" s="31" t="str">
        <f>IFERROR(__xludf.DUMMYFUNCTION("""COMPUTED_VALUE"""),"User not found")</f>
        <v>User not found</v>
      </c>
      <c r="D188" s="31" t="str">
        <f>IFERROR(__xludf.DUMMYFUNCTION("""COMPUTED_VALUE"""),"Revoked ")</f>
        <v>Revoked </v>
      </c>
      <c r="E188" s="31" t="str">
        <f>IFERROR(__xludf.DUMMYFUNCTION("""COMPUTED_VALUE"""),"financebackup@zupee.in")</f>
        <v>financebackup@zupee.in</v>
      </c>
      <c r="F188" s="31" t="str">
        <f>IFERROR(__xludf.DUMMYFUNCTION("""COMPUTED_VALUE"""),"Done")</f>
        <v>Done</v>
      </c>
      <c r="G188" s="31" t="str">
        <f>IFERROR(__xludf.DUMMYFUNCTION("""COMPUTED_VALUE"""),"Done")</f>
        <v>Done</v>
      </c>
      <c r="H188" s="31" t="str">
        <f>IFERROR(__xludf.DUMMYFUNCTION("""COMPUTED_VALUE"""),"financebackup@zupee.in")</f>
        <v>financebackup@zupee.in</v>
      </c>
      <c r="I188" s="31" t="str">
        <f>IFERROR(__xludf.DUMMYFUNCTION("""COMPUTED_VALUE"""),"Finance")</f>
        <v>Finance</v>
      </c>
      <c r="J188" s="103">
        <f>IFERROR(__xludf.DUMMYFUNCTION("""COMPUTED_VALUE"""),45957.0)</f>
        <v>45957</v>
      </c>
      <c r="K188" s="104" t="str">
        <f>IFERROR(__xludf.DUMMYFUNCTION("""COMPUTED_VALUE"""),"Conf By Ankit Maheshwari")</f>
        <v>Conf By Ankit Maheshwari</v>
      </c>
    </row>
    <row r="189">
      <c r="A189" s="31" t="str">
        <f>IFERROR(__xludf.DUMMYFUNCTION("""COMPUTED_VALUE"""),"akash.chauhan@zupee.in")</f>
        <v>akash.chauhan@zupee.in</v>
      </c>
      <c r="B189" s="31" t="str">
        <f>IFERROR(__xludf.DUMMYFUNCTION("""COMPUTED_VALUE"""),"NOT_FOUND")</f>
        <v>NOT_FOUND</v>
      </c>
      <c r="C189" s="31" t="str">
        <f>IFERROR(__xludf.DUMMYFUNCTION("""COMPUTED_VALUE"""),"User not found")</f>
        <v>User not found</v>
      </c>
      <c r="D189" s="31" t="str">
        <f>IFERROR(__xludf.DUMMYFUNCTION("""COMPUTED_VALUE"""),"Revoked ")</f>
        <v>Revoked </v>
      </c>
      <c r="E189" s="31" t="str">
        <f>IFERROR(__xludf.DUMMYFUNCTION("""COMPUTED_VALUE"""),"financebackup@zupee.in")</f>
        <v>financebackup@zupee.in</v>
      </c>
      <c r="F189" s="31" t="str">
        <f>IFERROR(__xludf.DUMMYFUNCTION("""COMPUTED_VALUE"""),"Done")</f>
        <v>Done</v>
      </c>
      <c r="G189" s="31" t="str">
        <f>IFERROR(__xludf.DUMMYFUNCTION("""COMPUTED_VALUE"""),"Done")</f>
        <v>Done</v>
      </c>
      <c r="H189" s="31" t="str">
        <f>IFERROR(__xludf.DUMMYFUNCTION("""COMPUTED_VALUE"""),"financebackup@zupee.in")</f>
        <v>financebackup@zupee.in</v>
      </c>
      <c r="I189" s="31" t="str">
        <f>IFERROR(__xludf.DUMMYFUNCTION("""COMPUTED_VALUE"""),"Finance")</f>
        <v>Finance</v>
      </c>
      <c r="J189" s="103">
        <f>IFERROR(__xludf.DUMMYFUNCTION("""COMPUTED_VALUE"""),45957.0)</f>
        <v>45957</v>
      </c>
      <c r="K189" s="104" t="str">
        <f>IFERROR(__xludf.DUMMYFUNCTION("""COMPUTED_VALUE"""),"Conf By Ankit Maheshwari")</f>
        <v>Conf By Ankit Maheshwari</v>
      </c>
    </row>
    <row r="190">
      <c r="A190" s="31" t="str">
        <f>IFERROR(__xludf.DUMMYFUNCTION("""COMPUTED_VALUE"""),"maneesh.goel@zupee.in")</f>
        <v>maneesh.goel@zupee.in</v>
      </c>
      <c r="B190" s="31" t="str">
        <f>IFERROR(__xludf.DUMMYFUNCTION("""COMPUTED_VALUE"""),"NOT_FOUND")</f>
        <v>NOT_FOUND</v>
      </c>
      <c r="C190" s="31" t="str">
        <f>IFERROR(__xludf.DUMMYFUNCTION("""COMPUTED_VALUE"""),"User not found")</f>
        <v>User not found</v>
      </c>
      <c r="D190" s="31" t="str">
        <f>IFERROR(__xludf.DUMMYFUNCTION("""COMPUTED_VALUE"""),"Revoked ")</f>
        <v>Revoked </v>
      </c>
      <c r="E190" s="31" t="str">
        <f>IFERROR(__xludf.DUMMYFUNCTION("""COMPUTED_VALUE"""),"financebackup@zupee.in")</f>
        <v>financebackup@zupee.in</v>
      </c>
      <c r="F190" s="31" t="str">
        <f>IFERROR(__xludf.DUMMYFUNCTION("""COMPUTED_VALUE"""),"Done")</f>
        <v>Done</v>
      </c>
      <c r="G190" s="31" t="str">
        <f>IFERROR(__xludf.DUMMYFUNCTION("""COMPUTED_VALUE"""),"Done")</f>
        <v>Done</v>
      </c>
      <c r="H190" s="31" t="str">
        <f>IFERROR(__xludf.DUMMYFUNCTION("""COMPUTED_VALUE"""),"financebackup@zupee.in")</f>
        <v>financebackup@zupee.in</v>
      </c>
      <c r="I190" s="31" t="str">
        <f>IFERROR(__xludf.DUMMYFUNCTION("""COMPUTED_VALUE"""),"Finance")</f>
        <v>Finance</v>
      </c>
      <c r="J190" s="103">
        <f>IFERROR(__xludf.DUMMYFUNCTION("""COMPUTED_VALUE"""),45957.0)</f>
        <v>45957</v>
      </c>
      <c r="K190" s="104" t="str">
        <f>IFERROR(__xludf.DUMMYFUNCTION("""COMPUTED_VALUE"""),"Conf By Ankit Maheshwari")</f>
        <v>Conf By Ankit Maheshwari</v>
      </c>
    </row>
    <row r="191">
      <c r="A191" s="31" t="str">
        <f>IFERROR(__xludf.DUMMYFUNCTION("""COMPUTED_VALUE"""),"prerna.sharma@zupee.in")</f>
        <v>prerna.sharma@zupee.in</v>
      </c>
      <c r="B191" s="31" t="str">
        <f>IFERROR(__xludf.DUMMYFUNCTION("""COMPUTED_VALUE"""),"NOT_FOUND")</f>
        <v>NOT_FOUND</v>
      </c>
      <c r="C191" s="31" t="str">
        <f>IFERROR(__xludf.DUMMYFUNCTION("""COMPUTED_VALUE"""),"User not found")</f>
        <v>User not found</v>
      </c>
      <c r="D191" s="31" t="str">
        <f>IFERROR(__xludf.DUMMYFUNCTION("""COMPUTED_VALUE"""),"Revoked ")</f>
        <v>Revoked </v>
      </c>
      <c r="E191" s="31" t="str">
        <f>IFERROR(__xludf.DUMMYFUNCTION("""COMPUTED_VALUE"""),"financebackup@zupee.in")</f>
        <v>financebackup@zupee.in</v>
      </c>
      <c r="F191" s="31" t="str">
        <f>IFERROR(__xludf.DUMMYFUNCTION("""COMPUTED_VALUE"""),"Done")</f>
        <v>Done</v>
      </c>
      <c r="G191" s="31" t="str">
        <f>IFERROR(__xludf.DUMMYFUNCTION("""COMPUTED_VALUE"""),"Done")</f>
        <v>Done</v>
      </c>
      <c r="H191" s="31" t="str">
        <f>IFERROR(__xludf.DUMMYFUNCTION("""COMPUTED_VALUE"""),"financebackup@zupee.in")</f>
        <v>financebackup@zupee.in</v>
      </c>
      <c r="I191" s="31" t="str">
        <f>IFERROR(__xludf.DUMMYFUNCTION("""COMPUTED_VALUE"""),"Finance")</f>
        <v>Finance</v>
      </c>
      <c r="J191" s="103">
        <f>IFERROR(__xludf.DUMMYFUNCTION("""COMPUTED_VALUE"""),45957.0)</f>
        <v>45957</v>
      </c>
      <c r="K191" s="104" t="str">
        <f>IFERROR(__xludf.DUMMYFUNCTION("""COMPUTED_VALUE"""),"Conf By Ankit Maheshwari")</f>
        <v>Conf By Ankit Maheshwari</v>
      </c>
    </row>
    <row r="192">
      <c r="A192" s="31" t="str">
        <f>IFERROR(__xludf.DUMMYFUNCTION("""COMPUTED_VALUE"""),"vijay.mr@zupee.in")</f>
        <v>vijay.mr@zupee.in</v>
      </c>
      <c r="B192" s="31" t="str">
        <f>IFERROR(__xludf.DUMMYFUNCTION("""COMPUTED_VALUE"""),"NOT_FOUND")</f>
        <v>NOT_FOUND</v>
      </c>
      <c r="C192" s="31" t="str">
        <f>IFERROR(__xludf.DUMMYFUNCTION("""COMPUTED_VALUE"""),"User not found")</f>
        <v>User not found</v>
      </c>
      <c r="D192" s="31" t="str">
        <f>IFERROR(__xludf.DUMMYFUNCTION("""COMPUTED_VALUE"""),"Revoked ")</f>
        <v>Revoked </v>
      </c>
      <c r="E192" s="31" t="str">
        <f>IFERROR(__xludf.DUMMYFUNCTION("""COMPUTED_VALUE"""),"financebackup@zupee.in")</f>
        <v>financebackup@zupee.in</v>
      </c>
      <c r="F192" s="31" t="str">
        <f>IFERROR(__xludf.DUMMYFUNCTION("""COMPUTED_VALUE"""),"Done")</f>
        <v>Done</v>
      </c>
      <c r="G192" s="31" t="str">
        <f>IFERROR(__xludf.DUMMYFUNCTION("""COMPUTED_VALUE"""),"Done")</f>
        <v>Done</v>
      </c>
      <c r="H192" s="31" t="str">
        <f>IFERROR(__xludf.DUMMYFUNCTION("""COMPUTED_VALUE"""),"financebackup@zupee.in")</f>
        <v>financebackup@zupee.in</v>
      </c>
      <c r="I192" s="31" t="str">
        <f>IFERROR(__xludf.DUMMYFUNCTION("""COMPUTED_VALUE"""),"Finance")</f>
        <v>Finance</v>
      </c>
      <c r="J192" s="103">
        <f>IFERROR(__xludf.DUMMYFUNCTION("""COMPUTED_VALUE"""),45957.0)</f>
        <v>45957</v>
      </c>
      <c r="K192" s="104" t="str">
        <f>IFERROR(__xludf.DUMMYFUNCTION("""COMPUTED_VALUE"""),"Conf By Ankit Maheshwari")</f>
        <v>Conf By Ankit Maheshwari</v>
      </c>
    </row>
    <row r="193">
      <c r="A193" s="31" t="str">
        <f>IFERROR(__xludf.DUMMYFUNCTION("""COMPUTED_VALUE"""),"jitendra.nayyar@zupee.in")</f>
        <v>jitendra.nayyar@zupee.in</v>
      </c>
      <c r="B193" s="31" t="str">
        <f>IFERROR(__xludf.DUMMYFUNCTION("""COMPUTED_VALUE"""),"NOT_FOUND")</f>
        <v>NOT_FOUND</v>
      </c>
      <c r="C193" s="31" t="str">
        <f>IFERROR(__xludf.DUMMYFUNCTION("""COMPUTED_VALUE"""),"User not found")</f>
        <v>User not found</v>
      </c>
      <c r="D193" s="31" t="str">
        <f>IFERROR(__xludf.DUMMYFUNCTION("""COMPUTED_VALUE"""),"Revoked ")</f>
        <v>Revoked </v>
      </c>
      <c r="E193" s="31" t="str">
        <f>IFERROR(__xludf.DUMMYFUNCTION("""COMPUTED_VALUE"""),"financebackup@zupee.in")</f>
        <v>financebackup@zupee.in</v>
      </c>
      <c r="F193" s="31" t="str">
        <f>IFERROR(__xludf.DUMMYFUNCTION("""COMPUTED_VALUE"""),"Done")</f>
        <v>Done</v>
      </c>
      <c r="G193" s="31" t="str">
        <f>IFERROR(__xludf.DUMMYFUNCTION("""COMPUTED_VALUE"""),"Done")</f>
        <v>Done</v>
      </c>
      <c r="H193" s="31" t="str">
        <f>IFERROR(__xludf.DUMMYFUNCTION("""COMPUTED_VALUE"""),"financebackup@zupee.in")</f>
        <v>financebackup@zupee.in</v>
      </c>
      <c r="I193" s="31" t="str">
        <f>IFERROR(__xludf.DUMMYFUNCTION("""COMPUTED_VALUE"""),"Finance")</f>
        <v>Finance</v>
      </c>
      <c r="J193" s="103">
        <f>IFERROR(__xludf.DUMMYFUNCTION("""COMPUTED_VALUE"""),45957.0)</f>
        <v>45957</v>
      </c>
      <c r="K193" s="104" t="str">
        <f>IFERROR(__xludf.DUMMYFUNCTION("""COMPUTED_VALUE"""),"Conf By Ankit Maheshwari")</f>
        <v>Conf By Ankit Maheshwari</v>
      </c>
    </row>
    <row r="194">
      <c r="A194" s="31" t="str">
        <f>IFERROR(__xludf.DUMMYFUNCTION("""COMPUTED_VALUE"""),"sumit.chugh@zupee.in")</f>
        <v>sumit.chugh@zupee.in</v>
      </c>
      <c r="B194" s="31" t="str">
        <f>IFERROR(__xludf.DUMMYFUNCTION("""COMPUTED_VALUE"""),"NOT_FOUND")</f>
        <v>NOT_FOUND</v>
      </c>
      <c r="C194" s="31" t="str">
        <f>IFERROR(__xludf.DUMMYFUNCTION("""COMPUTED_VALUE"""),"User not found")</f>
        <v>User not found</v>
      </c>
      <c r="D194" s="31" t="str">
        <f>IFERROR(__xludf.DUMMYFUNCTION("""COMPUTED_VALUE"""),"Revoked ")</f>
        <v>Revoked </v>
      </c>
      <c r="E194" s="31" t="str">
        <f>IFERROR(__xludf.DUMMYFUNCTION("""COMPUTED_VALUE"""),"financebackup@zupee.in")</f>
        <v>financebackup@zupee.in</v>
      </c>
      <c r="F194" s="31" t="str">
        <f>IFERROR(__xludf.DUMMYFUNCTION("""COMPUTED_VALUE"""),"Done")</f>
        <v>Done</v>
      </c>
      <c r="G194" s="31" t="str">
        <f>IFERROR(__xludf.DUMMYFUNCTION("""COMPUTED_VALUE"""),"Done")</f>
        <v>Done</v>
      </c>
      <c r="H194" s="31" t="str">
        <f>IFERROR(__xludf.DUMMYFUNCTION("""COMPUTED_VALUE"""),"financebackup@zupee.in")</f>
        <v>financebackup@zupee.in</v>
      </c>
      <c r="I194" s="31" t="str">
        <f>IFERROR(__xludf.DUMMYFUNCTION("""COMPUTED_VALUE"""),"Finance")</f>
        <v>Finance</v>
      </c>
      <c r="J194" s="103">
        <f>IFERROR(__xludf.DUMMYFUNCTION("""COMPUTED_VALUE"""),45957.0)</f>
        <v>45957</v>
      </c>
      <c r="K194" s="104" t="str">
        <f>IFERROR(__xludf.DUMMYFUNCTION("""COMPUTED_VALUE"""),"Conf By Ankit Maheshwari")</f>
        <v>Conf By Ankit Maheshwari</v>
      </c>
    </row>
    <row r="195">
      <c r="A195" s="31" t="str">
        <f>IFERROR(__xludf.DUMMYFUNCTION("""COMPUTED_VALUE"""),"sucheta.sharma@zupee.in")</f>
        <v>sucheta.sharma@zupee.in</v>
      </c>
      <c r="B195" s="31" t="str">
        <f>IFERROR(__xludf.DUMMYFUNCTION("""COMPUTED_VALUE"""),"NOT_FOUND")</f>
        <v>NOT_FOUND</v>
      </c>
      <c r="C195" s="31" t="str">
        <f>IFERROR(__xludf.DUMMYFUNCTION("""COMPUTED_VALUE"""),"User not found")</f>
        <v>User not found</v>
      </c>
      <c r="D195" s="31" t="str">
        <f>IFERROR(__xludf.DUMMYFUNCTION("""COMPUTED_VALUE"""),"Revoked ")</f>
        <v>Revoked </v>
      </c>
      <c r="E195" s="31" t="str">
        <f>IFERROR(__xludf.DUMMYFUNCTION("""COMPUTED_VALUE"""),"financebackup@zupee.in")</f>
        <v>financebackup@zupee.in</v>
      </c>
      <c r="F195" s="31" t="str">
        <f>IFERROR(__xludf.DUMMYFUNCTION("""COMPUTED_VALUE"""),"Done")</f>
        <v>Done</v>
      </c>
      <c r="G195" s="31" t="str">
        <f>IFERROR(__xludf.DUMMYFUNCTION("""COMPUTED_VALUE"""),"Done")</f>
        <v>Done</v>
      </c>
      <c r="H195" s="31" t="str">
        <f>IFERROR(__xludf.DUMMYFUNCTION("""COMPUTED_VALUE"""),"financebackup@zupee.in")</f>
        <v>financebackup@zupee.in</v>
      </c>
      <c r="I195" s="31" t="str">
        <f>IFERROR(__xludf.DUMMYFUNCTION("""COMPUTED_VALUE"""),"Finance")</f>
        <v>Finance</v>
      </c>
      <c r="J195" s="103">
        <f>IFERROR(__xludf.DUMMYFUNCTION("""COMPUTED_VALUE"""),45957.0)</f>
        <v>45957</v>
      </c>
      <c r="K195" s="104" t="str">
        <f>IFERROR(__xludf.DUMMYFUNCTION("""COMPUTED_VALUE"""),"Conf By Ankit Maheshwari")</f>
        <v>Conf By Ankit Maheshwari</v>
      </c>
    </row>
    <row r="196">
      <c r="A196" s="31" t="str">
        <f>IFERROR(__xludf.DUMMYFUNCTION("""COMPUTED_VALUE"""),"aman.maurya@zupee.in")</f>
        <v>aman.maurya@zupee.in</v>
      </c>
      <c r="B196" s="31" t="str">
        <f>IFERROR(__xludf.DUMMYFUNCTION("""COMPUTED_VALUE"""),"NOT_FOUND")</f>
        <v>NOT_FOUND</v>
      </c>
      <c r="C196" s="31" t="str">
        <f>IFERROR(__xludf.DUMMYFUNCTION("""COMPUTED_VALUE"""),"User not found")</f>
        <v>User not found</v>
      </c>
      <c r="D196" s="31" t="str">
        <f>IFERROR(__xludf.DUMMYFUNCTION("""COMPUTED_VALUE"""),"Revoked ")</f>
        <v>Revoked </v>
      </c>
      <c r="E196" s="31" t="str">
        <f>IFERROR(__xludf.DUMMYFUNCTION("""COMPUTED_VALUE"""),"financebackup@zupee.in")</f>
        <v>financebackup@zupee.in</v>
      </c>
      <c r="F196" s="31" t="str">
        <f>IFERROR(__xludf.DUMMYFUNCTION("""COMPUTED_VALUE"""),"Done")</f>
        <v>Done</v>
      </c>
      <c r="G196" s="31" t="str">
        <f>IFERROR(__xludf.DUMMYFUNCTION("""COMPUTED_VALUE"""),"Done")</f>
        <v>Done</v>
      </c>
      <c r="H196" s="31" t="str">
        <f>IFERROR(__xludf.DUMMYFUNCTION("""COMPUTED_VALUE"""),"financebackup@zupee.in")</f>
        <v>financebackup@zupee.in</v>
      </c>
      <c r="I196" s="31" t="str">
        <f>IFERROR(__xludf.DUMMYFUNCTION("""COMPUTED_VALUE"""),"Finance")</f>
        <v>Finance</v>
      </c>
      <c r="J196" s="103">
        <f>IFERROR(__xludf.DUMMYFUNCTION("""COMPUTED_VALUE"""),45957.0)</f>
        <v>45957</v>
      </c>
      <c r="K196" s="104" t="str">
        <f>IFERROR(__xludf.DUMMYFUNCTION("""COMPUTED_VALUE"""),"Conf By Ankit Maheshwari")</f>
        <v>Conf By Ankit Maheshwari</v>
      </c>
    </row>
    <row r="197">
      <c r="A197" s="31" t="str">
        <f>IFERROR(__xludf.DUMMYFUNCTION("""COMPUTED_VALUE"""),"manish.kawatra@zupee.in")</f>
        <v>manish.kawatra@zupee.in</v>
      </c>
      <c r="B197" s="31" t="str">
        <f>IFERROR(__xludf.DUMMYFUNCTION("""COMPUTED_VALUE"""),"NOT_FOUND")</f>
        <v>NOT_FOUND</v>
      </c>
      <c r="C197" s="31" t="str">
        <f>IFERROR(__xludf.DUMMYFUNCTION("""COMPUTED_VALUE"""),"User not found")</f>
        <v>User not found</v>
      </c>
      <c r="D197" s="31" t="str">
        <f>IFERROR(__xludf.DUMMYFUNCTION("""COMPUTED_VALUE"""),"Revoked ")</f>
        <v>Revoked </v>
      </c>
      <c r="E197" s="31" t="str">
        <f>IFERROR(__xludf.DUMMYFUNCTION("""COMPUTED_VALUE"""),"financebackup@zupee.in")</f>
        <v>financebackup@zupee.in</v>
      </c>
      <c r="F197" s="31" t="str">
        <f>IFERROR(__xludf.DUMMYFUNCTION("""COMPUTED_VALUE"""),"Done")</f>
        <v>Done</v>
      </c>
      <c r="G197" s="31" t="str">
        <f>IFERROR(__xludf.DUMMYFUNCTION("""COMPUTED_VALUE"""),"Done")</f>
        <v>Done</v>
      </c>
      <c r="H197" s="31" t="str">
        <f>IFERROR(__xludf.DUMMYFUNCTION("""COMPUTED_VALUE"""),"financebackup@zupee.in")</f>
        <v>financebackup@zupee.in</v>
      </c>
      <c r="I197" s="31" t="str">
        <f>IFERROR(__xludf.DUMMYFUNCTION("""COMPUTED_VALUE"""),"Finance")</f>
        <v>Finance</v>
      </c>
      <c r="J197" s="103">
        <f>IFERROR(__xludf.DUMMYFUNCTION("""COMPUTED_VALUE"""),45957.0)</f>
        <v>45957</v>
      </c>
      <c r="K197" s="104" t="str">
        <f>IFERROR(__xludf.DUMMYFUNCTION("""COMPUTED_VALUE"""),"Conf By Ankit Maheshwari")</f>
        <v>Conf By Ankit Maheshwari</v>
      </c>
    </row>
    <row r="198">
      <c r="A198" s="31" t="str">
        <f>IFERROR(__xludf.DUMMYFUNCTION("""COMPUTED_VALUE"""),"aditya.pathak@zupee.in")</f>
        <v>aditya.pathak@zupee.in</v>
      </c>
      <c r="B198" s="31" t="str">
        <f>IFERROR(__xludf.DUMMYFUNCTION("""COMPUTED_VALUE"""),"NOT_FOUND")</f>
        <v>NOT_FOUND</v>
      </c>
      <c r="C198" s="31" t="str">
        <f>IFERROR(__xludf.DUMMYFUNCTION("""COMPUTED_VALUE"""),"User not found")</f>
        <v>User not found</v>
      </c>
      <c r="D198" s="31" t="str">
        <f>IFERROR(__xludf.DUMMYFUNCTION("""COMPUTED_VALUE"""),"Revoked ")</f>
        <v>Revoked </v>
      </c>
      <c r="E198" s="31" t="str">
        <f>IFERROR(__xludf.DUMMYFUNCTION("""COMPUTED_VALUE"""),"sumit.yadav@zupee.in")</f>
        <v>sumit.yadav@zupee.in</v>
      </c>
      <c r="F198" s="31" t="str">
        <f>IFERROR(__xludf.DUMMYFUNCTION("""COMPUTED_VALUE"""),"Done")</f>
        <v>Done</v>
      </c>
      <c r="G198" s="31" t="str">
        <f>IFERROR(__xludf.DUMMYFUNCTION("""COMPUTED_VALUE"""),"Done")</f>
        <v>Done</v>
      </c>
      <c r="H198" s="31" t="str">
        <f>IFERROR(__xludf.DUMMYFUNCTION("""COMPUTED_VALUE"""),"itservices@zupee.in")</f>
        <v>itservices@zupee.in</v>
      </c>
      <c r="I198" s="31" t="str">
        <f>IFERROR(__xludf.DUMMYFUNCTION("""COMPUTED_VALUE"""),"CRM")</f>
        <v>CRM</v>
      </c>
      <c r="J198" s="103">
        <f>IFERROR(__xludf.DUMMYFUNCTION("""COMPUTED_VALUE"""),45958.0)</f>
        <v>45958</v>
      </c>
      <c r="K198" s="104" t="str">
        <f>IFERROR(__xludf.DUMMYFUNCTION("""COMPUTED_VALUE"""),"Conf By Mrityunjay Kumar")</f>
        <v>Conf By Mrityunjay Kumar</v>
      </c>
    </row>
    <row r="199">
      <c r="A199" s="31" t="str">
        <f>IFERROR(__xludf.DUMMYFUNCTION("""COMPUTED_VALUE"""),"aman.khare@zupee.in")</f>
        <v>aman.khare@zupee.in</v>
      </c>
      <c r="B199" s="31" t="str">
        <f>IFERROR(__xludf.DUMMYFUNCTION("""COMPUTED_VALUE"""),"NOT_FOUND")</f>
        <v>NOT_FOUND</v>
      </c>
      <c r="C199" s="31" t="str">
        <f>IFERROR(__xludf.DUMMYFUNCTION("""COMPUTED_VALUE"""),"User not found")</f>
        <v>User not found</v>
      </c>
      <c r="D199" s="31" t="str">
        <f>IFERROR(__xludf.DUMMYFUNCTION("""COMPUTED_VALUE"""),"Revoked ")</f>
        <v>Revoked </v>
      </c>
      <c r="E199" s="31" t="str">
        <f>IFERROR(__xludf.DUMMYFUNCTION("""COMPUTED_VALUE"""),"sumit.yadav@zupee.in")</f>
        <v>sumit.yadav@zupee.in</v>
      </c>
      <c r="F199" s="31" t="str">
        <f>IFERROR(__xludf.DUMMYFUNCTION("""COMPUTED_VALUE"""),"Done")</f>
        <v>Done</v>
      </c>
      <c r="G199" s="31" t="str">
        <f>IFERROR(__xludf.DUMMYFUNCTION("""COMPUTED_VALUE"""),"Done")</f>
        <v>Done</v>
      </c>
      <c r="H199" s="31" t="str">
        <f>IFERROR(__xludf.DUMMYFUNCTION("""COMPUTED_VALUE"""),"itservices@zupee.in")</f>
        <v>itservices@zupee.in</v>
      </c>
      <c r="I199" s="31" t="str">
        <f>IFERROR(__xludf.DUMMYFUNCTION("""COMPUTED_VALUE"""),"CRM")</f>
        <v>CRM</v>
      </c>
      <c r="J199" s="103">
        <f>IFERROR(__xludf.DUMMYFUNCTION("""COMPUTED_VALUE"""),45958.0)</f>
        <v>45958</v>
      </c>
      <c r="K199" s="104" t="str">
        <f>IFERROR(__xludf.DUMMYFUNCTION("""COMPUTED_VALUE"""),"Conf By Mrityunjay Kumar")</f>
        <v>Conf By Mrityunjay Kumar</v>
      </c>
    </row>
    <row r="200">
      <c r="A200" s="31" t="str">
        <f>IFERROR(__xludf.DUMMYFUNCTION("""COMPUTED_VALUE"""),"anubhav.pandey@zupee.in")</f>
        <v>anubhav.pandey@zupee.in</v>
      </c>
      <c r="B200" s="31" t="str">
        <f>IFERROR(__xludf.DUMMYFUNCTION("""COMPUTED_VALUE"""),"NOT_FOUND")</f>
        <v>NOT_FOUND</v>
      </c>
      <c r="C200" s="31" t="str">
        <f>IFERROR(__xludf.DUMMYFUNCTION("""COMPUTED_VALUE"""),"User not found")</f>
        <v>User not found</v>
      </c>
      <c r="D200" s="31" t="str">
        <f>IFERROR(__xludf.DUMMYFUNCTION("""COMPUTED_VALUE"""),"Revoked ")</f>
        <v>Revoked </v>
      </c>
      <c r="E200" s="31" t="str">
        <f>IFERROR(__xludf.DUMMYFUNCTION("""COMPUTED_VALUE"""),"sumit.yadav@zupee.in")</f>
        <v>sumit.yadav@zupee.in</v>
      </c>
      <c r="F200" s="31" t="str">
        <f>IFERROR(__xludf.DUMMYFUNCTION("""COMPUTED_VALUE"""),"Done")</f>
        <v>Done</v>
      </c>
      <c r="G200" s="31" t="str">
        <f>IFERROR(__xludf.DUMMYFUNCTION("""COMPUTED_VALUE"""),"Done")</f>
        <v>Done</v>
      </c>
      <c r="H200" s="31" t="str">
        <f>IFERROR(__xludf.DUMMYFUNCTION("""COMPUTED_VALUE"""),"itservices@zupee.in")</f>
        <v>itservices@zupee.in</v>
      </c>
      <c r="I200" s="31" t="str">
        <f>IFERROR(__xludf.DUMMYFUNCTION("""COMPUTED_VALUE"""),"CRM")</f>
        <v>CRM</v>
      </c>
      <c r="J200" s="103">
        <f>IFERROR(__xludf.DUMMYFUNCTION("""COMPUTED_VALUE"""),45958.0)</f>
        <v>45958</v>
      </c>
      <c r="K200" s="104" t="str">
        <f>IFERROR(__xludf.DUMMYFUNCTION("""COMPUTED_VALUE"""),"Conf By Mrityunjay Kumar")</f>
        <v>Conf By Mrityunjay Kumar</v>
      </c>
    </row>
    <row r="201">
      <c r="A201" s="31" t="str">
        <f>IFERROR(__xludf.DUMMYFUNCTION("""COMPUTED_VALUE"""),"anurag.dwivedi@zupee.in")</f>
        <v>anurag.dwivedi@zupee.in</v>
      </c>
      <c r="B201" s="31" t="str">
        <f>IFERROR(__xludf.DUMMYFUNCTION("""COMPUTED_VALUE"""),"NOT_FOUND")</f>
        <v>NOT_FOUND</v>
      </c>
      <c r="C201" s="31" t="str">
        <f>IFERROR(__xludf.DUMMYFUNCTION("""COMPUTED_VALUE"""),"User not found")</f>
        <v>User not found</v>
      </c>
      <c r="D201" s="31" t="str">
        <f>IFERROR(__xludf.DUMMYFUNCTION("""COMPUTED_VALUE"""),"Revoked ")</f>
        <v>Revoked </v>
      </c>
      <c r="E201" s="31" t="str">
        <f>IFERROR(__xludf.DUMMYFUNCTION("""COMPUTED_VALUE"""),"sumit.yadav@zupee.in")</f>
        <v>sumit.yadav@zupee.in</v>
      </c>
      <c r="F201" s="31" t="str">
        <f>IFERROR(__xludf.DUMMYFUNCTION("""COMPUTED_VALUE"""),"Done")</f>
        <v>Done</v>
      </c>
      <c r="G201" s="31" t="str">
        <f>IFERROR(__xludf.DUMMYFUNCTION("""COMPUTED_VALUE"""),"Done")</f>
        <v>Done</v>
      </c>
      <c r="H201" s="31" t="str">
        <f>IFERROR(__xludf.DUMMYFUNCTION("""COMPUTED_VALUE"""),"itservices@zupee.in")</f>
        <v>itservices@zupee.in</v>
      </c>
      <c r="I201" s="31" t="str">
        <f>IFERROR(__xludf.DUMMYFUNCTION("""COMPUTED_VALUE"""),"CRM")</f>
        <v>CRM</v>
      </c>
      <c r="J201" s="103">
        <f>IFERROR(__xludf.DUMMYFUNCTION("""COMPUTED_VALUE"""),45958.0)</f>
        <v>45958</v>
      </c>
      <c r="K201" s="104" t="str">
        <f>IFERROR(__xludf.DUMMYFUNCTION("""COMPUTED_VALUE"""),"Conf By Mrityunjay Kumar")</f>
        <v>Conf By Mrityunjay Kumar</v>
      </c>
    </row>
    <row r="202">
      <c r="A202" s="31" t="str">
        <f>IFERROR(__xludf.DUMMYFUNCTION("""COMPUTED_VALUE"""),"deepak.rawat@zupee.in")</f>
        <v>deepak.rawat@zupee.in</v>
      </c>
      <c r="B202" s="31" t="str">
        <f>IFERROR(__xludf.DUMMYFUNCTION("""COMPUTED_VALUE"""),"NOT_FOUND")</f>
        <v>NOT_FOUND</v>
      </c>
      <c r="C202" s="31" t="str">
        <f>IFERROR(__xludf.DUMMYFUNCTION("""COMPUTED_VALUE"""),"User not found")</f>
        <v>User not found</v>
      </c>
      <c r="D202" s="31" t="str">
        <f>IFERROR(__xludf.DUMMYFUNCTION("""COMPUTED_VALUE"""),"Revoked ")</f>
        <v>Revoked </v>
      </c>
      <c r="E202" s="31" t="str">
        <f>IFERROR(__xludf.DUMMYFUNCTION("""COMPUTED_VALUE"""),"sumit.yadav@zupee.in")</f>
        <v>sumit.yadav@zupee.in</v>
      </c>
      <c r="F202" s="31" t="str">
        <f>IFERROR(__xludf.DUMMYFUNCTION("""COMPUTED_VALUE"""),"Done")</f>
        <v>Done</v>
      </c>
      <c r="G202" s="31" t="str">
        <f>IFERROR(__xludf.DUMMYFUNCTION("""COMPUTED_VALUE"""),"Done")</f>
        <v>Done</v>
      </c>
      <c r="H202" s="31" t="str">
        <f>IFERROR(__xludf.DUMMYFUNCTION("""COMPUTED_VALUE"""),"itservices@zupee.in")</f>
        <v>itservices@zupee.in</v>
      </c>
      <c r="I202" s="31" t="str">
        <f>IFERROR(__xludf.DUMMYFUNCTION("""COMPUTED_VALUE"""),"CRM")</f>
        <v>CRM</v>
      </c>
      <c r="J202" s="103">
        <f>IFERROR(__xludf.DUMMYFUNCTION("""COMPUTED_VALUE"""),45958.0)</f>
        <v>45958</v>
      </c>
      <c r="K202" s="104" t="str">
        <f>IFERROR(__xludf.DUMMYFUNCTION("""COMPUTED_VALUE"""),"Conf By Mrityunjay Kumar")</f>
        <v>Conf By Mrityunjay Kumar</v>
      </c>
    </row>
    <row r="203">
      <c r="A203" s="31" t="str">
        <f>IFERROR(__xludf.DUMMYFUNCTION("""COMPUTED_VALUE"""),"ishan.margamwar@zupee.in")</f>
        <v>ishan.margamwar@zupee.in</v>
      </c>
      <c r="B203" s="31" t="str">
        <f>IFERROR(__xludf.DUMMYFUNCTION("""COMPUTED_VALUE"""),"NOT_FOUND")</f>
        <v>NOT_FOUND</v>
      </c>
      <c r="C203" s="31" t="str">
        <f>IFERROR(__xludf.DUMMYFUNCTION("""COMPUTED_VALUE"""),"User not found")</f>
        <v>User not found</v>
      </c>
      <c r="D203" s="31" t="str">
        <f>IFERROR(__xludf.DUMMYFUNCTION("""COMPUTED_VALUE"""),"Revoked ")</f>
        <v>Revoked </v>
      </c>
      <c r="E203" s="31" t="str">
        <f>IFERROR(__xludf.DUMMYFUNCTION("""COMPUTED_VALUE"""),"sumit.yadav@zupee.in")</f>
        <v>sumit.yadav@zupee.in</v>
      </c>
      <c r="F203" s="31" t="str">
        <f>IFERROR(__xludf.DUMMYFUNCTION("""COMPUTED_VALUE"""),"Done")</f>
        <v>Done</v>
      </c>
      <c r="G203" s="31" t="str">
        <f>IFERROR(__xludf.DUMMYFUNCTION("""COMPUTED_VALUE"""),"Done")</f>
        <v>Done</v>
      </c>
      <c r="H203" s="31" t="str">
        <f>IFERROR(__xludf.DUMMYFUNCTION("""COMPUTED_VALUE"""),"itservices@zupee.in")</f>
        <v>itservices@zupee.in</v>
      </c>
      <c r="I203" s="31" t="str">
        <f>IFERROR(__xludf.DUMMYFUNCTION("""COMPUTED_VALUE"""),"CRM")</f>
        <v>CRM</v>
      </c>
      <c r="J203" s="103">
        <f>IFERROR(__xludf.DUMMYFUNCTION("""COMPUTED_VALUE"""),45958.0)</f>
        <v>45958</v>
      </c>
      <c r="K203" s="104" t="str">
        <f>IFERROR(__xludf.DUMMYFUNCTION("""COMPUTED_VALUE"""),"Conf By Mrityunjay Kumar")</f>
        <v>Conf By Mrityunjay Kumar</v>
      </c>
    </row>
    <row r="204">
      <c r="A204" s="31" t="str">
        <f>IFERROR(__xludf.DUMMYFUNCTION("""COMPUTED_VALUE"""),"ishan.margamwar1@zupee.in")</f>
        <v>ishan.margamwar1@zupee.in</v>
      </c>
      <c r="B204" s="31" t="str">
        <f>IFERROR(__xludf.DUMMYFUNCTION("""COMPUTED_VALUE"""),"NOT_FOUND")</f>
        <v>NOT_FOUND</v>
      </c>
      <c r="C204" s="31" t="str">
        <f>IFERROR(__xludf.DUMMYFUNCTION("""COMPUTED_VALUE"""),"User not found")</f>
        <v>User not found</v>
      </c>
      <c r="D204" s="31" t="str">
        <f>IFERROR(__xludf.DUMMYFUNCTION("""COMPUTED_VALUE"""),"Revoked ")</f>
        <v>Revoked </v>
      </c>
      <c r="E204" s="31" t="str">
        <f>IFERROR(__xludf.DUMMYFUNCTION("""COMPUTED_VALUE"""),"sumit.yadav@zupee.in")</f>
        <v>sumit.yadav@zupee.in</v>
      </c>
      <c r="F204" s="31" t="str">
        <f>IFERROR(__xludf.DUMMYFUNCTION("""COMPUTED_VALUE"""),"Done")</f>
        <v>Done</v>
      </c>
      <c r="G204" s="31" t="str">
        <f>IFERROR(__xludf.DUMMYFUNCTION("""COMPUTED_VALUE"""),"Done")</f>
        <v>Done</v>
      </c>
      <c r="H204" s="31" t="str">
        <f>IFERROR(__xludf.DUMMYFUNCTION("""COMPUTED_VALUE"""),"itservices@zupee.in")</f>
        <v>itservices@zupee.in</v>
      </c>
      <c r="I204" s="31" t="str">
        <f>IFERROR(__xludf.DUMMYFUNCTION("""COMPUTED_VALUE"""),"CRM")</f>
        <v>CRM</v>
      </c>
      <c r="J204" s="103">
        <f>IFERROR(__xludf.DUMMYFUNCTION("""COMPUTED_VALUE"""),45958.0)</f>
        <v>45958</v>
      </c>
      <c r="K204" s="104" t="str">
        <f>IFERROR(__xludf.DUMMYFUNCTION("""COMPUTED_VALUE"""),"Conf By Mrityunjay Kumar")</f>
        <v>Conf By Mrityunjay Kumar</v>
      </c>
    </row>
    <row r="205">
      <c r="A205" s="31" t="str">
        <f>IFERROR(__xludf.DUMMYFUNCTION("""COMPUTED_VALUE"""),"mohini.bhardwaj@zupee.in")</f>
        <v>mohini.bhardwaj@zupee.in</v>
      </c>
      <c r="B205" s="31" t="str">
        <f>IFERROR(__xludf.DUMMYFUNCTION("""COMPUTED_VALUE"""),"NOT_FOUND")</f>
        <v>NOT_FOUND</v>
      </c>
      <c r="C205" s="31" t="str">
        <f>IFERROR(__xludf.DUMMYFUNCTION("""COMPUTED_VALUE"""),"User not found")</f>
        <v>User not found</v>
      </c>
      <c r="D205" s="31" t="str">
        <f>IFERROR(__xludf.DUMMYFUNCTION("""COMPUTED_VALUE"""),"Revoked ")</f>
        <v>Revoked </v>
      </c>
      <c r="E205" s="31" t="str">
        <f>IFERROR(__xludf.DUMMYFUNCTION("""COMPUTED_VALUE"""),"sumit.yadav@zupee.in")</f>
        <v>sumit.yadav@zupee.in</v>
      </c>
      <c r="F205" s="31" t="str">
        <f>IFERROR(__xludf.DUMMYFUNCTION("""COMPUTED_VALUE"""),"Done")</f>
        <v>Done</v>
      </c>
      <c r="G205" s="31" t="str">
        <f>IFERROR(__xludf.DUMMYFUNCTION("""COMPUTED_VALUE"""),"Done")</f>
        <v>Done</v>
      </c>
      <c r="H205" s="31" t="str">
        <f>IFERROR(__xludf.DUMMYFUNCTION("""COMPUTED_VALUE"""),"itservices@zupee.in")</f>
        <v>itservices@zupee.in</v>
      </c>
      <c r="I205" s="31" t="str">
        <f>IFERROR(__xludf.DUMMYFUNCTION("""COMPUTED_VALUE"""),"CRM")</f>
        <v>CRM</v>
      </c>
      <c r="J205" s="103">
        <f>IFERROR(__xludf.DUMMYFUNCTION("""COMPUTED_VALUE"""),45958.0)</f>
        <v>45958</v>
      </c>
      <c r="K205" s="104" t="str">
        <f>IFERROR(__xludf.DUMMYFUNCTION("""COMPUTED_VALUE"""),"Conf By Mrityunjay Kumar")</f>
        <v>Conf By Mrityunjay Kumar</v>
      </c>
    </row>
    <row r="206">
      <c r="A206" s="31" t="str">
        <f>IFERROR(__xludf.DUMMYFUNCTION("""COMPUTED_VALUE"""),"mritunjay.kumar@zupee.in")</f>
        <v>mritunjay.kumar@zupee.in</v>
      </c>
      <c r="B206" s="31" t="str">
        <f>IFERROR(__xludf.DUMMYFUNCTION("""COMPUTED_VALUE"""),"NOT_FOUND")</f>
        <v>NOT_FOUND</v>
      </c>
      <c r="C206" s="31" t="str">
        <f>IFERROR(__xludf.DUMMYFUNCTION("""COMPUTED_VALUE"""),"User not found")</f>
        <v>User not found</v>
      </c>
      <c r="D206" s="31" t="str">
        <f>IFERROR(__xludf.DUMMYFUNCTION("""COMPUTED_VALUE"""),"Revoked ")</f>
        <v>Revoked </v>
      </c>
      <c r="E206" s="31" t="str">
        <f>IFERROR(__xludf.DUMMYFUNCTION("""COMPUTED_VALUE"""),"sumit.yadav@zupee.in")</f>
        <v>sumit.yadav@zupee.in</v>
      </c>
      <c r="F206" s="31" t="str">
        <f>IFERROR(__xludf.DUMMYFUNCTION("""COMPUTED_VALUE"""),"Done")</f>
        <v>Done</v>
      </c>
      <c r="G206" s="31" t="str">
        <f>IFERROR(__xludf.DUMMYFUNCTION("""COMPUTED_VALUE"""),"Done")</f>
        <v>Done</v>
      </c>
      <c r="H206" s="31" t="str">
        <f>IFERROR(__xludf.DUMMYFUNCTION("""COMPUTED_VALUE"""),"itservices@zupee.in")</f>
        <v>itservices@zupee.in</v>
      </c>
      <c r="I206" s="31" t="str">
        <f>IFERROR(__xludf.DUMMYFUNCTION("""COMPUTED_VALUE"""),"CRM")</f>
        <v>CRM</v>
      </c>
      <c r="J206" s="103">
        <f>IFERROR(__xludf.DUMMYFUNCTION("""COMPUTED_VALUE"""),45958.0)</f>
        <v>45958</v>
      </c>
      <c r="K206" s="104" t="str">
        <f>IFERROR(__xludf.DUMMYFUNCTION("""COMPUTED_VALUE"""),"Conf By Mrityunjay Kumar")</f>
        <v>Conf By Mrityunjay Kumar</v>
      </c>
    </row>
    <row r="207">
      <c r="A207" s="31" t="str">
        <f>IFERROR(__xludf.DUMMYFUNCTION("""COMPUTED_VALUE"""),"sanjeev.kumar@zupee.in")</f>
        <v>sanjeev.kumar@zupee.in</v>
      </c>
      <c r="B207" s="31" t="str">
        <f>IFERROR(__xludf.DUMMYFUNCTION("""COMPUTED_VALUE"""),"NOT_FOUND")</f>
        <v>NOT_FOUND</v>
      </c>
      <c r="C207" s="31" t="str">
        <f>IFERROR(__xludf.DUMMYFUNCTION("""COMPUTED_VALUE"""),"User not found")</f>
        <v>User not found</v>
      </c>
      <c r="D207" s="31" t="str">
        <f>IFERROR(__xludf.DUMMYFUNCTION("""COMPUTED_VALUE"""),"Revoked ")</f>
        <v>Revoked </v>
      </c>
      <c r="E207" s="31" t="str">
        <f>IFERROR(__xludf.DUMMYFUNCTION("""COMPUTED_VALUE"""),"sumit.yadav@zupee.in")</f>
        <v>sumit.yadav@zupee.in</v>
      </c>
      <c r="F207" s="31" t="str">
        <f>IFERROR(__xludf.DUMMYFUNCTION("""COMPUTED_VALUE"""),"Done")</f>
        <v>Done</v>
      </c>
      <c r="G207" s="31" t="str">
        <f>IFERROR(__xludf.DUMMYFUNCTION("""COMPUTED_VALUE"""),"Done")</f>
        <v>Done</v>
      </c>
      <c r="H207" s="31" t="str">
        <f>IFERROR(__xludf.DUMMYFUNCTION("""COMPUTED_VALUE"""),"itservices@zupee.in")</f>
        <v>itservices@zupee.in</v>
      </c>
      <c r="I207" s="31" t="str">
        <f>IFERROR(__xludf.DUMMYFUNCTION("""COMPUTED_VALUE"""),"CRM")</f>
        <v>CRM</v>
      </c>
      <c r="J207" s="103">
        <f>IFERROR(__xludf.DUMMYFUNCTION("""COMPUTED_VALUE"""),45958.0)</f>
        <v>45958</v>
      </c>
      <c r="K207" s="104" t="str">
        <f>IFERROR(__xludf.DUMMYFUNCTION("""COMPUTED_VALUE"""),"Conf By Mrityunjay Kumar")</f>
        <v>Conf By Mrityunjay Kumar</v>
      </c>
    </row>
    <row r="208">
      <c r="A208" s="31" t="str">
        <f>IFERROR(__xludf.DUMMYFUNCTION("""COMPUTED_VALUE"""),"shivam.bali@zupee.in")</f>
        <v>shivam.bali@zupee.in</v>
      </c>
      <c r="B208" s="31" t="str">
        <f>IFERROR(__xludf.DUMMYFUNCTION("""COMPUTED_VALUE"""),"NOT_FOUND")</f>
        <v>NOT_FOUND</v>
      </c>
      <c r="C208" s="31" t="str">
        <f>IFERROR(__xludf.DUMMYFUNCTION("""COMPUTED_VALUE"""),"User not found")</f>
        <v>User not found</v>
      </c>
      <c r="D208" s="31" t="str">
        <f>IFERROR(__xludf.DUMMYFUNCTION("""COMPUTED_VALUE"""),"Revoked ")</f>
        <v>Revoked </v>
      </c>
      <c r="E208" s="31" t="str">
        <f>IFERROR(__xludf.DUMMYFUNCTION("""COMPUTED_VALUE"""),"sumit.yadav@zupee.in")</f>
        <v>sumit.yadav@zupee.in</v>
      </c>
      <c r="F208" s="31" t="str">
        <f>IFERROR(__xludf.DUMMYFUNCTION("""COMPUTED_VALUE"""),"Done")</f>
        <v>Done</v>
      </c>
      <c r="G208" s="31" t="str">
        <f>IFERROR(__xludf.DUMMYFUNCTION("""COMPUTED_VALUE"""),"Done")</f>
        <v>Done</v>
      </c>
      <c r="H208" s="31" t="str">
        <f>IFERROR(__xludf.DUMMYFUNCTION("""COMPUTED_VALUE"""),"itservices@zupee.in")</f>
        <v>itservices@zupee.in</v>
      </c>
      <c r="I208" s="31" t="str">
        <f>IFERROR(__xludf.DUMMYFUNCTION("""COMPUTED_VALUE"""),"CRM")</f>
        <v>CRM</v>
      </c>
      <c r="J208" s="103">
        <f>IFERROR(__xludf.DUMMYFUNCTION("""COMPUTED_VALUE"""),45958.0)</f>
        <v>45958</v>
      </c>
      <c r="K208" s="104" t="str">
        <f>IFERROR(__xludf.DUMMYFUNCTION("""COMPUTED_VALUE"""),"Conf By Mrityunjay Kumar")</f>
        <v>Conf By Mrityunjay Kumar</v>
      </c>
    </row>
    <row r="209">
      <c r="A209" s="31" t="str">
        <f>IFERROR(__xludf.DUMMYFUNCTION("""COMPUTED_VALUE"""),"shubham.goyal@zupee.in")</f>
        <v>shubham.goyal@zupee.in</v>
      </c>
      <c r="B209" s="31" t="str">
        <f>IFERROR(__xludf.DUMMYFUNCTION("""COMPUTED_VALUE"""),"NOT_FOUND")</f>
        <v>NOT_FOUND</v>
      </c>
      <c r="C209" s="31" t="str">
        <f>IFERROR(__xludf.DUMMYFUNCTION("""COMPUTED_VALUE"""),"User not found")</f>
        <v>User not found</v>
      </c>
      <c r="D209" s="31" t="str">
        <f>IFERROR(__xludf.DUMMYFUNCTION("""COMPUTED_VALUE"""),"Revoked ")</f>
        <v>Revoked </v>
      </c>
      <c r="E209" s="31" t="str">
        <f>IFERROR(__xludf.DUMMYFUNCTION("""COMPUTED_VALUE"""),"sumit.yadav@zupee.in")</f>
        <v>sumit.yadav@zupee.in</v>
      </c>
      <c r="F209" s="31" t="str">
        <f>IFERROR(__xludf.DUMMYFUNCTION("""COMPUTED_VALUE"""),"Done")</f>
        <v>Done</v>
      </c>
      <c r="G209" s="31" t="str">
        <f>IFERROR(__xludf.DUMMYFUNCTION("""COMPUTED_VALUE"""),"Done")</f>
        <v>Done</v>
      </c>
      <c r="H209" s="31" t="str">
        <f>IFERROR(__xludf.DUMMYFUNCTION("""COMPUTED_VALUE"""),"itservices@zupee.in")</f>
        <v>itservices@zupee.in</v>
      </c>
      <c r="I209" s="31" t="str">
        <f>IFERROR(__xludf.DUMMYFUNCTION("""COMPUTED_VALUE"""),"CRM")</f>
        <v>CRM</v>
      </c>
      <c r="J209" s="103">
        <f>IFERROR(__xludf.DUMMYFUNCTION("""COMPUTED_VALUE"""),45958.0)</f>
        <v>45958</v>
      </c>
      <c r="K209" s="104" t="str">
        <f>IFERROR(__xludf.DUMMYFUNCTION("""COMPUTED_VALUE"""),"Conf By Mrityunjay Kumar")</f>
        <v>Conf By Mrityunjay Kumar</v>
      </c>
    </row>
    <row r="210">
      <c r="A210" s="31" t="str">
        <f>IFERROR(__xludf.DUMMYFUNCTION("""COMPUTED_VALUE"""),"atiullaha.siddiqui@zupee.in")</f>
        <v>atiullaha.siddiqui@zupee.in</v>
      </c>
      <c r="B210" s="31" t="str">
        <f>IFERROR(__xludf.DUMMYFUNCTION("""COMPUTED_VALUE"""),"NOT_FOUND")</f>
        <v>NOT_FOUND</v>
      </c>
      <c r="C210" s="31" t="str">
        <f>IFERROR(__xludf.DUMMYFUNCTION("""COMPUTED_VALUE"""),"User not found")</f>
        <v>User not found</v>
      </c>
      <c r="D210" s="31" t="str">
        <f>IFERROR(__xludf.DUMMYFUNCTION("""COMPUTED_VALUE"""),"Revoked ")</f>
        <v>Revoked </v>
      </c>
      <c r="E210" s="31" t="str">
        <f>IFERROR(__xludf.DUMMYFUNCTION("""COMPUTED_VALUE"""),"sumit.yadav@zupee.in")</f>
        <v>sumit.yadav@zupee.in</v>
      </c>
      <c r="F210" s="31" t="str">
        <f>IFERROR(__xludf.DUMMYFUNCTION("""COMPUTED_VALUE"""),"Done")</f>
        <v>Done</v>
      </c>
      <c r="G210" s="31" t="str">
        <f>IFERROR(__xludf.DUMMYFUNCTION("""COMPUTED_VALUE"""),"Done")</f>
        <v>Done</v>
      </c>
      <c r="H210" s="31" t="str">
        <f>IFERROR(__xludf.DUMMYFUNCTION("""COMPUTED_VALUE"""),"itservices@zupee.in")</f>
        <v>itservices@zupee.in</v>
      </c>
      <c r="I210" s="31" t="str">
        <f>IFERROR(__xludf.DUMMYFUNCTION("""COMPUTED_VALUE"""),"CRM")</f>
        <v>CRM</v>
      </c>
      <c r="J210" s="103">
        <f>IFERROR(__xludf.DUMMYFUNCTION("""COMPUTED_VALUE"""),45958.0)</f>
        <v>45958</v>
      </c>
      <c r="K210" s="104" t="str">
        <f>IFERROR(__xludf.DUMMYFUNCTION("""COMPUTED_VALUE"""),"Conf By Mrityunjay Kumar")</f>
        <v>Conf By Mrityunjay Kumar</v>
      </c>
    </row>
    <row r="211">
      <c r="A211" s="31" t="str">
        <f>IFERROR(__xludf.DUMMYFUNCTION("""COMPUTED_VALUE"""),"tarun.sharma@zupee.in")</f>
        <v>tarun.sharma@zupee.in</v>
      </c>
      <c r="B211" s="31" t="str">
        <f>IFERROR(__xludf.DUMMYFUNCTION("""COMPUTED_VALUE"""),"NOT_FOUND")</f>
        <v>NOT_FOUND</v>
      </c>
      <c r="C211" s="31" t="str">
        <f>IFERROR(__xludf.DUMMYFUNCTION("""COMPUTED_VALUE"""),"User not found")</f>
        <v>User not found</v>
      </c>
      <c r="D211" s="31" t="str">
        <f>IFERROR(__xludf.DUMMYFUNCTION("""COMPUTED_VALUE"""),"Revoked ")</f>
        <v>Revoked </v>
      </c>
      <c r="E211" s="31" t="str">
        <f>IFERROR(__xludf.DUMMYFUNCTION("""COMPUTED_VALUE"""),"sumit.yadav@zupee.in")</f>
        <v>sumit.yadav@zupee.in</v>
      </c>
      <c r="F211" s="31" t="str">
        <f>IFERROR(__xludf.DUMMYFUNCTION("""COMPUTED_VALUE"""),"Done")</f>
        <v>Done</v>
      </c>
      <c r="G211" s="31" t="str">
        <f>IFERROR(__xludf.DUMMYFUNCTION("""COMPUTED_VALUE"""),"Done")</f>
        <v>Done</v>
      </c>
      <c r="H211" s="31" t="str">
        <f>IFERROR(__xludf.DUMMYFUNCTION("""COMPUTED_VALUE"""),"itservices@zupee.in")</f>
        <v>itservices@zupee.in</v>
      </c>
      <c r="I211" s="31" t="str">
        <f>IFERROR(__xludf.DUMMYFUNCTION("""COMPUTED_VALUE"""),"CRM")</f>
        <v>CRM</v>
      </c>
      <c r="J211" s="103">
        <f>IFERROR(__xludf.DUMMYFUNCTION("""COMPUTED_VALUE"""),45958.0)</f>
        <v>45958</v>
      </c>
      <c r="K211" s="104" t="str">
        <f>IFERROR(__xludf.DUMMYFUNCTION("""COMPUTED_VALUE"""),"Conf By Mrityunjay Kumar")</f>
        <v>Conf By Mrityunjay Kumar</v>
      </c>
    </row>
    <row r="212">
      <c r="A212" s="31" t="str">
        <f>IFERROR(__xludf.DUMMYFUNCTION("""COMPUTED_VALUE"""),"abhishek.bithu@zupee.in")</f>
        <v>abhishek.bithu@zupee.in</v>
      </c>
      <c r="B212" s="31" t="str">
        <f>IFERROR(__xludf.DUMMYFUNCTION("""COMPUTED_VALUE"""),"NOT_FOUND")</f>
        <v>NOT_FOUND</v>
      </c>
      <c r="C212" s="31" t="str">
        <f>IFERROR(__xludf.DUMMYFUNCTION("""COMPUTED_VALUE"""),"User not found")</f>
        <v>User not found</v>
      </c>
      <c r="D212" s="31" t="str">
        <f>IFERROR(__xludf.DUMMYFUNCTION("""COMPUTED_VALUE"""),"Revoked ")</f>
        <v>Revoked </v>
      </c>
      <c r="E212" s="31" t="str">
        <f>IFERROR(__xludf.DUMMYFUNCTION("""COMPUTED_VALUE"""),"No-Need")</f>
        <v>No-Need</v>
      </c>
      <c r="F212" s="31" t="str">
        <f>IFERROR(__xludf.DUMMYFUNCTION("""COMPUTED_VALUE"""),"No-Need")</f>
        <v>No-Need</v>
      </c>
      <c r="G212" s="31" t="str">
        <f>IFERROR(__xludf.DUMMYFUNCTION("""COMPUTED_VALUE"""),"No-Need")</f>
        <v>No-Need</v>
      </c>
      <c r="H212" s="31" t="str">
        <f>IFERROR(__xludf.DUMMYFUNCTION("""COMPUTED_VALUE"""),"N/A")</f>
        <v>N/A</v>
      </c>
      <c r="I212" s="31" t="str">
        <f>IFERROR(__xludf.DUMMYFUNCTION("""COMPUTED_VALUE"""),"Technology")</f>
        <v>Technology</v>
      </c>
      <c r="J212" s="103">
        <f>IFERROR(__xludf.DUMMYFUNCTION("""COMPUTED_VALUE"""),45958.0)</f>
        <v>45958</v>
      </c>
      <c r="K212" s="104" t="str">
        <f>IFERROR(__xludf.DUMMYFUNCTION("""COMPUTED_VALUE"""),"Confrm By Abhishek Gupta")</f>
        <v>Confrm By Abhishek Gupta</v>
      </c>
    </row>
    <row r="213">
      <c r="A213" s="31" t="str">
        <f>IFERROR(__xludf.DUMMYFUNCTION("""COMPUTED_VALUE"""),"abhishek.g@zupee.in")</f>
        <v>abhishek.g@zupee.in</v>
      </c>
      <c r="B213" s="31" t="str">
        <f>IFERROR(__xludf.DUMMYFUNCTION("""COMPUTED_VALUE"""),"NOT_FOUND")</f>
        <v>NOT_FOUND</v>
      </c>
      <c r="C213" s="31" t="str">
        <f>IFERROR(__xludf.DUMMYFUNCTION("""COMPUTED_VALUE"""),"User not found")</f>
        <v>User not found</v>
      </c>
      <c r="D213" s="31" t="str">
        <f>IFERROR(__xludf.DUMMYFUNCTION("""COMPUTED_VALUE"""),"Revoked ")</f>
        <v>Revoked </v>
      </c>
      <c r="E213" s="31" t="str">
        <f>IFERROR(__xludf.DUMMYFUNCTION("""COMPUTED_VALUE"""),"No-Need")</f>
        <v>No-Need</v>
      </c>
      <c r="F213" s="31" t="str">
        <f>IFERROR(__xludf.DUMMYFUNCTION("""COMPUTED_VALUE"""),"No-Need")</f>
        <v>No-Need</v>
      </c>
      <c r="G213" s="31" t="str">
        <f>IFERROR(__xludf.DUMMYFUNCTION("""COMPUTED_VALUE"""),"No-Need")</f>
        <v>No-Need</v>
      </c>
      <c r="H213" s="31" t="str">
        <f>IFERROR(__xludf.DUMMYFUNCTION("""COMPUTED_VALUE"""),"N/A")</f>
        <v>N/A</v>
      </c>
      <c r="I213" s="31" t="str">
        <f>IFERROR(__xludf.DUMMYFUNCTION("""COMPUTED_VALUE"""),"Technology")</f>
        <v>Technology</v>
      </c>
      <c r="J213" s="103">
        <f>IFERROR(__xludf.DUMMYFUNCTION("""COMPUTED_VALUE"""),45958.0)</f>
        <v>45958</v>
      </c>
      <c r="K213" s="104" t="str">
        <f>IFERROR(__xludf.DUMMYFUNCTION("""COMPUTED_VALUE"""),"Confrm By Abhishek Gupta")</f>
        <v>Confrm By Abhishek Gupta</v>
      </c>
    </row>
    <row r="214">
      <c r="A214" s="31" t="str">
        <f>IFERROR(__xludf.DUMMYFUNCTION("""COMPUTED_VALUE"""),"animesh.jain@zupee.in")</f>
        <v>animesh.jain@zupee.in</v>
      </c>
      <c r="B214" s="31" t="str">
        <f>IFERROR(__xludf.DUMMYFUNCTION("""COMPUTED_VALUE"""),"NOT_FOUND")</f>
        <v>NOT_FOUND</v>
      </c>
      <c r="C214" s="31" t="str">
        <f>IFERROR(__xludf.DUMMYFUNCTION("""COMPUTED_VALUE"""),"User not found")</f>
        <v>User not found</v>
      </c>
      <c r="D214" s="31" t="str">
        <f>IFERROR(__xludf.DUMMYFUNCTION("""COMPUTED_VALUE"""),"Revoked ")</f>
        <v>Revoked </v>
      </c>
      <c r="E214" s="31" t="str">
        <f>IFERROR(__xludf.DUMMYFUNCTION("""COMPUTED_VALUE"""),"No-Need")</f>
        <v>No-Need</v>
      </c>
      <c r="F214" s="31" t="str">
        <f>IFERROR(__xludf.DUMMYFUNCTION("""COMPUTED_VALUE"""),"No-Need")</f>
        <v>No-Need</v>
      </c>
      <c r="G214" s="31" t="str">
        <f>IFERROR(__xludf.DUMMYFUNCTION("""COMPUTED_VALUE"""),"No-Need")</f>
        <v>No-Need</v>
      </c>
      <c r="H214" s="31" t="str">
        <f>IFERROR(__xludf.DUMMYFUNCTION("""COMPUTED_VALUE"""),"N/A")</f>
        <v>N/A</v>
      </c>
      <c r="I214" s="31" t="str">
        <f>IFERROR(__xludf.DUMMYFUNCTION("""COMPUTED_VALUE"""),"Technology")</f>
        <v>Technology</v>
      </c>
      <c r="J214" s="103">
        <f>IFERROR(__xludf.DUMMYFUNCTION("""COMPUTED_VALUE"""),45958.0)</f>
        <v>45958</v>
      </c>
      <c r="K214" s="104" t="str">
        <f>IFERROR(__xludf.DUMMYFUNCTION("""COMPUTED_VALUE"""),"Confrm By Abhishek Gupta")</f>
        <v>Confrm By Abhishek Gupta</v>
      </c>
    </row>
    <row r="215">
      <c r="A215" s="31" t="str">
        <f>IFERROR(__xludf.DUMMYFUNCTION("""COMPUTED_VALUE"""),"arpan.garg@zupee.in")</f>
        <v>arpan.garg@zupee.in</v>
      </c>
      <c r="B215" s="31" t="str">
        <f>IFERROR(__xludf.DUMMYFUNCTION("""COMPUTED_VALUE"""),"NOT_FOUND")</f>
        <v>NOT_FOUND</v>
      </c>
      <c r="C215" s="31" t="str">
        <f>IFERROR(__xludf.DUMMYFUNCTION("""COMPUTED_VALUE"""),"User not found")</f>
        <v>User not found</v>
      </c>
      <c r="D215" s="31" t="str">
        <f>IFERROR(__xludf.DUMMYFUNCTION("""COMPUTED_VALUE"""),"Revoked ")</f>
        <v>Revoked </v>
      </c>
      <c r="E215" s="31" t="str">
        <f>IFERROR(__xludf.DUMMYFUNCTION("""COMPUTED_VALUE"""),"No-Need")</f>
        <v>No-Need</v>
      </c>
      <c r="F215" s="31" t="str">
        <f>IFERROR(__xludf.DUMMYFUNCTION("""COMPUTED_VALUE"""),"No-Need")</f>
        <v>No-Need</v>
      </c>
      <c r="G215" s="31" t="str">
        <f>IFERROR(__xludf.DUMMYFUNCTION("""COMPUTED_VALUE"""),"No-Need")</f>
        <v>No-Need</v>
      </c>
      <c r="H215" s="31" t="str">
        <f>IFERROR(__xludf.DUMMYFUNCTION("""COMPUTED_VALUE"""),"N/A")</f>
        <v>N/A</v>
      </c>
      <c r="I215" s="31" t="str">
        <f>IFERROR(__xludf.DUMMYFUNCTION("""COMPUTED_VALUE"""),"Technology")</f>
        <v>Technology</v>
      </c>
      <c r="J215" s="103">
        <f>IFERROR(__xludf.DUMMYFUNCTION("""COMPUTED_VALUE"""),45958.0)</f>
        <v>45958</v>
      </c>
      <c r="K215" s="104" t="str">
        <f>IFERROR(__xludf.DUMMYFUNCTION("""COMPUTED_VALUE"""),"Confrm By Abhishek Gupta")</f>
        <v>Confrm By Abhishek Gupta</v>
      </c>
    </row>
    <row r="216">
      <c r="A216" s="31" t="str">
        <f>IFERROR(__xludf.DUMMYFUNCTION("""COMPUTED_VALUE"""),"ayush.k@zupee.in")</f>
        <v>ayush.k@zupee.in</v>
      </c>
      <c r="B216" s="31" t="str">
        <f>IFERROR(__xludf.DUMMYFUNCTION("""COMPUTED_VALUE"""),"NOT_FOUND")</f>
        <v>NOT_FOUND</v>
      </c>
      <c r="C216" s="31" t="str">
        <f>IFERROR(__xludf.DUMMYFUNCTION("""COMPUTED_VALUE"""),"User not found")</f>
        <v>User not found</v>
      </c>
      <c r="D216" s="31" t="str">
        <f>IFERROR(__xludf.DUMMYFUNCTION("""COMPUTED_VALUE"""),"Revoked ")</f>
        <v>Revoked </v>
      </c>
      <c r="E216" s="31" t="str">
        <f>IFERROR(__xludf.DUMMYFUNCTION("""COMPUTED_VALUE"""),"No-Need")</f>
        <v>No-Need</v>
      </c>
      <c r="F216" s="31" t="str">
        <f>IFERROR(__xludf.DUMMYFUNCTION("""COMPUTED_VALUE"""),"No-Need")</f>
        <v>No-Need</v>
      </c>
      <c r="G216" s="31" t="str">
        <f>IFERROR(__xludf.DUMMYFUNCTION("""COMPUTED_VALUE"""),"No-Need")</f>
        <v>No-Need</v>
      </c>
      <c r="H216" s="31" t="str">
        <f>IFERROR(__xludf.DUMMYFUNCTION("""COMPUTED_VALUE"""),"N/A")</f>
        <v>N/A</v>
      </c>
      <c r="I216" s="31" t="str">
        <f>IFERROR(__xludf.DUMMYFUNCTION("""COMPUTED_VALUE"""),"Technology")</f>
        <v>Technology</v>
      </c>
      <c r="J216" s="103">
        <f>IFERROR(__xludf.DUMMYFUNCTION("""COMPUTED_VALUE"""),45958.0)</f>
        <v>45958</v>
      </c>
      <c r="K216" s="104" t="str">
        <f>IFERROR(__xludf.DUMMYFUNCTION("""COMPUTED_VALUE"""),"Confrm By Abhishek Gupta")</f>
        <v>Confrm By Abhishek Gupta</v>
      </c>
    </row>
    <row r="217">
      <c r="A217" s="31" t="str">
        <f>IFERROR(__xludf.DUMMYFUNCTION("""COMPUTED_VALUE"""),"dev.peshawari@zupee.in")</f>
        <v>dev.peshawari@zupee.in</v>
      </c>
      <c r="B217" s="31" t="str">
        <f>IFERROR(__xludf.DUMMYFUNCTION("""COMPUTED_VALUE"""),"NOT_FOUND")</f>
        <v>NOT_FOUND</v>
      </c>
      <c r="C217" s="31" t="str">
        <f>IFERROR(__xludf.DUMMYFUNCTION("""COMPUTED_VALUE"""),"User not found")</f>
        <v>User not found</v>
      </c>
      <c r="D217" s="31" t="str">
        <f>IFERROR(__xludf.DUMMYFUNCTION("""COMPUTED_VALUE"""),"Revoked ")</f>
        <v>Revoked </v>
      </c>
      <c r="E217" s="31" t="str">
        <f>IFERROR(__xludf.DUMMYFUNCTION("""COMPUTED_VALUE"""),"No-Need")</f>
        <v>No-Need</v>
      </c>
      <c r="F217" s="31" t="str">
        <f>IFERROR(__xludf.DUMMYFUNCTION("""COMPUTED_VALUE"""),"No-Need")</f>
        <v>No-Need</v>
      </c>
      <c r="G217" s="31" t="str">
        <f>IFERROR(__xludf.DUMMYFUNCTION("""COMPUTED_VALUE"""),"No-Need")</f>
        <v>No-Need</v>
      </c>
      <c r="H217" s="31" t="str">
        <f>IFERROR(__xludf.DUMMYFUNCTION("""COMPUTED_VALUE"""),"N/A")</f>
        <v>N/A</v>
      </c>
      <c r="I217" s="31" t="str">
        <f>IFERROR(__xludf.DUMMYFUNCTION("""COMPUTED_VALUE"""),"Technology")</f>
        <v>Technology</v>
      </c>
      <c r="J217" s="103">
        <f>IFERROR(__xludf.DUMMYFUNCTION("""COMPUTED_VALUE"""),45958.0)</f>
        <v>45958</v>
      </c>
      <c r="K217" s="104" t="str">
        <f>IFERROR(__xludf.DUMMYFUNCTION("""COMPUTED_VALUE"""),"Confrm By Abhishek Gupta")</f>
        <v>Confrm By Abhishek Gupta</v>
      </c>
    </row>
    <row r="218">
      <c r="A218" s="31" t="str">
        <f>IFERROR(__xludf.DUMMYFUNCTION("""COMPUTED_VALUE"""),"devansh.mittal@zupee.in")</f>
        <v>devansh.mittal@zupee.in</v>
      </c>
      <c r="B218" s="31" t="str">
        <f>IFERROR(__xludf.DUMMYFUNCTION("""COMPUTED_VALUE"""),"NOT_FOUND")</f>
        <v>NOT_FOUND</v>
      </c>
      <c r="C218" s="31" t="str">
        <f>IFERROR(__xludf.DUMMYFUNCTION("""COMPUTED_VALUE"""),"User not found")</f>
        <v>User not found</v>
      </c>
      <c r="D218" s="31" t="str">
        <f>IFERROR(__xludf.DUMMYFUNCTION("""COMPUTED_VALUE"""),"Revoked ")</f>
        <v>Revoked </v>
      </c>
      <c r="E218" s="31" t="str">
        <f>IFERROR(__xludf.DUMMYFUNCTION("""COMPUTED_VALUE"""),"No-Need")</f>
        <v>No-Need</v>
      </c>
      <c r="F218" s="31" t="str">
        <f>IFERROR(__xludf.DUMMYFUNCTION("""COMPUTED_VALUE"""),"No-Need")</f>
        <v>No-Need</v>
      </c>
      <c r="G218" s="31" t="str">
        <f>IFERROR(__xludf.DUMMYFUNCTION("""COMPUTED_VALUE"""),"No-Need")</f>
        <v>No-Need</v>
      </c>
      <c r="H218" s="31" t="str">
        <f>IFERROR(__xludf.DUMMYFUNCTION("""COMPUTED_VALUE"""),"N/A")</f>
        <v>N/A</v>
      </c>
      <c r="I218" s="31" t="str">
        <f>IFERROR(__xludf.DUMMYFUNCTION("""COMPUTED_VALUE"""),"Technology")</f>
        <v>Technology</v>
      </c>
      <c r="J218" s="103">
        <f>IFERROR(__xludf.DUMMYFUNCTION("""COMPUTED_VALUE"""),45958.0)</f>
        <v>45958</v>
      </c>
      <c r="K218" s="104" t="str">
        <f>IFERROR(__xludf.DUMMYFUNCTION("""COMPUTED_VALUE"""),"Confrm By Abhishek Gupta")</f>
        <v>Confrm By Abhishek Gupta</v>
      </c>
    </row>
    <row r="219">
      <c r="A219" s="31" t="str">
        <f>IFERROR(__xludf.DUMMYFUNCTION("""COMPUTED_VALUE"""),"divas.gupta@zupee.in")</f>
        <v>divas.gupta@zupee.in</v>
      </c>
      <c r="B219" s="31" t="str">
        <f>IFERROR(__xludf.DUMMYFUNCTION("""COMPUTED_VALUE"""),"NOT_FOUND")</f>
        <v>NOT_FOUND</v>
      </c>
      <c r="C219" s="31" t="str">
        <f>IFERROR(__xludf.DUMMYFUNCTION("""COMPUTED_VALUE"""),"User not found")</f>
        <v>User not found</v>
      </c>
      <c r="D219" s="31" t="str">
        <f>IFERROR(__xludf.DUMMYFUNCTION("""COMPUTED_VALUE"""),"Revoked ")</f>
        <v>Revoked </v>
      </c>
      <c r="E219" s="31" t="str">
        <f>IFERROR(__xludf.DUMMYFUNCTION("""COMPUTED_VALUE"""),"No-Need")</f>
        <v>No-Need</v>
      </c>
      <c r="F219" s="31" t="str">
        <f>IFERROR(__xludf.DUMMYFUNCTION("""COMPUTED_VALUE"""),"No-Need")</f>
        <v>No-Need</v>
      </c>
      <c r="G219" s="31" t="str">
        <f>IFERROR(__xludf.DUMMYFUNCTION("""COMPUTED_VALUE"""),"No-Need")</f>
        <v>No-Need</v>
      </c>
      <c r="H219" s="31" t="str">
        <f>IFERROR(__xludf.DUMMYFUNCTION("""COMPUTED_VALUE"""),"N/A")</f>
        <v>N/A</v>
      </c>
      <c r="I219" s="31" t="str">
        <f>IFERROR(__xludf.DUMMYFUNCTION("""COMPUTED_VALUE"""),"Technology")</f>
        <v>Technology</v>
      </c>
      <c r="J219" s="103">
        <f>IFERROR(__xludf.DUMMYFUNCTION("""COMPUTED_VALUE"""),45958.0)</f>
        <v>45958</v>
      </c>
      <c r="K219" s="104" t="str">
        <f>IFERROR(__xludf.DUMMYFUNCTION("""COMPUTED_VALUE"""),"Confrm By Abhishek Gupta")</f>
        <v>Confrm By Abhishek Gupta</v>
      </c>
    </row>
    <row r="220">
      <c r="A220" s="31" t="str">
        <f>IFERROR(__xludf.DUMMYFUNCTION("""COMPUTED_VALUE"""),"divyansh.singh@zupee.in")</f>
        <v>divyansh.singh@zupee.in</v>
      </c>
      <c r="B220" s="31" t="str">
        <f>IFERROR(__xludf.DUMMYFUNCTION("""COMPUTED_VALUE"""),"NOT_FOUND")</f>
        <v>NOT_FOUND</v>
      </c>
      <c r="C220" s="31" t="str">
        <f>IFERROR(__xludf.DUMMYFUNCTION("""COMPUTED_VALUE"""),"User not found")</f>
        <v>User not found</v>
      </c>
      <c r="D220" s="31" t="str">
        <f>IFERROR(__xludf.DUMMYFUNCTION("""COMPUTED_VALUE"""),"Revoked ")</f>
        <v>Revoked </v>
      </c>
      <c r="E220" s="31" t="str">
        <f>IFERROR(__xludf.DUMMYFUNCTION("""COMPUTED_VALUE"""),"No-Need")</f>
        <v>No-Need</v>
      </c>
      <c r="F220" s="31" t="str">
        <f>IFERROR(__xludf.DUMMYFUNCTION("""COMPUTED_VALUE"""),"No-Need")</f>
        <v>No-Need</v>
      </c>
      <c r="G220" s="31" t="str">
        <f>IFERROR(__xludf.DUMMYFUNCTION("""COMPUTED_VALUE"""),"No-Need")</f>
        <v>No-Need</v>
      </c>
      <c r="H220" s="31" t="str">
        <f>IFERROR(__xludf.DUMMYFUNCTION("""COMPUTED_VALUE"""),"N/A")</f>
        <v>N/A</v>
      </c>
      <c r="I220" s="31" t="str">
        <f>IFERROR(__xludf.DUMMYFUNCTION("""COMPUTED_VALUE"""),"Technology")</f>
        <v>Technology</v>
      </c>
      <c r="J220" s="103">
        <f>IFERROR(__xludf.DUMMYFUNCTION("""COMPUTED_VALUE"""),45958.0)</f>
        <v>45958</v>
      </c>
      <c r="K220" s="104" t="str">
        <f>IFERROR(__xludf.DUMMYFUNCTION("""COMPUTED_VALUE"""),"Confrm By Abhishek Gupta")</f>
        <v>Confrm By Abhishek Gupta</v>
      </c>
    </row>
    <row r="221">
      <c r="A221" s="31" t="str">
        <f>IFERROR(__xludf.DUMMYFUNCTION("""COMPUTED_VALUE"""),"gaurav.prakash1@zupee.in")</f>
        <v>gaurav.prakash1@zupee.in</v>
      </c>
      <c r="B221" s="31" t="str">
        <f>IFERROR(__xludf.DUMMYFUNCTION("""COMPUTED_VALUE"""),"NOT_FOUND")</f>
        <v>NOT_FOUND</v>
      </c>
      <c r="C221" s="31" t="str">
        <f>IFERROR(__xludf.DUMMYFUNCTION("""COMPUTED_VALUE"""),"User not found")</f>
        <v>User not found</v>
      </c>
      <c r="D221" s="31" t="str">
        <f>IFERROR(__xludf.DUMMYFUNCTION("""COMPUTED_VALUE"""),"Revoked ")</f>
        <v>Revoked </v>
      </c>
      <c r="E221" s="31" t="str">
        <f>IFERROR(__xludf.DUMMYFUNCTION("""COMPUTED_VALUE"""),"No-Need")</f>
        <v>No-Need</v>
      </c>
      <c r="F221" s="31" t="str">
        <f>IFERROR(__xludf.DUMMYFUNCTION("""COMPUTED_VALUE"""),"No-Need")</f>
        <v>No-Need</v>
      </c>
      <c r="G221" s="31" t="str">
        <f>IFERROR(__xludf.DUMMYFUNCTION("""COMPUTED_VALUE"""),"No-Need")</f>
        <v>No-Need</v>
      </c>
      <c r="H221" s="31" t="str">
        <f>IFERROR(__xludf.DUMMYFUNCTION("""COMPUTED_VALUE"""),"N/A")</f>
        <v>N/A</v>
      </c>
      <c r="I221" s="31" t="str">
        <f>IFERROR(__xludf.DUMMYFUNCTION("""COMPUTED_VALUE"""),"Technology")</f>
        <v>Technology</v>
      </c>
      <c r="J221" s="103">
        <f>IFERROR(__xludf.DUMMYFUNCTION("""COMPUTED_VALUE"""),45958.0)</f>
        <v>45958</v>
      </c>
      <c r="K221" s="104" t="str">
        <f>IFERROR(__xludf.DUMMYFUNCTION("""COMPUTED_VALUE"""),"Confrm By Abhishek Gupta")</f>
        <v>Confrm By Abhishek Gupta</v>
      </c>
    </row>
    <row r="222">
      <c r="A222" s="31" t="str">
        <f>IFERROR(__xludf.DUMMYFUNCTION("""COMPUTED_VALUE"""),"harkirat.singh@zupee.in")</f>
        <v>harkirat.singh@zupee.in</v>
      </c>
      <c r="B222" s="31" t="str">
        <f>IFERROR(__xludf.DUMMYFUNCTION("""COMPUTED_VALUE"""),"NOT_FOUND")</f>
        <v>NOT_FOUND</v>
      </c>
      <c r="C222" s="31" t="str">
        <f>IFERROR(__xludf.DUMMYFUNCTION("""COMPUTED_VALUE"""),"User not found")</f>
        <v>User not found</v>
      </c>
      <c r="D222" s="31" t="str">
        <f>IFERROR(__xludf.DUMMYFUNCTION("""COMPUTED_VALUE"""),"Revoked ")</f>
        <v>Revoked </v>
      </c>
      <c r="E222" s="31" t="str">
        <f>IFERROR(__xludf.DUMMYFUNCTION("""COMPUTED_VALUE"""),"No-Need")</f>
        <v>No-Need</v>
      </c>
      <c r="F222" s="31" t="str">
        <f>IFERROR(__xludf.DUMMYFUNCTION("""COMPUTED_VALUE"""),"No-Need")</f>
        <v>No-Need</v>
      </c>
      <c r="G222" s="31" t="str">
        <f>IFERROR(__xludf.DUMMYFUNCTION("""COMPUTED_VALUE"""),"No-Need")</f>
        <v>No-Need</v>
      </c>
      <c r="H222" s="31" t="str">
        <f>IFERROR(__xludf.DUMMYFUNCTION("""COMPUTED_VALUE"""),"N/A")</f>
        <v>N/A</v>
      </c>
      <c r="I222" s="31" t="str">
        <f>IFERROR(__xludf.DUMMYFUNCTION("""COMPUTED_VALUE"""),"Technology")</f>
        <v>Technology</v>
      </c>
      <c r="J222" s="103">
        <f>IFERROR(__xludf.DUMMYFUNCTION("""COMPUTED_VALUE"""),45958.0)</f>
        <v>45958</v>
      </c>
      <c r="K222" s="104" t="str">
        <f>IFERROR(__xludf.DUMMYFUNCTION("""COMPUTED_VALUE"""),"Confrm By Abhishek Gupta")</f>
        <v>Confrm By Abhishek Gupta</v>
      </c>
    </row>
    <row r="223">
      <c r="A223" s="31" t="str">
        <f>IFERROR(__xludf.DUMMYFUNCTION("""COMPUTED_VALUE"""),"harsh.raghuvanshi@zupee.in")</f>
        <v>harsh.raghuvanshi@zupee.in</v>
      </c>
      <c r="B223" s="31" t="str">
        <f>IFERROR(__xludf.DUMMYFUNCTION("""COMPUTED_VALUE"""),"NOT_FOUND")</f>
        <v>NOT_FOUND</v>
      </c>
      <c r="C223" s="31" t="str">
        <f>IFERROR(__xludf.DUMMYFUNCTION("""COMPUTED_VALUE"""),"User not found")</f>
        <v>User not found</v>
      </c>
      <c r="D223" s="31" t="str">
        <f>IFERROR(__xludf.DUMMYFUNCTION("""COMPUTED_VALUE"""),"Revoked ")</f>
        <v>Revoked </v>
      </c>
      <c r="E223" s="31" t="str">
        <f>IFERROR(__xludf.DUMMYFUNCTION("""COMPUTED_VALUE"""),"No-Need")</f>
        <v>No-Need</v>
      </c>
      <c r="F223" s="31" t="str">
        <f>IFERROR(__xludf.DUMMYFUNCTION("""COMPUTED_VALUE"""),"No-Need")</f>
        <v>No-Need</v>
      </c>
      <c r="G223" s="31" t="str">
        <f>IFERROR(__xludf.DUMMYFUNCTION("""COMPUTED_VALUE"""),"No-Need")</f>
        <v>No-Need</v>
      </c>
      <c r="H223" s="31" t="str">
        <f>IFERROR(__xludf.DUMMYFUNCTION("""COMPUTED_VALUE"""),"N/A")</f>
        <v>N/A</v>
      </c>
      <c r="I223" s="31" t="str">
        <f>IFERROR(__xludf.DUMMYFUNCTION("""COMPUTED_VALUE"""),"Technology")</f>
        <v>Technology</v>
      </c>
      <c r="J223" s="103">
        <f>IFERROR(__xludf.DUMMYFUNCTION("""COMPUTED_VALUE"""),45958.0)</f>
        <v>45958</v>
      </c>
      <c r="K223" s="104" t="str">
        <f>IFERROR(__xludf.DUMMYFUNCTION("""COMPUTED_VALUE"""),"Confrm By Abhishek Gupta")</f>
        <v>Confrm By Abhishek Gupta</v>
      </c>
    </row>
    <row r="224">
      <c r="A224" s="31" t="str">
        <f>IFERROR(__xludf.DUMMYFUNCTION("""COMPUTED_VALUE"""),"hitesh.kwatra@zupee.in")</f>
        <v>hitesh.kwatra@zupee.in</v>
      </c>
      <c r="B224" s="31" t="str">
        <f>IFERROR(__xludf.DUMMYFUNCTION("""COMPUTED_VALUE"""),"NOT_FOUND")</f>
        <v>NOT_FOUND</v>
      </c>
      <c r="C224" s="31" t="str">
        <f>IFERROR(__xludf.DUMMYFUNCTION("""COMPUTED_VALUE"""),"User not found")</f>
        <v>User not found</v>
      </c>
      <c r="D224" s="31" t="str">
        <f>IFERROR(__xludf.DUMMYFUNCTION("""COMPUTED_VALUE"""),"Revoked ")</f>
        <v>Revoked </v>
      </c>
      <c r="E224" s="31" t="str">
        <f>IFERROR(__xludf.DUMMYFUNCTION("""COMPUTED_VALUE"""),"No-Need")</f>
        <v>No-Need</v>
      </c>
      <c r="F224" s="31" t="str">
        <f>IFERROR(__xludf.DUMMYFUNCTION("""COMPUTED_VALUE"""),"No-Need")</f>
        <v>No-Need</v>
      </c>
      <c r="G224" s="31" t="str">
        <f>IFERROR(__xludf.DUMMYFUNCTION("""COMPUTED_VALUE"""),"No-Need")</f>
        <v>No-Need</v>
      </c>
      <c r="H224" s="31" t="str">
        <f>IFERROR(__xludf.DUMMYFUNCTION("""COMPUTED_VALUE"""),"N/A")</f>
        <v>N/A</v>
      </c>
      <c r="I224" s="31" t="str">
        <f>IFERROR(__xludf.DUMMYFUNCTION("""COMPUTED_VALUE"""),"Technology")</f>
        <v>Technology</v>
      </c>
      <c r="J224" s="103">
        <f>IFERROR(__xludf.DUMMYFUNCTION("""COMPUTED_VALUE"""),45958.0)</f>
        <v>45958</v>
      </c>
      <c r="K224" s="104" t="str">
        <f>IFERROR(__xludf.DUMMYFUNCTION("""COMPUTED_VALUE"""),"Confrm By Abhishek Gupta")</f>
        <v>Confrm By Abhishek Gupta</v>
      </c>
    </row>
    <row r="225">
      <c r="A225" s="31" t="str">
        <f>IFERROR(__xludf.DUMMYFUNCTION("""COMPUTED_VALUE"""),"jay.patel@zupee.in")</f>
        <v>jay.patel@zupee.in</v>
      </c>
      <c r="B225" s="31" t="str">
        <f>IFERROR(__xludf.DUMMYFUNCTION("""COMPUTED_VALUE"""),"NOT_FOUND")</f>
        <v>NOT_FOUND</v>
      </c>
      <c r="C225" s="31" t="str">
        <f>IFERROR(__xludf.DUMMYFUNCTION("""COMPUTED_VALUE"""),"User not found")</f>
        <v>User not found</v>
      </c>
      <c r="D225" s="31" t="str">
        <f>IFERROR(__xludf.DUMMYFUNCTION("""COMPUTED_VALUE"""),"Revoked ")</f>
        <v>Revoked </v>
      </c>
      <c r="E225" s="31" t="str">
        <f>IFERROR(__xludf.DUMMYFUNCTION("""COMPUTED_VALUE"""),"No-Need")</f>
        <v>No-Need</v>
      </c>
      <c r="F225" s="31" t="str">
        <f>IFERROR(__xludf.DUMMYFUNCTION("""COMPUTED_VALUE"""),"No-Need")</f>
        <v>No-Need</v>
      </c>
      <c r="G225" s="31" t="str">
        <f>IFERROR(__xludf.DUMMYFUNCTION("""COMPUTED_VALUE"""),"No-Need")</f>
        <v>No-Need</v>
      </c>
      <c r="H225" s="31" t="str">
        <f>IFERROR(__xludf.DUMMYFUNCTION("""COMPUTED_VALUE"""),"N/A")</f>
        <v>N/A</v>
      </c>
      <c r="I225" s="31" t="str">
        <f>IFERROR(__xludf.DUMMYFUNCTION("""COMPUTED_VALUE"""),"Technology")</f>
        <v>Technology</v>
      </c>
      <c r="J225" s="103">
        <f>IFERROR(__xludf.DUMMYFUNCTION("""COMPUTED_VALUE"""),45958.0)</f>
        <v>45958</v>
      </c>
      <c r="K225" s="104" t="str">
        <f>IFERROR(__xludf.DUMMYFUNCTION("""COMPUTED_VALUE"""),"Confrm By Abhishek Gupta")</f>
        <v>Confrm By Abhishek Gupta</v>
      </c>
    </row>
    <row r="226">
      <c r="A226" s="31" t="str">
        <f>IFERROR(__xludf.DUMMYFUNCTION("""COMPUTED_VALUE"""),"khalique.firoz@zupee.in")</f>
        <v>khalique.firoz@zupee.in</v>
      </c>
      <c r="B226" s="31" t="str">
        <f>IFERROR(__xludf.DUMMYFUNCTION("""COMPUTED_VALUE"""),"NOT_FOUND")</f>
        <v>NOT_FOUND</v>
      </c>
      <c r="C226" s="31" t="str">
        <f>IFERROR(__xludf.DUMMYFUNCTION("""COMPUTED_VALUE"""),"User not found")</f>
        <v>User not found</v>
      </c>
      <c r="D226" s="31" t="str">
        <f>IFERROR(__xludf.DUMMYFUNCTION("""COMPUTED_VALUE"""),"Revoked ")</f>
        <v>Revoked </v>
      </c>
      <c r="E226" s="31" t="str">
        <f>IFERROR(__xludf.DUMMYFUNCTION("""COMPUTED_VALUE"""),"No-Need")</f>
        <v>No-Need</v>
      </c>
      <c r="F226" s="31" t="str">
        <f>IFERROR(__xludf.DUMMYFUNCTION("""COMPUTED_VALUE"""),"No-Need")</f>
        <v>No-Need</v>
      </c>
      <c r="G226" s="31" t="str">
        <f>IFERROR(__xludf.DUMMYFUNCTION("""COMPUTED_VALUE"""),"No-Need")</f>
        <v>No-Need</v>
      </c>
      <c r="H226" s="31" t="str">
        <f>IFERROR(__xludf.DUMMYFUNCTION("""COMPUTED_VALUE"""),"N/A")</f>
        <v>N/A</v>
      </c>
      <c r="I226" s="31" t="str">
        <f>IFERROR(__xludf.DUMMYFUNCTION("""COMPUTED_VALUE"""),"Technology")</f>
        <v>Technology</v>
      </c>
      <c r="J226" s="103">
        <f>IFERROR(__xludf.DUMMYFUNCTION("""COMPUTED_VALUE"""),45958.0)</f>
        <v>45958</v>
      </c>
      <c r="K226" s="104" t="str">
        <f>IFERROR(__xludf.DUMMYFUNCTION("""COMPUTED_VALUE"""),"Confrm By Abhishek Gupta")</f>
        <v>Confrm By Abhishek Gupta</v>
      </c>
    </row>
    <row r="227">
      <c r="A227" s="31" t="str">
        <f>IFERROR(__xludf.DUMMYFUNCTION("""COMPUTED_VALUE"""),"lakshya.gupta@zupee.in")</f>
        <v>lakshya.gupta@zupee.in</v>
      </c>
      <c r="B227" s="31" t="str">
        <f>IFERROR(__xludf.DUMMYFUNCTION("""COMPUTED_VALUE"""),"NOT_FOUND")</f>
        <v>NOT_FOUND</v>
      </c>
      <c r="C227" s="31" t="str">
        <f>IFERROR(__xludf.DUMMYFUNCTION("""COMPUTED_VALUE"""),"User not found")</f>
        <v>User not found</v>
      </c>
      <c r="D227" s="31" t="str">
        <f>IFERROR(__xludf.DUMMYFUNCTION("""COMPUTED_VALUE"""),"Revoked ")</f>
        <v>Revoked </v>
      </c>
      <c r="E227" s="31" t="str">
        <f>IFERROR(__xludf.DUMMYFUNCTION("""COMPUTED_VALUE"""),"No-Need")</f>
        <v>No-Need</v>
      </c>
      <c r="F227" s="31" t="str">
        <f>IFERROR(__xludf.DUMMYFUNCTION("""COMPUTED_VALUE"""),"No-Need")</f>
        <v>No-Need</v>
      </c>
      <c r="G227" s="31" t="str">
        <f>IFERROR(__xludf.DUMMYFUNCTION("""COMPUTED_VALUE"""),"No-Need")</f>
        <v>No-Need</v>
      </c>
      <c r="H227" s="31" t="str">
        <f>IFERROR(__xludf.DUMMYFUNCTION("""COMPUTED_VALUE"""),"N/A")</f>
        <v>N/A</v>
      </c>
      <c r="I227" s="31" t="str">
        <f>IFERROR(__xludf.DUMMYFUNCTION("""COMPUTED_VALUE"""),"Technology")</f>
        <v>Technology</v>
      </c>
      <c r="J227" s="103">
        <f>IFERROR(__xludf.DUMMYFUNCTION("""COMPUTED_VALUE"""),45958.0)</f>
        <v>45958</v>
      </c>
      <c r="K227" s="104" t="str">
        <f>IFERROR(__xludf.DUMMYFUNCTION("""COMPUTED_VALUE"""),"Confrm By Abhishek Gupta")</f>
        <v>Confrm By Abhishek Gupta</v>
      </c>
    </row>
    <row r="228">
      <c r="A228" s="31" t="str">
        <f>IFERROR(__xludf.DUMMYFUNCTION("""COMPUTED_VALUE"""),"madhav.gupta@zupee.in")</f>
        <v>madhav.gupta@zupee.in</v>
      </c>
      <c r="B228" s="31" t="str">
        <f>IFERROR(__xludf.DUMMYFUNCTION("""COMPUTED_VALUE"""),"NOT_FOUND")</f>
        <v>NOT_FOUND</v>
      </c>
      <c r="C228" s="31" t="str">
        <f>IFERROR(__xludf.DUMMYFUNCTION("""COMPUTED_VALUE"""),"User not found")</f>
        <v>User not found</v>
      </c>
      <c r="D228" s="31" t="str">
        <f>IFERROR(__xludf.DUMMYFUNCTION("""COMPUTED_VALUE"""),"Revoked ")</f>
        <v>Revoked </v>
      </c>
      <c r="E228" s="31" t="str">
        <f>IFERROR(__xludf.DUMMYFUNCTION("""COMPUTED_VALUE"""),"No-Need")</f>
        <v>No-Need</v>
      </c>
      <c r="F228" s="31" t="str">
        <f>IFERROR(__xludf.DUMMYFUNCTION("""COMPUTED_VALUE"""),"No-Need")</f>
        <v>No-Need</v>
      </c>
      <c r="G228" s="31" t="str">
        <f>IFERROR(__xludf.DUMMYFUNCTION("""COMPUTED_VALUE"""),"No-Need")</f>
        <v>No-Need</v>
      </c>
      <c r="H228" s="31" t="str">
        <f>IFERROR(__xludf.DUMMYFUNCTION("""COMPUTED_VALUE"""),"N/A")</f>
        <v>N/A</v>
      </c>
      <c r="I228" s="31" t="str">
        <f>IFERROR(__xludf.DUMMYFUNCTION("""COMPUTED_VALUE"""),"Technology")</f>
        <v>Technology</v>
      </c>
      <c r="J228" s="103">
        <f>IFERROR(__xludf.DUMMYFUNCTION("""COMPUTED_VALUE"""),45958.0)</f>
        <v>45958</v>
      </c>
      <c r="K228" s="104" t="str">
        <f>IFERROR(__xludf.DUMMYFUNCTION("""COMPUTED_VALUE"""),"Confrm By Abhishek Gupta")</f>
        <v>Confrm By Abhishek Gupta</v>
      </c>
    </row>
    <row r="229">
      <c r="A229" s="31" t="str">
        <f>IFERROR(__xludf.DUMMYFUNCTION("""COMPUTED_VALUE"""),"madhavam.saxena@zupee.in")</f>
        <v>madhavam.saxena@zupee.in</v>
      </c>
      <c r="B229" s="31" t="str">
        <f>IFERROR(__xludf.DUMMYFUNCTION("""COMPUTED_VALUE"""),"NOT_FOUND")</f>
        <v>NOT_FOUND</v>
      </c>
      <c r="C229" s="31" t="str">
        <f>IFERROR(__xludf.DUMMYFUNCTION("""COMPUTED_VALUE"""),"User not found")</f>
        <v>User not found</v>
      </c>
      <c r="D229" s="31" t="str">
        <f>IFERROR(__xludf.DUMMYFUNCTION("""COMPUTED_VALUE"""),"Revoked ")</f>
        <v>Revoked </v>
      </c>
      <c r="E229" s="31" t="str">
        <f>IFERROR(__xludf.DUMMYFUNCTION("""COMPUTED_VALUE"""),"No-Need")</f>
        <v>No-Need</v>
      </c>
      <c r="F229" s="31" t="str">
        <f>IFERROR(__xludf.DUMMYFUNCTION("""COMPUTED_VALUE"""),"No-Need")</f>
        <v>No-Need</v>
      </c>
      <c r="G229" s="31" t="str">
        <f>IFERROR(__xludf.DUMMYFUNCTION("""COMPUTED_VALUE"""),"No-Need")</f>
        <v>No-Need</v>
      </c>
      <c r="H229" s="31" t="str">
        <f>IFERROR(__xludf.DUMMYFUNCTION("""COMPUTED_VALUE"""),"N/A")</f>
        <v>N/A</v>
      </c>
      <c r="I229" s="31" t="str">
        <f>IFERROR(__xludf.DUMMYFUNCTION("""COMPUTED_VALUE"""),"Technology")</f>
        <v>Technology</v>
      </c>
      <c r="J229" s="103">
        <f>IFERROR(__xludf.DUMMYFUNCTION("""COMPUTED_VALUE"""),45958.0)</f>
        <v>45958</v>
      </c>
      <c r="K229" s="104" t="str">
        <f>IFERROR(__xludf.DUMMYFUNCTION("""COMPUTED_VALUE"""),"Confrm By Abhishek Gupta")</f>
        <v>Confrm By Abhishek Gupta</v>
      </c>
    </row>
    <row r="230">
      <c r="A230" s="31" t="str">
        <f>IFERROR(__xludf.DUMMYFUNCTION("""COMPUTED_VALUE"""),"mohini.lal@zupee.in")</f>
        <v>mohini.lal@zupee.in</v>
      </c>
      <c r="B230" s="31" t="str">
        <f>IFERROR(__xludf.DUMMYFUNCTION("""COMPUTED_VALUE"""),"NOT_FOUND")</f>
        <v>NOT_FOUND</v>
      </c>
      <c r="C230" s="31" t="str">
        <f>IFERROR(__xludf.DUMMYFUNCTION("""COMPUTED_VALUE"""),"User not found")</f>
        <v>User not found</v>
      </c>
      <c r="D230" s="31" t="str">
        <f>IFERROR(__xludf.DUMMYFUNCTION("""COMPUTED_VALUE"""),"Revoked ")</f>
        <v>Revoked </v>
      </c>
      <c r="E230" s="31" t="str">
        <f>IFERROR(__xludf.DUMMYFUNCTION("""COMPUTED_VALUE"""),"No-Need")</f>
        <v>No-Need</v>
      </c>
      <c r="F230" s="31" t="str">
        <f>IFERROR(__xludf.DUMMYFUNCTION("""COMPUTED_VALUE"""),"No-Need")</f>
        <v>No-Need</v>
      </c>
      <c r="G230" s="31" t="str">
        <f>IFERROR(__xludf.DUMMYFUNCTION("""COMPUTED_VALUE"""),"No-Need")</f>
        <v>No-Need</v>
      </c>
      <c r="H230" s="31" t="str">
        <f>IFERROR(__xludf.DUMMYFUNCTION("""COMPUTED_VALUE"""),"N/A")</f>
        <v>N/A</v>
      </c>
      <c r="I230" s="31" t="str">
        <f>IFERROR(__xludf.DUMMYFUNCTION("""COMPUTED_VALUE"""),"Technology")</f>
        <v>Technology</v>
      </c>
      <c r="J230" s="103">
        <f>IFERROR(__xludf.DUMMYFUNCTION("""COMPUTED_VALUE"""),45958.0)</f>
        <v>45958</v>
      </c>
      <c r="K230" s="104" t="str">
        <f>IFERROR(__xludf.DUMMYFUNCTION("""COMPUTED_VALUE"""),"Confrm By Abhishek Gupta")</f>
        <v>Confrm By Abhishek Gupta</v>
      </c>
    </row>
    <row r="231">
      <c r="A231" s="31" t="str">
        <f>IFERROR(__xludf.DUMMYFUNCTION("""COMPUTED_VALUE"""),"mohit.tanwar@zupee.in")</f>
        <v>mohit.tanwar@zupee.in</v>
      </c>
      <c r="B231" s="31" t="str">
        <f>IFERROR(__xludf.DUMMYFUNCTION("""COMPUTED_VALUE"""),"NOT_FOUND")</f>
        <v>NOT_FOUND</v>
      </c>
      <c r="C231" s="31" t="str">
        <f>IFERROR(__xludf.DUMMYFUNCTION("""COMPUTED_VALUE"""),"User not found")</f>
        <v>User not found</v>
      </c>
      <c r="D231" s="31" t="str">
        <f>IFERROR(__xludf.DUMMYFUNCTION("""COMPUTED_VALUE"""),"Revoked ")</f>
        <v>Revoked </v>
      </c>
      <c r="E231" s="31" t="str">
        <f>IFERROR(__xludf.DUMMYFUNCTION("""COMPUTED_VALUE"""),"No-Need")</f>
        <v>No-Need</v>
      </c>
      <c r="F231" s="31" t="str">
        <f>IFERROR(__xludf.DUMMYFUNCTION("""COMPUTED_VALUE"""),"No-Need")</f>
        <v>No-Need</v>
      </c>
      <c r="G231" s="31" t="str">
        <f>IFERROR(__xludf.DUMMYFUNCTION("""COMPUTED_VALUE"""),"No-Need")</f>
        <v>No-Need</v>
      </c>
      <c r="H231" s="31" t="str">
        <f>IFERROR(__xludf.DUMMYFUNCTION("""COMPUTED_VALUE"""),"N/A")</f>
        <v>N/A</v>
      </c>
      <c r="I231" s="31" t="str">
        <f>IFERROR(__xludf.DUMMYFUNCTION("""COMPUTED_VALUE"""),"Technology")</f>
        <v>Technology</v>
      </c>
      <c r="J231" s="103">
        <f>IFERROR(__xludf.DUMMYFUNCTION("""COMPUTED_VALUE"""),45958.0)</f>
        <v>45958</v>
      </c>
      <c r="K231" s="104" t="str">
        <f>IFERROR(__xludf.DUMMYFUNCTION("""COMPUTED_VALUE"""),"Confrm By Abhishek Gupta")</f>
        <v>Confrm By Abhishek Gupta</v>
      </c>
    </row>
    <row r="232">
      <c r="A232" s="31" t="str">
        <f>IFERROR(__xludf.DUMMYFUNCTION("""COMPUTED_VALUE"""),"naveen.sangepu@zupee.in")</f>
        <v>naveen.sangepu@zupee.in</v>
      </c>
      <c r="B232" s="31" t="str">
        <f>IFERROR(__xludf.DUMMYFUNCTION("""COMPUTED_VALUE"""),"NOT_FOUND")</f>
        <v>NOT_FOUND</v>
      </c>
      <c r="C232" s="31" t="str">
        <f>IFERROR(__xludf.DUMMYFUNCTION("""COMPUTED_VALUE"""),"User not found")</f>
        <v>User not found</v>
      </c>
      <c r="D232" s="31" t="str">
        <f>IFERROR(__xludf.DUMMYFUNCTION("""COMPUTED_VALUE"""),"Revoked ")</f>
        <v>Revoked </v>
      </c>
      <c r="E232" s="31" t="str">
        <f>IFERROR(__xludf.DUMMYFUNCTION("""COMPUTED_VALUE"""),"No-Need")</f>
        <v>No-Need</v>
      </c>
      <c r="F232" s="31" t="str">
        <f>IFERROR(__xludf.DUMMYFUNCTION("""COMPUTED_VALUE"""),"No-Need")</f>
        <v>No-Need</v>
      </c>
      <c r="G232" s="31" t="str">
        <f>IFERROR(__xludf.DUMMYFUNCTION("""COMPUTED_VALUE"""),"No-Need")</f>
        <v>No-Need</v>
      </c>
      <c r="H232" s="31" t="str">
        <f>IFERROR(__xludf.DUMMYFUNCTION("""COMPUTED_VALUE"""),"N/A")</f>
        <v>N/A</v>
      </c>
      <c r="I232" s="31" t="str">
        <f>IFERROR(__xludf.DUMMYFUNCTION("""COMPUTED_VALUE"""),"Technology")</f>
        <v>Technology</v>
      </c>
      <c r="J232" s="103">
        <f>IFERROR(__xludf.DUMMYFUNCTION("""COMPUTED_VALUE"""),45958.0)</f>
        <v>45958</v>
      </c>
      <c r="K232" s="104" t="str">
        <f>IFERROR(__xludf.DUMMYFUNCTION("""COMPUTED_VALUE"""),"Confrm By Abhishek Gupta")</f>
        <v>Confrm By Abhishek Gupta</v>
      </c>
    </row>
    <row r="233">
      <c r="A233" s="31" t="str">
        <f>IFERROR(__xludf.DUMMYFUNCTION("""COMPUTED_VALUE"""),"navneet.lohia@zupee.in")</f>
        <v>navneet.lohia@zupee.in</v>
      </c>
      <c r="B233" s="31" t="str">
        <f>IFERROR(__xludf.DUMMYFUNCTION("""COMPUTED_VALUE"""),"NOT_FOUND")</f>
        <v>NOT_FOUND</v>
      </c>
      <c r="C233" s="31" t="str">
        <f>IFERROR(__xludf.DUMMYFUNCTION("""COMPUTED_VALUE"""),"User not found")</f>
        <v>User not found</v>
      </c>
      <c r="D233" s="31" t="str">
        <f>IFERROR(__xludf.DUMMYFUNCTION("""COMPUTED_VALUE"""),"Revoked ")</f>
        <v>Revoked </v>
      </c>
      <c r="E233" s="31" t="str">
        <f>IFERROR(__xludf.DUMMYFUNCTION("""COMPUTED_VALUE"""),"No-Need")</f>
        <v>No-Need</v>
      </c>
      <c r="F233" s="31" t="str">
        <f>IFERROR(__xludf.DUMMYFUNCTION("""COMPUTED_VALUE"""),"No-Need")</f>
        <v>No-Need</v>
      </c>
      <c r="G233" s="31" t="str">
        <f>IFERROR(__xludf.DUMMYFUNCTION("""COMPUTED_VALUE"""),"No-Need")</f>
        <v>No-Need</v>
      </c>
      <c r="H233" s="31" t="str">
        <f>IFERROR(__xludf.DUMMYFUNCTION("""COMPUTED_VALUE"""),"N/A")</f>
        <v>N/A</v>
      </c>
      <c r="I233" s="31" t="str">
        <f>IFERROR(__xludf.DUMMYFUNCTION("""COMPUTED_VALUE"""),"Technology")</f>
        <v>Technology</v>
      </c>
      <c r="J233" s="103">
        <f>IFERROR(__xludf.DUMMYFUNCTION("""COMPUTED_VALUE"""),45958.0)</f>
        <v>45958</v>
      </c>
      <c r="K233" s="104" t="str">
        <f>IFERROR(__xludf.DUMMYFUNCTION("""COMPUTED_VALUE"""),"Confrm By Abhishek Gupta")</f>
        <v>Confrm By Abhishek Gupta</v>
      </c>
    </row>
    <row r="234">
      <c r="A234" s="31" t="str">
        <f>IFERROR(__xludf.DUMMYFUNCTION("""COMPUTED_VALUE"""),"neha.sharma@zupee.in")</f>
        <v>neha.sharma@zupee.in</v>
      </c>
      <c r="B234" s="31" t="str">
        <f>IFERROR(__xludf.DUMMYFUNCTION("""COMPUTED_VALUE"""),"NOT_FOUND")</f>
        <v>NOT_FOUND</v>
      </c>
      <c r="C234" s="31" t="str">
        <f>IFERROR(__xludf.DUMMYFUNCTION("""COMPUTED_VALUE"""),"User not found")</f>
        <v>User not found</v>
      </c>
      <c r="D234" s="31" t="str">
        <f>IFERROR(__xludf.DUMMYFUNCTION("""COMPUTED_VALUE"""),"Revoked ")</f>
        <v>Revoked </v>
      </c>
      <c r="E234" s="31" t="str">
        <f>IFERROR(__xludf.DUMMYFUNCTION("""COMPUTED_VALUE"""),"No-Need")</f>
        <v>No-Need</v>
      </c>
      <c r="F234" s="31" t="str">
        <f>IFERROR(__xludf.DUMMYFUNCTION("""COMPUTED_VALUE"""),"No-Need")</f>
        <v>No-Need</v>
      </c>
      <c r="G234" s="31" t="str">
        <f>IFERROR(__xludf.DUMMYFUNCTION("""COMPUTED_VALUE"""),"No-Need")</f>
        <v>No-Need</v>
      </c>
      <c r="H234" s="31" t="str">
        <f>IFERROR(__xludf.DUMMYFUNCTION("""COMPUTED_VALUE"""),"N/A")</f>
        <v>N/A</v>
      </c>
      <c r="I234" s="31" t="str">
        <f>IFERROR(__xludf.DUMMYFUNCTION("""COMPUTED_VALUE"""),"Technology")</f>
        <v>Technology</v>
      </c>
      <c r="J234" s="103">
        <f>IFERROR(__xludf.DUMMYFUNCTION("""COMPUTED_VALUE"""),45958.0)</f>
        <v>45958</v>
      </c>
      <c r="K234" s="104" t="str">
        <f>IFERROR(__xludf.DUMMYFUNCTION("""COMPUTED_VALUE"""),"Confrm By Abhishek Gupta")</f>
        <v>Confrm By Abhishek Gupta</v>
      </c>
    </row>
    <row r="235">
      <c r="A235" s="31" t="str">
        <f>IFERROR(__xludf.DUMMYFUNCTION("""COMPUTED_VALUE"""),"nikhil.kansotia@zupee.in")</f>
        <v>nikhil.kansotia@zupee.in</v>
      </c>
      <c r="B235" s="31" t="str">
        <f>IFERROR(__xludf.DUMMYFUNCTION("""COMPUTED_VALUE"""),"NOT_FOUND")</f>
        <v>NOT_FOUND</v>
      </c>
      <c r="C235" s="31" t="str">
        <f>IFERROR(__xludf.DUMMYFUNCTION("""COMPUTED_VALUE"""),"User not found")</f>
        <v>User not found</v>
      </c>
      <c r="D235" s="31" t="str">
        <f>IFERROR(__xludf.DUMMYFUNCTION("""COMPUTED_VALUE"""),"Revoked ")</f>
        <v>Revoked </v>
      </c>
      <c r="E235" s="31" t="str">
        <f>IFERROR(__xludf.DUMMYFUNCTION("""COMPUTED_VALUE"""),"No-Need")</f>
        <v>No-Need</v>
      </c>
      <c r="F235" s="31" t="str">
        <f>IFERROR(__xludf.DUMMYFUNCTION("""COMPUTED_VALUE"""),"No-Need")</f>
        <v>No-Need</v>
      </c>
      <c r="G235" s="31" t="str">
        <f>IFERROR(__xludf.DUMMYFUNCTION("""COMPUTED_VALUE"""),"No-Need")</f>
        <v>No-Need</v>
      </c>
      <c r="H235" s="31" t="str">
        <f>IFERROR(__xludf.DUMMYFUNCTION("""COMPUTED_VALUE"""),"N/A")</f>
        <v>N/A</v>
      </c>
      <c r="I235" s="31" t="str">
        <f>IFERROR(__xludf.DUMMYFUNCTION("""COMPUTED_VALUE"""),"Technology")</f>
        <v>Technology</v>
      </c>
      <c r="J235" s="103">
        <f>IFERROR(__xludf.DUMMYFUNCTION("""COMPUTED_VALUE"""),45958.0)</f>
        <v>45958</v>
      </c>
      <c r="K235" s="104" t="str">
        <f>IFERROR(__xludf.DUMMYFUNCTION("""COMPUTED_VALUE"""),"Confrm By Abhishek Gupta")</f>
        <v>Confrm By Abhishek Gupta</v>
      </c>
    </row>
    <row r="236">
      <c r="A236" s="31" t="str">
        <f>IFERROR(__xludf.DUMMYFUNCTION("""COMPUTED_VALUE"""),"nisha.yadav@zupee.in")</f>
        <v>nisha.yadav@zupee.in</v>
      </c>
      <c r="B236" s="31" t="str">
        <f>IFERROR(__xludf.DUMMYFUNCTION("""COMPUTED_VALUE"""),"NOT_FOUND")</f>
        <v>NOT_FOUND</v>
      </c>
      <c r="C236" s="31" t="str">
        <f>IFERROR(__xludf.DUMMYFUNCTION("""COMPUTED_VALUE"""),"User not found")</f>
        <v>User not found</v>
      </c>
      <c r="D236" s="31" t="str">
        <f>IFERROR(__xludf.DUMMYFUNCTION("""COMPUTED_VALUE"""),"Revoked ")</f>
        <v>Revoked </v>
      </c>
      <c r="E236" s="31" t="str">
        <f>IFERROR(__xludf.DUMMYFUNCTION("""COMPUTED_VALUE"""),"No-Need")</f>
        <v>No-Need</v>
      </c>
      <c r="F236" s="31" t="str">
        <f>IFERROR(__xludf.DUMMYFUNCTION("""COMPUTED_VALUE"""),"No-Need")</f>
        <v>No-Need</v>
      </c>
      <c r="G236" s="31" t="str">
        <f>IFERROR(__xludf.DUMMYFUNCTION("""COMPUTED_VALUE"""),"No-Need")</f>
        <v>No-Need</v>
      </c>
      <c r="H236" s="31" t="str">
        <f>IFERROR(__xludf.DUMMYFUNCTION("""COMPUTED_VALUE"""),"N/A")</f>
        <v>N/A</v>
      </c>
      <c r="I236" s="31" t="str">
        <f>IFERROR(__xludf.DUMMYFUNCTION("""COMPUTED_VALUE"""),"Technology")</f>
        <v>Technology</v>
      </c>
      <c r="J236" s="103">
        <f>IFERROR(__xludf.DUMMYFUNCTION("""COMPUTED_VALUE"""),45958.0)</f>
        <v>45958</v>
      </c>
      <c r="K236" s="104" t="str">
        <f>IFERROR(__xludf.DUMMYFUNCTION("""COMPUTED_VALUE"""),"Confrm By Abhishek Gupta")</f>
        <v>Confrm By Abhishek Gupta</v>
      </c>
    </row>
    <row r="237">
      <c r="A237" s="31" t="str">
        <f>IFERROR(__xludf.DUMMYFUNCTION("""COMPUTED_VALUE"""),"pankaj.pankaj@zupee.in")</f>
        <v>pankaj.pankaj@zupee.in</v>
      </c>
      <c r="B237" s="31" t="str">
        <f>IFERROR(__xludf.DUMMYFUNCTION("""COMPUTED_VALUE"""),"NOT_FOUND")</f>
        <v>NOT_FOUND</v>
      </c>
      <c r="C237" s="31" t="str">
        <f>IFERROR(__xludf.DUMMYFUNCTION("""COMPUTED_VALUE"""),"User not found")</f>
        <v>User not found</v>
      </c>
      <c r="D237" s="31" t="str">
        <f>IFERROR(__xludf.DUMMYFUNCTION("""COMPUTED_VALUE"""),"Revoked ")</f>
        <v>Revoked </v>
      </c>
      <c r="E237" s="31" t="str">
        <f>IFERROR(__xludf.DUMMYFUNCTION("""COMPUTED_VALUE"""),"No-Need")</f>
        <v>No-Need</v>
      </c>
      <c r="F237" s="31" t="str">
        <f>IFERROR(__xludf.DUMMYFUNCTION("""COMPUTED_VALUE"""),"No-Need")</f>
        <v>No-Need</v>
      </c>
      <c r="G237" s="31" t="str">
        <f>IFERROR(__xludf.DUMMYFUNCTION("""COMPUTED_VALUE"""),"No-Need")</f>
        <v>No-Need</v>
      </c>
      <c r="H237" s="31" t="str">
        <f>IFERROR(__xludf.DUMMYFUNCTION("""COMPUTED_VALUE"""),"N/A")</f>
        <v>N/A</v>
      </c>
      <c r="I237" s="31" t="str">
        <f>IFERROR(__xludf.DUMMYFUNCTION("""COMPUTED_VALUE"""),"Technology")</f>
        <v>Technology</v>
      </c>
      <c r="J237" s="103">
        <f>IFERROR(__xludf.DUMMYFUNCTION("""COMPUTED_VALUE"""),45958.0)</f>
        <v>45958</v>
      </c>
      <c r="K237" s="104" t="str">
        <f>IFERROR(__xludf.DUMMYFUNCTION("""COMPUTED_VALUE"""),"Confrm By Abhishek Gupta")</f>
        <v>Confrm By Abhishek Gupta</v>
      </c>
    </row>
    <row r="238">
      <c r="A238" s="31" t="str">
        <f>IFERROR(__xludf.DUMMYFUNCTION("""COMPUTED_VALUE"""),"piyush.b@zupee.in")</f>
        <v>piyush.b@zupee.in</v>
      </c>
      <c r="B238" s="31" t="str">
        <f>IFERROR(__xludf.DUMMYFUNCTION("""COMPUTED_VALUE"""),"NOT_FOUND")</f>
        <v>NOT_FOUND</v>
      </c>
      <c r="C238" s="31" t="str">
        <f>IFERROR(__xludf.DUMMYFUNCTION("""COMPUTED_VALUE"""),"User not found")</f>
        <v>User not found</v>
      </c>
      <c r="D238" s="31" t="str">
        <f>IFERROR(__xludf.DUMMYFUNCTION("""COMPUTED_VALUE"""),"Revoked ")</f>
        <v>Revoked </v>
      </c>
      <c r="E238" s="31" t="str">
        <f>IFERROR(__xludf.DUMMYFUNCTION("""COMPUTED_VALUE"""),"No-Need")</f>
        <v>No-Need</v>
      </c>
      <c r="F238" s="31" t="str">
        <f>IFERROR(__xludf.DUMMYFUNCTION("""COMPUTED_VALUE"""),"No-Need")</f>
        <v>No-Need</v>
      </c>
      <c r="G238" s="31" t="str">
        <f>IFERROR(__xludf.DUMMYFUNCTION("""COMPUTED_VALUE"""),"No-Need")</f>
        <v>No-Need</v>
      </c>
      <c r="H238" s="31" t="str">
        <f>IFERROR(__xludf.DUMMYFUNCTION("""COMPUTED_VALUE"""),"N/A")</f>
        <v>N/A</v>
      </c>
      <c r="I238" s="31" t="str">
        <f>IFERROR(__xludf.DUMMYFUNCTION("""COMPUTED_VALUE"""),"Technology")</f>
        <v>Technology</v>
      </c>
      <c r="J238" s="103">
        <f>IFERROR(__xludf.DUMMYFUNCTION("""COMPUTED_VALUE"""),45958.0)</f>
        <v>45958</v>
      </c>
      <c r="K238" s="104" t="str">
        <f>IFERROR(__xludf.DUMMYFUNCTION("""COMPUTED_VALUE"""),"Confrm By Abhishek Gupta")</f>
        <v>Confrm By Abhishek Gupta</v>
      </c>
    </row>
    <row r="239">
      <c r="A239" s="31" t="str">
        <f>IFERROR(__xludf.DUMMYFUNCTION("""COMPUTED_VALUE"""),"piyush.kumar@zupee.in")</f>
        <v>piyush.kumar@zupee.in</v>
      </c>
      <c r="B239" s="31" t="str">
        <f>IFERROR(__xludf.DUMMYFUNCTION("""COMPUTED_VALUE"""),"NOT_FOUND")</f>
        <v>NOT_FOUND</v>
      </c>
      <c r="C239" s="31" t="str">
        <f>IFERROR(__xludf.DUMMYFUNCTION("""COMPUTED_VALUE"""),"User not found")</f>
        <v>User not found</v>
      </c>
      <c r="D239" s="31" t="str">
        <f>IFERROR(__xludf.DUMMYFUNCTION("""COMPUTED_VALUE"""),"Revoked ")</f>
        <v>Revoked </v>
      </c>
      <c r="E239" s="31" t="str">
        <f>IFERROR(__xludf.DUMMYFUNCTION("""COMPUTED_VALUE"""),"No-Need")</f>
        <v>No-Need</v>
      </c>
      <c r="F239" s="31" t="str">
        <f>IFERROR(__xludf.DUMMYFUNCTION("""COMPUTED_VALUE"""),"No-Need")</f>
        <v>No-Need</v>
      </c>
      <c r="G239" s="31" t="str">
        <f>IFERROR(__xludf.DUMMYFUNCTION("""COMPUTED_VALUE"""),"No-Need")</f>
        <v>No-Need</v>
      </c>
      <c r="H239" s="31" t="str">
        <f>IFERROR(__xludf.DUMMYFUNCTION("""COMPUTED_VALUE"""),"N/A")</f>
        <v>N/A</v>
      </c>
      <c r="I239" s="31" t="str">
        <f>IFERROR(__xludf.DUMMYFUNCTION("""COMPUTED_VALUE"""),"Technology")</f>
        <v>Technology</v>
      </c>
      <c r="J239" s="103">
        <f>IFERROR(__xludf.DUMMYFUNCTION("""COMPUTED_VALUE"""),45958.0)</f>
        <v>45958</v>
      </c>
      <c r="K239" s="104" t="str">
        <f>IFERROR(__xludf.DUMMYFUNCTION("""COMPUTED_VALUE"""),"Confrm By Abhishek Gupta")</f>
        <v>Confrm By Abhishek Gupta</v>
      </c>
    </row>
    <row r="240">
      <c r="A240" s="31" t="str">
        <f>IFERROR(__xludf.DUMMYFUNCTION("""COMPUTED_VALUE"""),"piyush.saraf@zupee.in")</f>
        <v>piyush.saraf@zupee.in</v>
      </c>
      <c r="B240" s="31" t="str">
        <f>IFERROR(__xludf.DUMMYFUNCTION("""COMPUTED_VALUE"""),"NOT_FOUND")</f>
        <v>NOT_FOUND</v>
      </c>
      <c r="C240" s="31" t="str">
        <f>IFERROR(__xludf.DUMMYFUNCTION("""COMPUTED_VALUE"""),"User not found")</f>
        <v>User not found</v>
      </c>
      <c r="D240" s="31" t="str">
        <f>IFERROR(__xludf.DUMMYFUNCTION("""COMPUTED_VALUE"""),"Revoked ")</f>
        <v>Revoked </v>
      </c>
      <c r="E240" s="31" t="str">
        <f>IFERROR(__xludf.DUMMYFUNCTION("""COMPUTED_VALUE"""),"No-Need")</f>
        <v>No-Need</v>
      </c>
      <c r="F240" s="31" t="str">
        <f>IFERROR(__xludf.DUMMYFUNCTION("""COMPUTED_VALUE"""),"No-Need")</f>
        <v>No-Need</v>
      </c>
      <c r="G240" s="31" t="str">
        <f>IFERROR(__xludf.DUMMYFUNCTION("""COMPUTED_VALUE"""),"No-Need")</f>
        <v>No-Need</v>
      </c>
      <c r="H240" s="31" t="str">
        <f>IFERROR(__xludf.DUMMYFUNCTION("""COMPUTED_VALUE"""),"N/A")</f>
        <v>N/A</v>
      </c>
      <c r="I240" s="31" t="str">
        <f>IFERROR(__xludf.DUMMYFUNCTION("""COMPUTED_VALUE"""),"Technology")</f>
        <v>Technology</v>
      </c>
      <c r="J240" s="103">
        <f>IFERROR(__xludf.DUMMYFUNCTION("""COMPUTED_VALUE"""),45958.0)</f>
        <v>45958</v>
      </c>
      <c r="K240" s="104" t="str">
        <f>IFERROR(__xludf.DUMMYFUNCTION("""COMPUTED_VALUE"""),"Confrm By Abhishek Gupta")</f>
        <v>Confrm By Abhishek Gupta</v>
      </c>
    </row>
    <row r="241">
      <c r="A241" s="31" t="str">
        <f>IFERROR(__xludf.DUMMYFUNCTION("""COMPUTED_VALUE"""),"prateek.sharma1@zupee.in")</f>
        <v>prateek.sharma1@zupee.in</v>
      </c>
      <c r="B241" s="31" t="str">
        <f>IFERROR(__xludf.DUMMYFUNCTION("""COMPUTED_VALUE"""),"NOT_FOUND")</f>
        <v>NOT_FOUND</v>
      </c>
      <c r="C241" s="31" t="str">
        <f>IFERROR(__xludf.DUMMYFUNCTION("""COMPUTED_VALUE"""),"User not found")</f>
        <v>User not found</v>
      </c>
      <c r="D241" s="31" t="str">
        <f>IFERROR(__xludf.DUMMYFUNCTION("""COMPUTED_VALUE"""),"Revoked ")</f>
        <v>Revoked </v>
      </c>
      <c r="E241" s="31" t="str">
        <f>IFERROR(__xludf.DUMMYFUNCTION("""COMPUTED_VALUE"""),"No-Need")</f>
        <v>No-Need</v>
      </c>
      <c r="F241" s="31" t="str">
        <f>IFERROR(__xludf.DUMMYFUNCTION("""COMPUTED_VALUE"""),"No-Need")</f>
        <v>No-Need</v>
      </c>
      <c r="G241" s="31" t="str">
        <f>IFERROR(__xludf.DUMMYFUNCTION("""COMPUTED_VALUE"""),"No-Need")</f>
        <v>No-Need</v>
      </c>
      <c r="H241" s="31" t="str">
        <f>IFERROR(__xludf.DUMMYFUNCTION("""COMPUTED_VALUE"""),"N/A")</f>
        <v>N/A</v>
      </c>
      <c r="I241" s="31" t="str">
        <f>IFERROR(__xludf.DUMMYFUNCTION("""COMPUTED_VALUE"""),"Technology")</f>
        <v>Technology</v>
      </c>
      <c r="J241" s="103">
        <f>IFERROR(__xludf.DUMMYFUNCTION("""COMPUTED_VALUE"""),45958.0)</f>
        <v>45958</v>
      </c>
      <c r="K241" s="104" t="str">
        <f>IFERROR(__xludf.DUMMYFUNCTION("""COMPUTED_VALUE"""),"Confrm By Abhishek Gupta")</f>
        <v>Confrm By Abhishek Gupta</v>
      </c>
    </row>
    <row r="242">
      <c r="A242" s="31" t="str">
        <f>IFERROR(__xludf.DUMMYFUNCTION("""COMPUTED_VALUE"""),"pratham.bansal@zupee.in")</f>
        <v>pratham.bansal@zupee.in</v>
      </c>
      <c r="B242" s="31" t="str">
        <f>IFERROR(__xludf.DUMMYFUNCTION("""COMPUTED_VALUE"""),"NOT_FOUND")</f>
        <v>NOT_FOUND</v>
      </c>
      <c r="C242" s="31" t="str">
        <f>IFERROR(__xludf.DUMMYFUNCTION("""COMPUTED_VALUE"""),"User not found")</f>
        <v>User not found</v>
      </c>
      <c r="D242" s="31" t="str">
        <f>IFERROR(__xludf.DUMMYFUNCTION("""COMPUTED_VALUE"""),"Revoked ")</f>
        <v>Revoked </v>
      </c>
      <c r="E242" s="31" t="str">
        <f>IFERROR(__xludf.DUMMYFUNCTION("""COMPUTED_VALUE"""),"No-Need")</f>
        <v>No-Need</v>
      </c>
      <c r="F242" s="31" t="str">
        <f>IFERROR(__xludf.DUMMYFUNCTION("""COMPUTED_VALUE"""),"No-Need")</f>
        <v>No-Need</v>
      </c>
      <c r="G242" s="31" t="str">
        <f>IFERROR(__xludf.DUMMYFUNCTION("""COMPUTED_VALUE"""),"No-Need")</f>
        <v>No-Need</v>
      </c>
      <c r="H242" s="31" t="str">
        <f>IFERROR(__xludf.DUMMYFUNCTION("""COMPUTED_VALUE"""),"N/A")</f>
        <v>N/A</v>
      </c>
      <c r="I242" s="31" t="str">
        <f>IFERROR(__xludf.DUMMYFUNCTION("""COMPUTED_VALUE"""),"Technology")</f>
        <v>Technology</v>
      </c>
      <c r="J242" s="103">
        <f>IFERROR(__xludf.DUMMYFUNCTION("""COMPUTED_VALUE"""),45958.0)</f>
        <v>45958</v>
      </c>
      <c r="K242" s="104" t="str">
        <f>IFERROR(__xludf.DUMMYFUNCTION("""COMPUTED_VALUE"""),"Confrm By Abhishek Gupta")</f>
        <v>Confrm By Abhishek Gupta</v>
      </c>
    </row>
    <row r="243">
      <c r="A243" s="31" t="str">
        <f>IFERROR(__xludf.DUMMYFUNCTION("""COMPUTED_VALUE"""),"priyansh.gupta@zupee.in")</f>
        <v>priyansh.gupta@zupee.in</v>
      </c>
      <c r="B243" s="31" t="str">
        <f>IFERROR(__xludf.DUMMYFUNCTION("""COMPUTED_VALUE"""),"NOT_FOUND")</f>
        <v>NOT_FOUND</v>
      </c>
      <c r="C243" s="31" t="str">
        <f>IFERROR(__xludf.DUMMYFUNCTION("""COMPUTED_VALUE"""),"User not found")</f>
        <v>User not found</v>
      </c>
      <c r="D243" s="31" t="str">
        <f>IFERROR(__xludf.DUMMYFUNCTION("""COMPUTED_VALUE"""),"Revoked ")</f>
        <v>Revoked </v>
      </c>
      <c r="E243" s="31" t="str">
        <f>IFERROR(__xludf.DUMMYFUNCTION("""COMPUTED_VALUE"""),"No-Need")</f>
        <v>No-Need</v>
      </c>
      <c r="F243" s="31" t="str">
        <f>IFERROR(__xludf.DUMMYFUNCTION("""COMPUTED_VALUE"""),"No-Need")</f>
        <v>No-Need</v>
      </c>
      <c r="G243" s="31" t="str">
        <f>IFERROR(__xludf.DUMMYFUNCTION("""COMPUTED_VALUE"""),"No-Need")</f>
        <v>No-Need</v>
      </c>
      <c r="H243" s="31" t="str">
        <f>IFERROR(__xludf.DUMMYFUNCTION("""COMPUTED_VALUE"""),"N/A")</f>
        <v>N/A</v>
      </c>
      <c r="I243" s="31" t="str">
        <f>IFERROR(__xludf.DUMMYFUNCTION("""COMPUTED_VALUE"""),"Technology")</f>
        <v>Technology</v>
      </c>
      <c r="J243" s="103">
        <f>IFERROR(__xludf.DUMMYFUNCTION("""COMPUTED_VALUE"""),45958.0)</f>
        <v>45958</v>
      </c>
      <c r="K243" s="104" t="str">
        <f>IFERROR(__xludf.DUMMYFUNCTION("""COMPUTED_VALUE"""),"Confrm By Abhishek Gupta")</f>
        <v>Confrm By Abhishek Gupta</v>
      </c>
    </row>
    <row r="244">
      <c r="A244" s="31" t="str">
        <f>IFERROR(__xludf.DUMMYFUNCTION("""COMPUTED_VALUE"""),"raman.dixit@zupee.in")</f>
        <v>raman.dixit@zupee.in</v>
      </c>
      <c r="B244" s="31" t="str">
        <f>IFERROR(__xludf.DUMMYFUNCTION("""COMPUTED_VALUE"""),"NOT_FOUND")</f>
        <v>NOT_FOUND</v>
      </c>
      <c r="C244" s="31" t="str">
        <f>IFERROR(__xludf.DUMMYFUNCTION("""COMPUTED_VALUE"""),"User not found")</f>
        <v>User not found</v>
      </c>
      <c r="D244" s="31" t="str">
        <f>IFERROR(__xludf.DUMMYFUNCTION("""COMPUTED_VALUE"""),"Revoked ")</f>
        <v>Revoked </v>
      </c>
      <c r="E244" s="31" t="str">
        <f>IFERROR(__xludf.DUMMYFUNCTION("""COMPUTED_VALUE"""),"No-Need")</f>
        <v>No-Need</v>
      </c>
      <c r="F244" s="31" t="str">
        <f>IFERROR(__xludf.DUMMYFUNCTION("""COMPUTED_VALUE"""),"No-Need")</f>
        <v>No-Need</v>
      </c>
      <c r="G244" s="31" t="str">
        <f>IFERROR(__xludf.DUMMYFUNCTION("""COMPUTED_VALUE"""),"No-Need")</f>
        <v>No-Need</v>
      </c>
      <c r="H244" s="31" t="str">
        <f>IFERROR(__xludf.DUMMYFUNCTION("""COMPUTED_VALUE"""),"N/A")</f>
        <v>N/A</v>
      </c>
      <c r="I244" s="31" t="str">
        <f>IFERROR(__xludf.DUMMYFUNCTION("""COMPUTED_VALUE"""),"Technology")</f>
        <v>Technology</v>
      </c>
      <c r="J244" s="103">
        <f>IFERROR(__xludf.DUMMYFUNCTION("""COMPUTED_VALUE"""),45958.0)</f>
        <v>45958</v>
      </c>
      <c r="K244" s="104" t="str">
        <f>IFERROR(__xludf.DUMMYFUNCTION("""COMPUTED_VALUE"""),"Confrm By Abhishek Gupta")</f>
        <v>Confrm By Abhishek Gupta</v>
      </c>
    </row>
    <row r="245">
      <c r="A245" s="31" t="str">
        <f>IFERROR(__xludf.DUMMYFUNCTION("""COMPUTED_VALUE"""),"raushan.thakur@zupee.in")</f>
        <v>raushan.thakur@zupee.in</v>
      </c>
      <c r="B245" s="31" t="str">
        <f>IFERROR(__xludf.DUMMYFUNCTION("""COMPUTED_VALUE"""),"NOT_FOUND")</f>
        <v>NOT_FOUND</v>
      </c>
      <c r="C245" s="31" t="str">
        <f>IFERROR(__xludf.DUMMYFUNCTION("""COMPUTED_VALUE"""),"User not found")</f>
        <v>User not found</v>
      </c>
      <c r="D245" s="31" t="str">
        <f>IFERROR(__xludf.DUMMYFUNCTION("""COMPUTED_VALUE"""),"Revoked ")</f>
        <v>Revoked </v>
      </c>
      <c r="E245" s="31" t="str">
        <f>IFERROR(__xludf.DUMMYFUNCTION("""COMPUTED_VALUE"""),"No-Need")</f>
        <v>No-Need</v>
      </c>
      <c r="F245" s="31" t="str">
        <f>IFERROR(__xludf.DUMMYFUNCTION("""COMPUTED_VALUE"""),"No-Need")</f>
        <v>No-Need</v>
      </c>
      <c r="G245" s="31" t="str">
        <f>IFERROR(__xludf.DUMMYFUNCTION("""COMPUTED_VALUE"""),"No-Need")</f>
        <v>No-Need</v>
      </c>
      <c r="H245" s="31" t="str">
        <f>IFERROR(__xludf.DUMMYFUNCTION("""COMPUTED_VALUE"""),"N/A")</f>
        <v>N/A</v>
      </c>
      <c r="I245" s="31" t="str">
        <f>IFERROR(__xludf.DUMMYFUNCTION("""COMPUTED_VALUE"""),"Technology")</f>
        <v>Technology</v>
      </c>
      <c r="J245" s="103">
        <f>IFERROR(__xludf.DUMMYFUNCTION("""COMPUTED_VALUE"""),45958.0)</f>
        <v>45958</v>
      </c>
      <c r="K245" s="104" t="str">
        <f>IFERROR(__xludf.DUMMYFUNCTION("""COMPUTED_VALUE"""),"Confrm By Abhishek Gupta")</f>
        <v>Confrm By Abhishek Gupta</v>
      </c>
    </row>
    <row r="246">
      <c r="A246" s="31" t="str">
        <f>IFERROR(__xludf.DUMMYFUNCTION("""COMPUTED_VALUE"""),"rohit.raj@zupee.in")</f>
        <v>rohit.raj@zupee.in</v>
      </c>
      <c r="B246" s="31" t="str">
        <f>IFERROR(__xludf.DUMMYFUNCTION("""COMPUTED_VALUE"""),"NOT_FOUND")</f>
        <v>NOT_FOUND</v>
      </c>
      <c r="C246" s="31" t="str">
        <f>IFERROR(__xludf.DUMMYFUNCTION("""COMPUTED_VALUE"""),"User not found")</f>
        <v>User not found</v>
      </c>
      <c r="D246" s="31" t="str">
        <f>IFERROR(__xludf.DUMMYFUNCTION("""COMPUTED_VALUE"""),"Revoked ")</f>
        <v>Revoked </v>
      </c>
      <c r="E246" s="31" t="str">
        <f>IFERROR(__xludf.DUMMYFUNCTION("""COMPUTED_VALUE"""),"No-Need")</f>
        <v>No-Need</v>
      </c>
      <c r="F246" s="31" t="str">
        <f>IFERROR(__xludf.DUMMYFUNCTION("""COMPUTED_VALUE"""),"No-Need")</f>
        <v>No-Need</v>
      </c>
      <c r="G246" s="31" t="str">
        <f>IFERROR(__xludf.DUMMYFUNCTION("""COMPUTED_VALUE"""),"No-Need")</f>
        <v>No-Need</v>
      </c>
      <c r="H246" s="31" t="str">
        <f>IFERROR(__xludf.DUMMYFUNCTION("""COMPUTED_VALUE"""),"N/A")</f>
        <v>N/A</v>
      </c>
      <c r="I246" s="31" t="str">
        <f>IFERROR(__xludf.DUMMYFUNCTION("""COMPUTED_VALUE"""),"Technology")</f>
        <v>Technology</v>
      </c>
      <c r="J246" s="103">
        <f>IFERROR(__xludf.DUMMYFUNCTION("""COMPUTED_VALUE"""),45958.0)</f>
        <v>45958</v>
      </c>
      <c r="K246" s="104" t="str">
        <f>IFERROR(__xludf.DUMMYFUNCTION("""COMPUTED_VALUE"""),"Confrm By Abhishek Gupta")</f>
        <v>Confrm By Abhishek Gupta</v>
      </c>
    </row>
    <row r="247">
      <c r="A247" s="31" t="str">
        <f>IFERROR(__xludf.DUMMYFUNCTION("""COMPUTED_VALUE"""),"sahil.bajaj@zupee.in")</f>
        <v>sahil.bajaj@zupee.in</v>
      </c>
      <c r="B247" s="31" t="str">
        <f>IFERROR(__xludf.DUMMYFUNCTION("""COMPUTED_VALUE"""),"NOT_FOUND")</f>
        <v>NOT_FOUND</v>
      </c>
      <c r="C247" s="31" t="str">
        <f>IFERROR(__xludf.DUMMYFUNCTION("""COMPUTED_VALUE"""),"User not found")</f>
        <v>User not found</v>
      </c>
      <c r="D247" s="31" t="str">
        <f>IFERROR(__xludf.DUMMYFUNCTION("""COMPUTED_VALUE"""),"Revoked ")</f>
        <v>Revoked </v>
      </c>
      <c r="E247" s="31" t="str">
        <f>IFERROR(__xludf.DUMMYFUNCTION("""COMPUTED_VALUE"""),"No-Need")</f>
        <v>No-Need</v>
      </c>
      <c r="F247" s="31" t="str">
        <f>IFERROR(__xludf.DUMMYFUNCTION("""COMPUTED_VALUE"""),"No-Need")</f>
        <v>No-Need</v>
      </c>
      <c r="G247" s="31" t="str">
        <f>IFERROR(__xludf.DUMMYFUNCTION("""COMPUTED_VALUE"""),"No-Need")</f>
        <v>No-Need</v>
      </c>
      <c r="H247" s="31" t="str">
        <f>IFERROR(__xludf.DUMMYFUNCTION("""COMPUTED_VALUE"""),"N/A")</f>
        <v>N/A</v>
      </c>
      <c r="I247" s="31" t="str">
        <f>IFERROR(__xludf.DUMMYFUNCTION("""COMPUTED_VALUE"""),"Technology")</f>
        <v>Technology</v>
      </c>
      <c r="J247" s="103">
        <f>IFERROR(__xludf.DUMMYFUNCTION("""COMPUTED_VALUE"""),45958.0)</f>
        <v>45958</v>
      </c>
      <c r="K247" s="104" t="str">
        <f>IFERROR(__xludf.DUMMYFUNCTION("""COMPUTED_VALUE"""),"Confrm By Abhishek Gupta")</f>
        <v>Confrm By Abhishek Gupta</v>
      </c>
    </row>
    <row r="248">
      <c r="A248" s="31" t="str">
        <f>IFERROR(__xludf.DUMMYFUNCTION("""COMPUTED_VALUE"""),"shubham.kumar@zupee.in")</f>
        <v>shubham.kumar@zupee.in</v>
      </c>
      <c r="B248" s="31" t="str">
        <f>IFERROR(__xludf.DUMMYFUNCTION("""COMPUTED_VALUE"""),"NOT_FOUND")</f>
        <v>NOT_FOUND</v>
      </c>
      <c r="C248" s="31" t="str">
        <f>IFERROR(__xludf.DUMMYFUNCTION("""COMPUTED_VALUE"""),"User not found")</f>
        <v>User not found</v>
      </c>
      <c r="D248" s="31" t="str">
        <f>IFERROR(__xludf.DUMMYFUNCTION("""COMPUTED_VALUE"""),"Revoked ")</f>
        <v>Revoked </v>
      </c>
      <c r="E248" s="31" t="str">
        <f>IFERROR(__xludf.DUMMYFUNCTION("""COMPUTED_VALUE"""),"No-Need")</f>
        <v>No-Need</v>
      </c>
      <c r="F248" s="31" t="str">
        <f>IFERROR(__xludf.DUMMYFUNCTION("""COMPUTED_VALUE"""),"No-Need")</f>
        <v>No-Need</v>
      </c>
      <c r="G248" s="31" t="str">
        <f>IFERROR(__xludf.DUMMYFUNCTION("""COMPUTED_VALUE"""),"No-Need")</f>
        <v>No-Need</v>
      </c>
      <c r="H248" s="31" t="str">
        <f>IFERROR(__xludf.DUMMYFUNCTION("""COMPUTED_VALUE"""),"N/A")</f>
        <v>N/A</v>
      </c>
      <c r="I248" s="31" t="str">
        <f>IFERROR(__xludf.DUMMYFUNCTION("""COMPUTED_VALUE"""),"Technology")</f>
        <v>Technology</v>
      </c>
      <c r="J248" s="103">
        <f>IFERROR(__xludf.DUMMYFUNCTION("""COMPUTED_VALUE"""),45958.0)</f>
        <v>45958</v>
      </c>
      <c r="K248" s="104" t="str">
        <f>IFERROR(__xludf.DUMMYFUNCTION("""COMPUTED_VALUE"""),"Confrm By Abhishek Gupta")</f>
        <v>Confrm By Abhishek Gupta</v>
      </c>
    </row>
    <row r="249">
      <c r="A249" s="31" t="str">
        <f>IFERROR(__xludf.DUMMYFUNCTION("""COMPUTED_VALUE"""),"shubham.v@zupee.in")</f>
        <v>shubham.v@zupee.in</v>
      </c>
      <c r="B249" s="31" t="str">
        <f>IFERROR(__xludf.DUMMYFUNCTION("""COMPUTED_VALUE"""),"NOT_FOUND")</f>
        <v>NOT_FOUND</v>
      </c>
      <c r="C249" s="31" t="str">
        <f>IFERROR(__xludf.DUMMYFUNCTION("""COMPUTED_VALUE"""),"User not found")</f>
        <v>User not found</v>
      </c>
      <c r="D249" s="31" t="str">
        <f>IFERROR(__xludf.DUMMYFUNCTION("""COMPUTED_VALUE"""),"Revoked ")</f>
        <v>Revoked </v>
      </c>
      <c r="E249" s="31" t="str">
        <f>IFERROR(__xludf.DUMMYFUNCTION("""COMPUTED_VALUE"""),"No-Need")</f>
        <v>No-Need</v>
      </c>
      <c r="F249" s="31" t="str">
        <f>IFERROR(__xludf.DUMMYFUNCTION("""COMPUTED_VALUE"""),"No-Need")</f>
        <v>No-Need</v>
      </c>
      <c r="G249" s="31" t="str">
        <f>IFERROR(__xludf.DUMMYFUNCTION("""COMPUTED_VALUE"""),"No-Need")</f>
        <v>No-Need</v>
      </c>
      <c r="H249" s="31" t="str">
        <f>IFERROR(__xludf.DUMMYFUNCTION("""COMPUTED_VALUE"""),"N/A")</f>
        <v>N/A</v>
      </c>
      <c r="I249" s="31" t="str">
        <f>IFERROR(__xludf.DUMMYFUNCTION("""COMPUTED_VALUE"""),"Technology")</f>
        <v>Technology</v>
      </c>
      <c r="J249" s="103">
        <f>IFERROR(__xludf.DUMMYFUNCTION("""COMPUTED_VALUE"""),45958.0)</f>
        <v>45958</v>
      </c>
      <c r="K249" s="104" t="str">
        <f>IFERROR(__xludf.DUMMYFUNCTION("""COMPUTED_VALUE"""),"Confrm By Abhishek Gupta")</f>
        <v>Confrm By Abhishek Gupta</v>
      </c>
    </row>
    <row r="250">
      <c r="A250" s="31" t="str">
        <f>IFERROR(__xludf.DUMMYFUNCTION("""COMPUTED_VALUE"""),"gaurav.singh@zupee.in")</f>
        <v>gaurav.singh@zupee.in</v>
      </c>
      <c r="B250" s="31" t="str">
        <f>IFERROR(__xludf.DUMMYFUNCTION("""COMPUTED_VALUE"""),"NOT_FOUND")</f>
        <v>NOT_FOUND</v>
      </c>
      <c r="C250" s="31" t="str">
        <f>IFERROR(__xludf.DUMMYFUNCTION("""COMPUTED_VALUE"""),"User not found")</f>
        <v>User not found</v>
      </c>
      <c r="D250" s="31" t="str">
        <f>IFERROR(__xludf.DUMMYFUNCTION("""COMPUTED_VALUE"""),"Revoked ")</f>
        <v>Revoked </v>
      </c>
      <c r="E250" s="31" t="str">
        <f>IFERROR(__xludf.DUMMYFUNCTION("""COMPUTED_VALUE"""),"No-Need")</f>
        <v>No-Need</v>
      </c>
      <c r="F250" s="31" t="str">
        <f>IFERROR(__xludf.DUMMYFUNCTION("""COMPUTED_VALUE"""),"No-Need")</f>
        <v>No-Need</v>
      </c>
      <c r="G250" s="31" t="str">
        <f>IFERROR(__xludf.DUMMYFUNCTION("""COMPUTED_VALUE"""),"No-Need")</f>
        <v>No-Need</v>
      </c>
      <c r="H250" s="31" t="str">
        <f>IFERROR(__xludf.DUMMYFUNCTION("""COMPUTED_VALUE"""),"N/A")</f>
        <v>N/A</v>
      </c>
      <c r="I250" s="31" t="str">
        <f>IFERROR(__xludf.DUMMYFUNCTION("""COMPUTED_VALUE"""),"Human Resources")</f>
        <v>Human Resources</v>
      </c>
      <c r="J250" s="103">
        <f>IFERROR(__xludf.DUMMYFUNCTION("""COMPUTED_VALUE"""),45958.0)</f>
        <v>45958</v>
      </c>
      <c r="K250" s="104" t="str">
        <f>IFERROR(__xludf.DUMMYFUNCTION("""COMPUTED_VALUE"""),"Confrm By M Sangeetha")</f>
        <v>Confrm By M Sangeetha</v>
      </c>
    </row>
    <row r="251">
      <c r="A251" s="31" t="str">
        <f>IFERROR(__xludf.DUMMYFUNCTION("""COMPUTED_VALUE"""),"mamta.pandey@zupee.in")</f>
        <v>mamta.pandey@zupee.in</v>
      </c>
      <c r="B251" s="31" t="str">
        <f>IFERROR(__xludf.DUMMYFUNCTION("""COMPUTED_VALUE"""),"NOT_FOUND")</f>
        <v>NOT_FOUND</v>
      </c>
      <c r="C251" s="31" t="str">
        <f>IFERROR(__xludf.DUMMYFUNCTION("""COMPUTED_VALUE"""),"User not found")</f>
        <v>User not found</v>
      </c>
      <c r="D251" s="31" t="str">
        <f>IFERROR(__xludf.DUMMYFUNCTION("""COMPUTED_VALUE"""),"Revoked ")</f>
        <v>Revoked </v>
      </c>
      <c r="E251" s="31" t="str">
        <f>IFERROR(__xludf.DUMMYFUNCTION("""COMPUTED_VALUE"""),"No-Need")</f>
        <v>No-Need</v>
      </c>
      <c r="F251" s="31" t="str">
        <f>IFERROR(__xludf.DUMMYFUNCTION("""COMPUTED_VALUE"""),"No-Need")</f>
        <v>No-Need</v>
      </c>
      <c r="G251" s="31" t="str">
        <f>IFERROR(__xludf.DUMMYFUNCTION("""COMPUTED_VALUE"""),"No-Need")</f>
        <v>No-Need</v>
      </c>
      <c r="H251" s="31" t="str">
        <f>IFERROR(__xludf.DUMMYFUNCTION("""COMPUTED_VALUE"""),"N/A")</f>
        <v>N/A</v>
      </c>
      <c r="I251" s="31" t="str">
        <f>IFERROR(__xludf.DUMMYFUNCTION("""COMPUTED_VALUE"""),"Human Resources")</f>
        <v>Human Resources</v>
      </c>
      <c r="J251" s="103">
        <f>IFERROR(__xludf.DUMMYFUNCTION("""COMPUTED_VALUE"""),45958.0)</f>
        <v>45958</v>
      </c>
      <c r="K251" s="104" t="str">
        <f>IFERROR(__xludf.DUMMYFUNCTION("""COMPUTED_VALUE"""),"Confrm By M Sangeetha")</f>
        <v>Confrm By M Sangeetha</v>
      </c>
    </row>
    <row r="252">
      <c r="A252" s="31" t="str">
        <f>IFERROR(__xludf.DUMMYFUNCTION("""COMPUTED_VALUE"""),"saaksshi.makkar@zupee.in")</f>
        <v>saaksshi.makkar@zupee.in</v>
      </c>
      <c r="B252" s="31" t="str">
        <f>IFERROR(__xludf.DUMMYFUNCTION("""COMPUTED_VALUE"""),"NOT_FOUND")</f>
        <v>NOT_FOUND</v>
      </c>
      <c r="C252" s="31" t="str">
        <f>IFERROR(__xludf.DUMMYFUNCTION("""COMPUTED_VALUE"""),"User not found")</f>
        <v>User not found</v>
      </c>
      <c r="D252" s="31" t="str">
        <f>IFERROR(__xludf.DUMMYFUNCTION("""COMPUTED_VALUE"""),"Revoked ")</f>
        <v>Revoked </v>
      </c>
      <c r="E252" s="31" t="str">
        <f>IFERROR(__xludf.DUMMYFUNCTION("""COMPUTED_VALUE"""),"No-Need")</f>
        <v>No-Need</v>
      </c>
      <c r="F252" s="31" t="str">
        <f>IFERROR(__xludf.DUMMYFUNCTION("""COMPUTED_VALUE"""),"No-Need")</f>
        <v>No-Need</v>
      </c>
      <c r="G252" s="31" t="str">
        <f>IFERROR(__xludf.DUMMYFUNCTION("""COMPUTED_VALUE"""),"No-Need")</f>
        <v>No-Need</v>
      </c>
      <c r="H252" s="31" t="str">
        <f>IFERROR(__xludf.DUMMYFUNCTION("""COMPUTED_VALUE"""),"naveen.kadyan@zupee.in")</f>
        <v>naveen.kadyan@zupee.in</v>
      </c>
      <c r="I252" s="31" t="str">
        <f>IFERROR(__xludf.DUMMYFUNCTION("""COMPUTED_VALUE"""),"Product")</f>
        <v>Product</v>
      </c>
      <c r="J252" s="103">
        <f>IFERROR(__xludf.DUMMYFUNCTION("""COMPUTED_VALUE"""),45958.0)</f>
        <v>45958</v>
      </c>
      <c r="K252" s="104" t="str">
        <f>IFERROR(__xludf.DUMMYFUNCTION("""COMPUTED_VALUE"""),"Conf By Naveen Kadyan")</f>
        <v>Conf By Naveen Kadyan</v>
      </c>
    </row>
    <row r="253">
      <c r="A253" s="31" t="str">
        <f>IFERROR(__xludf.DUMMYFUNCTION("""COMPUTED_VALUE"""),"amit.mohanta@zupee.in")</f>
        <v>amit.mohanta@zupee.in</v>
      </c>
      <c r="B253" s="31" t="str">
        <f>IFERROR(__xludf.DUMMYFUNCTION("""COMPUTED_VALUE"""),"NOT_FOUND")</f>
        <v>NOT_FOUND</v>
      </c>
      <c r="C253" s="31" t="str">
        <f>IFERROR(__xludf.DUMMYFUNCTION("""COMPUTED_VALUE"""),"User not found")</f>
        <v>User not found</v>
      </c>
      <c r="D253" s="31" t="str">
        <f>IFERROR(__xludf.DUMMYFUNCTION("""COMPUTED_VALUE"""),"Revoked ")</f>
        <v>Revoked </v>
      </c>
      <c r="E253" s="31" t="str">
        <f>IFERROR(__xludf.DUMMYFUNCTION("""COMPUTED_VALUE"""),"No-Need")</f>
        <v>No-Need</v>
      </c>
      <c r="F253" s="31" t="str">
        <f>IFERROR(__xludf.DUMMYFUNCTION("""COMPUTED_VALUE"""),"No-Need")</f>
        <v>No-Need</v>
      </c>
      <c r="G253" s="31" t="str">
        <f>IFERROR(__xludf.DUMMYFUNCTION("""COMPUTED_VALUE"""),"No-Need")</f>
        <v>No-Need</v>
      </c>
      <c r="H253" s="31" t="str">
        <f>IFERROR(__xludf.DUMMYFUNCTION("""COMPUTED_VALUE"""),"naveen.kadyan@zupee.in")</f>
        <v>naveen.kadyan@zupee.in</v>
      </c>
      <c r="I253" s="31" t="str">
        <f>IFERROR(__xludf.DUMMYFUNCTION("""COMPUTED_VALUE"""),"Product Design")</f>
        <v>Product Design</v>
      </c>
      <c r="J253" s="103">
        <f>IFERROR(__xludf.DUMMYFUNCTION("""COMPUTED_VALUE"""),45958.0)</f>
        <v>45958</v>
      </c>
      <c r="K253" s="104" t="str">
        <f>IFERROR(__xludf.DUMMYFUNCTION("""COMPUTED_VALUE"""),"Conf By Naveen Kadyan")</f>
        <v>Conf By Naveen Kadyan</v>
      </c>
    </row>
    <row r="254">
      <c r="A254" s="31" t="str">
        <f>IFERROR(__xludf.DUMMYFUNCTION("""COMPUTED_VALUE"""),"anant.barla@zupee.in")</f>
        <v>anant.barla@zupee.in</v>
      </c>
      <c r="B254" s="31" t="str">
        <f>IFERROR(__xludf.DUMMYFUNCTION("""COMPUTED_VALUE"""),"NOT_FOUND")</f>
        <v>NOT_FOUND</v>
      </c>
      <c r="C254" s="31" t="str">
        <f>IFERROR(__xludf.DUMMYFUNCTION("""COMPUTED_VALUE"""),"User not found")</f>
        <v>User not found</v>
      </c>
      <c r="D254" s="31" t="str">
        <f>IFERROR(__xludf.DUMMYFUNCTION("""COMPUTED_VALUE"""),"Revoked ")</f>
        <v>Revoked </v>
      </c>
      <c r="E254" s="31" t="str">
        <f>IFERROR(__xludf.DUMMYFUNCTION("""COMPUTED_VALUE"""),"No-Need")</f>
        <v>No-Need</v>
      </c>
      <c r="F254" s="31" t="str">
        <f>IFERROR(__xludf.DUMMYFUNCTION("""COMPUTED_VALUE"""),"No-Need")</f>
        <v>No-Need</v>
      </c>
      <c r="G254" s="31" t="str">
        <f>IFERROR(__xludf.DUMMYFUNCTION("""COMPUTED_VALUE"""),"No-Need")</f>
        <v>No-Need</v>
      </c>
      <c r="H254" s="31" t="str">
        <f>IFERROR(__xludf.DUMMYFUNCTION("""COMPUTED_VALUE"""),"naveen.kadyan@zupee.in")</f>
        <v>naveen.kadyan@zupee.in</v>
      </c>
      <c r="I254" s="31" t="str">
        <f>IFERROR(__xludf.DUMMYFUNCTION("""COMPUTED_VALUE"""),"Product Design")</f>
        <v>Product Design</v>
      </c>
      <c r="J254" s="103">
        <f>IFERROR(__xludf.DUMMYFUNCTION("""COMPUTED_VALUE"""),45958.0)</f>
        <v>45958</v>
      </c>
      <c r="K254" s="104" t="str">
        <f>IFERROR(__xludf.DUMMYFUNCTION("""COMPUTED_VALUE"""),"Conf By Naveen Kadyan")</f>
        <v>Conf By Naveen Kadyan</v>
      </c>
    </row>
    <row r="255">
      <c r="A255" s="31" t="str">
        <f>IFERROR(__xludf.DUMMYFUNCTION("""COMPUTED_VALUE"""),"hemant.dandotiya@zupee.in")</f>
        <v>hemant.dandotiya@zupee.in</v>
      </c>
      <c r="B255" s="31" t="str">
        <f>IFERROR(__xludf.DUMMYFUNCTION("""COMPUTED_VALUE"""),"NOT_FOUND")</f>
        <v>NOT_FOUND</v>
      </c>
      <c r="C255" s="31" t="str">
        <f>IFERROR(__xludf.DUMMYFUNCTION("""COMPUTED_VALUE"""),"User not found")</f>
        <v>User not found</v>
      </c>
      <c r="D255" s="31" t="str">
        <f>IFERROR(__xludf.DUMMYFUNCTION("""COMPUTED_VALUE"""),"Revoked ")</f>
        <v>Revoked </v>
      </c>
      <c r="E255" s="31" t="str">
        <f>IFERROR(__xludf.DUMMYFUNCTION("""COMPUTED_VALUE"""),"No-Need")</f>
        <v>No-Need</v>
      </c>
      <c r="F255" s="31" t="str">
        <f>IFERROR(__xludf.DUMMYFUNCTION("""COMPUTED_VALUE"""),"No-Need")</f>
        <v>No-Need</v>
      </c>
      <c r="G255" s="31" t="str">
        <f>IFERROR(__xludf.DUMMYFUNCTION("""COMPUTED_VALUE"""),"No-Need")</f>
        <v>No-Need</v>
      </c>
      <c r="H255" s="31" t="str">
        <f>IFERROR(__xludf.DUMMYFUNCTION("""COMPUTED_VALUE"""),"naveen.kadyan@zupee.in")</f>
        <v>naveen.kadyan@zupee.in</v>
      </c>
      <c r="I255" s="31" t="str">
        <f>IFERROR(__xludf.DUMMYFUNCTION("""COMPUTED_VALUE"""),"Product Design")</f>
        <v>Product Design</v>
      </c>
      <c r="J255" s="103">
        <f>IFERROR(__xludf.DUMMYFUNCTION("""COMPUTED_VALUE"""),45958.0)</f>
        <v>45958</v>
      </c>
      <c r="K255" s="104" t="str">
        <f>IFERROR(__xludf.DUMMYFUNCTION("""COMPUTED_VALUE"""),"Conf By Naveen Kadyan")</f>
        <v>Conf By Naveen Kadyan</v>
      </c>
    </row>
    <row r="256">
      <c r="A256" s="31" t="str">
        <f>IFERROR(__xludf.DUMMYFUNCTION("""COMPUTED_VALUE"""),"himanshu.sharma@zupee.in")</f>
        <v>himanshu.sharma@zupee.in</v>
      </c>
      <c r="B256" s="31" t="str">
        <f>IFERROR(__xludf.DUMMYFUNCTION("""COMPUTED_VALUE"""),"NOT_FOUND")</f>
        <v>NOT_FOUND</v>
      </c>
      <c r="C256" s="31" t="str">
        <f>IFERROR(__xludf.DUMMYFUNCTION("""COMPUTED_VALUE"""),"User not found")</f>
        <v>User not found</v>
      </c>
      <c r="D256" s="31" t="str">
        <f>IFERROR(__xludf.DUMMYFUNCTION("""COMPUTED_VALUE"""),"Revoked ")</f>
        <v>Revoked </v>
      </c>
      <c r="E256" s="31" t="str">
        <f>IFERROR(__xludf.DUMMYFUNCTION("""COMPUTED_VALUE"""),"No-Need")</f>
        <v>No-Need</v>
      </c>
      <c r="F256" s="31" t="str">
        <f>IFERROR(__xludf.DUMMYFUNCTION("""COMPUTED_VALUE"""),"No-Need")</f>
        <v>No-Need</v>
      </c>
      <c r="G256" s="31" t="str">
        <f>IFERROR(__xludf.DUMMYFUNCTION("""COMPUTED_VALUE"""),"No-Need")</f>
        <v>No-Need</v>
      </c>
      <c r="H256" s="31" t="str">
        <f>IFERROR(__xludf.DUMMYFUNCTION("""COMPUTED_VALUE"""),"naveen.kadyan@zupee.in")</f>
        <v>naveen.kadyan@zupee.in</v>
      </c>
      <c r="I256" s="31" t="str">
        <f>IFERROR(__xludf.DUMMYFUNCTION("""COMPUTED_VALUE"""),"Product Design")</f>
        <v>Product Design</v>
      </c>
      <c r="J256" s="103">
        <f>IFERROR(__xludf.DUMMYFUNCTION("""COMPUTED_VALUE"""),45958.0)</f>
        <v>45958</v>
      </c>
      <c r="K256" s="104" t="str">
        <f>IFERROR(__xludf.DUMMYFUNCTION("""COMPUTED_VALUE"""),"Conf By Naveen Kadyan")</f>
        <v>Conf By Naveen Kadyan</v>
      </c>
    </row>
    <row r="257">
      <c r="A257" s="31" t="str">
        <f>IFERROR(__xludf.DUMMYFUNCTION("""COMPUTED_VALUE"""),"vidhya.bharathi@zupee.in")</f>
        <v>vidhya.bharathi@zupee.in</v>
      </c>
      <c r="B257" s="31" t="str">
        <f>IFERROR(__xludf.DUMMYFUNCTION("""COMPUTED_VALUE"""),"NOT_FOUND")</f>
        <v>NOT_FOUND</v>
      </c>
      <c r="C257" s="31" t="str">
        <f>IFERROR(__xludf.DUMMYFUNCTION("""COMPUTED_VALUE"""),"User not found")</f>
        <v>User not found</v>
      </c>
      <c r="D257" s="31" t="str">
        <f>IFERROR(__xludf.DUMMYFUNCTION("""COMPUTED_VALUE"""),"Revoked ")</f>
        <v>Revoked </v>
      </c>
      <c r="E257" s="31" t="str">
        <f>IFERROR(__xludf.DUMMYFUNCTION("""COMPUTED_VALUE"""),"No-Need")</f>
        <v>No-Need</v>
      </c>
      <c r="F257" s="31" t="str">
        <f>IFERROR(__xludf.DUMMYFUNCTION("""COMPUTED_VALUE"""),"No-Need")</f>
        <v>No-Need</v>
      </c>
      <c r="G257" s="31" t="str">
        <f>IFERROR(__xludf.DUMMYFUNCTION("""COMPUTED_VALUE"""),"No-Need")</f>
        <v>No-Need</v>
      </c>
      <c r="H257" s="31" t="str">
        <f>IFERROR(__xludf.DUMMYFUNCTION("""COMPUTED_VALUE"""),"naveen.kadyan@zupee.in")</f>
        <v>naveen.kadyan@zupee.in</v>
      </c>
      <c r="I257" s="31" t="str">
        <f>IFERROR(__xludf.DUMMYFUNCTION("""COMPUTED_VALUE"""),"Product Design")</f>
        <v>Product Design</v>
      </c>
      <c r="J257" s="103">
        <f>IFERROR(__xludf.DUMMYFUNCTION("""COMPUTED_VALUE"""),45958.0)</f>
        <v>45958</v>
      </c>
      <c r="K257" s="104" t="str">
        <f>IFERROR(__xludf.DUMMYFUNCTION("""COMPUTED_VALUE"""),"Conf By Naveen Kadyan")</f>
        <v>Conf By Naveen Kadyan</v>
      </c>
    </row>
    <row r="258">
      <c r="A258" s="31" t="str">
        <f>IFERROR(__xludf.DUMMYFUNCTION("""COMPUTED_VALUE"""),"nidhi.khedekar@zupee.in")</f>
        <v>nidhi.khedekar@zupee.in</v>
      </c>
      <c r="B258" s="31" t="str">
        <f>IFERROR(__xludf.DUMMYFUNCTION("""COMPUTED_VALUE"""),"NOT_FOUND")</f>
        <v>NOT_FOUND</v>
      </c>
      <c r="C258" s="31" t="str">
        <f>IFERROR(__xludf.DUMMYFUNCTION("""COMPUTED_VALUE"""),"User not found")</f>
        <v>User not found</v>
      </c>
      <c r="D258" s="31" t="str">
        <f>IFERROR(__xludf.DUMMYFUNCTION("""COMPUTED_VALUE"""),"Revoked ")</f>
        <v>Revoked </v>
      </c>
      <c r="E258" s="31" t="str">
        <f>IFERROR(__xludf.DUMMYFUNCTION("""COMPUTED_VALUE"""),"No-Need")</f>
        <v>No-Need</v>
      </c>
      <c r="F258" s="31" t="str">
        <f>IFERROR(__xludf.DUMMYFUNCTION("""COMPUTED_VALUE"""),"No-Need")</f>
        <v>No-Need</v>
      </c>
      <c r="G258" s="31" t="str">
        <f>IFERROR(__xludf.DUMMYFUNCTION("""COMPUTED_VALUE"""),"No-Need")</f>
        <v>No-Need</v>
      </c>
      <c r="H258" s="31" t="str">
        <f>IFERROR(__xludf.DUMMYFUNCTION("""COMPUTED_VALUE"""),"N/A")</f>
        <v>N/A</v>
      </c>
      <c r="I258" s="31" t="str">
        <f>IFERROR(__xludf.DUMMYFUNCTION("""COMPUTED_VALUE"""),"Human Resources")</f>
        <v>Human Resources</v>
      </c>
      <c r="J258" s="103">
        <f>IFERROR(__xludf.DUMMYFUNCTION("""COMPUTED_VALUE"""),45959.0)</f>
        <v>45959</v>
      </c>
      <c r="K258" s="104" t="str">
        <f>IFERROR(__xludf.DUMMYFUNCTION("""COMPUTED_VALUE"""),"Confrm By M Sangeetha")</f>
        <v>Confrm By M Sangeetha</v>
      </c>
    </row>
    <row r="259">
      <c r="A259" s="31" t="str">
        <f>IFERROR(__xludf.DUMMYFUNCTION("""COMPUTED_VALUE"""),"richa.s@zupee.in")</f>
        <v>richa.s@zupee.in</v>
      </c>
      <c r="B259" s="31" t="str">
        <f>IFERROR(__xludf.DUMMYFUNCTION("""COMPUTED_VALUE"""),"NOT_FOUND")</f>
        <v>NOT_FOUND</v>
      </c>
      <c r="C259" s="31" t="str">
        <f>IFERROR(__xludf.DUMMYFUNCTION("""COMPUTED_VALUE"""),"User not found")</f>
        <v>User not found</v>
      </c>
      <c r="D259" s="31" t="str">
        <f>IFERROR(__xludf.DUMMYFUNCTION("""COMPUTED_VALUE"""),"Revoked ")</f>
        <v>Revoked </v>
      </c>
      <c r="E259" s="31" t="str">
        <f>IFERROR(__xludf.DUMMYFUNCTION("""COMPUTED_VALUE"""),"mrityunjay.k@zupee.in")</f>
        <v>mrityunjay.k@zupee.in</v>
      </c>
      <c r="F259" s="31" t="str">
        <f>IFERROR(__xludf.DUMMYFUNCTION("""COMPUTED_VALUE"""),"Done")</f>
        <v>Done</v>
      </c>
      <c r="G259" s="31" t="str">
        <f>IFERROR(__xludf.DUMMYFUNCTION("""COMPUTED_VALUE"""),"No-Need")</f>
        <v>No-Need</v>
      </c>
      <c r="H259" s="31" t="str">
        <f>IFERROR(__xludf.DUMMYFUNCTION("""COMPUTED_VALUE"""),"N/A")</f>
        <v>N/A</v>
      </c>
      <c r="I259" s="31" t="str">
        <f>IFERROR(__xludf.DUMMYFUNCTION("""COMPUTED_VALUE"""),"CRM")</f>
        <v>CRM</v>
      </c>
      <c r="J259" s="103">
        <f>IFERROR(__xludf.DUMMYFUNCTION("""COMPUTED_VALUE"""),45961.0)</f>
        <v>45961</v>
      </c>
      <c r="K259" s="31"/>
    </row>
    <row r="260">
      <c r="A260" s="31" t="str">
        <f>IFERROR(__xludf.DUMMYFUNCTION("""COMPUTED_VALUE"""),"himanshu.chopra@zupee.in")</f>
        <v>himanshu.chopra@zupee.in</v>
      </c>
      <c r="B260" s="31" t="str">
        <f>IFERROR(__xludf.DUMMYFUNCTION("""COMPUTED_VALUE"""),"NOT_FOUND")</f>
        <v>NOT_FOUND</v>
      </c>
      <c r="C260" s="31" t="str">
        <f>IFERROR(__xludf.DUMMYFUNCTION("""COMPUTED_VALUE"""),"User not found")</f>
        <v>User not found</v>
      </c>
      <c r="D260" s="31" t="str">
        <f>IFERROR(__xludf.DUMMYFUNCTION("""COMPUTED_VALUE"""),"Revoked ")</f>
        <v>Revoked </v>
      </c>
      <c r="E260" s="31" t="str">
        <f>IFERROR(__xludf.DUMMYFUNCTION("""COMPUTED_VALUE"""),"hitesh.vats@zupee.in")</f>
        <v>hitesh.vats@zupee.in</v>
      </c>
      <c r="F260" s="31" t="str">
        <f>IFERROR(__xludf.DUMMYFUNCTION("""COMPUTED_VALUE"""),"Drive")</f>
        <v>Drive</v>
      </c>
      <c r="G260" s="31" t="str">
        <f>IFERROR(__xludf.DUMMYFUNCTION("""COMPUTED_VALUE"""),"Done")</f>
        <v>Done</v>
      </c>
      <c r="H260" s="31" t="str">
        <f>IFERROR(__xludf.DUMMYFUNCTION("""COMPUTED_VALUE"""),"financebackup@zupee.in")</f>
        <v>financebackup@zupee.in</v>
      </c>
      <c r="I260" s="31" t="str">
        <f>IFERROR(__xludf.DUMMYFUNCTION("""COMPUTED_VALUE"""),"Finance")</f>
        <v>Finance</v>
      </c>
      <c r="J260" s="103">
        <f>IFERROR(__xludf.DUMMYFUNCTION("""COMPUTED_VALUE"""),45968.0)</f>
        <v>45968</v>
      </c>
      <c r="K260" s="104" t="str">
        <f>IFERROR(__xludf.DUMMYFUNCTION("""COMPUTED_VALUE"""),"Conf By Ankit Maheshwari")</f>
        <v>Conf By Ankit Maheshwari</v>
      </c>
    </row>
    <row r="261">
      <c r="A261" s="31" t="str">
        <f>IFERROR(__xludf.DUMMYFUNCTION("""COMPUTED_VALUE"""),"yash.lamba@zupee.in")</f>
        <v>yash.lamba@zupee.in</v>
      </c>
      <c r="B261" s="31" t="str">
        <f>IFERROR(__xludf.DUMMYFUNCTION("""COMPUTED_VALUE"""),"NOT_FOUND")</f>
        <v>NOT_FOUND</v>
      </c>
      <c r="C261" s="31" t="str">
        <f>IFERROR(__xludf.DUMMYFUNCTION("""COMPUTED_VALUE"""),"User not found")</f>
        <v>User not found</v>
      </c>
      <c r="D261" s="31" t="str">
        <f>IFERROR(__xludf.DUMMYFUNCTION("""COMPUTED_VALUE"""),"Revoked ")</f>
        <v>Revoked </v>
      </c>
      <c r="E261" s="31" t="str">
        <f>IFERROR(__xludf.DUMMYFUNCTION("""COMPUTED_VALUE"""),"hrbackup@zupee.in")</f>
        <v>hrbackup@zupee.in</v>
      </c>
      <c r="F261" s="31" t="str">
        <f>IFERROR(__xludf.DUMMYFUNCTION("""COMPUTED_VALUE"""),"Done")</f>
        <v>Done</v>
      </c>
      <c r="G261" s="31" t="str">
        <f>IFERROR(__xludf.DUMMYFUNCTION("""COMPUTED_VALUE"""),"Done")</f>
        <v>Done</v>
      </c>
      <c r="H261" s="31" t="str">
        <f>IFERROR(__xludf.DUMMYFUNCTION("""COMPUTED_VALUE"""),"vivek.jain@zupee.in")</f>
        <v>vivek.jain@zupee.in</v>
      </c>
      <c r="I261" s="31" t="str">
        <f>IFERROR(__xludf.DUMMYFUNCTION("""COMPUTED_VALUE"""),"Human Resource")</f>
        <v>Human Resource</v>
      </c>
      <c r="J261" s="103">
        <f>IFERROR(__xludf.DUMMYFUNCTION("""COMPUTED_VALUE"""),45957.0)</f>
        <v>45957</v>
      </c>
      <c r="K261" s="104" t="str">
        <f>IFERROR(__xludf.DUMMYFUNCTION("""COMPUTED_VALUE"""),"Conf By 	Vivek Jain")</f>
        <v>Conf By 	Vivek Jain</v>
      </c>
    </row>
    <row r="262">
      <c r="A262" s="31" t="str">
        <f>IFERROR(__xludf.DUMMYFUNCTION("""COMPUTED_VALUE"""),"aditya.chaubey@zupee.in")</f>
        <v>aditya.chaubey@zupee.in</v>
      </c>
      <c r="B262" s="31" t="str">
        <f>IFERROR(__xludf.DUMMYFUNCTION("""COMPUTED_VALUE"""),"NOT_FOUND")</f>
        <v>NOT_FOUND</v>
      </c>
      <c r="C262" s="31" t="str">
        <f>IFERROR(__xludf.DUMMYFUNCTION("""COMPUTED_VALUE"""),"User not found")</f>
        <v>User not found</v>
      </c>
      <c r="D262" s="31" t="str">
        <f>IFERROR(__xludf.DUMMYFUNCTION("""COMPUTED_VALUE"""),"Revoked ")</f>
        <v>Revoked </v>
      </c>
      <c r="E262" s="31" t="str">
        <f>IFERROR(__xludf.DUMMYFUNCTION("""COMPUTED_VALUE"""),"sumit.yadav@zupee.in")</f>
        <v>sumit.yadav@zupee.in</v>
      </c>
      <c r="F262" s="31" t="str">
        <f>IFERROR(__xludf.DUMMYFUNCTION("""COMPUTED_VALUE"""),"Done")</f>
        <v>Done</v>
      </c>
      <c r="G262" s="31" t="str">
        <f>IFERROR(__xludf.DUMMYFUNCTION("""COMPUTED_VALUE"""),"Done")</f>
        <v>Done</v>
      </c>
      <c r="H262" s="31" t="str">
        <f>IFERROR(__xludf.DUMMYFUNCTION("""COMPUTED_VALUE"""),"N/A")</f>
        <v>N/A</v>
      </c>
      <c r="I262" s="31" t="str">
        <f>IFERROR(__xludf.DUMMYFUNCTION("""COMPUTED_VALUE"""),"CRM")</f>
        <v>CRM</v>
      </c>
      <c r="J262" s="103">
        <f>IFERROR(__xludf.DUMMYFUNCTION("""COMPUTED_VALUE"""),45988.0)</f>
        <v>45988</v>
      </c>
      <c r="K262" s="31" t="str">
        <f>IFERROR(__xludf.DUMMYFUNCTION("""COMPUTED_VALUE"""),"Conf By ""Mrityunjay Kumar""")</f>
        <v>Conf By "Mrityunjay Kumar"</v>
      </c>
    </row>
    <row r="263">
      <c r="A263" s="31" t="str">
        <f>IFERROR(__xludf.DUMMYFUNCTION("""COMPUTED_VALUE"""),"surabhi.sanchita@zupee.in")</f>
        <v>surabhi.sanchita@zupee.in</v>
      </c>
      <c r="B263" s="31" t="str">
        <f>IFERROR(__xludf.DUMMYFUNCTION("""COMPUTED_VALUE"""),"ACTIVE")</f>
        <v>ACTIVE</v>
      </c>
      <c r="C263" s="31" t="str">
        <f>IFERROR(__xludf.DUMMYFUNCTION("""COMPUTED_VALUE"""),"User is ACTIVE")</f>
        <v>User is ACTIVE</v>
      </c>
      <c r="D263" s="31" t="str">
        <f>IFERROR(__xludf.DUMMYFUNCTION("""COMPUTED_VALUE"""),"Hold")</f>
        <v>Hold</v>
      </c>
      <c r="E263" s="31" t="str">
        <f>IFERROR(__xludf.DUMMYFUNCTION("""COMPUTED_VALUE"""),"hrbackup@zupee.in")</f>
        <v>hrbackup@zupee.in</v>
      </c>
      <c r="F263" s="31" t="str">
        <f>IFERROR(__xludf.DUMMYFUNCTION("""COMPUTED_VALUE"""),"Done")</f>
        <v>Done</v>
      </c>
      <c r="G263" s="31" t="str">
        <f>IFERROR(__xludf.DUMMYFUNCTION("""COMPUTED_VALUE"""),"Done")</f>
        <v>Done</v>
      </c>
      <c r="H263" s="31" t="str">
        <f>IFERROR(__xludf.DUMMYFUNCTION("""COMPUTED_VALUE"""),"Hold")</f>
        <v>Hold</v>
      </c>
      <c r="I263" s="31" t="str">
        <f>IFERROR(__xludf.DUMMYFUNCTION("""COMPUTED_VALUE"""),"Human Resource")</f>
        <v>Human Resource</v>
      </c>
      <c r="J263" s="31"/>
      <c r="K263" s="104" t="str">
        <f>IFERROR(__xludf.DUMMYFUNCTION("""COMPUTED_VALUE"""),"Confrm By Sushil Patel")</f>
        <v>Confrm By Sushil Patel</v>
      </c>
    </row>
    <row r="264">
      <c r="A264" s="31" t="str">
        <f>IFERROR(__xludf.DUMMYFUNCTION("""COMPUTED_VALUE"""),"ztribe@zupee.in")</f>
        <v>ztribe@zupee.in</v>
      </c>
      <c r="B264" s="31" t="str">
        <f>IFERROR(__xludf.DUMMYFUNCTION("""COMPUTED_VALUE"""),"NOT_FOUND")</f>
        <v>NOT_FOUND</v>
      </c>
      <c r="C264" s="31" t="str">
        <f>IFERROR(__xludf.DUMMYFUNCTION("""COMPUTED_VALUE"""),"User not found")</f>
        <v>User not found</v>
      </c>
      <c r="D264" s="31" t="str">
        <f>IFERROR(__xludf.DUMMYFUNCTION("""COMPUTED_VALUE"""),"Revoked ")</f>
        <v>Revoked </v>
      </c>
      <c r="E264" s="31" t="str">
        <f>IFERROR(__xludf.DUMMYFUNCTION("""COMPUTED_VALUE"""),"hrbackup@zupee.in")</f>
        <v>hrbackup@zupee.in</v>
      </c>
      <c r="F264" s="31" t="str">
        <f>IFERROR(__xludf.DUMMYFUNCTION("""COMPUTED_VALUE"""),"Done")</f>
        <v>Done</v>
      </c>
      <c r="G264" s="31" t="str">
        <f>IFERROR(__xludf.DUMMYFUNCTION("""COMPUTED_VALUE"""),"Done")</f>
        <v>Done</v>
      </c>
      <c r="H264" s="31" t="str">
        <f>IFERROR(__xludf.DUMMYFUNCTION("""COMPUTED_VALUE"""),"m.sangeetha@zupee.in")</f>
        <v>m.sangeetha@zupee.in</v>
      </c>
      <c r="I264" s="31" t="str">
        <f>IFERROR(__xludf.DUMMYFUNCTION("""COMPUTED_VALUE"""),"Human Resource")</f>
        <v>Human Resource</v>
      </c>
      <c r="J264" s="103">
        <f>IFERROR(__xludf.DUMMYFUNCTION("""COMPUTED_VALUE"""),45916.0)</f>
        <v>45916</v>
      </c>
      <c r="K264" s="31"/>
    </row>
    <row r="265">
      <c r="A265" s="31" t="str">
        <f>IFERROR(__xludf.DUMMYFUNCTION("""COMPUTED_VALUE"""),"akshit.batra@zupee.in")</f>
        <v>akshit.batra@zupee.in</v>
      </c>
      <c r="B265" s="31" t="str">
        <f>IFERROR(__xludf.DUMMYFUNCTION("""COMPUTED_VALUE"""),"NON-ARCHIVED")</f>
        <v>NON-ARCHIVED</v>
      </c>
      <c r="C265" s="31" t="str">
        <f>IFERROR(__xludf.DUMMYFUNCTION("""COMPUTED_VALUE"""),"User is ACTIVE (SUSPENDED)")</f>
        <v>User is ACTIVE (SUSPENDED)</v>
      </c>
      <c r="D265" s="31" t="str">
        <f>IFERROR(__xludf.DUMMYFUNCTION("""COMPUTED_VALUE"""),"Hold")</f>
        <v>Hold</v>
      </c>
      <c r="E265" s="31" t="str">
        <f>IFERROR(__xludf.DUMMYFUNCTION("""COMPUTED_VALUE"""),"Hold")</f>
        <v>Hold</v>
      </c>
      <c r="F265" s="31" t="str">
        <f>IFERROR(__xludf.DUMMYFUNCTION("""COMPUTED_VALUE"""),"Hold")</f>
        <v>Hold</v>
      </c>
      <c r="G265" s="31" t="str">
        <f>IFERROR(__xludf.DUMMYFUNCTION("""COMPUTED_VALUE"""),"Hold")</f>
        <v>Hold</v>
      </c>
      <c r="H265" s="31" t="str">
        <f>IFERROR(__xludf.DUMMYFUNCTION("""COMPUTED_VALUE"""),"Hold")</f>
        <v>Hold</v>
      </c>
      <c r="I265" s="31" t="str">
        <f>IFERROR(__xludf.DUMMYFUNCTION("""COMPUTED_VALUE"""),"Human Resources")</f>
        <v>Human Resources</v>
      </c>
      <c r="J265" s="31"/>
      <c r="K265" s="104" t="str">
        <f>IFERROR(__xludf.DUMMYFUNCTION("""COMPUTED_VALUE"""),"Confrm By Sushil Patel")</f>
        <v>Confrm By Sushil Patel</v>
      </c>
    </row>
    <row r="266">
      <c r="A266" s="31" t="str">
        <f>IFERROR(__xludf.DUMMYFUNCTION("""COMPUTED_VALUE"""),"amiya.panda@zupee.in")</f>
        <v>amiya.panda@zupee.in</v>
      </c>
      <c r="B266" s="31" t="str">
        <f>IFERROR(__xludf.DUMMYFUNCTION("""COMPUTED_VALUE"""),"NON-ARCHIVED")</f>
        <v>NON-ARCHIVED</v>
      </c>
      <c r="C266" s="31" t="str">
        <f>IFERROR(__xludf.DUMMYFUNCTION("""COMPUTED_VALUE"""),"User is ACTIVE (SUSPENDED)")</f>
        <v>User is ACTIVE (SUSPENDED)</v>
      </c>
      <c r="D266" s="31" t="str">
        <f>IFERROR(__xludf.DUMMYFUNCTION("""COMPUTED_VALUE"""),"Hold")</f>
        <v>Hold</v>
      </c>
      <c r="E266" s="31" t="str">
        <f>IFERROR(__xludf.DUMMYFUNCTION("""COMPUTED_VALUE"""),"legalbackup@zupee.in")</f>
        <v>legalbackup@zupee.in</v>
      </c>
      <c r="F266" s="31" t="str">
        <f>IFERROR(__xludf.DUMMYFUNCTION("""COMPUTED_VALUE"""),"Done")</f>
        <v>Done</v>
      </c>
      <c r="G266" s="31" t="str">
        <f>IFERROR(__xludf.DUMMYFUNCTION("""COMPUTED_VALUE"""),"Done")</f>
        <v>Done</v>
      </c>
      <c r="H266" s="31" t="str">
        <f>IFERROR(__xludf.DUMMYFUNCTION("""COMPUTED_VALUE"""),"thomas.phillippe@zupee.in")</f>
        <v>thomas.phillippe@zupee.in</v>
      </c>
      <c r="I266" s="31" t="str">
        <f>IFERROR(__xludf.DUMMYFUNCTION("""COMPUTED_VALUE"""),"Legal")</f>
        <v>Legal</v>
      </c>
      <c r="J266" s="103">
        <f>IFERROR(__xludf.DUMMYFUNCTION("""COMPUTED_VALUE"""),45916.0)</f>
        <v>45916</v>
      </c>
      <c r="K266" s="31"/>
    </row>
    <row r="267">
      <c r="A267" s="31" t="str">
        <f>IFERROR(__xludf.DUMMYFUNCTION("""COMPUTED_VALUE"""),"achla.vatsa@zupee.in")</f>
        <v>achla.vatsa@zupee.in</v>
      </c>
      <c r="B267" s="31" t="str">
        <f>IFERROR(__xludf.DUMMYFUNCTION("""COMPUTED_VALUE"""),"NOT_FOUND")</f>
        <v>NOT_FOUND</v>
      </c>
      <c r="C267" s="31" t="str">
        <f>IFERROR(__xludf.DUMMYFUNCTION("""COMPUTED_VALUE"""),"User not found")</f>
        <v>User not found</v>
      </c>
      <c r="D267" s="31" t="str">
        <f>IFERROR(__xludf.DUMMYFUNCTION("""COMPUTED_VALUE"""),"Revoked ")</f>
        <v>Revoked </v>
      </c>
      <c r="E267" s="31" t="str">
        <f>IFERROR(__xludf.DUMMYFUNCTION("""COMPUTED_VALUE"""),"legalbackup@zupee.in")</f>
        <v>legalbackup@zupee.in</v>
      </c>
      <c r="F267" s="31" t="str">
        <f>IFERROR(__xludf.DUMMYFUNCTION("""COMPUTED_VALUE"""),"Done")</f>
        <v>Done</v>
      </c>
      <c r="G267" s="31" t="str">
        <f>IFERROR(__xludf.DUMMYFUNCTION("""COMPUTED_VALUE"""),"Done")</f>
        <v>Done</v>
      </c>
      <c r="H267" s="31" t="str">
        <f>IFERROR(__xludf.DUMMYFUNCTION("""COMPUTED_VALUE"""),"thomas.phillippe@zupee.in")</f>
        <v>thomas.phillippe@zupee.in</v>
      </c>
      <c r="I267" s="31" t="str">
        <f>IFERROR(__xludf.DUMMYFUNCTION("""COMPUTED_VALUE"""),"Legal")</f>
        <v>Legal</v>
      </c>
      <c r="J267" s="103">
        <f>IFERROR(__xludf.DUMMYFUNCTION("""COMPUTED_VALUE"""),45916.0)</f>
        <v>45916</v>
      </c>
      <c r="K267" s="31"/>
    </row>
    <row r="268">
      <c r="A268" s="31" t="str">
        <f>IFERROR(__xludf.DUMMYFUNCTION("""COMPUTED_VALUE"""),"vinni.francis@zupee.in")</f>
        <v>vinni.francis@zupee.in</v>
      </c>
      <c r="B268" s="31" t="str">
        <f>IFERROR(__xludf.DUMMYFUNCTION("""COMPUTED_VALUE"""),"NOT_FOUND")</f>
        <v>NOT_FOUND</v>
      </c>
      <c r="C268" s="31" t="str">
        <f>IFERROR(__xludf.DUMMYFUNCTION("""COMPUTED_VALUE"""),"User not found")</f>
        <v>User not found</v>
      </c>
      <c r="D268" s="31" t="str">
        <f>IFERROR(__xludf.DUMMYFUNCTION("""COMPUTED_VALUE"""),"Revoked")</f>
        <v>Revoked</v>
      </c>
      <c r="E268" s="31" t="str">
        <f>IFERROR(__xludf.DUMMYFUNCTION("""COMPUTED_VALUE"""),"legalbackup@zupee.in")</f>
        <v>legalbackup@zupee.in</v>
      </c>
      <c r="F268" s="31" t="str">
        <f>IFERROR(__xludf.DUMMYFUNCTION("""COMPUTED_VALUE"""),"Done")</f>
        <v>Done</v>
      </c>
      <c r="G268" s="31" t="str">
        <f>IFERROR(__xludf.DUMMYFUNCTION("""COMPUTED_VALUE"""),"Done")</f>
        <v>Done</v>
      </c>
      <c r="H268" s="31" t="str">
        <f>IFERROR(__xludf.DUMMYFUNCTION("""COMPUTED_VALUE"""),"thomas.phillippe@zupee.in")</f>
        <v>thomas.phillippe@zupee.in</v>
      </c>
      <c r="I268" s="31" t="str">
        <f>IFERROR(__xludf.DUMMYFUNCTION("""COMPUTED_VALUE"""),"Legal")</f>
        <v>Legal</v>
      </c>
      <c r="J268" s="103">
        <f>IFERROR(__xludf.DUMMYFUNCTION("""COMPUTED_VALUE"""),45988.0)</f>
        <v>45988</v>
      </c>
      <c r="K268" s="31" t="str">
        <f>IFERROR(__xludf.DUMMYFUNCTION("""COMPUTED_VALUE"""),"Conf By ""Thomas Phillippe""")</f>
        <v>Conf By "Thomas Phillippe"</v>
      </c>
    </row>
    <row r="269">
      <c r="A269" s="31" t="str">
        <f>IFERROR(__xludf.DUMMYFUNCTION("""COMPUTED_VALUE"""),"subi.chaturvedi@zupee.in")</f>
        <v>subi.chaturvedi@zupee.in</v>
      </c>
      <c r="B269" s="31" t="str">
        <f>IFERROR(__xludf.DUMMYFUNCTION("""COMPUTED_VALUE"""),"NON-ARCHIVED")</f>
        <v>NON-ARCHIVED</v>
      </c>
      <c r="C269" s="31" t="str">
        <f>IFERROR(__xludf.DUMMYFUNCTION("""COMPUTED_VALUE"""),"User is ACTIVE (SUSPENDED)")</f>
        <v>User is ACTIVE (SUSPENDED)</v>
      </c>
      <c r="D269" s="31" t="str">
        <f>IFERROR(__xludf.DUMMYFUNCTION("""COMPUTED_VALUE"""),"Hold")</f>
        <v>Hold</v>
      </c>
      <c r="E269" s="31" t="str">
        <f>IFERROR(__xludf.DUMMYFUNCTION("""COMPUTED_VALUE"""),"legalbackup@zupee.in")</f>
        <v>legalbackup@zupee.in</v>
      </c>
      <c r="F269" s="31" t="str">
        <f>IFERROR(__xludf.DUMMYFUNCTION("""COMPUTED_VALUE"""),"Done")</f>
        <v>Done</v>
      </c>
      <c r="G269" s="31" t="str">
        <f>IFERROR(__xludf.DUMMYFUNCTION("""COMPUTED_VALUE"""),"Done")</f>
        <v>Done</v>
      </c>
      <c r="H269" s="31" t="str">
        <f>IFERROR(__xludf.DUMMYFUNCTION("""COMPUTED_VALUE"""),"govind.mittal@zupee.in")</f>
        <v>govind.mittal@zupee.in</v>
      </c>
      <c r="I269" s="31" t="str">
        <f>IFERROR(__xludf.DUMMYFUNCTION("""COMPUTED_VALUE"""),"Legal")</f>
        <v>Legal</v>
      </c>
      <c r="J269" s="103">
        <f>IFERROR(__xludf.DUMMYFUNCTION("""COMPUTED_VALUE"""),45916.0)</f>
        <v>45916</v>
      </c>
      <c r="K269" s="31" t="str">
        <f>IFERROR(__xludf.DUMMYFUNCTION("""COMPUTED_VALUE"""),"Conf By Govind Mittal")</f>
        <v>Conf By Govind Mittal</v>
      </c>
    </row>
    <row r="270">
      <c r="A270" s="31" t="str">
        <f>IFERROR(__xludf.DUMMYFUNCTION("""COMPUTED_VALUE"""),"chanchal.verma@zupee.in")</f>
        <v>chanchal.verma@zupee.in</v>
      </c>
      <c r="B270" s="31" t="str">
        <f>IFERROR(__xludf.DUMMYFUNCTION("""COMPUTED_VALUE"""),"NOT_FOUND")</f>
        <v>NOT_FOUND</v>
      </c>
      <c r="C270" s="31" t="str">
        <f>IFERROR(__xludf.DUMMYFUNCTION("""COMPUTED_VALUE"""),"User not found")</f>
        <v>User not found</v>
      </c>
      <c r="D270" s="31" t="str">
        <f>IFERROR(__xludf.DUMMYFUNCTION("""COMPUTED_VALUE"""),"Revoked")</f>
        <v>Revoked</v>
      </c>
      <c r="E270" s="31" t="str">
        <f>IFERROR(__xludf.DUMMYFUNCTION("""COMPUTED_VALUE"""),"legalbackup@zupee.in")</f>
        <v>legalbackup@zupee.in</v>
      </c>
      <c r="F270" s="31" t="str">
        <f>IFERROR(__xludf.DUMMYFUNCTION("""COMPUTED_VALUE"""),"Done")</f>
        <v>Done</v>
      </c>
      <c r="G270" s="31" t="str">
        <f>IFERROR(__xludf.DUMMYFUNCTION("""COMPUTED_VALUE"""),"Done")</f>
        <v>Done</v>
      </c>
      <c r="H270" s="31" t="str">
        <f>IFERROR(__xludf.DUMMYFUNCTION("""COMPUTED_VALUE"""),"thomas.phillippe@zupee.in")</f>
        <v>thomas.phillippe@zupee.in</v>
      </c>
      <c r="I270" s="31" t="str">
        <f>IFERROR(__xludf.DUMMYFUNCTION("""COMPUTED_VALUE"""),"Legal")</f>
        <v>Legal</v>
      </c>
      <c r="J270" s="103">
        <f>IFERROR(__xludf.DUMMYFUNCTION("""COMPUTED_VALUE"""),45988.0)</f>
        <v>45988</v>
      </c>
      <c r="K270" s="31" t="str">
        <f>IFERROR(__xludf.DUMMYFUNCTION("""COMPUTED_VALUE"""),"Conf By ""Thomas Phillippe""")</f>
        <v>Conf By "Thomas Phillippe"</v>
      </c>
    </row>
    <row r="271">
      <c r="A271" s="31" t="str">
        <f>IFERROR(__xludf.DUMMYFUNCTION("""COMPUTED_VALUE"""),"niyati.verma@zupee.in")</f>
        <v>niyati.verma@zupee.in</v>
      </c>
      <c r="B271" s="31" t="str">
        <f>IFERROR(__xludf.DUMMYFUNCTION("""COMPUTED_VALUE"""),"NOT_FOUND")</f>
        <v>NOT_FOUND</v>
      </c>
      <c r="C271" s="31" t="str">
        <f>IFERROR(__xludf.DUMMYFUNCTION("""COMPUTED_VALUE"""),"User not found")</f>
        <v>User not found</v>
      </c>
      <c r="D271" s="31" t="str">
        <f>IFERROR(__xludf.DUMMYFUNCTION("""COMPUTED_VALUE"""),"Revoked ")</f>
        <v>Revoked </v>
      </c>
      <c r="E271" s="31" t="str">
        <f>IFERROR(__xludf.DUMMYFUNCTION("""COMPUTED_VALUE"""),"legalbackup@zupee.in")</f>
        <v>legalbackup@zupee.in</v>
      </c>
      <c r="F271" s="31" t="str">
        <f>IFERROR(__xludf.DUMMYFUNCTION("""COMPUTED_VALUE"""),"Done")</f>
        <v>Done</v>
      </c>
      <c r="G271" s="31" t="str">
        <f>IFERROR(__xludf.DUMMYFUNCTION("""COMPUTED_VALUE"""),"Done")</f>
        <v>Done</v>
      </c>
      <c r="H271" s="31" t="str">
        <f>IFERROR(__xludf.DUMMYFUNCTION("""COMPUTED_VALUE"""),"thomas.phillippe@zupee.in")</f>
        <v>thomas.phillippe@zupee.in</v>
      </c>
      <c r="I271" s="31" t="str">
        <f>IFERROR(__xludf.DUMMYFUNCTION("""COMPUTED_VALUE"""),"Legal")</f>
        <v>Legal</v>
      </c>
      <c r="J271" s="103">
        <f>IFERROR(__xludf.DUMMYFUNCTION("""COMPUTED_VALUE"""),45916.0)</f>
        <v>45916</v>
      </c>
      <c r="K271" s="31" t="str">
        <f>IFERROR(__xludf.DUMMYFUNCTION("""COMPUTED_VALUE"""),"Conf By Ravi Jha")</f>
        <v>Conf By Ravi Jha</v>
      </c>
    </row>
    <row r="272">
      <c r="A272" s="31" t="str">
        <f>IFERROR(__xludf.DUMMYFUNCTION("""COMPUTED_VALUE"""),"raj.varier@zupee.in")</f>
        <v>raj.varier@zupee.in</v>
      </c>
      <c r="B272" s="31" t="str">
        <f>IFERROR(__xludf.DUMMYFUNCTION("""COMPUTED_VALUE"""),"NOT_FOUND")</f>
        <v>NOT_FOUND</v>
      </c>
      <c r="C272" s="31" t="str">
        <f>IFERROR(__xludf.DUMMYFUNCTION("""COMPUTED_VALUE"""),"User not found")</f>
        <v>User not found</v>
      </c>
      <c r="D272" s="31" t="str">
        <f>IFERROR(__xludf.DUMMYFUNCTION("""COMPUTED_VALUE"""),"Revoked")</f>
        <v>Revoked</v>
      </c>
      <c r="E272" s="31" t="str">
        <f>IFERROR(__xludf.DUMMYFUNCTION("""COMPUTED_VALUE"""),"legalbackup@zupee.in")</f>
        <v>legalbackup@zupee.in</v>
      </c>
      <c r="F272" s="31" t="str">
        <f>IFERROR(__xludf.DUMMYFUNCTION("""COMPUTED_VALUE"""),"Done")</f>
        <v>Done</v>
      </c>
      <c r="G272" s="31" t="str">
        <f>IFERROR(__xludf.DUMMYFUNCTION("""COMPUTED_VALUE"""),"Done")</f>
        <v>Done</v>
      </c>
      <c r="H272" s="31" t="str">
        <f>IFERROR(__xludf.DUMMYFUNCTION("""COMPUTED_VALUE"""),"thomas.phillippe@zupee.in")</f>
        <v>thomas.phillippe@zupee.in</v>
      </c>
      <c r="I272" s="31" t="str">
        <f>IFERROR(__xludf.DUMMYFUNCTION("""COMPUTED_VALUE"""),"Legal")</f>
        <v>Legal</v>
      </c>
      <c r="J272" s="103">
        <f>IFERROR(__xludf.DUMMYFUNCTION("""COMPUTED_VALUE"""),45988.0)</f>
        <v>45988</v>
      </c>
      <c r="K272" s="31" t="str">
        <f>IFERROR(__xludf.DUMMYFUNCTION("""COMPUTED_VALUE"""),"Conf By ""Thomas Phillippe""")</f>
        <v>Conf By "Thomas Phillippe"</v>
      </c>
    </row>
    <row r="273">
      <c r="A273" s="31" t="str">
        <f>IFERROR(__xludf.DUMMYFUNCTION("""COMPUTED_VALUE"""),"aneesh.garg@zupee.in")</f>
        <v>aneesh.garg@zupee.in</v>
      </c>
      <c r="B273" s="31" t="str">
        <f>IFERROR(__xludf.DUMMYFUNCTION("""COMPUTED_VALUE"""),"NOT_FOUND")</f>
        <v>NOT_FOUND</v>
      </c>
      <c r="C273" s="31" t="str">
        <f>IFERROR(__xludf.DUMMYFUNCTION("""COMPUTED_VALUE"""),"User not found")</f>
        <v>User not found</v>
      </c>
      <c r="D273" s="31" t="str">
        <f>IFERROR(__xludf.DUMMYFUNCTION("""COMPUTED_VALUE"""),"Revoked")</f>
        <v>Revoked</v>
      </c>
      <c r="E273" s="31" t="str">
        <f>IFERROR(__xludf.DUMMYFUNCTION("""COMPUTED_VALUE"""),"legalbackup@zupee.in")</f>
        <v>legalbackup@zupee.in</v>
      </c>
      <c r="F273" s="31" t="str">
        <f>IFERROR(__xludf.DUMMYFUNCTION("""COMPUTED_VALUE"""),"Done")</f>
        <v>Done</v>
      </c>
      <c r="G273" s="31" t="str">
        <f>IFERROR(__xludf.DUMMYFUNCTION("""COMPUTED_VALUE"""),"Done")</f>
        <v>Done</v>
      </c>
      <c r="H273" s="31" t="str">
        <f>IFERROR(__xludf.DUMMYFUNCTION("""COMPUTED_VALUE"""),"thomas.phillippe@zupee.in")</f>
        <v>thomas.phillippe@zupee.in</v>
      </c>
      <c r="I273" s="31" t="str">
        <f>IFERROR(__xludf.DUMMYFUNCTION("""COMPUTED_VALUE"""),"Legal")</f>
        <v>Legal</v>
      </c>
      <c r="J273" s="103">
        <f>IFERROR(__xludf.DUMMYFUNCTION("""COMPUTED_VALUE"""),45988.0)</f>
        <v>45988</v>
      </c>
      <c r="K273" s="31" t="str">
        <f>IFERROR(__xludf.DUMMYFUNCTION("""COMPUTED_VALUE"""),"Conf By ""Thomas Phillippe""")</f>
        <v>Conf By "Thomas Phillippe"</v>
      </c>
    </row>
    <row r="274">
      <c r="A274" s="31" t="str">
        <f>IFERROR(__xludf.DUMMYFUNCTION("""COMPUTED_VALUE"""),"anuj.singh@zupee.in")</f>
        <v>anuj.singh@zupee.in</v>
      </c>
      <c r="B274" s="31" t="str">
        <f>IFERROR(__xludf.DUMMYFUNCTION("""COMPUTED_VALUE"""),"NOT_FOUND")</f>
        <v>NOT_FOUND</v>
      </c>
      <c r="C274" s="31" t="str">
        <f>IFERROR(__xludf.DUMMYFUNCTION("""COMPUTED_VALUE"""),"User not found")</f>
        <v>User not found</v>
      </c>
      <c r="D274" s="31" t="str">
        <f>IFERROR(__xludf.DUMMYFUNCTION("""COMPUTED_VALUE"""),"Revoked")</f>
        <v>Revoked</v>
      </c>
      <c r="E274" s="31" t="str">
        <f>IFERROR(__xludf.DUMMYFUNCTION("""COMPUTED_VALUE"""),"legalbackup@zupee.in")</f>
        <v>legalbackup@zupee.in</v>
      </c>
      <c r="F274" s="31" t="str">
        <f>IFERROR(__xludf.DUMMYFUNCTION("""COMPUTED_VALUE"""),"Done")</f>
        <v>Done</v>
      </c>
      <c r="G274" s="31" t="str">
        <f>IFERROR(__xludf.DUMMYFUNCTION("""COMPUTED_VALUE"""),"Done")</f>
        <v>Done</v>
      </c>
      <c r="H274" s="31" t="str">
        <f>IFERROR(__xludf.DUMMYFUNCTION("""COMPUTED_VALUE"""),"thomas.phillippe@zupee.in")</f>
        <v>thomas.phillippe@zupee.in</v>
      </c>
      <c r="I274" s="31" t="str">
        <f>IFERROR(__xludf.DUMMYFUNCTION("""COMPUTED_VALUE"""),"Legal")</f>
        <v>Legal</v>
      </c>
      <c r="J274" s="103">
        <f>IFERROR(__xludf.DUMMYFUNCTION("""COMPUTED_VALUE"""),45988.0)</f>
        <v>45988</v>
      </c>
      <c r="K274" s="31" t="str">
        <f>IFERROR(__xludf.DUMMYFUNCTION("""COMPUTED_VALUE"""),"Conf By ""Thomas Phillippe""")</f>
        <v>Conf By "Thomas Phillippe"</v>
      </c>
    </row>
    <row r="275">
      <c r="A275" s="31" t="str">
        <f>IFERROR(__xludf.DUMMYFUNCTION("""COMPUTED_VALUE"""),"ashish.chandra@zupee.in")</f>
        <v>ashish.chandra@zupee.in</v>
      </c>
      <c r="B275" s="31" t="str">
        <f>IFERROR(__xludf.DUMMYFUNCTION("""COMPUTED_VALUE"""),"NOT_FOUND")</f>
        <v>NOT_FOUND</v>
      </c>
      <c r="C275" s="31" t="str">
        <f>IFERROR(__xludf.DUMMYFUNCTION("""COMPUTED_VALUE"""),"User not found")</f>
        <v>User not found</v>
      </c>
      <c r="D275" s="31" t="str">
        <f>IFERROR(__xludf.DUMMYFUNCTION("""COMPUTED_VALUE"""),"Revoked")</f>
        <v>Revoked</v>
      </c>
      <c r="E275" s="31" t="str">
        <f>IFERROR(__xludf.DUMMYFUNCTION("""COMPUTED_VALUE"""),"legalbackup@zupee.in")</f>
        <v>legalbackup@zupee.in</v>
      </c>
      <c r="F275" s="31" t="str">
        <f>IFERROR(__xludf.DUMMYFUNCTION("""COMPUTED_VALUE"""),"Done")</f>
        <v>Done</v>
      </c>
      <c r="G275" s="31" t="str">
        <f>IFERROR(__xludf.DUMMYFUNCTION("""COMPUTED_VALUE"""),"Done")</f>
        <v>Done</v>
      </c>
      <c r="H275" s="31" t="str">
        <f>IFERROR(__xludf.DUMMYFUNCTION("""COMPUTED_VALUE"""),"thomas.phillippe@zupee.in")</f>
        <v>thomas.phillippe@zupee.in</v>
      </c>
      <c r="I275" s="31" t="str">
        <f>IFERROR(__xludf.DUMMYFUNCTION("""COMPUTED_VALUE"""),"Legal")</f>
        <v>Legal</v>
      </c>
      <c r="J275" s="103">
        <f>IFERROR(__xludf.DUMMYFUNCTION("""COMPUTED_VALUE"""),45988.0)</f>
        <v>45988</v>
      </c>
      <c r="K275" s="31" t="str">
        <f>IFERROR(__xludf.DUMMYFUNCTION("""COMPUTED_VALUE"""),"Conf By ""Thomas Phillippe""")</f>
        <v>Conf By "Thomas Phillippe"</v>
      </c>
    </row>
    <row r="276">
      <c r="A276" s="31" t="str">
        <f>IFERROR(__xludf.DUMMYFUNCTION("""COMPUTED_VALUE"""),"ashwani.goyal@zupee.in")</f>
        <v>ashwani.goyal@zupee.in</v>
      </c>
      <c r="B276" s="31" t="str">
        <f>IFERROR(__xludf.DUMMYFUNCTION("""COMPUTED_VALUE"""),"NOT_FOUND")</f>
        <v>NOT_FOUND</v>
      </c>
      <c r="C276" s="31" t="str">
        <f>IFERROR(__xludf.DUMMYFUNCTION("""COMPUTED_VALUE"""),"User not found")</f>
        <v>User not found</v>
      </c>
      <c r="D276" s="31" t="str">
        <f>IFERROR(__xludf.DUMMYFUNCTION("""COMPUTED_VALUE"""),"Revoked ")</f>
        <v>Revoked </v>
      </c>
      <c r="E276" s="31" t="str">
        <f>IFERROR(__xludf.DUMMYFUNCTION("""COMPUTED_VALUE"""),"legalbackup@zupee.in")</f>
        <v>legalbackup@zupee.in</v>
      </c>
      <c r="F276" s="31" t="str">
        <f>IFERROR(__xludf.DUMMYFUNCTION("""COMPUTED_VALUE"""),"Done")</f>
        <v>Done</v>
      </c>
      <c r="G276" s="31" t="str">
        <f>IFERROR(__xludf.DUMMYFUNCTION("""COMPUTED_VALUE"""),"Done")</f>
        <v>Done</v>
      </c>
      <c r="H276" s="31" t="str">
        <f>IFERROR(__xludf.DUMMYFUNCTION("""COMPUTED_VALUE"""),"thomas.phillippe@zupee.in")</f>
        <v>thomas.phillippe@zupee.in</v>
      </c>
      <c r="I276" s="31" t="str">
        <f>IFERROR(__xludf.DUMMYFUNCTION("""COMPUTED_VALUE"""),"Legal")</f>
        <v>Legal</v>
      </c>
      <c r="J276" s="103">
        <f>IFERROR(__xludf.DUMMYFUNCTION("""COMPUTED_VALUE"""),45916.0)</f>
        <v>45916</v>
      </c>
      <c r="K276" s="31"/>
    </row>
    <row r="277">
      <c r="A277" s="31" t="str">
        <f>IFERROR(__xludf.DUMMYFUNCTION("""COMPUTED_VALUE"""),"gaurav.malhotra@zupee.in")</f>
        <v>gaurav.malhotra@zupee.in</v>
      </c>
      <c r="B277" s="31" t="str">
        <f>IFERROR(__xludf.DUMMYFUNCTION("""COMPUTED_VALUE"""),"NOT_FOUND")</f>
        <v>NOT_FOUND</v>
      </c>
      <c r="C277" s="31" t="str">
        <f>IFERROR(__xludf.DUMMYFUNCTION("""COMPUTED_VALUE"""),"User not found")</f>
        <v>User not found</v>
      </c>
      <c r="D277" s="31" t="str">
        <f>IFERROR(__xludf.DUMMYFUNCTION("""COMPUTED_VALUE"""),"Revoked")</f>
        <v>Revoked</v>
      </c>
      <c r="E277" s="31" t="str">
        <f>IFERROR(__xludf.DUMMYFUNCTION("""COMPUTED_VALUE"""),"legalbackup@zupee.in")</f>
        <v>legalbackup@zupee.in</v>
      </c>
      <c r="F277" s="31" t="str">
        <f>IFERROR(__xludf.DUMMYFUNCTION("""COMPUTED_VALUE"""),"Done")</f>
        <v>Done</v>
      </c>
      <c r="G277" s="31" t="str">
        <f>IFERROR(__xludf.DUMMYFUNCTION("""COMPUTED_VALUE"""),"Done")</f>
        <v>Done</v>
      </c>
      <c r="H277" s="31" t="str">
        <f>IFERROR(__xludf.DUMMYFUNCTION("""COMPUTED_VALUE"""),"thomas.phillippe@zupee.in")</f>
        <v>thomas.phillippe@zupee.in</v>
      </c>
      <c r="I277" s="31" t="str">
        <f>IFERROR(__xludf.DUMMYFUNCTION("""COMPUTED_VALUE"""),"Legal")</f>
        <v>Legal</v>
      </c>
      <c r="J277" s="103">
        <f>IFERROR(__xludf.DUMMYFUNCTION("""COMPUTED_VALUE"""),45988.0)</f>
        <v>45988</v>
      </c>
      <c r="K277" s="31" t="str">
        <f>IFERROR(__xludf.DUMMYFUNCTION("""COMPUTED_VALUE"""),"Conf By ""Thomas Phillippe""")</f>
        <v>Conf By "Thomas Phillippe"</v>
      </c>
    </row>
    <row r="278">
      <c r="A278" s="31" t="str">
        <f>IFERROR(__xludf.DUMMYFUNCTION("""COMPUTED_VALUE"""),"nabil.syed@zupee.in")</f>
        <v>nabil.syed@zupee.in</v>
      </c>
      <c r="B278" s="31" t="str">
        <f>IFERROR(__xludf.DUMMYFUNCTION("""COMPUTED_VALUE"""),"NOT_FOUND")</f>
        <v>NOT_FOUND</v>
      </c>
      <c r="C278" s="31" t="str">
        <f>IFERROR(__xludf.DUMMYFUNCTION("""COMPUTED_VALUE"""),"User not found")</f>
        <v>User not found</v>
      </c>
      <c r="D278" s="31" t="str">
        <f>IFERROR(__xludf.DUMMYFUNCTION("""COMPUTED_VALUE"""),"Revoked ")</f>
        <v>Revoked </v>
      </c>
      <c r="E278" s="31" t="str">
        <f>IFERROR(__xludf.DUMMYFUNCTION("""COMPUTED_VALUE"""),"legalbackup@zupee.in")</f>
        <v>legalbackup@zupee.in</v>
      </c>
      <c r="F278" s="31" t="str">
        <f>IFERROR(__xludf.DUMMYFUNCTION("""COMPUTED_VALUE"""),"Done")</f>
        <v>Done</v>
      </c>
      <c r="G278" s="31" t="str">
        <f>IFERROR(__xludf.DUMMYFUNCTION("""COMPUTED_VALUE"""),"Done")</f>
        <v>Done</v>
      </c>
      <c r="H278" s="31" t="str">
        <f>IFERROR(__xludf.DUMMYFUNCTION("""COMPUTED_VALUE"""),"thomas.phillippe@zupee.in")</f>
        <v>thomas.phillippe@zupee.in</v>
      </c>
      <c r="I278" s="31" t="str">
        <f>IFERROR(__xludf.DUMMYFUNCTION("""COMPUTED_VALUE"""),"Legal")</f>
        <v>Legal</v>
      </c>
      <c r="J278" s="103">
        <f>IFERROR(__xludf.DUMMYFUNCTION("""COMPUTED_VALUE"""),45916.0)</f>
        <v>45916</v>
      </c>
      <c r="K278" s="31"/>
    </row>
    <row r="279">
      <c r="A279" s="31" t="str">
        <f>IFERROR(__xludf.DUMMYFUNCTION("""COMPUTED_VALUE"""),"raman.bedi@zupee.in")</f>
        <v>raman.bedi@zupee.in</v>
      </c>
      <c r="B279" s="31" t="str">
        <f>IFERROR(__xludf.DUMMYFUNCTION("""COMPUTED_VALUE"""),"NOT_FOUND")</f>
        <v>NOT_FOUND</v>
      </c>
      <c r="C279" s="31" t="str">
        <f>IFERROR(__xludf.DUMMYFUNCTION("""COMPUTED_VALUE"""),"User not found")</f>
        <v>User not found</v>
      </c>
      <c r="D279" s="31" t="str">
        <f>IFERROR(__xludf.DUMMYFUNCTION("""COMPUTED_VALUE"""),"Revoked ")</f>
        <v>Revoked </v>
      </c>
      <c r="E279" s="31" t="str">
        <f>IFERROR(__xludf.DUMMYFUNCTION("""COMPUTED_VALUE"""),"legalbackup@zupee.in")</f>
        <v>legalbackup@zupee.in</v>
      </c>
      <c r="F279" s="31" t="str">
        <f>IFERROR(__xludf.DUMMYFUNCTION("""COMPUTED_VALUE"""),"Done")</f>
        <v>Done</v>
      </c>
      <c r="G279" s="31" t="str">
        <f>IFERROR(__xludf.DUMMYFUNCTION("""COMPUTED_VALUE"""),"Done")</f>
        <v>Done</v>
      </c>
      <c r="H279" s="31" t="str">
        <f>IFERROR(__xludf.DUMMYFUNCTION("""COMPUTED_VALUE"""),"thomas.phillippe@zupee.in")</f>
        <v>thomas.phillippe@zupee.in</v>
      </c>
      <c r="I279" s="31" t="str">
        <f>IFERROR(__xludf.DUMMYFUNCTION("""COMPUTED_VALUE"""),"Legal")</f>
        <v>Legal</v>
      </c>
      <c r="J279" s="103">
        <f>IFERROR(__xludf.DUMMYFUNCTION("""COMPUTED_VALUE"""),45916.0)</f>
        <v>45916</v>
      </c>
      <c r="K279" s="31"/>
    </row>
    <row r="280">
      <c r="A280" s="31" t="str">
        <f>IFERROR(__xludf.DUMMYFUNCTION("""COMPUTED_VALUE"""),"rohan.kochhar@zupee.in")</f>
        <v>rohan.kochhar@zupee.in</v>
      </c>
      <c r="B280" s="31" t="str">
        <f>IFERROR(__xludf.DUMMYFUNCTION("""COMPUTED_VALUE"""),"NOT_FOUND")</f>
        <v>NOT_FOUND</v>
      </c>
      <c r="C280" s="31" t="str">
        <f>IFERROR(__xludf.DUMMYFUNCTION("""COMPUTED_VALUE"""),"User not found")</f>
        <v>User not found</v>
      </c>
      <c r="D280" s="31" t="str">
        <f>IFERROR(__xludf.DUMMYFUNCTION("""COMPUTED_VALUE"""),"Revoked ")</f>
        <v>Revoked </v>
      </c>
      <c r="E280" s="31" t="str">
        <f>IFERROR(__xludf.DUMMYFUNCTION("""COMPUTED_VALUE"""),"legalbackup@zupee.in")</f>
        <v>legalbackup@zupee.in</v>
      </c>
      <c r="F280" s="31" t="str">
        <f>IFERROR(__xludf.DUMMYFUNCTION("""COMPUTED_VALUE"""),"Done")</f>
        <v>Done</v>
      </c>
      <c r="G280" s="31" t="str">
        <f>IFERROR(__xludf.DUMMYFUNCTION("""COMPUTED_VALUE"""),"Done")</f>
        <v>Done</v>
      </c>
      <c r="H280" s="31" t="str">
        <f>IFERROR(__xludf.DUMMYFUNCTION("""COMPUTED_VALUE"""),"thomas.phillippe@zupee.in")</f>
        <v>thomas.phillippe@zupee.in</v>
      </c>
      <c r="I280" s="31" t="str">
        <f>IFERROR(__xludf.DUMMYFUNCTION("""COMPUTED_VALUE"""),"Legal")</f>
        <v>Legal</v>
      </c>
      <c r="J280" s="103">
        <f>IFERROR(__xludf.DUMMYFUNCTION("""COMPUTED_VALUE"""),45916.0)</f>
        <v>45916</v>
      </c>
      <c r="K280" s="31"/>
    </row>
    <row r="281">
      <c r="A281" s="31" t="str">
        <f>IFERROR(__xludf.DUMMYFUNCTION("""COMPUTED_VALUE"""),"shashwati.ghosh@zupee.in")</f>
        <v>shashwati.ghosh@zupee.in</v>
      </c>
      <c r="B281" s="31" t="str">
        <f>IFERROR(__xludf.DUMMYFUNCTION("""COMPUTED_VALUE"""),"NOT_FOUND")</f>
        <v>NOT_FOUND</v>
      </c>
      <c r="C281" s="31" t="str">
        <f>IFERROR(__xludf.DUMMYFUNCTION("""COMPUTED_VALUE"""),"User not found")</f>
        <v>User not found</v>
      </c>
      <c r="D281" s="31" t="str">
        <f>IFERROR(__xludf.DUMMYFUNCTION("""COMPUTED_VALUE"""),"Revoked ")</f>
        <v>Revoked </v>
      </c>
      <c r="E281" s="31" t="str">
        <f>IFERROR(__xludf.DUMMYFUNCTION("""COMPUTED_VALUE"""),"legalbackup@zupee.in")</f>
        <v>legalbackup@zupee.in</v>
      </c>
      <c r="F281" s="31" t="str">
        <f>IFERROR(__xludf.DUMMYFUNCTION("""COMPUTED_VALUE"""),"Done")</f>
        <v>Done</v>
      </c>
      <c r="G281" s="31" t="str">
        <f>IFERROR(__xludf.DUMMYFUNCTION("""COMPUTED_VALUE"""),"Done")</f>
        <v>Done</v>
      </c>
      <c r="H281" s="31" t="str">
        <f>IFERROR(__xludf.DUMMYFUNCTION("""COMPUTED_VALUE"""),"thomas.phillippe@zupee.in")</f>
        <v>thomas.phillippe@zupee.in</v>
      </c>
      <c r="I281" s="31" t="str">
        <f>IFERROR(__xludf.DUMMYFUNCTION("""COMPUTED_VALUE"""),"Legal")</f>
        <v>Legal</v>
      </c>
      <c r="J281" s="103">
        <f>IFERROR(__xludf.DUMMYFUNCTION("""COMPUTED_VALUE"""),45916.0)</f>
        <v>45916</v>
      </c>
      <c r="K281" s="31"/>
    </row>
    <row r="282">
      <c r="A282" s="31" t="str">
        <f>IFERROR(__xludf.DUMMYFUNCTION("""COMPUTED_VALUE"""),"somanshu.suran@zupee.in")</f>
        <v>somanshu.suran@zupee.in</v>
      </c>
      <c r="B282" s="31" t="str">
        <f>IFERROR(__xludf.DUMMYFUNCTION("""COMPUTED_VALUE"""),"NOT_FOUND")</f>
        <v>NOT_FOUND</v>
      </c>
      <c r="C282" s="31" t="str">
        <f>IFERROR(__xludf.DUMMYFUNCTION("""COMPUTED_VALUE"""),"User not found")</f>
        <v>User not found</v>
      </c>
      <c r="D282" s="31" t="str">
        <f>IFERROR(__xludf.DUMMYFUNCTION("""COMPUTED_VALUE"""),"Revoked ")</f>
        <v>Revoked </v>
      </c>
      <c r="E282" s="31" t="str">
        <f>IFERROR(__xludf.DUMMYFUNCTION("""COMPUTED_VALUE"""),"legalbackup@zupee.in")</f>
        <v>legalbackup@zupee.in</v>
      </c>
      <c r="F282" s="31" t="str">
        <f>IFERROR(__xludf.DUMMYFUNCTION("""COMPUTED_VALUE"""),"Done")</f>
        <v>Done</v>
      </c>
      <c r="G282" s="31" t="str">
        <f>IFERROR(__xludf.DUMMYFUNCTION("""COMPUTED_VALUE"""),"Done")</f>
        <v>Done</v>
      </c>
      <c r="H282" s="31" t="str">
        <f>IFERROR(__xludf.DUMMYFUNCTION("""COMPUTED_VALUE"""),"thomas.phillippe@zupee.in")</f>
        <v>thomas.phillippe@zupee.in</v>
      </c>
      <c r="I282" s="31" t="str">
        <f>IFERROR(__xludf.DUMMYFUNCTION("""COMPUTED_VALUE"""),"Legal")</f>
        <v>Legal</v>
      </c>
      <c r="J282" s="103">
        <f>IFERROR(__xludf.DUMMYFUNCTION("""COMPUTED_VALUE"""),45916.0)</f>
        <v>45916</v>
      </c>
      <c r="K282" s="31"/>
    </row>
    <row r="283">
      <c r="A283" s="31" t="str">
        <f>IFERROR(__xludf.DUMMYFUNCTION("""COMPUTED_VALUE"""),"vartin.jain@zupee.in")</f>
        <v>vartin.jain@zupee.in</v>
      </c>
      <c r="B283" s="31" t="str">
        <f>IFERROR(__xludf.DUMMYFUNCTION("""COMPUTED_VALUE"""),"NOT_FOUND")</f>
        <v>NOT_FOUND</v>
      </c>
      <c r="C283" s="31" t="str">
        <f>IFERROR(__xludf.DUMMYFUNCTION("""COMPUTED_VALUE"""),"User not found")</f>
        <v>User not found</v>
      </c>
      <c r="D283" s="31" t="str">
        <f>IFERROR(__xludf.DUMMYFUNCTION("""COMPUTED_VALUE"""),"Revoked ")</f>
        <v>Revoked </v>
      </c>
      <c r="E283" s="31" t="str">
        <f>IFERROR(__xludf.DUMMYFUNCTION("""COMPUTED_VALUE"""),"legalbackup@zupee.in")</f>
        <v>legalbackup@zupee.in</v>
      </c>
      <c r="F283" s="31" t="str">
        <f>IFERROR(__xludf.DUMMYFUNCTION("""COMPUTED_VALUE"""),"Done")</f>
        <v>Done</v>
      </c>
      <c r="G283" s="31" t="str">
        <f>IFERROR(__xludf.DUMMYFUNCTION("""COMPUTED_VALUE"""),"Done")</f>
        <v>Done</v>
      </c>
      <c r="H283" s="31" t="str">
        <f>IFERROR(__xludf.DUMMYFUNCTION("""COMPUTED_VALUE"""),"thomas.phillippe@zupee.in")</f>
        <v>thomas.phillippe@zupee.in</v>
      </c>
      <c r="I283" s="31" t="str">
        <f>IFERROR(__xludf.DUMMYFUNCTION("""COMPUTED_VALUE"""),"Legal")</f>
        <v>Legal</v>
      </c>
      <c r="J283" s="103">
        <f>IFERROR(__xludf.DUMMYFUNCTION("""COMPUTED_VALUE"""),45916.0)</f>
        <v>45916</v>
      </c>
      <c r="K283" s="31"/>
    </row>
    <row r="284">
      <c r="A284" s="31" t="str">
        <f>IFERROR(__xludf.DUMMYFUNCTION("""COMPUTED_VALUE"""),"vikas.kumar@zupee.in")</f>
        <v>vikas.kumar@zupee.in</v>
      </c>
      <c r="B284" s="31" t="str">
        <f>IFERROR(__xludf.DUMMYFUNCTION("""COMPUTED_VALUE"""),"NOT_FOUND")</f>
        <v>NOT_FOUND</v>
      </c>
      <c r="C284" s="31" t="str">
        <f>IFERROR(__xludf.DUMMYFUNCTION("""COMPUTED_VALUE"""),"User not found")</f>
        <v>User not found</v>
      </c>
      <c r="D284" s="31" t="str">
        <f>IFERROR(__xludf.DUMMYFUNCTION("""COMPUTED_VALUE"""),"Revoked ")</f>
        <v>Revoked </v>
      </c>
      <c r="E284" s="31" t="str">
        <f>IFERROR(__xludf.DUMMYFUNCTION("""COMPUTED_VALUE"""),"legalbackup@zupee.in")</f>
        <v>legalbackup@zupee.in</v>
      </c>
      <c r="F284" s="31" t="str">
        <f>IFERROR(__xludf.DUMMYFUNCTION("""COMPUTED_VALUE"""),"Done")</f>
        <v>Done</v>
      </c>
      <c r="G284" s="31" t="str">
        <f>IFERROR(__xludf.DUMMYFUNCTION("""COMPUTED_VALUE"""),"Done")</f>
        <v>Done</v>
      </c>
      <c r="H284" s="31" t="str">
        <f>IFERROR(__xludf.DUMMYFUNCTION("""COMPUTED_VALUE"""),"thomas.phillippe@zupee.in")</f>
        <v>thomas.phillippe@zupee.in</v>
      </c>
      <c r="I284" s="31" t="str">
        <f>IFERROR(__xludf.DUMMYFUNCTION("""COMPUTED_VALUE"""),"Legal")</f>
        <v>Legal</v>
      </c>
      <c r="J284" s="103">
        <f>IFERROR(__xludf.DUMMYFUNCTION("""COMPUTED_VALUE"""),45916.0)</f>
        <v>45916</v>
      </c>
      <c r="K284" s="31"/>
    </row>
    <row r="285">
      <c r="A285" s="31" t="str">
        <f>IFERROR(__xludf.DUMMYFUNCTION("""COMPUTED_VALUE"""),"ashwani.rana@zupee.in")</f>
        <v>ashwani.rana@zupee.in</v>
      </c>
      <c r="B285" s="31" t="str">
        <f>IFERROR(__xludf.DUMMYFUNCTION("""COMPUTED_VALUE"""),"NOT_FOUND")</f>
        <v>NOT_FOUND</v>
      </c>
      <c r="C285" s="31" t="str">
        <f>IFERROR(__xludf.DUMMYFUNCTION("""COMPUTED_VALUE"""),"User not found")</f>
        <v>User not found</v>
      </c>
      <c r="D285" s="31" t="str">
        <f>IFERROR(__xludf.DUMMYFUNCTION("""COMPUTED_VALUE"""),"Revoked ")</f>
        <v>Revoked </v>
      </c>
      <c r="E285" s="31" t="str">
        <f>IFERROR(__xludf.DUMMYFUNCTION("""COMPUTED_VALUE"""),"legalbackup@zupee.in")</f>
        <v>legalbackup@zupee.in</v>
      </c>
      <c r="F285" s="31" t="str">
        <f>IFERROR(__xludf.DUMMYFUNCTION("""COMPUTED_VALUE"""),"Done")</f>
        <v>Done</v>
      </c>
      <c r="G285" s="31" t="str">
        <f>IFERROR(__xludf.DUMMYFUNCTION("""COMPUTED_VALUE"""),"Done")</f>
        <v>Done</v>
      </c>
      <c r="H285" s="31" t="str">
        <f>IFERROR(__xludf.DUMMYFUNCTION("""COMPUTED_VALUE"""),"thomas.phillippe@zupee.in")</f>
        <v>thomas.phillippe@zupee.in</v>
      </c>
      <c r="I285" s="31" t="str">
        <f>IFERROR(__xludf.DUMMYFUNCTION("""COMPUTED_VALUE"""),"Public policy")</f>
        <v>Public policy</v>
      </c>
      <c r="J285" s="103">
        <f>IFERROR(__xludf.DUMMYFUNCTION("""COMPUTED_VALUE"""),45916.0)</f>
        <v>45916</v>
      </c>
      <c r="K285" s="31"/>
    </row>
    <row r="286">
      <c r="A286" s="31" t="str">
        <f>IFERROR(__xludf.DUMMYFUNCTION("""COMPUTED_VALUE"""),"avijit.sharma@zupee.in")</f>
        <v>avijit.sharma@zupee.in</v>
      </c>
      <c r="B286" s="31" t="str">
        <f>IFERROR(__xludf.DUMMYFUNCTION("""COMPUTED_VALUE"""),"NON-ARCHIVED")</f>
        <v>NON-ARCHIVED</v>
      </c>
      <c r="C286" s="31" t="str">
        <f>IFERROR(__xludf.DUMMYFUNCTION("""COMPUTED_VALUE"""),"User is ACTIVE (SUSPENDED)")</f>
        <v>User is ACTIVE (SUSPENDED)</v>
      </c>
      <c r="D286" s="31" t="str">
        <f>IFERROR(__xludf.DUMMYFUNCTION("""COMPUTED_VALUE"""),"Hold")</f>
        <v>Hold</v>
      </c>
      <c r="E286" s="31" t="str">
        <f>IFERROR(__xludf.DUMMYFUNCTION("""COMPUTED_VALUE"""),"Hold")</f>
        <v>Hold</v>
      </c>
      <c r="F286" s="31" t="str">
        <f>IFERROR(__xludf.DUMMYFUNCTION("""COMPUTED_VALUE"""),"Hold")</f>
        <v>Hold</v>
      </c>
      <c r="G286" s="31" t="str">
        <f>IFERROR(__xludf.DUMMYFUNCTION("""COMPUTED_VALUE"""),"Hold")</f>
        <v>Hold</v>
      </c>
      <c r="H286" s="31" t="str">
        <f>IFERROR(__xludf.DUMMYFUNCTION("""COMPUTED_VALUE"""),"thomas.phillippe@zupee.in")</f>
        <v>thomas.phillippe@zupee.in</v>
      </c>
      <c r="I286" s="31" t="str">
        <f>IFERROR(__xludf.DUMMYFUNCTION("""COMPUTED_VALUE"""),"Legal")</f>
        <v>Legal</v>
      </c>
      <c r="J286" s="31"/>
      <c r="K286" s="31"/>
    </row>
    <row r="287">
      <c r="A287" s="31" t="str">
        <f>IFERROR(__xludf.DUMMYFUNCTION("""COMPUTED_VALUE"""),"daksh.tyagi@zupee.in")</f>
        <v>daksh.tyagi@zupee.in</v>
      </c>
      <c r="B287" s="31" t="str">
        <f>IFERROR(__xludf.DUMMYFUNCTION("""COMPUTED_VALUE"""),"NON-ARCHIVED")</f>
        <v>NON-ARCHIVED</v>
      </c>
      <c r="C287" s="31" t="str">
        <f>IFERROR(__xludf.DUMMYFUNCTION("""COMPUTED_VALUE"""),"User is ACTIVE (SUSPENDED)")</f>
        <v>User is ACTIVE (SUSPENDED)</v>
      </c>
      <c r="D287" s="31" t="str">
        <f>IFERROR(__xludf.DUMMYFUNCTION("""COMPUTED_VALUE"""),"Hold")</f>
        <v>Hold</v>
      </c>
      <c r="E287" s="31" t="str">
        <f>IFERROR(__xludf.DUMMYFUNCTION("""COMPUTED_VALUE"""),"Hold")</f>
        <v>Hold</v>
      </c>
      <c r="F287" s="31" t="str">
        <f>IFERROR(__xludf.DUMMYFUNCTION("""COMPUTED_VALUE"""),"Hold")</f>
        <v>Hold</v>
      </c>
      <c r="G287" s="31" t="str">
        <f>IFERROR(__xludf.DUMMYFUNCTION("""COMPUTED_VALUE"""),"Hold")</f>
        <v>Hold</v>
      </c>
      <c r="H287" s="31" t="str">
        <f>IFERROR(__xludf.DUMMYFUNCTION("""COMPUTED_VALUE"""),"thomas.phillippe@zupee.in")</f>
        <v>thomas.phillippe@zupee.in</v>
      </c>
      <c r="I287" s="31" t="str">
        <f>IFERROR(__xludf.DUMMYFUNCTION("""COMPUTED_VALUE"""),"Legal")</f>
        <v>Legal</v>
      </c>
      <c r="J287" s="31"/>
      <c r="K287" s="31"/>
    </row>
    <row r="288">
      <c r="A288" s="31" t="str">
        <f>IFERROR(__xludf.DUMMYFUNCTION("""COMPUTED_VALUE"""),"anupam.kishore@zupee.in")</f>
        <v>anupam.kishore@zupee.in</v>
      </c>
      <c r="B288" s="31" t="str">
        <f>IFERROR(__xludf.DUMMYFUNCTION("""COMPUTED_VALUE"""),"NOT_FOUND")</f>
        <v>NOT_FOUND</v>
      </c>
      <c r="C288" s="31" t="str">
        <f>IFERROR(__xludf.DUMMYFUNCTION("""COMPUTED_VALUE"""),"User not found")</f>
        <v>User not found</v>
      </c>
      <c r="D288" s="31" t="str">
        <f>IFERROR(__xludf.DUMMYFUNCTION("""COMPUTED_VALUE"""),"Revoked ")</f>
        <v>Revoked </v>
      </c>
      <c r="E288" s="31" t="str">
        <f>IFERROR(__xludf.DUMMYFUNCTION("""COMPUTED_VALUE"""),"No-Need")</f>
        <v>No-Need</v>
      </c>
      <c r="F288" s="31" t="str">
        <f>IFERROR(__xludf.DUMMYFUNCTION("""COMPUTED_VALUE"""),"No-Need")</f>
        <v>No-Need</v>
      </c>
      <c r="G288" s="31" t="str">
        <f>IFERROR(__xludf.DUMMYFUNCTION("""COMPUTED_VALUE"""),"No-Need")</f>
        <v>No-Need</v>
      </c>
      <c r="H288" s="31" t="str">
        <f>IFERROR(__xludf.DUMMYFUNCTION("""COMPUTED_VALUE"""),"govind.mittal@zupee.in")</f>
        <v>govind.mittal@zupee.in</v>
      </c>
      <c r="I288" s="31" t="str">
        <f>IFERROR(__xludf.DUMMYFUNCTION("""COMPUTED_VALUE"""),"-")</f>
        <v>-</v>
      </c>
      <c r="J288" s="31"/>
      <c r="K288" s="31"/>
    </row>
    <row r="289">
      <c r="A289" s="31" t="str">
        <f>IFERROR(__xludf.DUMMYFUNCTION("""COMPUTED_VALUE"""),"sahil.aggarwal@zupee.in")</f>
        <v>sahil.aggarwal@zupee.in</v>
      </c>
      <c r="B289" s="31" t="str">
        <f>IFERROR(__xludf.DUMMYFUNCTION("""COMPUTED_VALUE"""),"NOT_FOUND")</f>
        <v>NOT_FOUND</v>
      </c>
      <c r="C289" s="31" t="str">
        <f>IFERROR(__xludf.DUMMYFUNCTION("""COMPUTED_VALUE"""),"User not found")</f>
        <v>User not found</v>
      </c>
      <c r="D289" s="31" t="str">
        <f>IFERROR(__xludf.DUMMYFUNCTION("""COMPUTED_VALUE"""),"Revoked ")</f>
        <v>Revoked </v>
      </c>
      <c r="E289" s="31" t="str">
        <f>IFERROR(__xludf.DUMMYFUNCTION("""COMPUTED_VALUE"""),"No-Need")</f>
        <v>No-Need</v>
      </c>
      <c r="F289" s="31" t="str">
        <f>IFERROR(__xludf.DUMMYFUNCTION("""COMPUTED_VALUE"""),"No-Need")</f>
        <v>No-Need</v>
      </c>
      <c r="G289" s="31" t="str">
        <f>IFERROR(__xludf.DUMMYFUNCTION("""COMPUTED_VALUE"""),"No-Need")</f>
        <v>No-Need</v>
      </c>
      <c r="H289" s="31" t="str">
        <f>IFERROR(__xludf.DUMMYFUNCTION("""COMPUTED_VALUE"""),"N/A")</f>
        <v>N/A</v>
      </c>
      <c r="I289" s="31" t="str">
        <f>IFERROR(__xludf.DUMMYFUNCTION("""COMPUTED_VALUE"""),"Founder's Office")</f>
        <v>Founder's Office</v>
      </c>
      <c r="J289" s="103">
        <f>IFERROR(__xludf.DUMMYFUNCTION("""COMPUTED_VALUE"""),45988.0)</f>
        <v>45988</v>
      </c>
      <c r="K289" s="31" t="str">
        <f>IFERROR(__xludf.DUMMYFUNCTION("""COMPUTED_VALUE"""),"Conf By ""Pratyaksh Rawat""")</f>
        <v>Conf By "Pratyaksh Rawat"</v>
      </c>
    </row>
    <row r="290">
      <c r="A290" s="31" t="str">
        <f>IFERROR(__xludf.DUMMYFUNCTION("""COMPUTED_VALUE"""),"nishant.tripathi@zupee.in")</f>
        <v>nishant.tripathi@zupee.in</v>
      </c>
      <c r="B290" s="31" t="str">
        <f>IFERROR(__xludf.DUMMYFUNCTION("""COMPUTED_VALUE"""),"NON-ARCHIVED")</f>
        <v>NON-ARCHIVED</v>
      </c>
      <c r="C290" s="31" t="str">
        <f>IFERROR(__xludf.DUMMYFUNCTION("""COMPUTED_VALUE"""),"User is ACTIVE (SUSPENDED)")</f>
        <v>User is ACTIVE (SUSPENDED)</v>
      </c>
      <c r="D290" s="31" t="str">
        <f>IFERROR(__xludf.DUMMYFUNCTION("""COMPUTED_VALUE"""),"Hold")</f>
        <v>Hold</v>
      </c>
      <c r="E290" s="31" t="str">
        <f>IFERROR(__xludf.DUMMYFUNCTION("""COMPUTED_VALUE"""),"Hold")</f>
        <v>Hold</v>
      </c>
      <c r="F290" s="31" t="str">
        <f>IFERROR(__xludf.DUMMYFUNCTION("""COMPUTED_VALUE"""),"Hold")</f>
        <v>Hold</v>
      </c>
      <c r="G290" s="31" t="str">
        <f>IFERROR(__xludf.DUMMYFUNCTION("""COMPUTED_VALUE"""),"Hold")</f>
        <v>Hold</v>
      </c>
      <c r="H290" s="31" t="str">
        <f>IFERROR(__xludf.DUMMYFUNCTION("""COMPUTED_VALUE"""),"govind.mittal@zupee.in")</f>
        <v>govind.mittal@zupee.in</v>
      </c>
      <c r="I290" s="31" t="str">
        <f>IFERROR(__xludf.DUMMYFUNCTION("""COMPUTED_VALUE"""),"Org")</f>
        <v>Org</v>
      </c>
      <c r="J290" s="31"/>
      <c r="K290" s="31"/>
    </row>
    <row r="291">
      <c r="A291" s="31" t="str">
        <f>IFERROR(__xludf.DUMMYFUNCTION("""COMPUTED_VALUE"""),"manav.jain@zupee.in")</f>
        <v>manav.jain@zupee.in</v>
      </c>
      <c r="B291" s="31" t="str">
        <f>IFERROR(__xludf.DUMMYFUNCTION("""COMPUTED_VALUE"""),"NON-ARCHIVED")</f>
        <v>NON-ARCHIVED</v>
      </c>
      <c r="C291" s="31" t="str">
        <f>IFERROR(__xludf.DUMMYFUNCTION("""COMPUTED_VALUE"""),"User is ACTIVE (SUSPENDED)")</f>
        <v>User is ACTIVE (SUSPENDED)</v>
      </c>
      <c r="D291" s="31" t="str">
        <f>IFERROR(__xludf.DUMMYFUNCTION("""COMPUTED_VALUE"""),"Hold")</f>
        <v>Hold</v>
      </c>
      <c r="E291" s="31" t="str">
        <f>IFERROR(__xludf.DUMMYFUNCTION("""COMPUTED_VALUE"""),"Hold")</f>
        <v>Hold</v>
      </c>
      <c r="F291" s="31" t="str">
        <f>IFERROR(__xludf.DUMMYFUNCTION("""COMPUTED_VALUE"""),"Hold")</f>
        <v>Hold</v>
      </c>
      <c r="G291" s="31" t="str">
        <f>IFERROR(__xludf.DUMMYFUNCTION("""COMPUTED_VALUE"""),"Hold")</f>
        <v>Hold</v>
      </c>
      <c r="H291" s="31" t="str">
        <f>IFERROR(__xludf.DUMMYFUNCTION("""COMPUTED_VALUE"""),"govind.mittal@zupee.in")</f>
        <v>govind.mittal@zupee.in</v>
      </c>
      <c r="I291" s="31" t="str">
        <f>IFERROR(__xludf.DUMMYFUNCTION("""COMPUTED_VALUE"""),"Org")</f>
        <v>Org</v>
      </c>
      <c r="J291" s="31"/>
      <c r="K291" s="31"/>
    </row>
    <row r="292">
      <c r="A292" s="31" t="str">
        <f>IFERROR(__xludf.DUMMYFUNCTION("""COMPUTED_VALUE"""),"prathamesh.kurambhatti@zupee.in")</f>
        <v>prathamesh.kurambhatti@zupee.in</v>
      </c>
      <c r="B292" s="31" t="str">
        <f>IFERROR(__xludf.DUMMYFUNCTION("""COMPUTED_VALUE"""),"NON-ARCHIVED")</f>
        <v>NON-ARCHIVED</v>
      </c>
      <c r="C292" s="31" t="str">
        <f>IFERROR(__xludf.DUMMYFUNCTION("""COMPUTED_VALUE"""),"User is ACTIVE (SUSPENDED)")</f>
        <v>User is ACTIVE (SUSPENDED)</v>
      </c>
      <c r="D292" s="31" t="str">
        <f>IFERROR(__xludf.DUMMYFUNCTION("""COMPUTED_VALUE"""),"Hold")</f>
        <v>Hold</v>
      </c>
      <c r="E292" s="31" t="str">
        <f>IFERROR(__xludf.DUMMYFUNCTION("""COMPUTED_VALUE"""),"Hold")</f>
        <v>Hold</v>
      </c>
      <c r="F292" s="31" t="str">
        <f>IFERROR(__xludf.DUMMYFUNCTION("""COMPUTED_VALUE"""),"Hold")</f>
        <v>Hold</v>
      </c>
      <c r="G292" s="31" t="str">
        <f>IFERROR(__xludf.DUMMYFUNCTION("""COMPUTED_VALUE"""),"Hold")</f>
        <v>Hold</v>
      </c>
      <c r="H292" s="31" t="str">
        <f>IFERROR(__xludf.DUMMYFUNCTION("""COMPUTED_VALUE"""),"govind.mittal@zupee.in")</f>
        <v>govind.mittal@zupee.in</v>
      </c>
      <c r="I292" s="31" t="str">
        <f>IFERROR(__xludf.DUMMYFUNCTION("""COMPUTED_VALUE"""),"Org")</f>
        <v>Org</v>
      </c>
      <c r="J292" s="31"/>
      <c r="K292" s="31"/>
    </row>
    <row r="293">
      <c r="A293" s="31" t="str">
        <f>IFERROR(__xludf.DUMMYFUNCTION("""COMPUTED_VALUE"""),"raghavv.garg@zupee.in")</f>
        <v>raghavv.garg@zupee.in</v>
      </c>
      <c r="B293" s="31" t="str">
        <f>IFERROR(__xludf.DUMMYFUNCTION("""COMPUTED_VALUE"""),"NOT_FOUND")</f>
        <v>NOT_FOUND</v>
      </c>
      <c r="C293" s="31" t="str">
        <f>IFERROR(__xludf.DUMMYFUNCTION("""COMPUTED_VALUE"""),"User not found")</f>
        <v>User not found</v>
      </c>
      <c r="D293" s="31" t="str">
        <f>IFERROR(__xludf.DUMMYFUNCTION("""COMPUTED_VALUE"""),"Revoked ")</f>
        <v>Revoked </v>
      </c>
      <c r="E293" s="31" t="str">
        <f>IFERROR(__xludf.DUMMYFUNCTION("""COMPUTED_VALUE"""),"No-Need")</f>
        <v>No-Need</v>
      </c>
      <c r="F293" s="31" t="str">
        <f>IFERROR(__xludf.DUMMYFUNCTION("""COMPUTED_VALUE"""),"No-Need")</f>
        <v>No-Need</v>
      </c>
      <c r="G293" s="31" t="str">
        <f>IFERROR(__xludf.DUMMYFUNCTION("""COMPUTED_VALUE"""),"No-Need")</f>
        <v>No-Need</v>
      </c>
      <c r="H293" s="31" t="str">
        <f>IFERROR(__xludf.DUMMYFUNCTION("""COMPUTED_VALUE"""),"govind.mittal@zupee.in")</f>
        <v>govind.mittal@zupee.in</v>
      </c>
      <c r="I293" s="31" t="str">
        <f>IFERROR(__xludf.DUMMYFUNCTION("""COMPUTED_VALUE"""),"Org")</f>
        <v>Org</v>
      </c>
      <c r="J293" s="31"/>
      <c r="K293" s="31"/>
    </row>
    <row r="294">
      <c r="A294" s="31" t="str">
        <f>IFERROR(__xludf.DUMMYFUNCTION("""COMPUTED_VALUE"""),"nischay.sabherwal@zupee.in")</f>
        <v>nischay.sabherwal@zupee.in</v>
      </c>
      <c r="B294" s="31" t="str">
        <f>IFERROR(__xludf.DUMMYFUNCTION("""COMPUTED_VALUE"""),"NOT_FOUND")</f>
        <v>NOT_FOUND</v>
      </c>
      <c r="C294" s="31" t="str">
        <f>IFERROR(__xludf.DUMMYFUNCTION("""COMPUTED_VALUE"""),"User not found")</f>
        <v>User not found</v>
      </c>
      <c r="D294" s="31" t="str">
        <f>IFERROR(__xludf.DUMMYFUNCTION("""COMPUTED_VALUE"""),"Ongoing")</f>
        <v>Ongoing</v>
      </c>
      <c r="E294" s="31" t="str">
        <f>IFERROR(__xludf.DUMMYFUNCTION("""COMPUTED_VALUE"""),"govind.mittal@zupee.in")</f>
        <v>govind.mittal@zupee.in</v>
      </c>
      <c r="F294" s="31" t="str">
        <f>IFERROR(__xludf.DUMMYFUNCTION("""COMPUTED_VALUE"""),"Done")</f>
        <v>Done</v>
      </c>
      <c r="G294" s="31" t="str">
        <f>IFERROR(__xludf.DUMMYFUNCTION("""COMPUTED_VALUE"""),"No-Need")</f>
        <v>No-Need</v>
      </c>
      <c r="H294" s="31" t="str">
        <f>IFERROR(__xludf.DUMMYFUNCTION("""COMPUTED_VALUE"""),"govind.mittal@zupee.in")</f>
        <v>govind.mittal@zupee.in</v>
      </c>
      <c r="I294" s="31" t="str">
        <f>IFERROR(__xludf.DUMMYFUNCTION("""COMPUTED_VALUE"""),"Org")</f>
        <v>Org</v>
      </c>
      <c r="J294" s="31"/>
      <c r="K294" s="31"/>
    </row>
    <row r="295">
      <c r="A295" s="31" t="str">
        <f>IFERROR(__xludf.DUMMYFUNCTION("""COMPUTED_VALUE"""),"purodha.singh@zupee.in")</f>
        <v>purodha.singh@zupee.in</v>
      </c>
      <c r="B295" s="31" t="str">
        <f>IFERROR(__xludf.DUMMYFUNCTION("""COMPUTED_VALUE"""),"ACTIVE")</f>
        <v>ACTIVE</v>
      </c>
      <c r="C295" s="31" t="str">
        <f>IFERROR(__xludf.DUMMYFUNCTION("""COMPUTED_VALUE"""),"User is ACTIVE")</f>
        <v>User is ACTIVE</v>
      </c>
      <c r="D295" s="31" t="str">
        <f>IFERROR(__xludf.DUMMYFUNCTION("""COMPUTED_VALUE"""),"Revoked")</f>
        <v>Revoked</v>
      </c>
      <c r="E295" s="31" t="str">
        <f>IFERROR(__xludf.DUMMYFUNCTION("""COMPUTED_VALUE"""),"shashank.gupta@zupee.in")</f>
        <v>shashank.gupta@zupee.in</v>
      </c>
      <c r="F295" s="31" t="str">
        <f>IFERROR(__xludf.DUMMYFUNCTION("""COMPUTED_VALUE"""),"Done")</f>
        <v>Done</v>
      </c>
      <c r="G295" s="31" t="str">
        <f>IFERROR(__xludf.DUMMYFUNCTION("""COMPUTED_VALUE"""),"Done")</f>
        <v>Done</v>
      </c>
      <c r="H295" s="31"/>
      <c r="I295" s="31" t="str">
        <f>IFERROR(__xludf.DUMMYFUNCTION("""COMPUTED_VALUE"""),"Finance")</f>
        <v>Finance</v>
      </c>
      <c r="J295" s="103">
        <f>IFERROR(__xludf.DUMMYFUNCTION("""COMPUTED_VALUE"""),45960.0)</f>
        <v>45960</v>
      </c>
      <c r="K295" s="104" t="str">
        <f>IFERROR(__xludf.DUMMYFUNCTION("""COMPUTED_VALUE"""),"Conf By Ankit Maheshwari")</f>
        <v>Conf By Ankit Maheshwari</v>
      </c>
    </row>
    <row r="296">
      <c r="A296" s="31" t="str">
        <f>IFERROR(__xludf.DUMMYFUNCTION("""COMPUTED_VALUE"""),"rahul.suman@zupee.in")</f>
        <v>rahul.suman@zupee.in</v>
      </c>
      <c r="B296" s="31" t="str">
        <f>IFERROR(__xludf.DUMMYFUNCTION("""COMPUTED_VALUE"""),"NOT_FOUND")</f>
        <v>NOT_FOUND</v>
      </c>
      <c r="C296" s="31" t="str">
        <f>IFERROR(__xludf.DUMMYFUNCTION("""COMPUTED_VALUE"""),"User not found")</f>
        <v>User not found</v>
      </c>
      <c r="D296" s="31" t="str">
        <f>IFERROR(__xludf.DUMMYFUNCTION("""COMPUTED_VALUE"""),"Revoked ")</f>
        <v>Revoked </v>
      </c>
      <c r="E296" s="31" t="str">
        <f>IFERROR(__xludf.DUMMYFUNCTION("""COMPUTED_VALUE"""),"rajkumar.singh@zupee.in")</f>
        <v>rajkumar.singh@zupee.in</v>
      </c>
      <c r="F296" s="31" t="str">
        <f>IFERROR(__xludf.DUMMYFUNCTION("""COMPUTED_VALUE"""),"Done")</f>
        <v>Done</v>
      </c>
      <c r="G296" s="31" t="str">
        <f>IFERROR(__xludf.DUMMYFUNCTION("""COMPUTED_VALUE"""),"No-Need")</f>
        <v>No-Need</v>
      </c>
      <c r="H296" s="31" t="str">
        <f>IFERROR(__xludf.DUMMYFUNCTION("""COMPUTED_VALUE"""),"N/A")</f>
        <v>N/A</v>
      </c>
      <c r="I296" s="31" t="str">
        <f>IFERROR(__xludf.DUMMYFUNCTION("""COMPUTED_VALUE"""),"IT Infra")</f>
        <v>IT Infra</v>
      </c>
      <c r="J296" s="103">
        <f>IFERROR(__xludf.DUMMYFUNCTION("""COMPUTED_VALUE"""),45982.0)</f>
        <v>45982</v>
      </c>
      <c r="K296" s="104" t="str">
        <f>IFERROR(__xludf.DUMMYFUNCTION("""COMPUTED_VALUE"""),"Confrm By Rajkumar")</f>
        <v>Confrm By Rajkumar</v>
      </c>
    </row>
    <row r="297">
      <c r="A297" s="31" t="str">
        <f>IFERROR(__xludf.DUMMYFUNCTION("""COMPUTED_VALUE"""),"aakashdeep.madaan@zupee.in")</f>
        <v>aakashdeep.madaan@zupee.in</v>
      </c>
      <c r="B297" s="31" t="str">
        <f>IFERROR(__xludf.DUMMYFUNCTION("""COMPUTED_VALUE"""),"NOT_FOUND")</f>
        <v>NOT_FOUND</v>
      </c>
      <c r="C297" s="31" t="str">
        <f>IFERROR(__xludf.DUMMYFUNCTION("""COMPUTED_VALUE"""),"User not found")</f>
        <v>User not found</v>
      </c>
      <c r="D297" s="31" t="str">
        <f>IFERROR(__xludf.DUMMYFUNCTION("""COMPUTED_VALUE"""),"Revoked ")</f>
        <v>Revoked </v>
      </c>
      <c r="E297" s="31" t="str">
        <f>IFERROR(__xludf.DUMMYFUNCTION("""COMPUTED_VALUE"""),"No-Need")</f>
        <v>No-Need</v>
      </c>
      <c r="F297" s="31" t="str">
        <f>IFERROR(__xludf.DUMMYFUNCTION("""COMPUTED_VALUE"""),"No-Need")</f>
        <v>No-Need</v>
      </c>
      <c r="G297" s="31" t="str">
        <f>IFERROR(__xludf.DUMMYFUNCTION("""COMPUTED_VALUE"""),"No-Need")</f>
        <v>No-Need</v>
      </c>
      <c r="H297" s="31" t="str">
        <f>IFERROR(__xludf.DUMMYFUNCTION("""COMPUTED_VALUE"""),"N/A")</f>
        <v>N/A</v>
      </c>
      <c r="I297" s="31" t="str">
        <f>IFERROR(__xludf.DUMMYFUNCTION("""COMPUTED_VALUE"""),"Technology")</f>
        <v>Technology</v>
      </c>
      <c r="J297" s="103">
        <f>IFERROR(__xludf.DUMMYFUNCTION("""COMPUTED_VALUE"""),45988.0)</f>
        <v>45988</v>
      </c>
      <c r="K297" s="31"/>
    </row>
    <row r="298">
      <c r="A298" s="31" t="str">
        <f>IFERROR(__xludf.DUMMYFUNCTION("""COMPUTED_VALUE"""),"ayushi.sharma@zupee.in")</f>
        <v>ayushi.sharma@zupee.in</v>
      </c>
      <c r="B298" s="31" t="str">
        <f>IFERROR(__xludf.DUMMYFUNCTION("""COMPUTED_VALUE"""),"NOT_FOUND")</f>
        <v>NOT_FOUND</v>
      </c>
      <c r="C298" s="31" t="str">
        <f>IFERROR(__xludf.DUMMYFUNCTION("""COMPUTED_VALUE"""),"User not found")</f>
        <v>User not found</v>
      </c>
      <c r="D298" s="31" t="str">
        <f>IFERROR(__xludf.DUMMYFUNCTION("""COMPUTED_VALUE"""),"Revoked ")</f>
        <v>Revoked </v>
      </c>
      <c r="E298" s="31" t="str">
        <f>IFERROR(__xludf.DUMMYFUNCTION("""COMPUTED_VALUE"""),"No-Need")</f>
        <v>No-Need</v>
      </c>
      <c r="F298" s="31" t="str">
        <f>IFERROR(__xludf.DUMMYFUNCTION("""COMPUTED_VALUE"""),"No-Need")</f>
        <v>No-Need</v>
      </c>
      <c r="G298" s="31" t="str">
        <f>IFERROR(__xludf.DUMMYFUNCTION("""COMPUTED_VALUE"""),"No-Need")</f>
        <v>No-Need</v>
      </c>
      <c r="H298" s="31" t="str">
        <f>IFERROR(__xludf.DUMMYFUNCTION("""COMPUTED_VALUE"""),"N/A")</f>
        <v>N/A</v>
      </c>
      <c r="I298" s="31" t="str">
        <f>IFERROR(__xludf.DUMMYFUNCTION("""COMPUTED_VALUE"""),"Technology")</f>
        <v>Technology</v>
      </c>
      <c r="J298" s="103">
        <f>IFERROR(__xludf.DUMMYFUNCTION("""COMPUTED_VALUE"""),45988.0)</f>
        <v>45988</v>
      </c>
      <c r="K298" s="31"/>
    </row>
    <row r="299">
      <c r="A299" s="31" t="str">
        <f>IFERROR(__xludf.DUMMYFUNCTION("""COMPUTED_VALUE"""),"harshit.makhija@zupee.in")</f>
        <v>harshit.makhija@zupee.in</v>
      </c>
      <c r="B299" s="31" t="str">
        <f>IFERROR(__xludf.DUMMYFUNCTION("""COMPUTED_VALUE"""),"NOT_FOUND")</f>
        <v>NOT_FOUND</v>
      </c>
      <c r="C299" s="31" t="str">
        <f>IFERROR(__xludf.DUMMYFUNCTION("""COMPUTED_VALUE"""),"User not found")</f>
        <v>User not found</v>
      </c>
      <c r="D299" s="31" t="str">
        <f>IFERROR(__xludf.DUMMYFUNCTION("""COMPUTED_VALUE"""),"Revoked ")</f>
        <v>Revoked </v>
      </c>
      <c r="E299" s="31" t="str">
        <f>IFERROR(__xludf.DUMMYFUNCTION("""COMPUTED_VALUE"""),"No-Need")</f>
        <v>No-Need</v>
      </c>
      <c r="F299" s="31" t="str">
        <f>IFERROR(__xludf.DUMMYFUNCTION("""COMPUTED_VALUE"""),"No-Need")</f>
        <v>No-Need</v>
      </c>
      <c r="G299" s="31" t="str">
        <f>IFERROR(__xludf.DUMMYFUNCTION("""COMPUTED_VALUE"""),"No-Need")</f>
        <v>No-Need</v>
      </c>
      <c r="H299" s="31" t="str">
        <f>IFERROR(__xludf.DUMMYFUNCTION("""COMPUTED_VALUE"""),"N/A")</f>
        <v>N/A</v>
      </c>
      <c r="I299" s="31" t="str">
        <f>IFERROR(__xludf.DUMMYFUNCTION("""COMPUTED_VALUE"""),"Technology")</f>
        <v>Technology</v>
      </c>
      <c r="J299" s="103">
        <f>IFERROR(__xludf.DUMMYFUNCTION("""COMPUTED_VALUE"""),45988.0)</f>
        <v>45988</v>
      </c>
      <c r="K299" s="31"/>
    </row>
    <row r="300">
      <c r="A300" s="31" t="str">
        <f>IFERROR(__xludf.DUMMYFUNCTION("""COMPUTED_VALUE"""),"mudit.jain@zupee.in")</f>
        <v>mudit.jain@zupee.in</v>
      </c>
      <c r="B300" s="31" t="str">
        <f>IFERROR(__xludf.DUMMYFUNCTION("""COMPUTED_VALUE"""),"NOT_FOUND")</f>
        <v>NOT_FOUND</v>
      </c>
      <c r="C300" s="31" t="str">
        <f>IFERROR(__xludf.DUMMYFUNCTION("""COMPUTED_VALUE"""),"User not found")</f>
        <v>User not found</v>
      </c>
      <c r="D300" s="31" t="str">
        <f>IFERROR(__xludf.DUMMYFUNCTION("""COMPUTED_VALUE"""),"Revoked ")</f>
        <v>Revoked </v>
      </c>
      <c r="E300" s="31" t="str">
        <f>IFERROR(__xludf.DUMMYFUNCTION("""COMPUTED_VALUE"""),"No-Need")</f>
        <v>No-Need</v>
      </c>
      <c r="F300" s="31" t="str">
        <f>IFERROR(__xludf.DUMMYFUNCTION("""COMPUTED_VALUE"""),"No-Need")</f>
        <v>No-Need</v>
      </c>
      <c r="G300" s="31" t="str">
        <f>IFERROR(__xludf.DUMMYFUNCTION("""COMPUTED_VALUE"""),"No-Need")</f>
        <v>No-Need</v>
      </c>
      <c r="H300" s="31" t="str">
        <f>IFERROR(__xludf.DUMMYFUNCTION("""COMPUTED_VALUE"""),"N/A")</f>
        <v>N/A</v>
      </c>
      <c r="I300" s="31" t="str">
        <f>IFERROR(__xludf.DUMMYFUNCTION("""COMPUTED_VALUE"""),"Technology")</f>
        <v>Technology</v>
      </c>
      <c r="J300" s="103">
        <f>IFERROR(__xludf.DUMMYFUNCTION("""COMPUTED_VALUE"""),45988.0)</f>
        <v>45988</v>
      </c>
      <c r="K300" s="31"/>
    </row>
    <row r="301">
      <c r="A301" s="31" t="str">
        <f>IFERROR(__xludf.DUMMYFUNCTION("""COMPUTED_VALUE"""),"satya.vart@zupee.in")</f>
        <v>satya.vart@zupee.in</v>
      </c>
      <c r="B301" s="31" t="str">
        <f>IFERROR(__xludf.DUMMYFUNCTION("""COMPUTED_VALUE"""),"NOT_FOUND")</f>
        <v>NOT_FOUND</v>
      </c>
      <c r="C301" s="31" t="str">
        <f>IFERROR(__xludf.DUMMYFUNCTION("""COMPUTED_VALUE"""),"User not found")</f>
        <v>User not found</v>
      </c>
      <c r="D301" s="31" t="str">
        <f>IFERROR(__xludf.DUMMYFUNCTION("""COMPUTED_VALUE"""),"Revoked ")</f>
        <v>Revoked </v>
      </c>
      <c r="E301" s="31" t="str">
        <f>IFERROR(__xludf.DUMMYFUNCTION("""COMPUTED_VALUE"""),"No-Need")</f>
        <v>No-Need</v>
      </c>
      <c r="F301" s="31" t="str">
        <f>IFERROR(__xludf.DUMMYFUNCTION("""COMPUTED_VALUE"""),"No-Need")</f>
        <v>No-Need</v>
      </c>
      <c r="G301" s="31" t="str">
        <f>IFERROR(__xludf.DUMMYFUNCTION("""COMPUTED_VALUE"""),"No-Need")</f>
        <v>No-Need</v>
      </c>
      <c r="H301" s="31" t="str">
        <f>IFERROR(__xludf.DUMMYFUNCTION("""COMPUTED_VALUE"""),"N/A")</f>
        <v>N/A</v>
      </c>
      <c r="I301" s="31" t="str">
        <f>IFERROR(__xludf.DUMMYFUNCTION("""COMPUTED_VALUE"""),"Technology")</f>
        <v>Technology</v>
      </c>
      <c r="J301" s="103">
        <f>IFERROR(__xludf.DUMMYFUNCTION("""COMPUTED_VALUE"""),45988.0)</f>
        <v>45988</v>
      </c>
      <c r="K301" s="31"/>
    </row>
    <row r="302">
      <c r="A302" s="31" t="str">
        <f>IFERROR(__xludf.DUMMYFUNCTION("""COMPUTED_VALUE"""),"siddharth.saurav@zupee.in")</f>
        <v>siddharth.saurav@zupee.in</v>
      </c>
      <c r="B302" s="31" t="str">
        <f>IFERROR(__xludf.DUMMYFUNCTION("""COMPUTED_VALUE"""),"NOT_FOUND")</f>
        <v>NOT_FOUND</v>
      </c>
      <c r="C302" s="31" t="str">
        <f>IFERROR(__xludf.DUMMYFUNCTION("""COMPUTED_VALUE"""),"User not found")</f>
        <v>User not found</v>
      </c>
      <c r="D302" s="31" t="str">
        <f>IFERROR(__xludf.DUMMYFUNCTION("""COMPUTED_VALUE"""),"Revoked ")</f>
        <v>Revoked </v>
      </c>
      <c r="E302" s="31" t="str">
        <f>IFERROR(__xludf.DUMMYFUNCTION("""COMPUTED_VALUE"""),"No-Need")</f>
        <v>No-Need</v>
      </c>
      <c r="F302" s="31" t="str">
        <f>IFERROR(__xludf.DUMMYFUNCTION("""COMPUTED_VALUE"""),"No-Need")</f>
        <v>No-Need</v>
      </c>
      <c r="G302" s="31" t="str">
        <f>IFERROR(__xludf.DUMMYFUNCTION("""COMPUTED_VALUE"""),"No-Need")</f>
        <v>No-Need</v>
      </c>
      <c r="H302" s="31" t="str">
        <f>IFERROR(__xludf.DUMMYFUNCTION("""COMPUTED_VALUE"""),"N/A")</f>
        <v>N/A</v>
      </c>
      <c r="I302" s="31" t="str">
        <f>IFERROR(__xludf.DUMMYFUNCTION("""COMPUTED_VALUE"""),"Technology")</f>
        <v>Technology</v>
      </c>
      <c r="J302" s="103">
        <f>IFERROR(__xludf.DUMMYFUNCTION("""COMPUTED_VALUE"""),45988.0)</f>
        <v>45988</v>
      </c>
      <c r="K302" s="31"/>
    </row>
    <row r="303">
      <c r="A303" s="31" t="str">
        <f>IFERROR(__xludf.DUMMYFUNCTION("""COMPUTED_VALUE"""),"vansh.dua@zupee.in")</f>
        <v>vansh.dua@zupee.in</v>
      </c>
      <c r="B303" s="31" t="str">
        <f>IFERROR(__xludf.DUMMYFUNCTION("""COMPUTED_VALUE"""),"NOT_FOUND")</f>
        <v>NOT_FOUND</v>
      </c>
      <c r="C303" s="31" t="str">
        <f>IFERROR(__xludf.DUMMYFUNCTION("""COMPUTED_VALUE"""),"User not found")</f>
        <v>User not found</v>
      </c>
      <c r="D303" s="31" t="str">
        <f>IFERROR(__xludf.DUMMYFUNCTION("""COMPUTED_VALUE"""),"Revoked ")</f>
        <v>Revoked </v>
      </c>
      <c r="E303" s="31" t="str">
        <f>IFERROR(__xludf.DUMMYFUNCTION("""COMPUTED_VALUE"""),"No-Need")</f>
        <v>No-Need</v>
      </c>
      <c r="F303" s="31" t="str">
        <f>IFERROR(__xludf.DUMMYFUNCTION("""COMPUTED_VALUE"""),"No-Need")</f>
        <v>No-Need</v>
      </c>
      <c r="G303" s="31" t="str">
        <f>IFERROR(__xludf.DUMMYFUNCTION("""COMPUTED_VALUE"""),"No-Need")</f>
        <v>No-Need</v>
      </c>
      <c r="H303" s="31" t="str">
        <f>IFERROR(__xludf.DUMMYFUNCTION("""COMPUTED_VALUE"""),"N/A")</f>
        <v>N/A</v>
      </c>
      <c r="I303" s="31" t="str">
        <f>IFERROR(__xludf.DUMMYFUNCTION("""COMPUTED_VALUE"""),"Technology")</f>
        <v>Technology</v>
      </c>
      <c r="J303" s="103">
        <f>IFERROR(__xludf.DUMMYFUNCTION("""COMPUTED_VALUE"""),45988.0)</f>
        <v>45988</v>
      </c>
      <c r="K303" s="31"/>
    </row>
    <row r="304">
      <c r="A304" s="31" t="str">
        <f>IFERROR(__xludf.DUMMYFUNCTION("""COMPUTED_VALUE"""),"pradeep.agrawal@zupee.in")</f>
        <v>pradeep.agrawal@zupee.in</v>
      </c>
      <c r="B304" s="31" t="str">
        <f>IFERROR(__xludf.DUMMYFUNCTION("""COMPUTED_VALUE"""),"NOT_FOUND")</f>
        <v>NOT_FOUND</v>
      </c>
      <c r="C304" s="31" t="str">
        <f>IFERROR(__xludf.DUMMYFUNCTION("""COMPUTED_VALUE"""),"User not found")</f>
        <v>User not found</v>
      </c>
      <c r="D304" s="31" t="str">
        <f>IFERROR(__xludf.DUMMYFUNCTION("""COMPUTED_VALUE"""),"Revoked ")</f>
        <v>Revoked </v>
      </c>
      <c r="E304" s="31" t="str">
        <f>IFERROR(__xludf.DUMMYFUNCTION("""COMPUTED_VALUE"""),"No-Need")</f>
        <v>No-Need</v>
      </c>
      <c r="F304" s="31" t="str">
        <f>IFERROR(__xludf.DUMMYFUNCTION("""COMPUTED_VALUE"""),"No-Need")</f>
        <v>No-Need</v>
      </c>
      <c r="G304" s="31" t="str">
        <f>IFERROR(__xludf.DUMMYFUNCTION("""COMPUTED_VALUE"""),"No-Need")</f>
        <v>No-Need</v>
      </c>
      <c r="H304" s="31" t="str">
        <f>IFERROR(__xludf.DUMMYFUNCTION("""COMPUTED_VALUE"""),"N/A")</f>
        <v>N/A</v>
      </c>
      <c r="I304" s="31" t="str">
        <f>IFERROR(__xludf.DUMMYFUNCTION("""COMPUTED_VALUE"""),"Technology")</f>
        <v>Technology</v>
      </c>
      <c r="J304" s="103">
        <f>IFERROR(__xludf.DUMMYFUNCTION("""COMPUTED_VALUE"""),45988.0)</f>
        <v>45988</v>
      </c>
      <c r="K304" s="31"/>
    </row>
    <row r="305">
      <c r="A305" s="31" t="str">
        <f>IFERROR(__xludf.DUMMYFUNCTION("""COMPUTED_VALUE"""),"naveen.k@zupee.in")</f>
        <v>naveen.k@zupee.in</v>
      </c>
      <c r="B305" s="31" t="str">
        <f>IFERROR(__xludf.DUMMYFUNCTION("""COMPUTED_VALUE"""),"NOT_FOUND")</f>
        <v>NOT_FOUND</v>
      </c>
      <c r="C305" s="31" t="str">
        <f>IFERROR(__xludf.DUMMYFUNCTION("""COMPUTED_VALUE"""),"User not found")</f>
        <v>User not found</v>
      </c>
      <c r="D305" s="31" t="str">
        <f>IFERROR(__xludf.DUMMYFUNCTION("""COMPUTED_VALUE"""),"Revoked ")</f>
        <v>Revoked </v>
      </c>
      <c r="E305" s="31" t="str">
        <f>IFERROR(__xludf.DUMMYFUNCTION("""COMPUTED_VALUE"""),"No-Need")</f>
        <v>No-Need</v>
      </c>
      <c r="F305" s="31" t="str">
        <f>IFERROR(__xludf.DUMMYFUNCTION("""COMPUTED_VALUE"""),"No-Need")</f>
        <v>No-Need</v>
      </c>
      <c r="G305" s="31" t="str">
        <f>IFERROR(__xludf.DUMMYFUNCTION("""COMPUTED_VALUE"""),"No-Need")</f>
        <v>No-Need</v>
      </c>
      <c r="H305" s="31" t="str">
        <f>IFERROR(__xludf.DUMMYFUNCTION("""COMPUTED_VALUE"""),"N/A")</f>
        <v>N/A</v>
      </c>
      <c r="I305" s="31" t="str">
        <f>IFERROR(__xludf.DUMMYFUNCTION("""COMPUTED_VALUE"""),"IT Infra")</f>
        <v>IT Infra</v>
      </c>
      <c r="J305" s="103">
        <f>IFERROR(__xludf.DUMMYFUNCTION("""COMPUTED_VALUE"""),45988.0)</f>
        <v>45988</v>
      </c>
      <c r="K305" s="31"/>
    </row>
    <row r="306">
      <c r="A306" s="31" t="str">
        <f>IFERROR(__xludf.DUMMYFUNCTION("""COMPUTED_VALUE"""),"naveen@ludozing.com")</f>
        <v>naveen@ludozing.com</v>
      </c>
      <c r="B306" s="31" t="str">
        <f>IFERROR(__xludf.DUMMYFUNCTION("""COMPUTED_VALUE"""),"NOT_FOUND")</f>
        <v>NOT_FOUND</v>
      </c>
      <c r="C306" s="31" t="str">
        <f>IFERROR(__xludf.DUMMYFUNCTION("""COMPUTED_VALUE"""),"User not found")</f>
        <v>User not found</v>
      </c>
      <c r="D306" s="31" t="str">
        <f>IFERROR(__xludf.DUMMYFUNCTION("""COMPUTED_VALUE"""),"Revoked ")</f>
        <v>Revoked </v>
      </c>
      <c r="E306" s="31" t="str">
        <f>IFERROR(__xludf.DUMMYFUNCTION("""COMPUTED_VALUE"""),"No-Need")</f>
        <v>No-Need</v>
      </c>
      <c r="F306" s="31" t="str">
        <f>IFERROR(__xludf.DUMMYFUNCTION("""COMPUTED_VALUE"""),"No-Need")</f>
        <v>No-Need</v>
      </c>
      <c r="G306" s="31" t="str">
        <f>IFERROR(__xludf.DUMMYFUNCTION("""COMPUTED_VALUE"""),"No-Need")</f>
        <v>No-Need</v>
      </c>
      <c r="H306" s="31" t="str">
        <f>IFERROR(__xludf.DUMMYFUNCTION("""COMPUTED_VALUE"""),"N/A")</f>
        <v>N/A</v>
      </c>
      <c r="I306" s="31" t="str">
        <f>IFERROR(__xludf.DUMMYFUNCTION("""COMPUTED_VALUE"""),"IT Infra")</f>
        <v>IT Infra</v>
      </c>
      <c r="J306" s="103">
        <f>IFERROR(__xludf.DUMMYFUNCTION("""COMPUTED_VALUE"""),45988.0)</f>
        <v>45988</v>
      </c>
      <c r="K306" s="31"/>
    </row>
    <row r="307">
      <c r="A307" s="31" t="str">
        <f>IFERROR(__xludf.DUMMYFUNCTION("""COMPUTED_VALUE"""),"ankit.kumar@zupee.in")</f>
        <v>ankit.kumar@zupee.in</v>
      </c>
      <c r="B307" s="31" t="str">
        <f>IFERROR(__xludf.DUMMYFUNCTION("""COMPUTED_VALUE"""),"NOT_FOUND")</f>
        <v>NOT_FOUND</v>
      </c>
      <c r="C307" s="31" t="str">
        <f>IFERROR(__xludf.DUMMYFUNCTION("""COMPUTED_VALUE"""),"User not found")</f>
        <v>User not found</v>
      </c>
      <c r="D307" s="31" t="str">
        <f>IFERROR(__xludf.DUMMYFUNCTION("""COMPUTED_VALUE"""),"Revoked ")</f>
        <v>Revoked </v>
      </c>
      <c r="E307" s="31" t="str">
        <f>IFERROR(__xludf.DUMMYFUNCTION("""COMPUTED_VALUE"""),"No-Need")</f>
        <v>No-Need</v>
      </c>
      <c r="F307" s="31" t="str">
        <f>IFERROR(__xludf.DUMMYFUNCTION("""COMPUTED_VALUE"""),"No-Need")</f>
        <v>No-Need</v>
      </c>
      <c r="G307" s="31" t="str">
        <f>IFERROR(__xludf.DUMMYFUNCTION("""COMPUTED_VALUE"""),"No-Need")</f>
        <v>No-Need</v>
      </c>
      <c r="H307" s="31" t="str">
        <f>IFERROR(__xludf.DUMMYFUNCTION("""COMPUTED_VALUE"""),"N/A")</f>
        <v>N/A</v>
      </c>
      <c r="I307" s="31" t="str">
        <f>IFERROR(__xludf.DUMMYFUNCTION("""COMPUTED_VALUE"""),"Technology")</f>
        <v>Technology</v>
      </c>
      <c r="J307" s="103">
        <f>IFERROR(__xludf.DUMMYFUNCTION("""COMPUTED_VALUE"""),45988.0)</f>
        <v>45988</v>
      </c>
      <c r="K307" s="31"/>
    </row>
    <row r="308">
      <c r="A308" s="31" t="str">
        <f>IFERROR(__xludf.DUMMYFUNCTION("""COMPUTED_VALUE"""),"rahul.s@zupee.in")</f>
        <v>rahul.s@zupee.in</v>
      </c>
      <c r="B308" s="31" t="str">
        <f>IFERROR(__xludf.DUMMYFUNCTION("""COMPUTED_VALUE"""),"NOT_FOUND")</f>
        <v>NOT_FOUND</v>
      </c>
      <c r="C308" s="31" t="str">
        <f>IFERROR(__xludf.DUMMYFUNCTION("""COMPUTED_VALUE"""),"User not found")</f>
        <v>User not found</v>
      </c>
      <c r="D308" s="31" t="str">
        <f>IFERROR(__xludf.DUMMYFUNCTION("""COMPUTED_VALUE"""),"Revoked ")</f>
        <v>Revoked </v>
      </c>
      <c r="E308" s="31" t="str">
        <f>IFERROR(__xludf.DUMMYFUNCTION("""COMPUTED_VALUE"""),"No-Need")</f>
        <v>No-Need</v>
      </c>
      <c r="F308" s="31" t="str">
        <f>IFERROR(__xludf.DUMMYFUNCTION("""COMPUTED_VALUE"""),"No-Need")</f>
        <v>No-Need</v>
      </c>
      <c r="G308" s="31" t="str">
        <f>IFERROR(__xludf.DUMMYFUNCTION("""COMPUTED_VALUE"""),"No-Need")</f>
        <v>No-Need</v>
      </c>
      <c r="H308" s="31" t="str">
        <f>IFERROR(__xludf.DUMMYFUNCTION("""COMPUTED_VALUE"""),"N/A")</f>
        <v>N/A</v>
      </c>
      <c r="I308" s="31" t="str">
        <f>IFERROR(__xludf.DUMMYFUNCTION("""COMPUTED_VALUE"""),"Human Resource")</f>
        <v>Human Resource</v>
      </c>
      <c r="J308" s="103">
        <f>IFERROR(__xludf.DUMMYFUNCTION("""COMPUTED_VALUE"""),45999.0)</f>
        <v>45999</v>
      </c>
      <c r="K308" s="31" t="str">
        <f>IFERROR(__xludf.DUMMYFUNCTION("""COMPUTED_VALUE"""),"Confrm By Sushil Patel")</f>
        <v>Confrm By Sushil Patel</v>
      </c>
    </row>
    <row r="309">
      <c r="A309" s="31" t="str">
        <f>IFERROR(__xludf.DUMMYFUNCTION("""COMPUTED_VALUE"""),"surabhi.sanchita@zupee.in")</f>
        <v>surabhi.sanchita@zupee.in</v>
      </c>
      <c r="B309" s="31" t="str">
        <f>IFERROR(__xludf.DUMMYFUNCTION("""COMPUTED_VALUE"""),"ACTIVE")</f>
        <v>ACTIVE</v>
      </c>
      <c r="C309" s="31" t="str">
        <f>IFERROR(__xludf.DUMMYFUNCTION("""COMPUTED_VALUE"""),"User is ACTIVE")</f>
        <v>User is ACTIVE</v>
      </c>
      <c r="D309" s="31" t="str">
        <f>IFERROR(__xludf.DUMMYFUNCTION("""COMPUTED_VALUE"""),"Hold")</f>
        <v>Hold</v>
      </c>
      <c r="E309" s="31" t="str">
        <f>IFERROR(__xludf.DUMMYFUNCTION("""COMPUTED_VALUE"""),"Hold")</f>
        <v>Hold</v>
      </c>
      <c r="F309" s="31" t="str">
        <f>IFERROR(__xludf.DUMMYFUNCTION("""COMPUTED_VALUE"""),"Hold")</f>
        <v>Hold</v>
      </c>
      <c r="G309" s="31" t="str">
        <f>IFERROR(__xludf.DUMMYFUNCTION("""COMPUTED_VALUE"""),"Hold")</f>
        <v>Hold</v>
      </c>
      <c r="H309" s="31" t="str">
        <f>IFERROR(__xludf.DUMMYFUNCTION("""COMPUTED_VALUE"""),"sushil.patel@zupee.in")</f>
        <v>sushil.patel@zupee.in</v>
      </c>
      <c r="I309" s="31" t="str">
        <f>IFERROR(__xludf.DUMMYFUNCTION("""COMPUTED_VALUE"""),"Human Resource")</f>
        <v>Human Resource</v>
      </c>
      <c r="J309" s="31"/>
      <c r="K309" s="31"/>
    </row>
    <row r="310">
      <c r="A310" s="31" t="str">
        <f>IFERROR(__xludf.DUMMYFUNCTION("""COMPUTED_VALUE"""),"harsha.nanwani@zupee.in")</f>
        <v>harsha.nanwani@zupee.in</v>
      </c>
      <c r="B310" s="31" t="str">
        <f>IFERROR(__xludf.DUMMYFUNCTION("""COMPUTED_VALUE"""),"NON-ARCHIVED")</f>
        <v>NON-ARCHIVED</v>
      </c>
      <c r="C310" s="31" t="str">
        <f>IFERROR(__xludf.DUMMYFUNCTION("""COMPUTED_VALUE"""),"User is ACTIVE (SUSPENDED)")</f>
        <v>User is ACTIVE (SUSPENDED)</v>
      </c>
      <c r="D310" s="31" t="str">
        <f>IFERROR(__xludf.DUMMYFUNCTION("""COMPUTED_VALUE"""),"No-Reply ")</f>
        <v>No-Reply </v>
      </c>
      <c r="E310" s="31" t="str">
        <f>IFERROR(__xludf.DUMMYFUNCTION("""COMPUTED_VALUE"""),"No-Reply ")</f>
        <v>No-Reply </v>
      </c>
      <c r="F310" s="31" t="str">
        <f>IFERROR(__xludf.DUMMYFUNCTION("""COMPUTED_VALUE"""),"No-Reply ")</f>
        <v>No-Reply </v>
      </c>
      <c r="G310" s="31" t="str">
        <f>IFERROR(__xludf.DUMMYFUNCTION("""COMPUTED_VALUE"""),"No-Reply ")</f>
        <v>No-Reply </v>
      </c>
      <c r="H310" s="31"/>
      <c r="I310" s="31" t="str">
        <f>IFERROR(__xludf.DUMMYFUNCTION("""COMPUTED_VALUE"""),"Human Resource")</f>
        <v>Human Resource</v>
      </c>
      <c r="J310" s="31"/>
      <c r="K310" s="31" t="str">
        <f>IFERROR(__xludf.DUMMYFUNCTION("""COMPUTED_VALUE"""),"No-Reply ""M Sangeetha""")</f>
        <v>No-Reply "M Sangeetha"</v>
      </c>
    </row>
    <row r="311">
      <c r="A311" s="31" t="str">
        <f>IFERROR(__xludf.DUMMYFUNCTION("""COMPUTED_VALUE"""),"shubham.khan@zupee.in")</f>
        <v>shubham.khan@zupee.in</v>
      </c>
      <c r="B311" s="31" t="str">
        <f>IFERROR(__xludf.DUMMYFUNCTION("""COMPUTED_VALUE"""),"NOT_FOUND")</f>
        <v>NOT_FOUND</v>
      </c>
      <c r="C311" s="31" t="str">
        <f>IFERROR(__xludf.DUMMYFUNCTION("""COMPUTED_VALUE"""),"User not found")</f>
        <v>User not found</v>
      </c>
      <c r="D311" s="31" t="str">
        <f>IFERROR(__xludf.DUMMYFUNCTION("""COMPUTED_VALUE"""),"Revoked ")</f>
        <v>Revoked </v>
      </c>
      <c r="E311" s="31" t="str">
        <f>IFERROR(__xludf.DUMMYFUNCTION("""COMPUTED_VALUE"""),"No-Need")</f>
        <v>No-Need</v>
      </c>
      <c r="F311" s="31" t="str">
        <f>IFERROR(__xludf.DUMMYFUNCTION("""COMPUTED_VALUE"""),"No-Need")</f>
        <v>No-Need</v>
      </c>
      <c r="G311" s="31" t="str">
        <f>IFERROR(__xludf.DUMMYFUNCTION("""COMPUTED_VALUE"""),"No-Need")</f>
        <v>No-Need</v>
      </c>
      <c r="H311" s="31" t="str">
        <f>IFERROR(__xludf.DUMMYFUNCTION("""COMPUTED_VALUE"""),"N/A")</f>
        <v>N/A</v>
      </c>
      <c r="I311" s="31" t="str">
        <f>IFERROR(__xludf.DUMMYFUNCTION("""COMPUTED_VALUE"""),"Brand Marketing")</f>
        <v>Brand Marketing</v>
      </c>
      <c r="J311" s="103">
        <f>IFERROR(__xludf.DUMMYFUNCTION("""COMPUTED_VALUE"""),45988.0)</f>
        <v>45988</v>
      </c>
      <c r="K311" s="104" t="str">
        <f>IFERROR(__xludf.DUMMYFUNCTION("""COMPUTED_VALUE"""),"Conf By ""Katha Pankaj Tara""")</f>
        <v>Conf By "Katha Pankaj Tara"</v>
      </c>
    </row>
    <row r="312">
      <c r="A312" s="31" t="str">
        <f>IFERROR(__xludf.DUMMYFUNCTION("""COMPUTED_VALUE"""),"mini.agarwal@zupee.in")</f>
        <v>mini.agarwal@zupee.in</v>
      </c>
      <c r="B312" s="31" t="str">
        <f>IFERROR(__xludf.DUMMYFUNCTION("""COMPUTED_VALUE"""),"NOT_FOUND")</f>
        <v>NOT_FOUND</v>
      </c>
      <c r="C312" s="31" t="str">
        <f>IFERROR(__xludf.DUMMYFUNCTION("""COMPUTED_VALUE"""),"User not found")</f>
        <v>User not found</v>
      </c>
      <c r="D312" s="31" t="str">
        <f>IFERROR(__xludf.DUMMYFUNCTION("""COMPUTED_VALUE"""),"Revoked ")</f>
        <v>Revoked </v>
      </c>
      <c r="E312" s="31" t="str">
        <f>IFERROR(__xludf.DUMMYFUNCTION("""COMPUTED_VALUE"""),"No-Need")</f>
        <v>No-Need</v>
      </c>
      <c r="F312" s="31" t="str">
        <f>IFERROR(__xludf.DUMMYFUNCTION("""COMPUTED_VALUE"""),"No-Need")</f>
        <v>No-Need</v>
      </c>
      <c r="G312" s="31" t="str">
        <f>IFERROR(__xludf.DUMMYFUNCTION("""COMPUTED_VALUE"""),"No-Need")</f>
        <v>No-Need</v>
      </c>
      <c r="H312" s="31" t="str">
        <f>IFERROR(__xludf.DUMMYFUNCTION("""COMPUTED_VALUE"""),"N/A")</f>
        <v>N/A</v>
      </c>
      <c r="I312" s="31" t="str">
        <f>IFERROR(__xludf.DUMMYFUNCTION("""COMPUTED_VALUE"""),"CRM")</f>
        <v>CRM</v>
      </c>
      <c r="J312" s="103">
        <f>IFERROR(__xludf.DUMMYFUNCTION("""COMPUTED_VALUE"""),45988.0)</f>
        <v>45988</v>
      </c>
      <c r="K312" s="31" t="str">
        <f>IFERROR(__xludf.DUMMYFUNCTION("""COMPUTED_VALUE"""),"Conf By ""Mrityunjay Kumar""")</f>
        <v>Conf By "Mrityunjay Kumar"</v>
      </c>
    </row>
    <row r="313">
      <c r="A313" s="31" t="str">
        <f>IFERROR(__xludf.DUMMYFUNCTION("""COMPUTED_VALUE"""),"vivek.jain@zupee.in")</f>
        <v>vivek.jain@zupee.in</v>
      </c>
      <c r="B313" s="31" t="str">
        <f>IFERROR(__xludf.DUMMYFUNCTION("""COMPUTED_VALUE"""),"ACTIVE")</f>
        <v>ACTIVE</v>
      </c>
      <c r="C313" s="31" t="str">
        <f>IFERROR(__xludf.DUMMYFUNCTION("""COMPUTED_VALUE"""),"User is ACTIVE")</f>
        <v>User is ACTIVE</v>
      </c>
      <c r="D313" s="31" t="str">
        <f>IFERROR(__xludf.DUMMYFUNCTION("""COMPUTED_VALUE"""),"Hold")</f>
        <v>Hold</v>
      </c>
      <c r="E313" s="31" t="str">
        <f>IFERROR(__xludf.DUMMYFUNCTION("""COMPUTED_VALUE"""),"Hold")</f>
        <v>Hold</v>
      </c>
      <c r="F313" s="31" t="str">
        <f>IFERROR(__xludf.DUMMYFUNCTION("""COMPUTED_VALUE"""),"Hold")</f>
        <v>Hold</v>
      </c>
      <c r="G313" s="31" t="str">
        <f>IFERROR(__xludf.DUMMYFUNCTION("""COMPUTED_VALUE"""),"Hold")</f>
        <v>Hold</v>
      </c>
      <c r="H313" s="31" t="str">
        <f>IFERROR(__xludf.DUMMYFUNCTION("""COMPUTED_VALUE"""),"Hold")</f>
        <v>Hold</v>
      </c>
      <c r="I313" s="31" t="str">
        <f>IFERROR(__xludf.DUMMYFUNCTION("""COMPUTED_VALUE"""),"Human Resources")</f>
        <v>Human Resources</v>
      </c>
      <c r="J313" s="31"/>
      <c r="K313" s="104" t="str">
        <f>IFERROR(__xludf.DUMMYFUNCTION("""COMPUTED_VALUE"""),"Confrm By Sushil Patel")</f>
        <v>Confrm By Sushil Patel</v>
      </c>
    </row>
    <row r="314">
      <c r="A314" s="31" t="str">
        <f>IFERROR(__xludf.DUMMYFUNCTION("""COMPUTED_VALUE"""),"shwetank.anand@zupee.in")</f>
        <v>shwetank.anand@zupee.in</v>
      </c>
      <c r="B314" s="31" t="str">
        <f>IFERROR(__xludf.DUMMYFUNCTION("""COMPUTED_VALUE"""),"NOT_FOUND")</f>
        <v>NOT_FOUND</v>
      </c>
      <c r="C314" s="31" t="str">
        <f>IFERROR(__xludf.DUMMYFUNCTION("""COMPUTED_VALUE"""),"User not found")</f>
        <v>User not found</v>
      </c>
      <c r="D314" s="31" t="str">
        <f>IFERROR(__xludf.DUMMYFUNCTION("""COMPUTED_VALUE"""),"Revoked ")</f>
        <v>Revoked </v>
      </c>
      <c r="E314" s="31" t="str">
        <f>IFERROR(__xludf.DUMMYFUNCTION("""COMPUTED_VALUE"""),"sairam.mushyam@zupee.in")</f>
        <v>sairam.mushyam@zupee.in</v>
      </c>
      <c r="F314" s="31" t="str">
        <f>IFERROR(__xludf.DUMMYFUNCTION("""COMPUTED_VALUE"""),"Done")</f>
        <v>Done</v>
      </c>
      <c r="G314" s="31" t="str">
        <f>IFERROR(__xludf.DUMMYFUNCTION("""COMPUTED_VALUE"""),"Done")</f>
        <v>Done</v>
      </c>
      <c r="H314" s="31" t="str">
        <f>IFERROR(__xludf.DUMMYFUNCTION("""COMPUTED_VALUE"""),"sairam.mushyam@zupee.in")</f>
        <v>sairam.mushyam@zupee.in</v>
      </c>
      <c r="I314" s="31" t="str">
        <f>IFERROR(__xludf.DUMMYFUNCTION("""COMPUTED_VALUE"""),"Analytics")</f>
        <v>Analytics</v>
      </c>
      <c r="J314" s="103">
        <f>IFERROR(__xludf.DUMMYFUNCTION("""COMPUTED_VALUE"""),45994.0)</f>
        <v>45994</v>
      </c>
      <c r="K314" s="31" t="str">
        <f>IFERROR(__xludf.DUMMYFUNCTION("""COMPUTED_VALUE"""),"Conf By ""Sairam Mushyam""")</f>
        <v>Conf By "Sairam Mushyam"</v>
      </c>
    </row>
    <row r="315">
      <c r="A315" s="31" t="str">
        <f>IFERROR(__xludf.DUMMYFUNCTION("""COMPUTED_VALUE"""),"sanchit.mittal@zupee.in")</f>
        <v>sanchit.mittal@zupee.in</v>
      </c>
      <c r="B315" s="31" t="str">
        <f>IFERROR(__xludf.DUMMYFUNCTION("""COMPUTED_VALUE"""),"NOT_FOUND")</f>
        <v>NOT_FOUND</v>
      </c>
      <c r="C315" s="31" t="str">
        <f>IFERROR(__xludf.DUMMYFUNCTION("""COMPUTED_VALUE"""),"User not found")</f>
        <v>User not found</v>
      </c>
      <c r="D315" s="31" t="str">
        <f>IFERROR(__xludf.DUMMYFUNCTION("""COMPUTED_VALUE"""),"Revoked ")</f>
        <v>Revoked </v>
      </c>
      <c r="E315" s="31" t="str">
        <f>IFERROR(__xludf.DUMMYFUNCTION("""COMPUTED_VALUE"""),"pankaj.gautam@zupee.in")</f>
        <v>pankaj.gautam@zupee.in</v>
      </c>
      <c r="F315" s="31" t="str">
        <f>IFERROR(__xludf.DUMMYFUNCTION("""COMPUTED_VALUE"""),"Done")</f>
        <v>Done</v>
      </c>
      <c r="G315" s="31" t="str">
        <f>IFERROR(__xludf.DUMMYFUNCTION("""COMPUTED_VALUE"""),"Done")</f>
        <v>Done</v>
      </c>
      <c r="H315" s="31" t="str">
        <f>IFERROR(__xludf.DUMMYFUNCTION("""COMPUTED_VALUE"""),"pankaj.gautam@zupee.in")</f>
        <v>pankaj.gautam@zupee.in</v>
      </c>
      <c r="I315" s="31" t="str">
        <f>IFERROR(__xludf.DUMMYFUNCTION("""COMPUTED_VALUE"""),"Data")</f>
        <v>Data</v>
      </c>
      <c r="J315" s="103">
        <f>IFERROR(__xludf.DUMMYFUNCTION("""COMPUTED_VALUE"""),45994.0)</f>
        <v>45994</v>
      </c>
      <c r="K315" s="31" t="str">
        <f>IFERROR(__xludf.DUMMYFUNCTION("""COMPUTED_VALUE"""),"Conf By ""Sairam Mushyam""")</f>
        <v>Conf By "Sairam Mushyam"</v>
      </c>
    </row>
    <row r="316">
      <c r="A316" s="31" t="str">
        <f>IFERROR(__xludf.DUMMYFUNCTION("""COMPUTED_VALUE"""),"keshav.khatri@zupee.in")</f>
        <v>keshav.khatri@zupee.in</v>
      </c>
      <c r="B316" s="31" t="str">
        <f>IFERROR(__xludf.DUMMYFUNCTION("""COMPUTED_VALUE"""),"NOT_FOUND")</f>
        <v>NOT_FOUND</v>
      </c>
      <c r="C316" s="31" t="str">
        <f>IFERROR(__xludf.DUMMYFUNCTION("""COMPUTED_VALUE"""),"User not found")</f>
        <v>User not found</v>
      </c>
      <c r="D316" s="31" t="str">
        <f>IFERROR(__xludf.DUMMYFUNCTION("""COMPUTED_VALUE"""),"Revoked ")</f>
        <v>Revoked </v>
      </c>
      <c r="E316" s="31" t="str">
        <f>IFERROR(__xludf.DUMMYFUNCTION("""COMPUTED_VALUE"""),"financebackup@zupee.in")</f>
        <v>financebackup@zupee.in</v>
      </c>
      <c r="F316" s="31" t="str">
        <f>IFERROR(__xludf.DUMMYFUNCTION("""COMPUTED_VALUE"""),"Done")</f>
        <v>Done</v>
      </c>
      <c r="G316" s="31" t="str">
        <f>IFERROR(__xludf.DUMMYFUNCTION("""COMPUTED_VALUE"""),"Done")</f>
        <v>Done</v>
      </c>
      <c r="H316" s="31" t="str">
        <f>IFERROR(__xludf.DUMMYFUNCTION("""COMPUTED_VALUE"""),"financebackup@zupee.in")</f>
        <v>financebackup@zupee.in</v>
      </c>
      <c r="I316" s="31" t="str">
        <f>IFERROR(__xludf.DUMMYFUNCTION("""COMPUTED_VALUE"""),"Finance")</f>
        <v>Finance</v>
      </c>
      <c r="J316" s="103">
        <f>IFERROR(__xludf.DUMMYFUNCTION("""COMPUTED_VALUE"""),45994.0)</f>
        <v>45994</v>
      </c>
      <c r="K316" s="31" t="str">
        <f>IFERROR(__xludf.DUMMYFUNCTION("""COMPUTED_VALUE"""),"Conf By ""Ankit Maheshwari""")</f>
        <v>Conf By "Ankit Maheshwari"</v>
      </c>
    </row>
    <row r="317">
      <c r="A317" s="31" t="str">
        <f>IFERROR(__xludf.DUMMYFUNCTION("""COMPUTED_VALUE"""),"rahul.satija@zupee.in")</f>
        <v>rahul.satija@zupee.in</v>
      </c>
      <c r="B317" s="31" t="str">
        <f>IFERROR(__xludf.DUMMYFUNCTION("""COMPUTED_VALUE"""),"NOT_FOUND")</f>
        <v>NOT_FOUND</v>
      </c>
      <c r="C317" s="31" t="str">
        <f>IFERROR(__xludf.DUMMYFUNCTION("""COMPUTED_VALUE"""),"User not found")</f>
        <v>User not found</v>
      </c>
      <c r="D317" s="31" t="str">
        <f>IFERROR(__xludf.DUMMYFUNCTION("""COMPUTED_VALUE"""),"Revoked ")</f>
        <v>Revoked </v>
      </c>
      <c r="E317" s="31" t="str">
        <f>IFERROR(__xludf.DUMMYFUNCTION("""COMPUTED_VALUE"""),"ankit.maheshwari@zupee.in")</f>
        <v>ankit.maheshwari@zupee.in</v>
      </c>
      <c r="F317" s="31" t="str">
        <f>IFERROR(__xludf.DUMMYFUNCTION("""COMPUTED_VALUE"""),"Done")</f>
        <v>Done</v>
      </c>
      <c r="G317" s="31" t="str">
        <f>IFERROR(__xludf.DUMMYFUNCTION("""COMPUTED_VALUE"""),"Done")</f>
        <v>Done</v>
      </c>
      <c r="H317" s="31" t="str">
        <f>IFERROR(__xludf.DUMMYFUNCTION("""COMPUTED_VALUE"""),"financebackup@zupee.in")</f>
        <v>financebackup@zupee.in</v>
      </c>
      <c r="I317" s="31" t="str">
        <f>IFERROR(__xludf.DUMMYFUNCTION("""COMPUTED_VALUE"""),"Finance")</f>
        <v>Finance</v>
      </c>
      <c r="J317" s="103">
        <f>IFERROR(__xludf.DUMMYFUNCTION("""COMPUTED_VALUE"""),45994.0)</f>
        <v>45994</v>
      </c>
      <c r="K317" s="31" t="str">
        <f>IFERROR(__xludf.DUMMYFUNCTION("""COMPUTED_VALUE"""),"Conf By ""Ankit Maheshwari""")</f>
        <v>Conf By "Ankit Maheshwari"</v>
      </c>
    </row>
    <row r="318">
      <c r="A318" s="31" t="str">
        <f>IFERROR(__xludf.DUMMYFUNCTION("""COMPUTED_VALUE"""),"niyati.verma@zupee.in")</f>
        <v>niyati.verma@zupee.in</v>
      </c>
      <c r="B318" s="31" t="str">
        <f>IFERROR(__xludf.DUMMYFUNCTION("""COMPUTED_VALUE"""),"NOT_FOUND")</f>
        <v>NOT_FOUND</v>
      </c>
      <c r="C318" s="31" t="str">
        <f>IFERROR(__xludf.DUMMYFUNCTION("""COMPUTED_VALUE"""),"User not found")</f>
        <v>User not found</v>
      </c>
      <c r="D318" s="31" t="str">
        <f>IFERROR(__xludf.DUMMYFUNCTION("""COMPUTED_VALUE"""),"Revoked ")</f>
        <v>Revoked </v>
      </c>
      <c r="E318" s="31" t="str">
        <f>IFERROR(__xludf.DUMMYFUNCTION("""COMPUTED_VALUE"""),"ravi.jha@zupee.in")</f>
        <v>ravi.jha@zupee.in</v>
      </c>
      <c r="F318" s="31" t="str">
        <f>IFERROR(__xludf.DUMMYFUNCTION("""COMPUTED_VALUE"""),"Ongoing")</f>
        <v>Ongoing</v>
      </c>
      <c r="G318" s="31" t="str">
        <f>IFERROR(__xludf.DUMMYFUNCTION("""COMPUTED_VALUE"""),"No-Need")</f>
        <v>No-Need</v>
      </c>
      <c r="H318" s="31" t="str">
        <f>IFERROR(__xludf.DUMMYFUNCTION("""COMPUTED_VALUE"""),"N/A")</f>
        <v>N/A</v>
      </c>
      <c r="I318" s="31" t="str">
        <f>IFERROR(__xludf.DUMMYFUNCTION("""COMPUTED_VALUE"""),"Legal")</f>
        <v>Legal</v>
      </c>
      <c r="J318" s="103">
        <f>IFERROR(__xludf.DUMMYFUNCTION("""COMPUTED_VALUE"""),45993.0)</f>
        <v>45993</v>
      </c>
      <c r="K318" s="31" t="str">
        <f>IFERROR(__xludf.DUMMYFUNCTION("""COMPUTED_VALUE"""),"Conf By ""Ravi Jha""")</f>
        <v>Conf By "Ravi Jha"</v>
      </c>
    </row>
    <row r="319">
      <c r="A319" s="31" t="str">
        <f>IFERROR(__xludf.DUMMYFUNCTION("""COMPUTED_VALUE"""),"ateev.kapoor@zupee.in")</f>
        <v>ateev.kapoor@zupee.in</v>
      </c>
      <c r="B319" s="31" t="str">
        <f>IFERROR(__xludf.DUMMYFUNCTION("""COMPUTED_VALUE"""),"NOT_FOUND")</f>
        <v>NOT_FOUND</v>
      </c>
      <c r="C319" s="31" t="str">
        <f>IFERROR(__xludf.DUMMYFUNCTION("""COMPUTED_VALUE"""),"User not found")</f>
        <v>User not found</v>
      </c>
      <c r="D319" s="31" t="str">
        <f>IFERROR(__xludf.DUMMYFUNCTION("""COMPUTED_VALUE"""),"Revoked ")</f>
        <v>Revoked </v>
      </c>
      <c r="E319" s="31" t="str">
        <f>IFERROR(__xludf.DUMMYFUNCTION("""COMPUTED_VALUE"""),"legalbackup@zupee.in")</f>
        <v>legalbackup@zupee.in</v>
      </c>
      <c r="F319" s="31" t="str">
        <f>IFERROR(__xludf.DUMMYFUNCTION("""COMPUTED_VALUE"""),"Done")</f>
        <v>Done</v>
      </c>
      <c r="G319" s="31" t="str">
        <f>IFERROR(__xludf.DUMMYFUNCTION("""COMPUTED_VALUE"""),"Done")</f>
        <v>Done</v>
      </c>
      <c r="H319" s="31" t="str">
        <f>IFERROR(__xludf.DUMMYFUNCTION("""COMPUTED_VALUE"""),"N/A")</f>
        <v>N/A</v>
      </c>
      <c r="I319" s="31" t="str">
        <f>IFERROR(__xludf.DUMMYFUNCTION("""COMPUTED_VALUE"""),"?")</f>
        <v>?</v>
      </c>
      <c r="J319" s="103">
        <f>IFERROR(__xludf.DUMMYFUNCTION("""COMPUTED_VALUE"""),45988.0)</f>
        <v>45988</v>
      </c>
      <c r="K319" s="104" t="str">
        <f>IFERROR(__xludf.DUMMYFUNCTION("""COMPUTED_VALUE"""),"Conf By Naveen Kadyan")</f>
        <v>Conf By Naveen Kadyan</v>
      </c>
    </row>
    <row r="320">
      <c r="A320" s="31" t="str">
        <f>IFERROR(__xludf.DUMMYFUNCTION("""COMPUTED_VALUE"""),"gaurav.mehta@zupee.in")</f>
        <v>gaurav.mehta@zupee.in</v>
      </c>
      <c r="B320" s="31" t="str">
        <f>IFERROR(__xludf.DUMMYFUNCTION("""COMPUTED_VALUE"""),"NOT_FOUND")</f>
        <v>NOT_FOUND</v>
      </c>
      <c r="C320" s="31" t="str">
        <f>IFERROR(__xludf.DUMMYFUNCTION("""COMPUTED_VALUE"""),"User not found")</f>
        <v>User not found</v>
      </c>
      <c r="D320" s="31" t="str">
        <f>IFERROR(__xludf.DUMMYFUNCTION("""COMPUTED_VALUE"""),"Revoked ")</f>
        <v>Revoked </v>
      </c>
      <c r="E320" s="31" t="str">
        <f>IFERROR(__xludf.DUMMYFUNCTION("""COMPUTED_VALUE"""),"naveen.kadyan@zupee.in")</f>
        <v>naveen.kadyan@zupee.in</v>
      </c>
      <c r="F320" s="31" t="str">
        <f>IFERROR(__xludf.DUMMYFUNCTION("""COMPUTED_VALUE"""),"Done")</f>
        <v>Done</v>
      </c>
      <c r="G320" s="31" t="str">
        <f>IFERROR(__xludf.DUMMYFUNCTION("""COMPUTED_VALUE"""),"No-Need")</f>
        <v>No-Need</v>
      </c>
      <c r="H320" s="31" t="str">
        <f>IFERROR(__xludf.DUMMYFUNCTION("""COMPUTED_VALUE"""),"N/A")</f>
        <v>N/A</v>
      </c>
      <c r="I320" s="31" t="str">
        <f>IFERROR(__xludf.DUMMYFUNCTION("""COMPUTED_VALUE"""),"?")</f>
        <v>?</v>
      </c>
      <c r="J320" s="103">
        <f>IFERROR(__xludf.DUMMYFUNCTION("""COMPUTED_VALUE"""),45988.0)</f>
        <v>45988</v>
      </c>
      <c r="K320" s="104" t="str">
        <f>IFERROR(__xludf.DUMMYFUNCTION("""COMPUTED_VALUE"""),"Conf By Naveen Kadyan")</f>
        <v>Conf By Naveen Kadyan</v>
      </c>
    </row>
    <row r="321">
      <c r="A321" s="31" t="str">
        <f>IFERROR(__xludf.DUMMYFUNCTION("""COMPUTED_VALUE"""),"billy.naveed@zupee.in")</f>
        <v>billy.naveed@zupee.in</v>
      </c>
      <c r="B321" s="31" t="str">
        <f>IFERROR(__xludf.DUMMYFUNCTION("""COMPUTED_VALUE"""),"NOT_FOUND")</f>
        <v>NOT_FOUND</v>
      </c>
      <c r="C321" s="31" t="str">
        <f>IFERROR(__xludf.DUMMYFUNCTION("""COMPUTED_VALUE"""),"User not found")</f>
        <v>User not found</v>
      </c>
      <c r="D321" s="31" t="str">
        <f>IFERROR(__xludf.DUMMYFUNCTION("""COMPUTED_VALUE"""),"Revoked ")</f>
        <v>Revoked </v>
      </c>
      <c r="E321" s="31" t="str">
        <f>IFERROR(__xludf.DUMMYFUNCTION("""COMPUTED_VALUE"""),"No-Need")</f>
        <v>No-Need</v>
      </c>
      <c r="F321" s="31" t="str">
        <f>IFERROR(__xludf.DUMMYFUNCTION("""COMPUTED_VALUE"""),"No-Need")</f>
        <v>No-Need</v>
      </c>
      <c r="G321" s="26" t="str">
        <f>IFERROR(__xludf.DUMMYFUNCTION("""COMPUTED_VALUE"""),"No-Need")</f>
        <v>No-Need</v>
      </c>
      <c r="H321" s="31" t="str">
        <f>IFERROR(__xludf.DUMMYFUNCTION("""COMPUTED_VALUE"""),"N/A")</f>
        <v>N/A</v>
      </c>
      <c r="I321" s="31" t="str">
        <f>IFERROR(__xludf.DUMMYFUNCTION("""COMPUTED_VALUE"""),"?")</f>
        <v>?</v>
      </c>
      <c r="J321" s="103">
        <f>IFERROR(__xludf.DUMMYFUNCTION("""COMPUTED_VALUE"""),45988.0)</f>
        <v>45988</v>
      </c>
      <c r="K321" s="104" t="str">
        <f>IFERROR(__xludf.DUMMYFUNCTION("""COMPUTED_VALUE"""),"Conf By Naveen Kadyan")</f>
        <v>Conf By Naveen Kadyan</v>
      </c>
    </row>
    <row r="322">
      <c r="A322" s="31" t="str">
        <f>IFERROR(__xludf.DUMMYFUNCTION("""COMPUTED_VALUE"""),"abhinav.venkat@zupee.in")</f>
        <v>abhinav.venkat@zupee.in</v>
      </c>
      <c r="B322" s="31" t="str">
        <f>IFERROR(__xludf.DUMMYFUNCTION("""COMPUTED_VALUE"""),"NOT_FOUND")</f>
        <v>NOT_FOUND</v>
      </c>
      <c r="C322" s="31" t="str">
        <f>IFERROR(__xludf.DUMMYFUNCTION("""COMPUTED_VALUE"""),"User not found")</f>
        <v>User not found</v>
      </c>
      <c r="D322" s="31" t="str">
        <f>IFERROR(__xludf.DUMMYFUNCTION("""COMPUTED_VALUE"""),"Revoked ")</f>
        <v>Revoked </v>
      </c>
      <c r="E322" s="31" t="str">
        <f>IFERROR(__xludf.DUMMYFUNCTION("""COMPUTED_VALUE"""),"No-Need")</f>
        <v>No-Need</v>
      </c>
      <c r="F322" s="31" t="str">
        <f>IFERROR(__xludf.DUMMYFUNCTION("""COMPUTED_VALUE"""),"No-Need")</f>
        <v>No-Need</v>
      </c>
      <c r="G322" s="31" t="str">
        <f>IFERROR(__xludf.DUMMYFUNCTION("""COMPUTED_VALUE"""),"No-Need")</f>
        <v>No-Need</v>
      </c>
      <c r="H322" s="31" t="str">
        <f>IFERROR(__xludf.DUMMYFUNCTION("""COMPUTED_VALUE"""),"N/A")</f>
        <v>N/A</v>
      </c>
      <c r="I322" s="31" t="str">
        <f>IFERROR(__xludf.DUMMYFUNCTION("""COMPUTED_VALUE"""),"?")</f>
        <v>?</v>
      </c>
      <c r="J322" s="103">
        <f>IFERROR(__xludf.DUMMYFUNCTION("""COMPUTED_VALUE"""),45988.0)</f>
        <v>45988</v>
      </c>
      <c r="K322" s="104" t="str">
        <f>IFERROR(__xludf.DUMMYFUNCTION("""COMPUTED_VALUE"""),"Conf By Naveen Kadyan")</f>
        <v>Conf By Naveen Kadyan</v>
      </c>
    </row>
    <row r="323">
      <c r="A323" s="31" t="str">
        <f>IFERROR(__xludf.DUMMYFUNCTION("""COMPUTED_VALUE"""),"manish.kumar@zupee.in")</f>
        <v>manish.kumar@zupee.in</v>
      </c>
      <c r="B323" s="31" t="str">
        <f>IFERROR(__xludf.DUMMYFUNCTION("""COMPUTED_VALUE"""),"NOT_FOUND")</f>
        <v>NOT_FOUND</v>
      </c>
      <c r="C323" s="31" t="str">
        <f>IFERROR(__xludf.DUMMYFUNCTION("""COMPUTED_VALUE"""),"User not found")</f>
        <v>User not found</v>
      </c>
      <c r="D323" s="31" t="str">
        <f>IFERROR(__xludf.DUMMYFUNCTION("""COMPUTED_VALUE"""),"Revoked ")</f>
        <v>Revoked </v>
      </c>
      <c r="E323" s="31" t="str">
        <f>IFERROR(__xludf.DUMMYFUNCTION("""COMPUTED_VALUE"""),"legalbackup@zupee.in")</f>
        <v>legalbackup@zupee.in</v>
      </c>
      <c r="F323" s="31" t="str">
        <f>IFERROR(__xludf.DUMMYFUNCTION("""COMPUTED_VALUE"""),"Done")</f>
        <v>Done</v>
      </c>
      <c r="G323" s="31" t="str">
        <f>IFERROR(__xludf.DUMMYFUNCTION("""COMPUTED_VALUE"""),"Done")</f>
        <v>Done</v>
      </c>
      <c r="H323" s="31" t="str">
        <f>IFERROR(__xludf.DUMMYFUNCTION("""COMPUTED_VALUE"""),"N/A")</f>
        <v>N/A</v>
      </c>
      <c r="I323" s="31" t="str">
        <f>IFERROR(__xludf.DUMMYFUNCTION("""COMPUTED_VALUE"""),"?")</f>
        <v>?</v>
      </c>
      <c r="J323" s="103">
        <f>IFERROR(__xludf.DUMMYFUNCTION("""COMPUTED_VALUE"""),45916.0)</f>
        <v>45916</v>
      </c>
      <c r="K323" s="104" t="str">
        <f>IFERROR(__xludf.DUMMYFUNCTION("""COMPUTED_VALUE"""),"Conf By Naveen Kadyan")</f>
        <v>Conf By Naveen Kadyan</v>
      </c>
    </row>
    <row r="324">
      <c r="A324" s="31" t="str">
        <f>IFERROR(__xludf.DUMMYFUNCTION("""COMPUTED_VALUE"""),"saravana.kumar@zupee.in")</f>
        <v>saravana.kumar@zupee.in</v>
      </c>
      <c r="B324" s="31" t="str">
        <f>IFERROR(__xludf.DUMMYFUNCTION("""COMPUTED_VALUE"""),"NOT_FOUND")</f>
        <v>NOT_FOUND</v>
      </c>
      <c r="C324" s="31" t="str">
        <f>IFERROR(__xludf.DUMMYFUNCTION("""COMPUTED_VALUE"""),"User not found")</f>
        <v>User not found</v>
      </c>
      <c r="D324" s="31" t="str">
        <f>IFERROR(__xludf.DUMMYFUNCTION("""COMPUTED_VALUE"""),"Revoked ")</f>
        <v>Revoked </v>
      </c>
      <c r="E324" s="31" t="str">
        <f>IFERROR(__xludf.DUMMYFUNCTION("""COMPUTED_VALUE"""),"No-Need")</f>
        <v>No-Need</v>
      </c>
      <c r="F324" s="31" t="str">
        <f>IFERROR(__xludf.DUMMYFUNCTION("""COMPUTED_VALUE"""),"No-Need")</f>
        <v>No-Need</v>
      </c>
      <c r="G324" s="31" t="str">
        <f>IFERROR(__xludf.DUMMYFUNCTION("""COMPUTED_VALUE"""),"No-Need")</f>
        <v>No-Need</v>
      </c>
      <c r="H324" s="31" t="str">
        <f>IFERROR(__xludf.DUMMYFUNCTION("""COMPUTED_VALUE"""),"N/A")</f>
        <v>N/A</v>
      </c>
      <c r="I324" s="31" t="str">
        <f>IFERROR(__xludf.DUMMYFUNCTION("""COMPUTED_VALUE"""),"CRM")</f>
        <v>CRM</v>
      </c>
      <c r="J324" s="103">
        <f>IFERROR(__xludf.DUMMYFUNCTION("""COMPUTED_VALUE"""),45988.0)</f>
        <v>45988</v>
      </c>
      <c r="K324" s="104" t="str">
        <f>IFERROR(__xludf.DUMMYFUNCTION("""COMPUTED_VALUE"""),"Conf By Naveen Kadyan")</f>
        <v>Conf By Naveen Kadyan</v>
      </c>
    </row>
    <row r="325">
      <c r="A325" s="31" t="str">
        <f>IFERROR(__xludf.DUMMYFUNCTION("""COMPUTED_VALUE"""),"	rahul.s@zupee.in")</f>
        <v>	rahul.s@zupee.in</v>
      </c>
      <c r="B325" s="31" t="str">
        <f>IFERROR(__xludf.DUMMYFUNCTION("""COMPUTED_VALUE"""),"NOT_FOUND")</f>
        <v>NOT_FOUND</v>
      </c>
      <c r="C325" s="31" t="str">
        <f>IFERROR(__xludf.DUMMYFUNCTION("""COMPUTED_VALUE"""),"User not found")</f>
        <v>User not found</v>
      </c>
      <c r="D325" s="31" t="str">
        <f>IFERROR(__xludf.DUMMYFUNCTION("""COMPUTED_VALUE"""),"Revoked ")</f>
        <v>Revoked </v>
      </c>
      <c r="E325" s="31" t="str">
        <f>IFERROR(__xludf.DUMMYFUNCTION("""COMPUTED_VALUE"""),"No-Need")</f>
        <v>No-Need</v>
      </c>
      <c r="F325" s="31" t="str">
        <f>IFERROR(__xludf.DUMMYFUNCTION("""COMPUTED_VALUE"""),"No-Need")</f>
        <v>No-Need</v>
      </c>
      <c r="G325" s="31" t="str">
        <f>IFERROR(__xludf.DUMMYFUNCTION("""COMPUTED_VALUE"""),"No-Need")</f>
        <v>No-Need</v>
      </c>
      <c r="H325" s="31" t="str">
        <f>IFERROR(__xludf.DUMMYFUNCTION("""COMPUTED_VALUE"""),"N/A")</f>
        <v>N/A</v>
      </c>
      <c r="I325" s="31" t="str">
        <f>IFERROR(__xludf.DUMMYFUNCTION("""COMPUTED_VALUE"""),"Human Resource")</f>
        <v>Human Resource</v>
      </c>
      <c r="J325" s="103">
        <f>IFERROR(__xludf.DUMMYFUNCTION("""COMPUTED_VALUE"""),45999.0)</f>
        <v>45999</v>
      </c>
      <c r="K325" s="31" t="str">
        <f>IFERROR(__xludf.DUMMYFUNCTION("""COMPUTED_VALUE"""),"Confrm By Sushil Patel")</f>
        <v>Confrm By Sushil Patel</v>
      </c>
    </row>
    <row r="326">
      <c r="A326" s="31" t="str">
        <f>IFERROR(__xludf.DUMMYFUNCTION("""COMPUTED_VALUE"""),"himani.rautela@zupee.in")</f>
        <v>himani.rautela@zupee.in</v>
      </c>
      <c r="B326" s="31" t="str">
        <f>IFERROR(__xludf.DUMMYFUNCTION("""COMPUTED_VALUE"""),"NOT_FOUND")</f>
        <v>NOT_FOUND</v>
      </c>
      <c r="C326" s="31" t="str">
        <f>IFERROR(__xludf.DUMMYFUNCTION("""COMPUTED_VALUE"""),"User not found")</f>
        <v>User not found</v>
      </c>
      <c r="D326" s="31" t="str">
        <f>IFERROR(__xludf.DUMMYFUNCTION("""COMPUTED_VALUE"""),"Revoked ")</f>
        <v>Revoked </v>
      </c>
      <c r="E326" s="31" t="str">
        <f>IFERROR(__xludf.DUMMYFUNCTION("""COMPUTED_VALUE"""),"No-Need")</f>
        <v>No-Need</v>
      </c>
      <c r="F326" s="31" t="str">
        <f>IFERROR(__xludf.DUMMYFUNCTION("""COMPUTED_VALUE"""),"No-Need")</f>
        <v>No-Need</v>
      </c>
      <c r="G326" s="31" t="str">
        <f>IFERROR(__xludf.DUMMYFUNCTION("""COMPUTED_VALUE"""),"No-Need")</f>
        <v>No-Need</v>
      </c>
      <c r="H326" s="31" t="str">
        <f>IFERROR(__xludf.DUMMYFUNCTION("""COMPUTED_VALUE"""),"govind.mittal@zupee.in")</f>
        <v>govind.mittal@zupee.in</v>
      </c>
      <c r="I326" s="31" t="str">
        <f>IFERROR(__xludf.DUMMYFUNCTION("""COMPUTED_VALUE"""),"Corporate Affairs")</f>
        <v>Corporate Affairs</v>
      </c>
      <c r="J326" s="103">
        <f>IFERROR(__xludf.DUMMYFUNCTION("""COMPUTED_VALUE"""),45989.0)</f>
        <v>45989</v>
      </c>
      <c r="K326" s="31" t="str">
        <f>IFERROR(__xludf.DUMMYFUNCTION("""COMPUTED_VALUE"""),"Conf By Govind Mittal")</f>
        <v>Conf By Govind Mittal</v>
      </c>
    </row>
    <row r="327">
      <c r="A327" s="31" t="str">
        <f>IFERROR(__xludf.DUMMYFUNCTION("""COMPUTED_VALUE"""),"nabil.syed@zupee.in")</f>
        <v>nabil.syed@zupee.in</v>
      </c>
      <c r="B327" s="31" t="str">
        <f>IFERROR(__xludf.DUMMYFUNCTION("""COMPUTED_VALUE"""),"NOT_FOUND")</f>
        <v>NOT_FOUND</v>
      </c>
      <c r="C327" s="31" t="str">
        <f>IFERROR(__xludf.DUMMYFUNCTION("""COMPUTED_VALUE"""),"User not found")</f>
        <v>User not found</v>
      </c>
      <c r="D327" s="31" t="str">
        <f>IFERROR(__xludf.DUMMYFUNCTION("""COMPUTED_VALUE"""),"Revoked ")</f>
        <v>Revoked </v>
      </c>
      <c r="E327" s="31" t="str">
        <f>IFERROR(__xludf.DUMMYFUNCTION("""COMPUTED_VALUE"""),"No-Need")</f>
        <v>No-Need</v>
      </c>
      <c r="F327" s="31" t="str">
        <f>IFERROR(__xludf.DUMMYFUNCTION("""COMPUTED_VALUE"""),"No-Need")</f>
        <v>No-Need</v>
      </c>
      <c r="G327" s="31" t="str">
        <f>IFERROR(__xludf.DUMMYFUNCTION("""COMPUTED_VALUE"""),"No-Need")</f>
        <v>No-Need</v>
      </c>
      <c r="H327" s="31" t="str">
        <f>IFERROR(__xludf.DUMMYFUNCTION("""COMPUTED_VALUE"""),"govind.mittal@zupee.in")</f>
        <v>govind.mittal@zupee.in</v>
      </c>
      <c r="I327" s="31" t="str">
        <f>IFERROR(__xludf.DUMMYFUNCTION("""COMPUTED_VALUE"""),"Corporate Affairs")</f>
        <v>Corporate Affairs</v>
      </c>
      <c r="J327" s="103">
        <f>IFERROR(__xludf.DUMMYFUNCTION("""COMPUTED_VALUE"""),45989.0)</f>
        <v>45989</v>
      </c>
      <c r="K327" s="31" t="str">
        <f>IFERROR(__xludf.DUMMYFUNCTION("""COMPUTED_VALUE"""),"Conf By Govind Mittal")</f>
        <v>Conf By Govind Mittal</v>
      </c>
    </row>
    <row r="328">
      <c r="A328" s="31" t="str">
        <f>IFERROR(__xludf.DUMMYFUNCTION("""COMPUTED_VALUE"""),"rohan.kochhar@zupee.in")</f>
        <v>rohan.kochhar@zupee.in</v>
      </c>
      <c r="B328" s="31" t="str">
        <f>IFERROR(__xludf.DUMMYFUNCTION("""COMPUTED_VALUE"""),"NOT_FOUND")</f>
        <v>NOT_FOUND</v>
      </c>
      <c r="C328" s="31" t="str">
        <f>IFERROR(__xludf.DUMMYFUNCTION("""COMPUTED_VALUE"""),"User not found")</f>
        <v>User not found</v>
      </c>
      <c r="D328" s="31" t="str">
        <f>IFERROR(__xludf.DUMMYFUNCTION("""COMPUTED_VALUE"""),"Revoked ")</f>
        <v>Revoked </v>
      </c>
      <c r="E328" s="31" t="str">
        <f>IFERROR(__xludf.DUMMYFUNCTION("""COMPUTED_VALUE"""),"No-Need")</f>
        <v>No-Need</v>
      </c>
      <c r="F328" s="31" t="str">
        <f>IFERROR(__xludf.DUMMYFUNCTION("""COMPUTED_VALUE"""),"No-Need")</f>
        <v>No-Need</v>
      </c>
      <c r="G328" s="31" t="str">
        <f>IFERROR(__xludf.DUMMYFUNCTION("""COMPUTED_VALUE"""),"No-Need")</f>
        <v>No-Need</v>
      </c>
      <c r="H328" s="31" t="str">
        <f>IFERROR(__xludf.DUMMYFUNCTION("""COMPUTED_VALUE"""),"govind.mittal@zupee.in")</f>
        <v>govind.mittal@zupee.in</v>
      </c>
      <c r="I328" s="31" t="str">
        <f>IFERROR(__xludf.DUMMYFUNCTION("""COMPUTED_VALUE"""),"Corporate Affairs")</f>
        <v>Corporate Affairs</v>
      </c>
      <c r="J328" s="103">
        <f>IFERROR(__xludf.DUMMYFUNCTION("""COMPUTED_VALUE"""),45989.0)</f>
        <v>45989</v>
      </c>
      <c r="K328" s="31" t="str">
        <f>IFERROR(__xludf.DUMMYFUNCTION("""COMPUTED_VALUE"""),"Conf By Govind Mittal")</f>
        <v>Conf By Govind Mittal</v>
      </c>
    </row>
    <row r="329">
      <c r="A329" s="31" t="str">
        <f>IFERROR(__xludf.DUMMYFUNCTION("""COMPUTED_VALUE"""),"shashwati.ghosh@zupee.in")</f>
        <v>shashwati.ghosh@zupee.in</v>
      </c>
      <c r="B329" s="31" t="str">
        <f>IFERROR(__xludf.DUMMYFUNCTION("""COMPUTED_VALUE"""),"NOT_FOUND")</f>
        <v>NOT_FOUND</v>
      </c>
      <c r="C329" s="31" t="str">
        <f>IFERROR(__xludf.DUMMYFUNCTION("""COMPUTED_VALUE"""),"User not found")</f>
        <v>User not found</v>
      </c>
      <c r="D329" s="31" t="str">
        <f>IFERROR(__xludf.DUMMYFUNCTION("""COMPUTED_VALUE"""),"Revoked ")</f>
        <v>Revoked </v>
      </c>
      <c r="E329" s="31" t="str">
        <f>IFERROR(__xludf.DUMMYFUNCTION("""COMPUTED_VALUE"""),"No-Need")</f>
        <v>No-Need</v>
      </c>
      <c r="F329" s="31" t="str">
        <f>IFERROR(__xludf.DUMMYFUNCTION("""COMPUTED_VALUE"""),"No-Need")</f>
        <v>No-Need</v>
      </c>
      <c r="G329" s="31" t="str">
        <f>IFERROR(__xludf.DUMMYFUNCTION("""COMPUTED_VALUE"""),"No-Need")</f>
        <v>No-Need</v>
      </c>
      <c r="H329" s="31" t="str">
        <f>IFERROR(__xludf.DUMMYFUNCTION("""COMPUTED_VALUE"""),"govind.mittal@zupee.in")</f>
        <v>govind.mittal@zupee.in</v>
      </c>
      <c r="I329" s="31" t="str">
        <f>IFERROR(__xludf.DUMMYFUNCTION("""COMPUTED_VALUE"""),"Corporate Affairs")</f>
        <v>Corporate Affairs</v>
      </c>
      <c r="J329" s="103">
        <f>IFERROR(__xludf.DUMMYFUNCTION("""COMPUTED_VALUE"""),45989.0)</f>
        <v>45989</v>
      </c>
      <c r="K329" s="31" t="str">
        <f>IFERROR(__xludf.DUMMYFUNCTION("""COMPUTED_VALUE"""),"Conf By Govind Mittal")</f>
        <v>Conf By Govind Mittal</v>
      </c>
    </row>
    <row r="330">
      <c r="A330" s="31" t="str">
        <f>IFERROR(__xludf.DUMMYFUNCTION("""COMPUTED_VALUE"""),"vikas.kumar@zupee.in")</f>
        <v>vikas.kumar@zupee.in</v>
      </c>
      <c r="B330" s="31" t="str">
        <f>IFERROR(__xludf.DUMMYFUNCTION("""COMPUTED_VALUE"""),"NOT_FOUND")</f>
        <v>NOT_FOUND</v>
      </c>
      <c r="C330" s="31" t="str">
        <f>IFERROR(__xludf.DUMMYFUNCTION("""COMPUTED_VALUE"""),"User not found")</f>
        <v>User not found</v>
      </c>
      <c r="D330" s="31" t="str">
        <f>IFERROR(__xludf.DUMMYFUNCTION("""COMPUTED_VALUE"""),"Revoked ")</f>
        <v>Revoked </v>
      </c>
      <c r="E330" s="31" t="str">
        <f>IFERROR(__xludf.DUMMYFUNCTION("""COMPUTED_VALUE"""),"No-Need")</f>
        <v>No-Need</v>
      </c>
      <c r="F330" s="31" t="str">
        <f>IFERROR(__xludf.DUMMYFUNCTION("""COMPUTED_VALUE"""),"No-Need")</f>
        <v>No-Need</v>
      </c>
      <c r="G330" s="31" t="str">
        <f>IFERROR(__xludf.DUMMYFUNCTION("""COMPUTED_VALUE"""),"No-Need")</f>
        <v>No-Need</v>
      </c>
      <c r="H330" s="31" t="str">
        <f>IFERROR(__xludf.DUMMYFUNCTION("""COMPUTED_VALUE"""),"govind.mittal@zupee.in")</f>
        <v>govind.mittal@zupee.in</v>
      </c>
      <c r="I330" s="31" t="str">
        <f>IFERROR(__xludf.DUMMYFUNCTION("""COMPUTED_VALUE"""),"Corporate Affairs")</f>
        <v>Corporate Affairs</v>
      </c>
      <c r="J330" s="103">
        <f>IFERROR(__xludf.DUMMYFUNCTION("""COMPUTED_VALUE"""),45989.0)</f>
        <v>45989</v>
      </c>
      <c r="K330" s="31" t="str">
        <f>IFERROR(__xludf.DUMMYFUNCTION("""COMPUTED_VALUE"""),"Conf By Govind Mittal")</f>
        <v>Conf By Govind Mittal</v>
      </c>
    </row>
    <row r="331">
      <c r="A331" s="31" t="str">
        <f>IFERROR(__xludf.DUMMYFUNCTION("""COMPUTED_VALUE"""),"nischay.sabherwal@zupee.in")</f>
        <v>nischay.sabherwal@zupee.in</v>
      </c>
      <c r="B331" s="31" t="str">
        <f>IFERROR(__xludf.DUMMYFUNCTION("""COMPUTED_VALUE"""),"NOT_FOUND")</f>
        <v>NOT_FOUND</v>
      </c>
      <c r="C331" s="31" t="str">
        <f>IFERROR(__xludf.DUMMYFUNCTION("""COMPUTED_VALUE"""),"User not found")</f>
        <v>User not found</v>
      </c>
      <c r="D331" s="31" t="str">
        <f>IFERROR(__xludf.DUMMYFUNCTION("""COMPUTED_VALUE"""),"Revoked ")</f>
        <v>Revoked </v>
      </c>
      <c r="E331" s="31" t="str">
        <f>IFERROR(__xludf.DUMMYFUNCTION("""COMPUTED_VALUE"""),"No-Need")</f>
        <v>No-Need</v>
      </c>
      <c r="F331" s="31" t="str">
        <f>IFERROR(__xludf.DUMMYFUNCTION("""COMPUTED_VALUE"""),"No-Need")</f>
        <v>No-Need</v>
      </c>
      <c r="G331" s="31" t="str">
        <f>IFERROR(__xludf.DUMMYFUNCTION("""COMPUTED_VALUE"""),"No-Need")</f>
        <v>No-Need</v>
      </c>
      <c r="H331" s="31" t="str">
        <f>IFERROR(__xludf.DUMMYFUNCTION("""COMPUTED_VALUE"""),"govind.mittal@zupee.in")</f>
        <v>govind.mittal@zupee.in</v>
      </c>
      <c r="I331" s="31" t="str">
        <f>IFERROR(__xludf.DUMMYFUNCTION("""COMPUTED_VALUE"""),"Corporate Affairs")</f>
        <v>Corporate Affairs</v>
      </c>
      <c r="J331" s="103">
        <f>IFERROR(__xludf.DUMMYFUNCTION("""COMPUTED_VALUE"""),45989.0)</f>
        <v>45989</v>
      </c>
      <c r="K331" s="31" t="str">
        <f>IFERROR(__xludf.DUMMYFUNCTION("""COMPUTED_VALUE"""),"Conf By Govind Mittal")</f>
        <v>Conf By Govind Mittal</v>
      </c>
    </row>
    <row r="332">
      <c r="A332" s="31" t="str">
        <f>IFERROR(__xludf.DUMMYFUNCTION("""COMPUTED_VALUE"""),"raghavv.garg@zupee.in")</f>
        <v>raghavv.garg@zupee.in</v>
      </c>
      <c r="B332" s="31" t="str">
        <f>IFERROR(__xludf.DUMMYFUNCTION("""COMPUTED_VALUE"""),"NOT_FOUND")</f>
        <v>NOT_FOUND</v>
      </c>
      <c r="C332" s="31" t="str">
        <f>IFERROR(__xludf.DUMMYFUNCTION("""COMPUTED_VALUE"""),"User not found")</f>
        <v>User not found</v>
      </c>
      <c r="D332" s="31" t="str">
        <f>IFERROR(__xludf.DUMMYFUNCTION("""COMPUTED_VALUE"""),"Revoked ")</f>
        <v>Revoked </v>
      </c>
      <c r="E332" s="31" t="str">
        <f>IFERROR(__xludf.DUMMYFUNCTION("""COMPUTED_VALUE"""),"No-Need")</f>
        <v>No-Need</v>
      </c>
      <c r="F332" s="31" t="str">
        <f>IFERROR(__xludf.DUMMYFUNCTION("""COMPUTED_VALUE"""),"No-Need")</f>
        <v>No-Need</v>
      </c>
      <c r="G332" s="31" t="str">
        <f>IFERROR(__xludf.DUMMYFUNCTION("""COMPUTED_VALUE"""),"No-Need")</f>
        <v>No-Need</v>
      </c>
      <c r="H332" s="31" t="str">
        <f>IFERROR(__xludf.DUMMYFUNCTION("""COMPUTED_VALUE"""),"govind.mittal@zupee.in")</f>
        <v>govind.mittal@zupee.in</v>
      </c>
      <c r="I332" s="31" t="str">
        <f>IFERROR(__xludf.DUMMYFUNCTION("""COMPUTED_VALUE"""),"Corporate Affairs")</f>
        <v>Corporate Affairs</v>
      </c>
      <c r="J332" s="103">
        <f>IFERROR(__xludf.DUMMYFUNCTION("""COMPUTED_VALUE"""),45989.0)</f>
        <v>45989</v>
      </c>
      <c r="K332" s="31" t="str">
        <f>IFERROR(__xludf.DUMMYFUNCTION("""COMPUTED_VALUE"""),"Conf By Govind Mittal")</f>
        <v>Conf By Govind Mittal</v>
      </c>
    </row>
    <row r="333">
      <c r="A333" s="31" t="str">
        <f>IFERROR(__xludf.DUMMYFUNCTION("""COMPUTED_VALUE"""),"ashwani.rana@zupee.in")</f>
        <v>ashwani.rana@zupee.in</v>
      </c>
      <c r="B333" s="31" t="str">
        <f>IFERROR(__xludf.DUMMYFUNCTION("""COMPUTED_VALUE"""),"NOT_FOUND")</f>
        <v>NOT_FOUND</v>
      </c>
      <c r="C333" s="31" t="str">
        <f>IFERROR(__xludf.DUMMYFUNCTION("""COMPUTED_VALUE"""),"User not found")</f>
        <v>User not found</v>
      </c>
      <c r="D333" s="31" t="str">
        <f>IFERROR(__xludf.DUMMYFUNCTION("""COMPUTED_VALUE"""),"Revoked ")</f>
        <v>Revoked </v>
      </c>
      <c r="E333" s="31" t="str">
        <f>IFERROR(__xludf.DUMMYFUNCTION("""COMPUTED_VALUE"""),"No-Need")</f>
        <v>No-Need</v>
      </c>
      <c r="F333" s="31" t="str">
        <f>IFERROR(__xludf.DUMMYFUNCTION("""COMPUTED_VALUE"""),"No-Need")</f>
        <v>No-Need</v>
      </c>
      <c r="G333" s="31" t="str">
        <f>IFERROR(__xludf.DUMMYFUNCTION("""COMPUTED_VALUE"""),"No-Need")</f>
        <v>No-Need</v>
      </c>
      <c r="H333" s="31" t="str">
        <f>IFERROR(__xludf.DUMMYFUNCTION("""COMPUTED_VALUE"""),"govind.mittal@zupee.in")</f>
        <v>govind.mittal@zupee.in</v>
      </c>
      <c r="I333" s="31" t="str">
        <f>IFERROR(__xludf.DUMMYFUNCTION("""COMPUTED_VALUE"""),"Corporate Affairs")</f>
        <v>Corporate Affairs</v>
      </c>
      <c r="J333" s="103">
        <f>IFERROR(__xludf.DUMMYFUNCTION("""COMPUTED_VALUE"""),45989.0)</f>
        <v>45989</v>
      </c>
      <c r="K333" s="31" t="str">
        <f>IFERROR(__xludf.DUMMYFUNCTION("""COMPUTED_VALUE"""),"Conf By Govind Mittal")</f>
        <v>Conf By Govind Mittal</v>
      </c>
    </row>
    <row r="334">
      <c r="A334" s="31" t="str">
        <f>IFERROR(__xludf.DUMMYFUNCTION("""COMPUTED_VALUE"""),"anupam.kishore@zupee.in")</f>
        <v>anupam.kishore@zupee.in</v>
      </c>
      <c r="B334" s="31" t="str">
        <f>IFERROR(__xludf.DUMMYFUNCTION("""COMPUTED_VALUE"""),"NOT_FOUND")</f>
        <v>NOT_FOUND</v>
      </c>
      <c r="C334" s="31" t="str">
        <f>IFERROR(__xludf.DUMMYFUNCTION("""COMPUTED_VALUE"""),"User not found")</f>
        <v>User not found</v>
      </c>
      <c r="D334" s="31" t="str">
        <f>IFERROR(__xludf.DUMMYFUNCTION("""COMPUTED_VALUE"""),"Revoked ")</f>
        <v>Revoked </v>
      </c>
      <c r="E334" s="31" t="str">
        <f>IFERROR(__xludf.DUMMYFUNCTION("""COMPUTED_VALUE"""),"No-Need")</f>
        <v>No-Need</v>
      </c>
      <c r="F334" s="31" t="str">
        <f>IFERROR(__xludf.DUMMYFUNCTION("""COMPUTED_VALUE"""),"No-Need")</f>
        <v>No-Need</v>
      </c>
      <c r="G334" s="31" t="str">
        <f>IFERROR(__xludf.DUMMYFUNCTION("""COMPUTED_VALUE"""),"No-Need")</f>
        <v>No-Need</v>
      </c>
      <c r="H334" s="31" t="str">
        <f>IFERROR(__xludf.DUMMYFUNCTION("""COMPUTED_VALUE"""),"govind.mittal@zupee.in")</f>
        <v>govind.mittal@zupee.in</v>
      </c>
      <c r="I334" s="31" t="str">
        <f>IFERROR(__xludf.DUMMYFUNCTION("""COMPUTED_VALUE"""),"Corporate Affairs")</f>
        <v>Corporate Affairs</v>
      </c>
      <c r="J334" s="103">
        <f>IFERROR(__xludf.DUMMYFUNCTION("""COMPUTED_VALUE"""),45989.0)</f>
        <v>45989</v>
      </c>
      <c r="K334" s="31" t="str">
        <f>IFERROR(__xludf.DUMMYFUNCTION("""COMPUTED_VALUE"""),"Conf By Govind Mittal")</f>
        <v>Conf By Govind Mittal</v>
      </c>
    </row>
    <row r="335">
      <c r="A335" s="31" t="str">
        <f>IFERROR(__xludf.DUMMYFUNCTION("""COMPUTED_VALUE"""),"apurav.garg@zupee.in")</f>
        <v>apurav.garg@zupee.in</v>
      </c>
      <c r="B335" s="31" t="str">
        <f>IFERROR(__xludf.DUMMYFUNCTION("""COMPUTED_VALUE"""),"NOT_FOUND")</f>
        <v>NOT_FOUND</v>
      </c>
      <c r="C335" s="31" t="str">
        <f>IFERROR(__xludf.DUMMYFUNCTION("""COMPUTED_VALUE"""),"User not found")</f>
        <v>User not found</v>
      </c>
      <c r="D335" s="31" t="str">
        <f>IFERROR(__xludf.DUMMYFUNCTION("""COMPUTED_VALUE"""),"Revoked ")</f>
        <v>Revoked </v>
      </c>
      <c r="E335" s="31" t="str">
        <f>IFERROR(__xludf.DUMMYFUNCTION("""COMPUTED_VALUE"""),"No-Need")</f>
        <v>No-Need</v>
      </c>
      <c r="F335" s="31" t="str">
        <f>IFERROR(__xludf.DUMMYFUNCTION("""COMPUTED_VALUE"""),"No-Need")</f>
        <v>No-Need</v>
      </c>
      <c r="G335" s="31" t="str">
        <f>IFERROR(__xludf.DUMMYFUNCTION("""COMPUTED_VALUE"""),"No-Need")</f>
        <v>No-Need</v>
      </c>
      <c r="H335" s="31" t="str">
        <f>IFERROR(__xludf.DUMMYFUNCTION("""COMPUTED_VALUE"""),"govind.mittal@zupee.in")</f>
        <v>govind.mittal@zupee.in</v>
      </c>
      <c r="I335" s="31" t="str">
        <f>IFERROR(__xludf.DUMMYFUNCTION("""COMPUTED_VALUE"""),"Corporate Affairs")</f>
        <v>Corporate Affairs</v>
      </c>
      <c r="J335" s="103">
        <f>IFERROR(__xludf.DUMMYFUNCTION("""COMPUTED_VALUE"""),45989.0)</f>
        <v>45989</v>
      </c>
      <c r="K335" s="31" t="str">
        <f>IFERROR(__xludf.DUMMYFUNCTION("""COMPUTED_VALUE"""),"Conf By Govind Mittal")</f>
        <v>Conf By Govind Mittal</v>
      </c>
    </row>
    <row r="336">
      <c r="A336" s="31" t="str">
        <f>IFERROR(__xludf.DUMMYFUNCTION("""COMPUTED_VALUE"""),"kailash.lakshmikanth@zupee.in")</f>
        <v>kailash.lakshmikanth@zupee.in</v>
      </c>
      <c r="B336" s="31" t="str">
        <f>IFERROR(__xludf.DUMMYFUNCTION("""COMPUTED_VALUE"""),"NOT_FOUND")</f>
        <v>NOT_FOUND</v>
      </c>
      <c r="C336" s="31" t="str">
        <f>IFERROR(__xludf.DUMMYFUNCTION("""COMPUTED_VALUE"""),"User not found")</f>
        <v>User not found</v>
      </c>
      <c r="D336" s="31" t="str">
        <f>IFERROR(__xludf.DUMMYFUNCTION("""COMPUTED_VALUE"""),"Revoked ")</f>
        <v>Revoked </v>
      </c>
      <c r="E336" s="31" t="str">
        <f>IFERROR(__xludf.DUMMYFUNCTION("""COMPUTED_VALUE"""),"No-Need")</f>
        <v>No-Need</v>
      </c>
      <c r="F336" s="31" t="str">
        <f>IFERROR(__xludf.DUMMYFUNCTION("""COMPUTED_VALUE"""),"No-Need")</f>
        <v>No-Need</v>
      </c>
      <c r="G336" s="31" t="str">
        <f>IFERROR(__xludf.DUMMYFUNCTION("""COMPUTED_VALUE"""),"No-Need")</f>
        <v>No-Need</v>
      </c>
      <c r="H336" s="31" t="str">
        <f>IFERROR(__xludf.DUMMYFUNCTION("""COMPUTED_VALUE"""),"govind.mittal@zupee.in")</f>
        <v>govind.mittal@zupee.in</v>
      </c>
      <c r="I336" s="31" t="str">
        <f>IFERROR(__xludf.DUMMYFUNCTION("""COMPUTED_VALUE"""),"Corporate Affairs")</f>
        <v>Corporate Affairs</v>
      </c>
      <c r="J336" s="103">
        <f>IFERROR(__xludf.DUMMYFUNCTION("""COMPUTED_VALUE"""),45989.0)</f>
        <v>45989</v>
      </c>
      <c r="K336" s="31" t="str">
        <f>IFERROR(__xludf.DUMMYFUNCTION("""COMPUTED_VALUE"""),"Conf By Govind Mittal")</f>
        <v>Conf By Govind Mittal</v>
      </c>
    </row>
    <row r="337">
      <c r="A337" s="31" t="str">
        <f>IFERROR(__xludf.DUMMYFUNCTION("""COMPUTED_VALUE"""),"achla.vatsa@zupee.in")</f>
        <v>achla.vatsa@zupee.in</v>
      </c>
      <c r="B337" s="31" t="str">
        <f>IFERROR(__xludf.DUMMYFUNCTION("""COMPUTED_VALUE"""),"NOT_FOUND")</f>
        <v>NOT_FOUND</v>
      </c>
      <c r="C337" s="31" t="str">
        <f>IFERROR(__xludf.DUMMYFUNCTION("""COMPUTED_VALUE"""),"User not found")</f>
        <v>User not found</v>
      </c>
      <c r="D337" s="31" t="str">
        <f>IFERROR(__xludf.DUMMYFUNCTION("""COMPUTED_VALUE"""),"Revoked ")</f>
        <v>Revoked </v>
      </c>
      <c r="E337" s="31" t="str">
        <f>IFERROR(__xludf.DUMMYFUNCTION("""COMPUTED_VALUE"""),"No-Need")</f>
        <v>No-Need</v>
      </c>
      <c r="F337" s="31" t="str">
        <f>IFERROR(__xludf.DUMMYFUNCTION("""COMPUTED_VALUE"""),"No-Need")</f>
        <v>No-Need</v>
      </c>
      <c r="G337" s="31" t="str">
        <f>IFERROR(__xludf.DUMMYFUNCTION("""COMPUTED_VALUE"""),"No-Need")</f>
        <v>No-Need</v>
      </c>
      <c r="H337" s="31" t="str">
        <f>IFERROR(__xludf.DUMMYFUNCTION("""COMPUTED_VALUE"""),"govind.mittal@zupee.in")</f>
        <v>govind.mittal@zupee.in</v>
      </c>
      <c r="I337" s="31" t="str">
        <f>IFERROR(__xludf.DUMMYFUNCTION("""COMPUTED_VALUE"""),"Corporate Affairs")</f>
        <v>Corporate Affairs</v>
      </c>
      <c r="J337" s="103">
        <f>IFERROR(__xludf.DUMMYFUNCTION("""COMPUTED_VALUE"""),45989.0)</f>
        <v>45989</v>
      </c>
      <c r="K337" s="31" t="str">
        <f>IFERROR(__xludf.DUMMYFUNCTION("""COMPUTED_VALUE"""),"Conf By Govind Mittal")</f>
        <v>Conf By Govind Mittal</v>
      </c>
    </row>
    <row r="338">
      <c r="A338" s="31" t="str">
        <f>IFERROR(__xludf.DUMMYFUNCTION("""COMPUTED_VALUE"""),"raman.bedi@zupee.in")</f>
        <v>raman.bedi@zupee.in</v>
      </c>
      <c r="B338" s="31" t="str">
        <f>IFERROR(__xludf.DUMMYFUNCTION("""COMPUTED_VALUE"""),"NOT_FOUND")</f>
        <v>NOT_FOUND</v>
      </c>
      <c r="C338" s="31" t="str">
        <f>IFERROR(__xludf.DUMMYFUNCTION("""COMPUTED_VALUE"""),"User not found")</f>
        <v>User not found</v>
      </c>
      <c r="D338" s="31" t="str">
        <f>IFERROR(__xludf.DUMMYFUNCTION("""COMPUTED_VALUE"""),"Revoked ")</f>
        <v>Revoked </v>
      </c>
      <c r="E338" s="31" t="str">
        <f>IFERROR(__xludf.DUMMYFUNCTION("""COMPUTED_VALUE"""),"No-Need")</f>
        <v>No-Need</v>
      </c>
      <c r="F338" s="31" t="str">
        <f>IFERROR(__xludf.DUMMYFUNCTION("""COMPUTED_VALUE"""),"No-Need")</f>
        <v>No-Need</v>
      </c>
      <c r="G338" s="31" t="str">
        <f>IFERROR(__xludf.DUMMYFUNCTION("""COMPUTED_VALUE"""),"No-Need")</f>
        <v>No-Need</v>
      </c>
      <c r="H338" s="31" t="str">
        <f>IFERROR(__xludf.DUMMYFUNCTION("""COMPUTED_VALUE"""),"govind.mittal@zupee.in")</f>
        <v>govind.mittal@zupee.in</v>
      </c>
      <c r="I338" s="31" t="str">
        <f>IFERROR(__xludf.DUMMYFUNCTION("""COMPUTED_VALUE"""),"Corporate Affairs")</f>
        <v>Corporate Affairs</v>
      </c>
      <c r="J338" s="103">
        <f>IFERROR(__xludf.DUMMYFUNCTION("""COMPUTED_VALUE"""),45989.0)</f>
        <v>45989</v>
      </c>
      <c r="K338" s="31" t="str">
        <f>IFERROR(__xludf.DUMMYFUNCTION("""COMPUTED_VALUE"""),"Conf By Govind Mittal")</f>
        <v>Conf By Govind Mittal</v>
      </c>
    </row>
    <row r="339">
      <c r="A339" s="31" t="str">
        <f>IFERROR(__xludf.DUMMYFUNCTION("""COMPUTED_VALUE"""),"ashwani.goyal@zupee.in")</f>
        <v>ashwani.goyal@zupee.in</v>
      </c>
      <c r="B339" s="31" t="str">
        <f>IFERROR(__xludf.DUMMYFUNCTION("""COMPUTED_VALUE"""),"NOT_FOUND")</f>
        <v>NOT_FOUND</v>
      </c>
      <c r="C339" s="31" t="str">
        <f>IFERROR(__xludf.DUMMYFUNCTION("""COMPUTED_VALUE"""),"User not found")</f>
        <v>User not found</v>
      </c>
      <c r="D339" s="31" t="str">
        <f>IFERROR(__xludf.DUMMYFUNCTION("""COMPUTED_VALUE"""),"Revoked ")</f>
        <v>Revoked </v>
      </c>
      <c r="E339" s="31" t="str">
        <f>IFERROR(__xludf.DUMMYFUNCTION("""COMPUTED_VALUE"""),"No-Need")</f>
        <v>No-Need</v>
      </c>
      <c r="F339" s="31" t="str">
        <f>IFERROR(__xludf.DUMMYFUNCTION("""COMPUTED_VALUE"""),"No-Need")</f>
        <v>No-Need</v>
      </c>
      <c r="G339" s="31" t="str">
        <f>IFERROR(__xludf.DUMMYFUNCTION("""COMPUTED_VALUE"""),"No-Need")</f>
        <v>No-Need</v>
      </c>
      <c r="H339" s="31" t="str">
        <f>IFERROR(__xludf.DUMMYFUNCTION("""COMPUTED_VALUE"""),"govind.mittal@zupee.in")</f>
        <v>govind.mittal@zupee.in</v>
      </c>
      <c r="I339" s="31" t="str">
        <f>IFERROR(__xludf.DUMMYFUNCTION("""COMPUTED_VALUE"""),"Corporate Affairs")</f>
        <v>Corporate Affairs</v>
      </c>
      <c r="J339" s="103">
        <f>IFERROR(__xludf.DUMMYFUNCTION("""COMPUTED_VALUE"""),45989.0)</f>
        <v>45989</v>
      </c>
      <c r="K339" s="31" t="str">
        <f>IFERROR(__xludf.DUMMYFUNCTION("""COMPUTED_VALUE"""),"Conf By Govind Mittal")</f>
        <v>Conf By Govind Mittal</v>
      </c>
    </row>
    <row r="340">
      <c r="A340" s="31" t="str">
        <f>IFERROR(__xludf.DUMMYFUNCTION("""COMPUTED_VALUE"""),"somanshu.suran@zupee.in")</f>
        <v>somanshu.suran@zupee.in</v>
      </c>
      <c r="B340" s="31" t="str">
        <f>IFERROR(__xludf.DUMMYFUNCTION("""COMPUTED_VALUE"""),"NOT_FOUND")</f>
        <v>NOT_FOUND</v>
      </c>
      <c r="C340" s="31" t="str">
        <f>IFERROR(__xludf.DUMMYFUNCTION("""COMPUTED_VALUE"""),"User not found")</f>
        <v>User not found</v>
      </c>
      <c r="D340" s="31" t="str">
        <f>IFERROR(__xludf.DUMMYFUNCTION("""COMPUTED_VALUE"""),"Revoked ")</f>
        <v>Revoked </v>
      </c>
      <c r="E340" s="31" t="str">
        <f>IFERROR(__xludf.DUMMYFUNCTION("""COMPUTED_VALUE"""),"No-Need")</f>
        <v>No-Need</v>
      </c>
      <c r="F340" s="31" t="str">
        <f>IFERROR(__xludf.DUMMYFUNCTION("""COMPUTED_VALUE"""),"No-Need")</f>
        <v>No-Need</v>
      </c>
      <c r="G340" s="31" t="str">
        <f>IFERROR(__xludf.DUMMYFUNCTION("""COMPUTED_VALUE"""),"No-Need")</f>
        <v>No-Need</v>
      </c>
      <c r="H340" s="31" t="str">
        <f>IFERROR(__xludf.DUMMYFUNCTION("""COMPUTED_VALUE"""),"govind.mittal@zupee.in")</f>
        <v>govind.mittal@zupee.in</v>
      </c>
      <c r="I340" s="31" t="str">
        <f>IFERROR(__xludf.DUMMYFUNCTION("""COMPUTED_VALUE"""),"Corporate Affairs")</f>
        <v>Corporate Affairs</v>
      </c>
      <c r="J340" s="103">
        <f>IFERROR(__xludf.DUMMYFUNCTION("""COMPUTED_VALUE"""),45989.0)</f>
        <v>45989</v>
      </c>
      <c r="K340" s="31" t="str">
        <f>IFERROR(__xludf.DUMMYFUNCTION("""COMPUTED_VALUE"""),"Conf By Govind Mittal")</f>
        <v>Conf By Govind Mittal</v>
      </c>
    </row>
    <row r="341">
      <c r="A341" s="31" t="str">
        <f>IFERROR(__xludf.DUMMYFUNCTION("""COMPUTED_VALUE"""),"vartin.jain@zupee.in")</f>
        <v>vartin.jain@zupee.in</v>
      </c>
      <c r="B341" s="31" t="str">
        <f>IFERROR(__xludf.DUMMYFUNCTION("""COMPUTED_VALUE"""),"NOT_FOUND")</f>
        <v>NOT_FOUND</v>
      </c>
      <c r="C341" s="31" t="str">
        <f>IFERROR(__xludf.DUMMYFUNCTION("""COMPUTED_VALUE"""),"User not found")</f>
        <v>User not found</v>
      </c>
      <c r="D341" s="31" t="str">
        <f>IFERROR(__xludf.DUMMYFUNCTION("""COMPUTED_VALUE"""),"Revoked ")</f>
        <v>Revoked </v>
      </c>
      <c r="E341" s="31" t="str">
        <f>IFERROR(__xludf.DUMMYFUNCTION("""COMPUTED_VALUE"""),"No-Need")</f>
        <v>No-Need</v>
      </c>
      <c r="F341" s="31" t="str">
        <f>IFERROR(__xludf.DUMMYFUNCTION("""COMPUTED_VALUE"""),"No-Need")</f>
        <v>No-Need</v>
      </c>
      <c r="G341" s="31" t="str">
        <f>IFERROR(__xludf.DUMMYFUNCTION("""COMPUTED_VALUE"""),"No-Need")</f>
        <v>No-Need</v>
      </c>
      <c r="H341" s="31" t="str">
        <f>IFERROR(__xludf.DUMMYFUNCTION("""COMPUTED_VALUE"""),"govind.mittal@zupee.in")</f>
        <v>govind.mittal@zupee.in</v>
      </c>
      <c r="I341" s="31" t="str">
        <f>IFERROR(__xludf.DUMMYFUNCTION("""COMPUTED_VALUE"""),"Corporate Affairs")</f>
        <v>Corporate Affairs</v>
      </c>
      <c r="J341" s="103">
        <f>IFERROR(__xludf.DUMMYFUNCTION("""COMPUTED_VALUE"""),45989.0)</f>
        <v>45989</v>
      </c>
      <c r="K341" s="31" t="str">
        <f>IFERROR(__xludf.DUMMYFUNCTION("""COMPUTED_VALUE"""),"Conf By Govind Mittal")</f>
        <v>Conf By Govind Mittal</v>
      </c>
    </row>
    <row r="342">
      <c r="A342" s="31" t="str">
        <f>IFERROR(__xludf.DUMMYFUNCTION("""COMPUTED_VALUE"""),"dmarc.report@tezrummy.com")</f>
        <v>dmarc.report@tezrummy.com</v>
      </c>
      <c r="B342" s="31" t="str">
        <f>IFERROR(__xludf.DUMMYFUNCTION("""COMPUTED_VALUE"""),"NOT_FOUND")</f>
        <v>NOT_FOUND</v>
      </c>
      <c r="C342" s="31" t="str">
        <f>IFERROR(__xludf.DUMMYFUNCTION("""COMPUTED_VALUE"""),"User not found")</f>
        <v>User not found</v>
      </c>
      <c r="D342" s="31" t="str">
        <f>IFERROR(__xludf.DUMMYFUNCTION("""COMPUTED_VALUE"""),"Revoked ")</f>
        <v>Revoked </v>
      </c>
      <c r="E342" s="31" t="str">
        <f>IFERROR(__xludf.DUMMYFUNCTION("""COMPUTED_VALUE"""),"No-Need")</f>
        <v>No-Need</v>
      </c>
      <c r="F342" s="31" t="str">
        <f>IFERROR(__xludf.DUMMYFUNCTION("""COMPUTED_VALUE"""),"No-Need")</f>
        <v>No-Need</v>
      </c>
      <c r="G342" s="31" t="str">
        <f>IFERROR(__xludf.DUMMYFUNCTION("""COMPUTED_VALUE"""),"No-Need")</f>
        <v>No-Need</v>
      </c>
      <c r="H342" s="31" t="str">
        <f>IFERROR(__xludf.DUMMYFUNCTION("""COMPUTED_VALUE"""),"N/A")</f>
        <v>N/A</v>
      </c>
      <c r="I342" s="31" t="str">
        <f>IFERROR(__xludf.DUMMYFUNCTION("""COMPUTED_VALUE"""),"Generic ID")</f>
        <v>Generic ID</v>
      </c>
      <c r="J342" s="103">
        <f>IFERROR(__xludf.DUMMYFUNCTION("""COMPUTED_VALUE"""),45989.0)</f>
        <v>45989</v>
      </c>
      <c r="K342" s="104" t="str">
        <f>IFERROR(__xludf.DUMMYFUNCTION("""COMPUTED_VALUE"""),"Confrm By Rajkumar")</f>
        <v>Confrm By Rajkumar</v>
      </c>
    </row>
    <row r="343">
      <c r="A343" s="31" t="str">
        <f>IFERROR(__xludf.DUMMYFUNCTION("""COMPUTED_VALUE"""),"dmarc.report@zupee.in")</f>
        <v>dmarc.report@zupee.in</v>
      </c>
      <c r="B343" s="31" t="str">
        <f>IFERROR(__xludf.DUMMYFUNCTION("""COMPUTED_VALUE"""),"NOT_FOUND")</f>
        <v>NOT_FOUND</v>
      </c>
      <c r="C343" s="31" t="str">
        <f>IFERROR(__xludf.DUMMYFUNCTION("""COMPUTED_VALUE"""),"User not found")</f>
        <v>User not found</v>
      </c>
      <c r="D343" s="31" t="str">
        <f>IFERROR(__xludf.DUMMYFUNCTION("""COMPUTED_VALUE"""),"Revoked ")</f>
        <v>Revoked </v>
      </c>
      <c r="E343" s="31" t="str">
        <f>IFERROR(__xludf.DUMMYFUNCTION("""COMPUTED_VALUE"""),"No-Need")</f>
        <v>No-Need</v>
      </c>
      <c r="F343" s="31" t="str">
        <f>IFERROR(__xludf.DUMMYFUNCTION("""COMPUTED_VALUE"""),"No-Need")</f>
        <v>No-Need</v>
      </c>
      <c r="G343" s="31" t="str">
        <f>IFERROR(__xludf.DUMMYFUNCTION("""COMPUTED_VALUE"""),"No-Need")</f>
        <v>No-Need</v>
      </c>
      <c r="H343" s="31" t="str">
        <f>IFERROR(__xludf.DUMMYFUNCTION("""COMPUTED_VALUE"""),"N/A")</f>
        <v>N/A</v>
      </c>
      <c r="I343" s="31" t="str">
        <f>IFERROR(__xludf.DUMMYFUNCTION("""COMPUTED_VALUE"""),"Generic ID")</f>
        <v>Generic ID</v>
      </c>
      <c r="J343" s="103">
        <f>IFERROR(__xludf.DUMMYFUNCTION("""COMPUTED_VALUE"""),45989.0)</f>
        <v>45989</v>
      </c>
      <c r="K343" s="104" t="str">
        <f>IFERROR(__xludf.DUMMYFUNCTION("""COMPUTED_VALUE"""),"Confrm By Rajkumar")</f>
        <v>Confrm By Rajkumar</v>
      </c>
    </row>
    <row r="344">
      <c r="A344" s="31" t="str">
        <f>IFERROR(__xludf.DUMMYFUNCTION("""COMPUTED_VALUE"""),"dmarc.report@neoastro.com")</f>
        <v>dmarc.report@neoastro.com</v>
      </c>
      <c r="B344" s="31" t="str">
        <f>IFERROR(__xludf.DUMMYFUNCTION("""COMPUTED_VALUE"""),"NOT_FOUND")</f>
        <v>NOT_FOUND</v>
      </c>
      <c r="C344" s="31" t="str">
        <f>IFERROR(__xludf.DUMMYFUNCTION("""COMPUTED_VALUE"""),"User not found")</f>
        <v>User not found</v>
      </c>
      <c r="D344" s="31" t="str">
        <f>IFERROR(__xludf.DUMMYFUNCTION("""COMPUTED_VALUE"""),"Revoked ")</f>
        <v>Revoked </v>
      </c>
      <c r="E344" s="31" t="str">
        <f>IFERROR(__xludf.DUMMYFUNCTION("""COMPUTED_VALUE"""),"No-Need")</f>
        <v>No-Need</v>
      </c>
      <c r="F344" s="31" t="str">
        <f>IFERROR(__xludf.DUMMYFUNCTION("""COMPUTED_VALUE"""),"No-Need")</f>
        <v>No-Need</v>
      </c>
      <c r="G344" s="31" t="str">
        <f>IFERROR(__xludf.DUMMYFUNCTION("""COMPUTED_VALUE"""),"No-Need")</f>
        <v>No-Need</v>
      </c>
      <c r="H344" s="31" t="str">
        <f>IFERROR(__xludf.DUMMYFUNCTION("""COMPUTED_VALUE"""),"N/A")</f>
        <v>N/A</v>
      </c>
      <c r="I344" s="31" t="str">
        <f>IFERROR(__xludf.DUMMYFUNCTION("""COMPUTED_VALUE"""),"Generic ID")</f>
        <v>Generic ID</v>
      </c>
      <c r="J344" s="103">
        <f>IFERROR(__xludf.DUMMYFUNCTION("""COMPUTED_VALUE"""),45989.0)</f>
        <v>45989</v>
      </c>
      <c r="K344" s="104" t="str">
        <f>IFERROR(__xludf.DUMMYFUNCTION("""COMPUTED_VALUE"""),"Confrm By Rajkumar")</f>
        <v>Confrm By Rajkumar</v>
      </c>
    </row>
    <row r="345">
      <c r="A345" s="31" t="str">
        <f>IFERROR(__xludf.DUMMYFUNCTION("""COMPUTED_VALUE"""),"dmarc.report@moneyearningsways.com")</f>
        <v>dmarc.report@moneyearningsways.com</v>
      </c>
      <c r="B345" s="31" t="str">
        <f>IFERROR(__xludf.DUMMYFUNCTION("""COMPUTED_VALUE"""),"NOT_FOUND")</f>
        <v>NOT_FOUND</v>
      </c>
      <c r="C345" s="31" t="str">
        <f>IFERROR(__xludf.DUMMYFUNCTION("""COMPUTED_VALUE"""),"User not found")</f>
        <v>User not found</v>
      </c>
      <c r="D345" s="31" t="str">
        <f>IFERROR(__xludf.DUMMYFUNCTION("""COMPUTED_VALUE"""),"Revoked ")</f>
        <v>Revoked </v>
      </c>
      <c r="E345" s="31" t="str">
        <f>IFERROR(__xludf.DUMMYFUNCTION("""COMPUTED_VALUE"""),"No-Need")</f>
        <v>No-Need</v>
      </c>
      <c r="F345" s="31" t="str">
        <f>IFERROR(__xludf.DUMMYFUNCTION("""COMPUTED_VALUE"""),"No-Need")</f>
        <v>No-Need</v>
      </c>
      <c r="G345" s="31" t="str">
        <f>IFERROR(__xludf.DUMMYFUNCTION("""COMPUTED_VALUE"""),"No-Need")</f>
        <v>No-Need</v>
      </c>
      <c r="H345" s="31" t="str">
        <f>IFERROR(__xludf.DUMMYFUNCTION("""COMPUTED_VALUE"""),"N/A")</f>
        <v>N/A</v>
      </c>
      <c r="I345" s="31" t="str">
        <f>IFERROR(__xludf.DUMMYFUNCTION("""COMPUTED_VALUE"""),"Generic ID")</f>
        <v>Generic ID</v>
      </c>
      <c r="J345" s="103">
        <f>IFERROR(__xludf.DUMMYFUNCTION("""COMPUTED_VALUE"""),45989.0)</f>
        <v>45989</v>
      </c>
      <c r="K345" s="104" t="str">
        <f>IFERROR(__xludf.DUMMYFUNCTION("""COMPUTED_VALUE"""),"Confrm By Rajkumar")</f>
        <v>Confrm By Rajkumar</v>
      </c>
    </row>
    <row r="346">
      <c r="A346" s="31" t="str">
        <f>IFERROR(__xludf.DUMMYFUNCTION("""COMPUTED_VALUE"""),"test.it@zupee.in")</f>
        <v>test.it@zupee.in</v>
      </c>
      <c r="B346" s="31" t="str">
        <f>IFERROR(__xludf.DUMMYFUNCTION("""COMPUTED_VALUE"""),"NOT_FOUND")</f>
        <v>NOT_FOUND</v>
      </c>
      <c r="C346" s="31" t="str">
        <f>IFERROR(__xludf.DUMMYFUNCTION("""COMPUTED_VALUE"""),"User not found")</f>
        <v>User not found</v>
      </c>
      <c r="D346" s="31" t="str">
        <f>IFERROR(__xludf.DUMMYFUNCTION("""COMPUTED_VALUE"""),"Revoked ")</f>
        <v>Revoked </v>
      </c>
      <c r="E346" s="31" t="str">
        <f>IFERROR(__xludf.DUMMYFUNCTION("""COMPUTED_VALUE"""),"No-Need")</f>
        <v>No-Need</v>
      </c>
      <c r="F346" s="31" t="str">
        <f>IFERROR(__xludf.DUMMYFUNCTION("""COMPUTED_VALUE"""),"No-Need")</f>
        <v>No-Need</v>
      </c>
      <c r="G346" s="31" t="str">
        <f>IFERROR(__xludf.DUMMYFUNCTION("""COMPUTED_VALUE"""),"No-Need")</f>
        <v>No-Need</v>
      </c>
      <c r="H346" s="31" t="str">
        <f>IFERROR(__xludf.DUMMYFUNCTION("""COMPUTED_VALUE"""),"N/A")</f>
        <v>N/A</v>
      </c>
      <c r="I346" s="31" t="str">
        <f>IFERROR(__xludf.DUMMYFUNCTION("""COMPUTED_VALUE"""),"Generic ID")</f>
        <v>Generic ID</v>
      </c>
      <c r="J346" s="103">
        <f>IFERROR(__xludf.DUMMYFUNCTION("""COMPUTED_VALUE"""),45989.0)</f>
        <v>45989</v>
      </c>
      <c r="K346" s="104" t="str">
        <f>IFERROR(__xludf.DUMMYFUNCTION("""COMPUTED_VALUE"""),"Confrm By Rajkumar")</f>
        <v>Confrm By Rajkumar</v>
      </c>
    </row>
    <row r="347">
      <c r="A347" s="31" t="str">
        <f>IFERROR(__xludf.DUMMYFUNCTION("""COMPUTED_VALUE"""),"vedank.goyal@zupee.in")</f>
        <v>vedank.goyal@zupee.in</v>
      </c>
      <c r="B347" s="31" t="str">
        <f>IFERROR(__xludf.DUMMYFUNCTION("""COMPUTED_VALUE"""),"NOT_FOUND")</f>
        <v>NOT_FOUND</v>
      </c>
      <c r="C347" s="31" t="str">
        <f>IFERROR(__xludf.DUMMYFUNCTION("""COMPUTED_VALUE"""),"User not found")</f>
        <v>User not found</v>
      </c>
      <c r="D347" s="31" t="str">
        <f>IFERROR(__xludf.DUMMYFUNCTION("""COMPUTED_VALUE"""),"LWD")</f>
        <v>LWD</v>
      </c>
      <c r="E347" s="31" t="str">
        <f>IFERROR(__xludf.DUMMYFUNCTION("""COMPUTED_VALUE"""),"No-Need")</f>
        <v>No-Need</v>
      </c>
      <c r="F347" s="31" t="str">
        <f>IFERROR(__xludf.DUMMYFUNCTION("""COMPUTED_VALUE"""),"No-Need")</f>
        <v>No-Need</v>
      </c>
      <c r="G347" s="31" t="str">
        <f>IFERROR(__xludf.DUMMYFUNCTION("""COMPUTED_VALUE"""),"No-Need")</f>
        <v>No-Need</v>
      </c>
      <c r="H347" s="31" t="str">
        <f>IFERROR(__xludf.DUMMYFUNCTION("""COMPUTED_VALUE"""),"N/A")</f>
        <v>N/A</v>
      </c>
      <c r="I347" s="31" t="str">
        <f>IFERROR(__xludf.DUMMYFUNCTION("""COMPUTED_VALUE"""),"LWD")</f>
        <v>LWD</v>
      </c>
      <c r="J347" s="31"/>
      <c r="K347" s="31"/>
    </row>
    <row r="348">
      <c r="A348" s="31" t="str">
        <f>IFERROR(__xludf.DUMMYFUNCTION("""COMPUTED_VALUE"""),"reetik.rajan@zupee.in")</f>
        <v>reetik.rajan@zupee.in</v>
      </c>
      <c r="B348" s="31" t="str">
        <f>IFERROR(__xludf.DUMMYFUNCTION("""COMPUTED_VALUE"""),"NOT_FOUND")</f>
        <v>NOT_FOUND</v>
      </c>
      <c r="C348" s="31" t="str">
        <f>IFERROR(__xludf.DUMMYFUNCTION("""COMPUTED_VALUE"""),"User not found")</f>
        <v>User not found</v>
      </c>
      <c r="D348" s="31" t="str">
        <f>IFERROR(__xludf.DUMMYFUNCTION("""COMPUTED_VALUE"""),"LWD")</f>
        <v>LWD</v>
      </c>
      <c r="E348" s="31" t="str">
        <f>IFERROR(__xludf.DUMMYFUNCTION("""COMPUTED_VALUE"""),"No-Need")</f>
        <v>No-Need</v>
      </c>
      <c r="F348" s="31" t="str">
        <f>IFERROR(__xludf.DUMMYFUNCTION("""COMPUTED_VALUE"""),"No-Need")</f>
        <v>No-Need</v>
      </c>
      <c r="G348" s="31" t="str">
        <f>IFERROR(__xludf.DUMMYFUNCTION("""COMPUTED_VALUE"""),"No-Need")</f>
        <v>No-Need</v>
      </c>
      <c r="H348" s="31" t="str">
        <f>IFERROR(__xludf.DUMMYFUNCTION("""COMPUTED_VALUE"""),"N/A")</f>
        <v>N/A</v>
      </c>
      <c r="I348" s="31" t="str">
        <f>IFERROR(__xludf.DUMMYFUNCTION("""COMPUTED_VALUE"""),"LWD")</f>
        <v>LWD</v>
      </c>
      <c r="J348" s="31"/>
      <c r="K348" s="31"/>
    </row>
    <row r="349">
      <c r="A349" s="31" t="str">
        <f>IFERROR(__xludf.DUMMYFUNCTION("""COMPUTED_VALUE"""),"abhinav.shandilya@zupee.in")</f>
        <v>abhinav.shandilya@zupee.in</v>
      </c>
      <c r="B349" s="31" t="str">
        <f>IFERROR(__xludf.DUMMYFUNCTION("""COMPUTED_VALUE"""),"NOT_FOUND")</f>
        <v>NOT_FOUND</v>
      </c>
      <c r="C349" s="31" t="str">
        <f>IFERROR(__xludf.DUMMYFUNCTION("""COMPUTED_VALUE"""),"User not found")</f>
        <v>User not found</v>
      </c>
      <c r="D349" s="31" t="str">
        <f>IFERROR(__xludf.DUMMYFUNCTION("""COMPUTED_VALUE"""),"LWD")</f>
        <v>LWD</v>
      </c>
      <c r="E349" s="31" t="str">
        <f>IFERROR(__xludf.DUMMYFUNCTION("""COMPUTED_VALUE"""),"No-Need")</f>
        <v>No-Need</v>
      </c>
      <c r="F349" s="31" t="str">
        <f>IFERROR(__xludf.DUMMYFUNCTION("""COMPUTED_VALUE"""),"No-Need")</f>
        <v>No-Need</v>
      </c>
      <c r="G349" s="31" t="str">
        <f>IFERROR(__xludf.DUMMYFUNCTION("""COMPUTED_VALUE"""),"No-Need")</f>
        <v>No-Need</v>
      </c>
      <c r="H349" s="31" t="str">
        <f>IFERROR(__xludf.DUMMYFUNCTION("""COMPUTED_VALUE"""),"N/A")</f>
        <v>N/A</v>
      </c>
      <c r="I349" s="31" t="str">
        <f>IFERROR(__xludf.DUMMYFUNCTION("""COMPUTED_VALUE"""),"LWD")</f>
        <v>LWD</v>
      </c>
      <c r="J349" s="31"/>
      <c r="K349" s="31"/>
    </row>
    <row r="350">
      <c r="A350" s="31" t="str">
        <f>IFERROR(__xludf.DUMMYFUNCTION("""COMPUTED_VALUE"""),"parth.jindal@zupee.in")</f>
        <v>parth.jindal@zupee.in</v>
      </c>
      <c r="B350" s="31" t="str">
        <f>IFERROR(__xludf.DUMMYFUNCTION("""COMPUTED_VALUE"""),"NOT_FOUND")</f>
        <v>NOT_FOUND</v>
      </c>
      <c r="C350" s="31" t="str">
        <f>IFERROR(__xludf.DUMMYFUNCTION("""COMPUTED_VALUE"""),"User not found")</f>
        <v>User not found</v>
      </c>
      <c r="D350" s="31" t="str">
        <f>IFERROR(__xludf.DUMMYFUNCTION("""COMPUTED_VALUE"""),"LWD")</f>
        <v>LWD</v>
      </c>
      <c r="E350" s="31" t="str">
        <f>IFERROR(__xludf.DUMMYFUNCTION("""COMPUTED_VALUE"""),"No-Need")</f>
        <v>No-Need</v>
      </c>
      <c r="F350" s="31" t="str">
        <f>IFERROR(__xludf.DUMMYFUNCTION("""COMPUTED_VALUE"""),"No-Need")</f>
        <v>No-Need</v>
      </c>
      <c r="G350" s="31" t="str">
        <f>IFERROR(__xludf.DUMMYFUNCTION("""COMPUTED_VALUE"""),"No-Need")</f>
        <v>No-Need</v>
      </c>
      <c r="H350" s="31" t="str">
        <f>IFERROR(__xludf.DUMMYFUNCTION("""COMPUTED_VALUE"""),"N/A")</f>
        <v>N/A</v>
      </c>
      <c r="I350" s="31" t="str">
        <f>IFERROR(__xludf.DUMMYFUNCTION("""COMPUTED_VALUE"""),"LWD")</f>
        <v>LWD</v>
      </c>
      <c r="J350" s="31"/>
      <c r="K350" s="31"/>
    </row>
    <row r="351">
      <c r="A351" s="31" t="str">
        <f>IFERROR(__xludf.DUMMYFUNCTION("""COMPUTED_VALUE"""),"shivam.sharma@zupee.in")</f>
        <v>shivam.sharma@zupee.in</v>
      </c>
      <c r="B351" s="31" t="str">
        <f>IFERROR(__xludf.DUMMYFUNCTION("""COMPUTED_VALUE"""),"NOT_FOUND")</f>
        <v>NOT_FOUND</v>
      </c>
      <c r="C351" s="31" t="str">
        <f>IFERROR(__xludf.DUMMYFUNCTION("""COMPUTED_VALUE"""),"User not found")</f>
        <v>User not found</v>
      </c>
      <c r="D351" s="31" t="str">
        <f>IFERROR(__xludf.DUMMYFUNCTION("""COMPUTED_VALUE"""),"LWD")</f>
        <v>LWD</v>
      </c>
      <c r="E351" s="31" t="str">
        <f>IFERROR(__xludf.DUMMYFUNCTION("""COMPUTED_VALUE"""),"No-Need")</f>
        <v>No-Need</v>
      </c>
      <c r="F351" s="31" t="str">
        <f>IFERROR(__xludf.DUMMYFUNCTION("""COMPUTED_VALUE"""),"No-Need")</f>
        <v>No-Need</v>
      </c>
      <c r="G351" s="31" t="str">
        <f>IFERROR(__xludf.DUMMYFUNCTION("""COMPUTED_VALUE"""),"No-Need")</f>
        <v>No-Need</v>
      </c>
      <c r="H351" s="31" t="str">
        <f>IFERROR(__xludf.DUMMYFUNCTION("""COMPUTED_VALUE"""),"N/A")</f>
        <v>N/A</v>
      </c>
      <c r="I351" s="31" t="str">
        <f>IFERROR(__xludf.DUMMYFUNCTION("""COMPUTED_VALUE"""),"LWD")</f>
        <v>LWD</v>
      </c>
      <c r="J351" s="31"/>
      <c r="K351" s="31"/>
    </row>
    <row r="352">
      <c r="A352" s="31" t="str">
        <f>IFERROR(__xludf.DUMMYFUNCTION("""COMPUTED_VALUE"""),"armaan.nayyar@zupee.in")</f>
        <v>armaan.nayyar@zupee.in</v>
      </c>
      <c r="B352" s="31" t="str">
        <f>IFERROR(__xludf.DUMMYFUNCTION("""COMPUTED_VALUE"""),"NOT_FOUND")</f>
        <v>NOT_FOUND</v>
      </c>
      <c r="C352" s="31" t="str">
        <f>IFERROR(__xludf.DUMMYFUNCTION("""COMPUTED_VALUE"""),"User not found")</f>
        <v>User not found</v>
      </c>
      <c r="D352" s="31" t="str">
        <f>IFERROR(__xludf.DUMMYFUNCTION("""COMPUTED_VALUE"""),"Revoked ")</f>
        <v>Revoked </v>
      </c>
      <c r="E352" s="31" t="str">
        <f>IFERROR(__xludf.DUMMYFUNCTION("""COMPUTED_VALUE"""),"No-Need")</f>
        <v>No-Need</v>
      </c>
      <c r="F352" s="31" t="str">
        <f>IFERROR(__xludf.DUMMYFUNCTION("""COMPUTED_VALUE"""),"No-Need")</f>
        <v>No-Need</v>
      </c>
      <c r="G352" s="31" t="str">
        <f>IFERROR(__xludf.DUMMYFUNCTION("""COMPUTED_VALUE"""),"No-Need")</f>
        <v>No-Need</v>
      </c>
      <c r="H352" s="31" t="str">
        <f>IFERROR(__xludf.DUMMYFUNCTION("""COMPUTED_VALUE"""),"N/A")</f>
        <v>N/A</v>
      </c>
      <c r="I352" s="31" t="str">
        <f>IFERROR(__xludf.DUMMYFUNCTION("""COMPUTED_VALUE"""),"Technology")</f>
        <v>Technology</v>
      </c>
      <c r="J352" s="103">
        <f>IFERROR(__xludf.DUMMYFUNCTION("""COMPUTED_VALUE"""),46010.0)</f>
        <v>46010</v>
      </c>
      <c r="K352" s="31"/>
    </row>
    <row r="353">
      <c r="A353" s="31" t="str">
        <f>IFERROR(__xludf.DUMMYFUNCTION("""COMPUTED_VALUE"""),"piyush.maurya@zupee.in")</f>
        <v>piyush.maurya@zupee.in</v>
      </c>
      <c r="B353" s="31" t="str">
        <f>IFERROR(__xludf.DUMMYFUNCTION("""COMPUTED_VALUE"""),"NOT_FOUND")</f>
        <v>NOT_FOUND</v>
      </c>
      <c r="C353" s="31" t="str">
        <f>IFERROR(__xludf.DUMMYFUNCTION("""COMPUTED_VALUE"""),"User not found")</f>
        <v>User not found</v>
      </c>
      <c r="D353" s="31" t="str">
        <f>IFERROR(__xludf.DUMMYFUNCTION("""COMPUTED_VALUE"""),"Revoked ")</f>
        <v>Revoked </v>
      </c>
      <c r="E353" s="31" t="str">
        <f>IFERROR(__xludf.DUMMYFUNCTION("""COMPUTED_VALUE"""),"No-Need")</f>
        <v>No-Need</v>
      </c>
      <c r="F353" s="31" t="str">
        <f>IFERROR(__xludf.DUMMYFUNCTION("""COMPUTED_VALUE"""),"No-Need")</f>
        <v>No-Need</v>
      </c>
      <c r="G353" s="31" t="str">
        <f>IFERROR(__xludf.DUMMYFUNCTION("""COMPUTED_VALUE"""),"No-Need")</f>
        <v>No-Need</v>
      </c>
      <c r="H353" s="31" t="str">
        <f>IFERROR(__xludf.DUMMYFUNCTION("""COMPUTED_VALUE"""),"N/A")</f>
        <v>N/A</v>
      </c>
      <c r="I353" s="31" t="str">
        <f>IFERROR(__xludf.DUMMYFUNCTION("""COMPUTED_VALUE"""),"Technology")</f>
        <v>Technology</v>
      </c>
      <c r="J353" s="103">
        <f>IFERROR(__xludf.DUMMYFUNCTION("""COMPUTED_VALUE"""),46010.0)</f>
        <v>46010</v>
      </c>
      <c r="K353" s="31"/>
    </row>
    <row r="354">
      <c r="A354" s="31" t="str">
        <f>IFERROR(__xludf.DUMMYFUNCTION("""COMPUTED_VALUE"""),"rijul.sharma@zupee.in")</f>
        <v>rijul.sharma@zupee.in</v>
      </c>
      <c r="B354" s="31" t="str">
        <f>IFERROR(__xludf.DUMMYFUNCTION("""COMPUTED_VALUE"""),"NOT_FOUND")</f>
        <v>NOT_FOUND</v>
      </c>
      <c r="C354" s="31" t="str">
        <f>IFERROR(__xludf.DUMMYFUNCTION("""COMPUTED_VALUE"""),"User not found")</f>
        <v>User not found</v>
      </c>
      <c r="D354" s="31" t="str">
        <f>IFERROR(__xludf.DUMMYFUNCTION("""COMPUTED_VALUE"""),"Revoked ")</f>
        <v>Revoked </v>
      </c>
      <c r="E354" s="31" t="str">
        <f>IFERROR(__xludf.DUMMYFUNCTION("""COMPUTED_VALUE"""),"nikhil.gupta@zupee.in")</f>
        <v>nikhil.gupta@zupee.in</v>
      </c>
      <c r="F354" s="31" t="str">
        <f>IFERROR(__xludf.DUMMYFUNCTION("""COMPUTED_VALUE"""),"Done")</f>
        <v>Done</v>
      </c>
      <c r="G354" s="31" t="str">
        <f>IFERROR(__xludf.DUMMYFUNCTION("""COMPUTED_VALUE"""),"No-Need")</f>
        <v>No-Need</v>
      </c>
      <c r="H354" s="31" t="str">
        <f>IFERROR(__xludf.DUMMYFUNCTION("""COMPUTED_VALUE"""),"N/A")</f>
        <v>N/A</v>
      </c>
      <c r="I354" s="31" t="str">
        <f>IFERROR(__xludf.DUMMYFUNCTION("""COMPUTED_VALUE"""),"Technology")</f>
        <v>Technology</v>
      </c>
      <c r="J354" s="103">
        <f>IFERROR(__xludf.DUMMYFUNCTION("""COMPUTED_VALUE"""),46014.0)</f>
        <v>46014</v>
      </c>
      <c r="K354" s="31"/>
    </row>
    <row r="355">
      <c r="A355" s="31" t="str">
        <f>IFERROR(__xludf.DUMMYFUNCTION("""COMPUTED_VALUE"""),"sahil.puri@zupee.in")</f>
        <v>sahil.puri@zupee.in</v>
      </c>
      <c r="B355" s="31" t="str">
        <f>IFERROR(__xludf.DUMMYFUNCTION("""COMPUTED_VALUE"""),"NOT_FOUND")</f>
        <v>NOT_FOUND</v>
      </c>
      <c r="C355" s="31" t="str">
        <f>IFERROR(__xludf.DUMMYFUNCTION("""COMPUTED_VALUE"""),"User not found")</f>
        <v>User not found</v>
      </c>
      <c r="D355" s="31" t="str">
        <f>IFERROR(__xludf.DUMMYFUNCTION("""COMPUTED_VALUE"""),"Revoked ")</f>
        <v>Revoked </v>
      </c>
      <c r="E355" s="31" t="str">
        <f>IFERROR(__xludf.DUMMYFUNCTION("""COMPUTED_VALUE"""),"No-Need")</f>
        <v>No-Need</v>
      </c>
      <c r="F355" s="31" t="str">
        <f>IFERROR(__xludf.DUMMYFUNCTION("""COMPUTED_VALUE"""),"No-Need")</f>
        <v>No-Need</v>
      </c>
      <c r="G355" s="31" t="str">
        <f>IFERROR(__xludf.DUMMYFUNCTION("""COMPUTED_VALUE"""),"No-Need")</f>
        <v>No-Need</v>
      </c>
      <c r="H355" s="31" t="str">
        <f>IFERROR(__xludf.DUMMYFUNCTION("""COMPUTED_VALUE"""),"N/A")</f>
        <v>N/A</v>
      </c>
      <c r="I355" s="31" t="str">
        <f>IFERROR(__xludf.DUMMYFUNCTION("""COMPUTED_VALUE"""),"Technology")</f>
        <v>Technology</v>
      </c>
      <c r="J355" s="103">
        <f>IFERROR(__xludf.DUMMYFUNCTION("""COMPUTED_VALUE"""),46013.0)</f>
        <v>46013</v>
      </c>
      <c r="K355" s="31"/>
    </row>
    <row r="356">
      <c r="A356" s="31" t="str">
        <f>IFERROR(__xludf.DUMMYFUNCTION("""COMPUTED_VALUE"""),"dipankar.yadav@zupee.in")</f>
        <v>dipankar.yadav@zupee.in</v>
      </c>
      <c r="B356" s="31" t="str">
        <f>IFERROR(__xludf.DUMMYFUNCTION("""COMPUTED_VALUE"""),"NOT_FOUND")</f>
        <v>NOT_FOUND</v>
      </c>
      <c r="C356" s="31" t="str">
        <f>IFERROR(__xludf.DUMMYFUNCTION("""COMPUTED_VALUE"""),"User not found")</f>
        <v>User not found</v>
      </c>
      <c r="D356" s="31" t="str">
        <f>IFERROR(__xludf.DUMMYFUNCTION("""COMPUTED_VALUE"""),"Revoked ")</f>
        <v>Revoked </v>
      </c>
      <c r="E356" s="31" t="str">
        <f>IFERROR(__xludf.DUMMYFUNCTION("""COMPUTED_VALUE"""),"No-Need")</f>
        <v>No-Need</v>
      </c>
      <c r="F356" s="31" t="str">
        <f>IFERROR(__xludf.DUMMYFUNCTION("""COMPUTED_VALUE"""),"No-Need")</f>
        <v>No-Need</v>
      </c>
      <c r="G356" s="31" t="str">
        <f>IFERROR(__xludf.DUMMYFUNCTION("""COMPUTED_VALUE"""),"No-Need")</f>
        <v>No-Need</v>
      </c>
      <c r="H356" s="31" t="str">
        <f>IFERROR(__xludf.DUMMYFUNCTION("""COMPUTED_VALUE"""),"N/A")</f>
        <v>N/A</v>
      </c>
      <c r="I356" s="31" t="str">
        <f>IFERROR(__xludf.DUMMYFUNCTION("""COMPUTED_VALUE"""),"Technology")</f>
        <v>Technology</v>
      </c>
      <c r="J356" s="103">
        <f>IFERROR(__xludf.DUMMYFUNCTION("""COMPUTED_VALUE"""),46013.0)</f>
        <v>46013</v>
      </c>
      <c r="K356" s="31"/>
    </row>
    <row r="357">
      <c r="A357" s="31" t="str">
        <f>IFERROR(__xludf.DUMMYFUNCTION("""COMPUTED_VALUE"""),"ankit.waghela@zupee.in")</f>
        <v>ankit.waghela@zupee.in</v>
      </c>
      <c r="B357" s="31" t="str">
        <f>IFERROR(__xludf.DUMMYFUNCTION("""COMPUTED_VALUE"""),"NOT_FOUND")</f>
        <v>NOT_FOUND</v>
      </c>
      <c r="C357" s="31" t="str">
        <f>IFERROR(__xludf.DUMMYFUNCTION("""COMPUTED_VALUE"""),"User not found")</f>
        <v>User not found</v>
      </c>
      <c r="D357" s="31" t="str">
        <f>IFERROR(__xludf.DUMMYFUNCTION("""COMPUTED_VALUE"""),"Revoked ")</f>
        <v>Revoked </v>
      </c>
      <c r="E357" s="31" t="str">
        <f>IFERROR(__xludf.DUMMYFUNCTION("""COMPUTED_VALUE"""),"No-Need")</f>
        <v>No-Need</v>
      </c>
      <c r="F357" s="31" t="str">
        <f>IFERROR(__xludf.DUMMYFUNCTION("""COMPUTED_VALUE"""),"No-Need")</f>
        <v>No-Need</v>
      </c>
      <c r="G357" s="31" t="str">
        <f>IFERROR(__xludf.DUMMYFUNCTION("""COMPUTED_VALUE"""),"No-Need")</f>
        <v>No-Need</v>
      </c>
      <c r="H357" s="31" t="str">
        <f>IFERROR(__xludf.DUMMYFUNCTION("""COMPUTED_VALUE"""),"N/A")</f>
        <v>N/A</v>
      </c>
      <c r="I357" s="31" t="str">
        <f>IFERROR(__xludf.DUMMYFUNCTION("""COMPUTED_VALUE"""),"Vertical Tv")</f>
        <v>Vertical Tv</v>
      </c>
      <c r="J357" s="103">
        <f>IFERROR(__xludf.DUMMYFUNCTION("""COMPUTED_VALUE"""),46014.0)</f>
        <v>46014</v>
      </c>
      <c r="K357" s="31"/>
    </row>
    <row r="358">
      <c r="A358" s="31" t="str">
        <f>IFERROR(__xludf.DUMMYFUNCTION("""COMPUTED_VALUE"""),"nikhil.jain@zupee.in")</f>
        <v>nikhil.jain@zupee.in</v>
      </c>
      <c r="B358" s="31" t="str">
        <f>IFERROR(__xludf.DUMMYFUNCTION("""COMPUTED_VALUE"""),"NOT_FOUND")</f>
        <v>NOT_FOUND</v>
      </c>
      <c r="C358" s="31" t="str">
        <f>IFERROR(__xludf.DUMMYFUNCTION("""COMPUTED_VALUE"""),"User not found")</f>
        <v>User not found</v>
      </c>
      <c r="D358" s="31" t="str">
        <f>IFERROR(__xludf.DUMMYFUNCTION("""COMPUTED_VALUE"""),"Revoked ")</f>
        <v>Revoked </v>
      </c>
      <c r="E358" s="31" t="str">
        <f>IFERROR(__xludf.DUMMYFUNCTION("""COMPUTED_VALUE"""),"itservices@zupee.in ")</f>
        <v>itservices@zupee.in </v>
      </c>
      <c r="F358" s="31" t="str">
        <f>IFERROR(__xludf.DUMMYFUNCTION("""COMPUTED_VALUE"""),"Done")</f>
        <v>Done</v>
      </c>
      <c r="G358" s="31" t="str">
        <f>IFERROR(__xludf.DUMMYFUNCTION("""COMPUTED_VALUE"""),"Done")</f>
        <v>Done</v>
      </c>
      <c r="H358" s="31"/>
      <c r="I358" s="31" t="str">
        <f>IFERROR(__xludf.DUMMYFUNCTION("""COMPUTED_VALUE"""),"Data")</f>
        <v>Data</v>
      </c>
      <c r="J358" s="103">
        <f>IFERROR(__xludf.DUMMYFUNCTION("""COMPUTED_VALUE"""),46034.0)</f>
        <v>46034</v>
      </c>
      <c r="K358" s="31" t="str">
        <f>IFERROR(__xludf.DUMMYFUNCTION("""COMPUTED_VALUE"""),"Sairam Mushyam")</f>
        <v>Sairam Mushyam</v>
      </c>
    </row>
    <row r="359">
      <c r="A359" s="31" t="str">
        <f>IFERROR(__xludf.DUMMYFUNCTION("""COMPUTED_VALUE"""),"abhijeet.chavan@zupee.in")</f>
        <v>abhijeet.chavan@zupee.in</v>
      </c>
      <c r="B359" s="31" t="str">
        <f>IFERROR(__xludf.DUMMYFUNCTION("""COMPUTED_VALUE"""),"NOT_FOUND")</f>
        <v>NOT_FOUND</v>
      </c>
      <c r="C359" s="31" t="str">
        <f>IFERROR(__xludf.DUMMYFUNCTION("""COMPUTED_VALUE"""),"User not found")</f>
        <v>User not found</v>
      </c>
      <c r="D359" s="31" t="str">
        <f>IFERROR(__xludf.DUMMYFUNCTION("""COMPUTED_VALUE"""),"Revoked ")</f>
        <v>Revoked </v>
      </c>
      <c r="E359" s="31" t="str">
        <f>IFERROR(__xludf.DUMMYFUNCTION("""COMPUTED_VALUE"""),"itservices@zupee.in ")</f>
        <v>itservices@zupee.in </v>
      </c>
      <c r="F359" s="31" t="str">
        <f>IFERROR(__xludf.DUMMYFUNCTION("""COMPUTED_VALUE"""),"Done")</f>
        <v>Done</v>
      </c>
      <c r="G359" s="31" t="str">
        <f>IFERROR(__xludf.DUMMYFUNCTION("""COMPUTED_VALUE"""),"Done")</f>
        <v>Done</v>
      </c>
      <c r="H359" s="31" t="str">
        <f>IFERROR(__xludf.DUMMYFUNCTION("""COMPUTED_VALUE"""),"itservices@zupee.in")</f>
        <v>itservices@zupee.in</v>
      </c>
      <c r="I359" s="31" t="str">
        <f>IFERROR(__xludf.DUMMYFUNCTION("""COMPUTED_VALUE"""),"Vertical Tv")</f>
        <v>Vertical Tv</v>
      </c>
      <c r="J359" s="103">
        <f>IFERROR(__xludf.DUMMYFUNCTION("""COMPUTED_VALUE"""),46021.0)</f>
        <v>46021</v>
      </c>
      <c r="K359" s="31"/>
    </row>
    <row r="360">
      <c r="A360" s="31" t="str">
        <f>IFERROR(__xludf.DUMMYFUNCTION("""COMPUTED_VALUE"""),"suraj.arora@zupee.in")</f>
        <v>suraj.arora@zupee.in</v>
      </c>
      <c r="B360" s="31" t="str">
        <f>IFERROR(__xludf.DUMMYFUNCTION("""COMPUTED_VALUE"""),"NOT_FOUND")</f>
        <v>NOT_FOUND</v>
      </c>
      <c r="C360" s="31" t="str">
        <f>IFERROR(__xludf.DUMMYFUNCTION("""COMPUTED_VALUE"""),"User not found")</f>
        <v>User not found</v>
      </c>
      <c r="D360" s="31" t="str">
        <f>IFERROR(__xludf.DUMMYFUNCTION("""COMPUTED_VALUE"""),"Revoked ")</f>
        <v>Revoked </v>
      </c>
      <c r="E360" s="31" t="str">
        <f>IFERROR(__xludf.DUMMYFUNCTION("""COMPUTED_VALUE"""),"techbackup@zupee.in")</f>
        <v>techbackup@zupee.in</v>
      </c>
      <c r="F360" s="31" t="str">
        <f>IFERROR(__xludf.DUMMYFUNCTION("""COMPUTED_VALUE"""),"Done")</f>
        <v>Done</v>
      </c>
      <c r="G360" s="31" t="str">
        <f>IFERROR(__xludf.DUMMYFUNCTION("""COMPUTED_VALUE"""),"Done")</f>
        <v>Done</v>
      </c>
      <c r="H360" s="31" t="str">
        <f>IFERROR(__xludf.DUMMYFUNCTION("""COMPUTED_VALUE"""),"itservices@zupee.in")</f>
        <v>itservices@zupee.in</v>
      </c>
      <c r="I360" s="31" t="str">
        <f>IFERROR(__xludf.DUMMYFUNCTION("""COMPUTED_VALUE"""),"Product Design")</f>
        <v>Product Design</v>
      </c>
      <c r="J360" s="103">
        <f>IFERROR(__xludf.DUMMYFUNCTION("""COMPUTED_VALUE"""),46035.0)</f>
        <v>46035</v>
      </c>
      <c r="K360" s="31" t="str">
        <f>IFERROR(__xludf.DUMMYFUNCTION("""COMPUTED_VALUE"""),"Naveen Kadyan")</f>
        <v>Naveen Kadyan</v>
      </c>
    </row>
    <row r="361">
      <c r="A361" s="31" t="str">
        <f>IFERROR(__xludf.DUMMYFUNCTION("""COMPUTED_VALUE"""),"sahil.verma@zupee.in")</f>
        <v>sahil.verma@zupee.in</v>
      </c>
      <c r="B361" s="31" t="str">
        <f>IFERROR(__xludf.DUMMYFUNCTION("""COMPUTED_VALUE"""),"NOT_FOUND")</f>
        <v>NOT_FOUND</v>
      </c>
      <c r="C361" s="31" t="str">
        <f>IFERROR(__xludf.DUMMYFUNCTION("""COMPUTED_VALUE"""),"User not found")</f>
        <v>User not found</v>
      </c>
      <c r="D361" s="31" t="str">
        <f>IFERROR(__xludf.DUMMYFUNCTION("""COMPUTED_VALUE"""),"Revoked ")</f>
        <v>Revoked </v>
      </c>
      <c r="E361" s="31" t="str">
        <f>IFERROR(__xludf.DUMMYFUNCTION("""COMPUTED_VALUE"""),"techbackup@zupee.in")</f>
        <v>techbackup@zupee.in</v>
      </c>
      <c r="F361" s="31" t="str">
        <f>IFERROR(__xludf.DUMMYFUNCTION("""COMPUTED_VALUE"""),"Done")</f>
        <v>Done</v>
      </c>
      <c r="G361" s="31" t="str">
        <f>IFERROR(__xludf.DUMMYFUNCTION("""COMPUTED_VALUE"""),"Done")</f>
        <v>Done</v>
      </c>
      <c r="H361" s="31" t="str">
        <f>IFERROR(__xludf.DUMMYFUNCTION("""COMPUTED_VALUE"""),"itservices@zupee.in")</f>
        <v>itservices@zupee.in</v>
      </c>
      <c r="I361" s="31" t="str">
        <f>IFERROR(__xludf.DUMMYFUNCTION("""COMPUTED_VALUE"""),"Product Design")</f>
        <v>Product Design</v>
      </c>
      <c r="J361" s="103">
        <f>IFERROR(__xludf.DUMMYFUNCTION("""COMPUTED_VALUE"""),46035.0)</f>
        <v>46035</v>
      </c>
      <c r="K361" s="31" t="str">
        <f>IFERROR(__xludf.DUMMYFUNCTION("""COMPUTED_VALUE"""),"Naveen Kadyan")</f>
        <v>Naveen Kadyan</v>
      </c>
    </row>
    <row r="362">
      <c r="A362" s="31" t="str">
        <f>IFERROR(__xludf.DUMMYFUNCTION("""COMPUTED_VALUE"""),"ankit.wadhwa@zupee.in")</f>
        <v>ankit.wadhwa@zupee.in</v>
      </c>
      <c r="B362" s="31" t="str">
        <f>IFERROR(__xludf.DUMMYFUNCTION("""COMPUTED_VALUE"""),"NOT_FOUND")</f>
        <v>NOT_FOUND</v>
      </c>
      <c r="C362" s="31" t="str">
        <f>IFERROR(__xludf.DUMMYFUNCTION("""COMPUTED_VALUE"""),"User not found")</f>
        <v>User not found</v>
      </c>
      <c r="D362" s="31" t="str">
        <f>IFERROR(__xludf.DUMMYFUNCTION("""COMPUTED_VALUE"""),"Revoked ")</f>
        <v>Revoked </v>
      </c>
      <c r="E362" s="31" t="str">
        <f>IFERROR(__xludf.DUMMYFUNCTION("""COMPUTED_VALUE"""),"financebackup@zupee.in")</f>
        <v>financebackup@zupee.in</v>
      </c>
      <c r="F362" s="31" t="str">
        <f>IFERROR(__xludf.DUMMYFUNCTION("""COMPUTED_VALUE"""),"Done")</f>
        <v>Done</v>
      </c>
      <c r="G362" s="31" t="str">
        <f>IFERROR(__xludf.DUMMYFUNCTION("""COMPUTED_VALUE"""),"Done")</f>
        <v>Done</v>
      </c>
      <c r="H362" s="31" t="str">
        <f>IFERROR(__xludf.DUMMYFUNCTION("""COMPUTED_VALUE"""),"Done")</f>
        <v>Done</v>
      </c>
      <c r="I362" s="31" t="str">
        <f>IFERROR(__xludf.DUMMYFUNCTION("""COMPUTED_VALUE"""),"Finance")</f>
        <v>Finance</v>
      </c>
      <c r="J362" s="103">
        <f>IFERROR(__xludf.DUMMYFUNCTION("""COMPUTED_VALUE"""),46015.0)</f>
        <v>46015</v>
      </c>
      <c r="K362" s="31" t="str">
        <f>IFERROR(__xludf.DUMMYFUNCTION("""COMPUTED_VALUE"""),"Ankit Maheshwari")</f>
        <v>Ankit Maheshwari</v>
      </c>
    </row>
    <row r="363">
      <c r="A363" s="31" t="str">
        <f>IFERROR(__xludf.DUMMYFUNCTION("""COMPUTED_VALUE"""),"saksham.kochhar@zupee.in")</f>
        <v>saksham.kochhar@zupee.in</v>
      </c>
      <c r="B363" s="31" t="str">
        <f>IFERROR(__xludf.DUMMYFUNCTION("""COMPUTED_VALUE"""),"NOT_FOUND")</f>
        <v>NOT_FOUND</v>
      </c>
      <c r="C363" s="31" t="str">
        <f>IFERROR(__xludf.DUMMYFUNCTION("""COMPUTED_VALUE"""),"User not found")</f>
        <v>User not found</v>
      </c>
      <c r="D363" s="31" t="str">
        <f>IFERROR(__xludf.DUMMYFUNCTION("""COMPUTED_VALUE"""),"Revoked ")</f>
        <v>Revoked </v>
      </c>
      <c r="E363" s="31" t="str">
        <f>IFERROR(__xludf.DUMMYFUNCTION("""COMPUTED_VALUE"""),"itservices@zupee.in ")</f>
        <v>itservices@zupee.in </v>
      </c>
      <c r="F363" s="31" t="str">
        <f>IFERROR(__xludf.DUMMYFUNCTION("""COMPUTED_VALUE"""),"Done")</f>
        <v>Done</v>
      </c>
      <c r="G363" s="31" t="str">
        <f>IFERROR(__xludf.DUMMYFUNCTION("""COMPUTED_VALUE"""),"Done")</f>
        <v>Done</v>
      </c>
      <c r="H363" s="31"/>
      <c r="I363" s="31" t="str">
        <f>IFERROR(__xludf.DUMMYFUNCTION("""COMPUTED_VALUE"""),"Data")</f>
        <v>Data</v>
      </c>
      <c r="J363" s="103">
        <f>IFERROR(__xludf.DUMMYFUNCTION("""COMPUTED_VALUE"""),46034.0)</f>
        <v>46034</v>
      </c>
      <c r="K363" s="31" t="str">
        <f>IFERROR(__xludf.DUMMYFUNCTION("""COMPUTED_VALUE"""),"Sairam Mushyam")</f>
        <v>Sairam Mushyam</v>
      </c>
    </row>
    <row r="364">
      <c r="A364" s="31" t="str">
        <f>IFERROR(__xludf.DUMMYFUNCTION("""COMPUTED_VALUE"""),"vishal.raj@zupee.in")</f>
        <v>vishal.raj@zupee.in</v>
      </c>
      <c r="B364" s="31" t="str">
        <f>IFERROR(__xludf.DUMMYFUNCTION("""COMPUTED_VALUE"""),"NOT_FOUND")</f>
        <v>NOT_FOUND</v>
      </c>
      <c r="C364" s="31" t="str">
        <f>IFERROR(__xludf.DUMMYFUNCTION("""COMPUTED_VALUE"""),"User not found")</f>
        <v>User not found</v>
      </c>
      <c r="D364" s="31" t="str">
        <f>IFERROR(__xludf.DUMMYFUNCTION("""COMPUTED_VALUE"""),"Revoked ")</f>
        <v>Revoked </v>
      </c>
      <c r="E364" s="31" t="str">
        <f>IFERROR(__xludf.DUMMYFUNCTION("""COMPUTED_VALUE"""),"itservices@zupee.in ")</f>
        <v>itservices@zupee.in </v>
      </c>
      <c r="F364" s="31" t="str">
        <f>IFERROR(__xludf.DUMMYFUNCTION("""COMPUTED_VALUE"""),"Done")</f>
        <v>Done</v>
      </c>
      <c r="G364" s="31" t="str">
        <f>IFERROR(__xludf.DUMMYFUNCTION("""COMPUTED_VALUE"""),"Done")</f>
        <v>Done</v>
      </c>
      <c r="H364" s="31"/>
      <c r="I364" s="31" t="str">
        <f>IFERROR(__xludf.DUMMYFUNCTION("""COMPUTED_VALUE"""),"Data")</f>
        <v>Data</v>
      </c>
      <c r="J364" s="103">
        <f>IFERROR(__xludf.DUMMYFUNCTION("""COMPUTED_VALUE"""),46034.0)</f>
        <v>46034</v>
      </c>
      <c r="K364" s="31" t="str">
        <f>IFERROR(__xludf.DUMMYFUNCTION("""COMPUTED_VALUE"""),"Sairam Mushyam")</f>
        <v>Sairam Mushyam</v>
      </c>
    </row>
    <row r="365">
      <c r="A365" s="31" t="str">
        <f>IFERROR(__xludf.DUMMYFUNCTION("""COMPUTED_VALUE"""),"anish.abraham@zupee.in")</f>
        <v>anish.abraham@zupee.in</v>
      </c>
      <c r="B365" s="31" t="str">
        <f>IFERROR(__xludf.DUMMYFUNCTION("""COMPUTED_VALUE"""),"NOT_FOUND")</f>
        <v>NOT_FOUND</v>
      </c>
      <c r="C365" s="31" t="str">
        <f>IFERROR(__xludf.DUMMYFUNCTION("""COMPUTED_VALUE"""),"User not found")</f>
        <v>User not found</v>
      </c>
      <c r="D365" s="31" t="str">
        <f>IFERROR(__xludf.DUMMYFUNCTION("""COMPUTED_VALUE"""),"Revoked ")</f>
        <v>Revoked </v>
      </c>
      <c r="E365" s="31" t="str">
        <f>IFERROR(__xludf.DUMMYFUNCTION("""COMPUTED_VALUE"""),"itservices@zupee.in ")</f>
        <v>itservices@zupee.in </v>
      </c>
      <c r="F365" s="31" t="str">
        <f>IFERROR(__xludf.DUMMYFUNCTION("""COMPUTED_VALUE"""),"Done")</f>
        <v>Done</v>
      </c>
      <c r="G365" s="31" t="str">
        <f>IFERROR(__xludf.DUMMYFUNCTION("""COMPUTED_VALUE"""),"Done")</f>
        <v>Done</v>
      </c>
      <c r="H365" s="31" t="str">
        <f>IFERROR(__xludf.DUMMYFUNCTION("""COMPUTED_VALUE"""),"itservices@zupee.in")</f>
        <v>itservices@zupee.in</v>
      </c>
      <c r="I365" s="31" t="str">
        <f>IFERROR(__xludf.DUMMYFUNCTION("""COMPUTED_VALUE"""),"Product Design")</f>
        <v>Product Design</v>
      </c>
      <c r="J365" s="103">
        <f>IFERROR(__xludf.DUMMYFUNCTION("""COMPUTED_VALUE"""),46035.0)</f>
        <v>46035</v>
      </c>
      <c r="K365" s="31" t="str">
        <f>IFERROR(__xludf.DUMMYFUNCTION("""COMPUTED_VALUE"""),"Naveen Kadyan")</f>
        <v>Naveen Kadyan</v>
      </c>
    </row>
    <row r="366">
      <c r="A366" s="31" t="str">
        <f>IFERROR(__xludf.DUMMYFUNCTION("""COMPUTED_VALUE"""),"hardik.kumar@zupee.in")</f>
        <v>hardik.kumar@zupee.in</v>
      </c>
      <c r="B366" s="31" t="str">
        <f>IFERROR(__xludf.DUMMYFUNCTION("""COMPUTED_VALUE"""),"NOT_FOUND")</f>
        <v>NOT_FOUND</v>
      </c>
      <c r="C366" s="31" t="str">
        <f>IFERROR(__xludf.DUMMYFUNCTION("""COMPUTED_VALUE"""),"User not found")</f>
        <v>User not found</v>
      </c>
      <c r="D366" s="31" t="str">
        <f>IFERROR(__xludf.DUMMYFUNCTION("""COMPUTED_VALUE"""),"Revoked ")</f>
        <v>Revoked </v>
      </c>
      <c r="E366" s="31" t="str">
        <f>IFERROR(__xludf.DUMMYFUNCTION("""COMPUTED_VALUE"""),"itservices@zupee.in ")</f>
        <v>itservices@zupee.in </v>
      </c>
      <c r="F366" s="31" t="str">
        <f>IFERROR(__xludf.DUMMYFUNCTION("""COMPUTED_VALUE"""),"Done")</f>
        <v>Done</v>
      </c>
      <c r="G366" s="31" t="str">
        <f>IFERROR(__xludf.DUMMYFUNCTION("""COMPUTED_VALUE"""),"Done")</f>
        <v>Done</v>
      </c>
      <c r="H366" s="31"/>
      <c r="I366" s="31" t="str">
        <f>IFERROR(__xludf.DUMMYFUNCTION("""COMPUTED_VALUE"""),"Data")</f>
        <v>Data</v>
      </c>
      <c r="J366" s="103">
        <f>IFERROR(__xludf.DUMMYFUNCTION("""COMPUTED_VALUE"""),46034.0)</f>
        <v>46034</v>
      </c>
      <c r="K366" s="31" t="str">
        <f>IFERROR(__xludf.DUMMYFUNCTION("""COMPUTED_VALUE"""),"Sairam Mushyam")</f>
        <v>Sairam Mushyam</v>
      </c>
    </row>
    <row r="367">
      <c r="A367" s="31" t="str">
        <f>IFERROR(__xludf.DUMMYFUNCTION("""COMPUTED_VALUE"""),"sameer.qureshi@zupee.in")</f>
        <v>sameer.qureshi@zupee.in</v>
      </c>
      <c r="B367" s="31" t="str">
        <f>IFERROR(__xludf.DUMMYFUNCTION("""COMPUTED_VALUE"""),"NOT_FOUND")</f>
        <v>NOT_FOUND</v>
      </c>
      <c r="C367" s="31" t="str">
        <f>IFERROR(__xludf.DUMMYFUNCTION("""COMPUTED_VALUE"""),"User not found")</f>
        <v>User not found</v>
      </c>
      <c r="D367" s="31" t="str">
        <f>IFERROR(__xludf.DUMMYFUNCTION("""COMPUTED_VALUE"""),"Revoked ")</f>
        <v>Revoked </v>
      </c>
      <c r="E367" s="31" t="str">
        <f>IFERROR(__xludf.DUMMYFUNCTION("""COMPUTED_VALUE"""),"No-Need")</f>
        <v>No-Need</v>
      </c>
      <c r="F367" s="31" t="str">
        <f>IFERROR(__xludf.DUMMYFUNCTION("""COMPUTED_VALUE"""),"No-Need")</f>
        <v>No-Need</v>
      </c>
      <c r="G367" s="31" t="str">
        <f>IFERROR(__xludf.DUMMYFUNCTION("""COMPUTED_VALUE"""),"No-Need")</f>
        <v>No-Need</v>
      </c>
      <c r="H367" s="31" t="str">
        <f>IFERROR(__xludf.DUMMYFUNCTION("""COMPUTED_VALUE"""),"N/A")</f>
        <v>N/A</v>
      </c>
      <c r="I367" s="31" t="str">
        <f>IFERROR(__xludf.DUMMYFUNCTION("""COMPUTED_VALUE"""),"Customer Experience")</f>
        <v>Customer Experience</v>
      </c>
      <c r="J367" s="103">
        <f>IFERROR(__xludf.DUMMYFUNCTION("""COMPUTED_VALUE"""),46014.0)</f>
        <v>46014</v>
      </c>
      <c r="K367" s="104" t="str">
        <f>IFERROR(__xludf.DUMMYFUNCTION("""COMPUTED_VALUE"""),"Conf By Mrityunjay Kumar")</f>
        <v>Conf By Mrityunjay Kumar</v>
      </c>
    </row>
    <row r="368">
      <c r="A368" s="31" t="str">
        <f>IFERROR(__xludf.DUMMYFUNCTION("""COMPUTED_VALUE"""),"rajkumar.singh@zupee.in")</f>
        <v>rajkumar.singh@zupee.in</v>
      </c>
      <c r="B368" s="31" t="str">
        <f>IFERROR(__xludf.DUMMYFUNCTION("""COMPUTED_VALUE"""),"ACTIVE")</f>
        <v>ACTIVE</v>
      </c>
      <c r="C368" s="31" t="str">
        <f>IFERROR(__xludf.DUMMYFUNCTION("""COMPUTED_VALUE"""),"User is ACTIVE")</f>
        <v>User is ACTIVE</v>
      </c>
      <c r="D368" s="31"/>
      <c r="E368" s="31"/>
      <c r="F368" s="31"/>
      <c r="G368" s="31"/>
      <c r="H368" s="31"/>
      <c r="I368" s="31" t="str">
        <f>IFERROR(__xludf.DUMMYFUNCTION("""COMPUTED_VALUE"""),"IT Infra")</f>
        <v>IT Infra</v>
      </c>
      <c r="J368" s="31"/>
      <c r="K368" s="31"/>
    </row>
    <row r="369">
      <c r="A369" s="31" t="str">
        <f>IFERROR(__xludf.DUMMYFUNCTION("""COMPUTED_VALUE"""),"srijan.bhageria@zupee.in")</f>
        <v>srijan.bhageria@zupee.in</v>
      </c>
      <c r="B369" s="31" t="str">
        <f>IFERROR(__xludf.DUMMYFUNCTION("""COMPUTED_VALUE"""),"NOT_FOUND")</f>
        <v>NOT_FOUND</v>
      </c>
      <c r="C369" s="31" t="str">
        <f>IFERROR(__xludf.DUMMYFUNCTION("""COMPUTED_VALUE"""),"User not found")</f>
        <v>User not found</v>
      </c>
      <c r="D369" s="31" t="str">
        <f>IFERROR(__xludf.DUMMYFUNCTION("""COMPUTED_VALUE"""),"Revoked ")</f>
        <v>Revoked </v>
      </c>
      <c r="E369" s="31" t="str">
        <f>IFERROR(__xludf.DUMMYFUNCTION("""COMPUTED_VALUE"""),"itservices@zupee.in ")</f>
        <v>itservices@zupee.in </v>
      </c>
      <c r="F369" s="31" t="str">
        <f>IFERROR(__xludf.DUMMYFUNCTION("""COMPUTED_VALUE"""),"Done")</f>
        <v>Done</v>
      </c>
      <c r="G369" s="31" t="str">
        <f>IFERROR(__xludf.DUMMYFUNCTION("""COMPUTED_VALUE"""),"No-Reply")</f>
        <v>No-Reply</v>
      </c>
      <c r="H369" s="31"/>
      <c r="I369" s="31" t="str">
        <f>IFERROR(__xludf.DUMMYFUNCTION("""COMPUTED_VALUE"""),"Technology")</f>
        <v>Technology</v>
      </c>
      <c r="J369" s="103">
        <f>IFERROR(__xludf.DUMMYFUNCTION("""COMPUTED_VALUE"""),46042.0)</f>
        <v>46042</v>
      </c>
      <c r="K369" s="104" t="str">
        <f>IFERROR(__xludf.DUMMYFUNCTION("""COMPUTED_VALUE"""),"Conf By Naveen Kadyan")</f>
        <v>Conf By Naveen Kadyan</v>
      </c>
    </row>
    <row r="370">
      <c r="A370" s="31" t="str">
        <f>IFERROR(__xludf.DUMMYFUNCTION("""COMPUTED_VALUE"""),"kanwar.singh@zupee.in")</f>
        <v>kanwar.singh@zupee.in</v>
      </c>
      <c r="B370" s="31" t="str">
        <f>IFERROR(__xludf.DUMMYFUNCTION("""COMPUTED_VALUE"""),"NOT_FOUND")</f>
        <v>NOT_FOUND</v>
      </c>
      <c r="C370" s="31" t="str">
        <f>IFERROR(__xludf.DUMMYFUNCTION("""COMPUTED_VALUE"""),"User not found")</f>
        <v>User not found</v>
      </c>
      <c r="D370" s="31" t="str">
        <f>IFERROR(__xludf.DUMMYFUNCTION("""COMPUTED_VALUE"""),"Revoked ")</f>
        <v>Revoked </v>
      </c>
      <c r="E370" s="31" t="str">
        <f>IFERROR(__xludf.DUMMYFUNCTION("""COMPUTED_VALUE"""),"itservices@zupee.in ")</f>
        <v>itservices@zupee.in </v>
      </c>
      <c r="F370" s="31" t="str">
        <f>IFERROR(__xludf.DUMMYFUNCTION("""COMPUTED_VALUE"""),"Done")</f>
        <v>Done</v>
      </c>
      <c r="G370" s="31" t="str">
        <f>IFERROR(__xludf.DUMMYFUNCTION("""COMPUTED_VALUE"""),"No-Reply")</f>
        <v>No-Reply</v>
      </c>
      <c r="H370" s="31"/>
      <c r="I370" s="31" t="str">
        <f>IFERROR(__xludf.DUMMYFUNCTION("""COMPUTED_VALUE"""),"Technology")</f>
        <v>Technology</v>
      </c>
      <c r="J370" s="103">
        <f>IFERROR(__xludf.DUMMYFUNCTION("""COMPUTED_VALUE"""),46042.0)</f>
        <v>46042</v>
      </c>
      <c r="K370" s="104" t="str">
        <f>IFERROR(__xludf.DUMMYFUNCTION("""COMPUTED_VALUE"""),"Conf By Naveen Kadyan")</f>
        <v>Conf By Naveen Kadyan</v>
      </c>
    </row>
    <row r="371">
      <c r="A371" s="31" t="str">
        <f>IFERROR(__xludf.DUMMYFUNCTION("""COMPUTED_VALUE"""),"ajay.yadav@zupee.in")</f>
        <v>ajay.yadav@zupee.in</v>
      </c>
      <c r="B371" s="31" t="str">
        <f>IFERROR(__xludf.DUMMYFUNCTION("""COMPUTED_VALUE"""),"NOT_FOUND")</f>
        <v>NOT_FOUND</v>
      </c>
      <c r="C371" s="31" t="str">
        <f>IFERROR(__xludf.DUMMYFUNCTION("""COMPUTED_VALUE"""),"User not found")</f>
        <v>User not found</v>
      </c>
      <c r="D371" s="31" t="str">
        <f>IFERROR(__xludf.DUMMYFUNCTION("""COMPUTED_VALUE"""),"Revoked ")</f>
        <v>Revoked </v>
      </c>
      <c r="E371" s="31" t="str">
        <f>IFERROR(__xludf.DUMMYFUNCTION("""COMPUTED_VALUE"""),"itservices@zupee.in ")</f>
        <v>itservices@zupee.in </v>
      </c>
      <c r="F371" s="31" t="str">
        <f>IFERROR(__xludf.DUMMYFUNCTION("""COMPUTED_VALUE"""),"Done")</f>
        <v>Done</v>
      </c>
      <c r="G371" s="31" t="str">
        <f>IFERROR(__xludf.DUMMYFUNCTION("""COMPUTED_VALUE"""),"No-Reply")</f>
        <v>No-Reply</v>
      </c>
      <c r="H371" s="31"/>
      <c r="I371" s="31" t="str">
        <f>IFERROR(__xludf.DUMMYFUNCTION("""COMPUTED_VALUE"""),"Technology")</f>
        <v>Technology</v>
      </c>
      <c r="J371" s="103">
        <f>IFERROR(__xludf.DUMMYFUNCTION("""COMPUTED_VALUE"""),46042.0)</f>
        <v>46042</v>
      </c>
      <c r="K371" s="104" t="str">
        <f>IFERROR(__xludf.DUMMYFUNCTION("""COMPUTED_VALUE"""),"Conf By Naveen Kadyan")</f>
        <v>Conf By Naveen Kadyan</v>
      </c>
    </row>
    <row r="372">
      <c r="A372" s="31" t="str">
        <f>IFERROR(__xludf.DUMMYFUNCTION("""COMPUTED_VALUE"""),"avanish.dubey@zupee.in")</f>
        <v>avanish.dubey@zupee.in</v>
      </c>
      <c r="B372" s="31" t="str">
        <f>IFERROR(__xludf.DUMMYFUNCTION("""COMPUTED_VALUE"""),"NOT_FOUND")</f>
        <v>NOT_FOUND</v>
      </c>
      <c r="C372" s="31" t="str">
        <f>IFERROR(__xludf.DUMMYFUNCTION("""COMPUTED_VALUE"""),"User not found")</f>
        <v>User not found</v>
      </c>
      <c r="D372" s="31" t="str">
        <f>IFERROR(__xludf.DUMMYFUNCTION("""COMPUTED_VALUE"""),"Revoked ")</f>
        <v>Revoked </v>
      </c>
      <c r="E372" s="31" t="str">
        <f>IFERROR(__xludf.DUMMYFUNCTION("""COMPUTED_VALUE"""),"itservices@zupee.in ")</f>
        <v>itservices@zupee.in </v>
      </c>
      <c r="F372" s="31" t="str">
        <f>IFERROR(__xludf.DUMMYFUNCTION("""COMPUTED_VALUE"""),"Done")</f>
        <v>Done</v>
      </c>
      <c r="G372" s="31" t="str">
        <f>IFERROR(__xludf.DUMMYFUNCTION("""COMPUTED_VALUE"""),"No-Reply")</f>
        <v>No-Reply</v>
      </c>
      <c r="H372" s="31"/>
      <c r="I372" s="31" t="str">
        <f>IFERROR(__xludf.DUMMYFUNCTION("""COMPUTED_VALUE"""),"Technology")</f>
        <v>Technology</v>
      </c>
      <c r="J372" s="103">
        <f>IFERROR(__xludf.DUMMYFUNCTION("""COMPUTED_VALUE"""),46042.0)</f>
        <v>46042</v>
      </c>
      <c r="K372" s="104" t="str">
        <f>IFERROR(__xludf.DUMMYFUNCTION("""COMPUTED_VALUE"""),"Conf By Naveen Kadyan")</f>
        <v>Conf By Naveen Kadyan</v>
      </c>
    </row>
    <row r="373">
      <c r="A373" s="31" t="str">
        <f>IFERROR(__xludf.DUMMYFUNCTION("""COMPUTED_VALUE"""),"anant.admane@zupee.in")</f>
        <v>anant.admane@zupee.in</v>
      </c>
      <c r="B373" s="31" t="str">
        <f>IFERROR(__xludf.DUMMYFUNCTION("""COMPUTED_VALUE"""),"NOT_FOUND")</f>
        <v>NOT_FOUND</v>
      </c>
      <c r="C373" s="31" t="str">
        <f>IFERROR(__xludf.DUMMYFUNCTION("""COMPUTED_VALUE"""),"User not found")</f>
        <v>User not found</v>
      </c>
      <c r="D373" s="31" t="str">
        <f>IFERROR(__xludf.DUMMYFUNCTION("""COMPUTED_VALUE"""),"Revoked ")</f>
        <v>Revoked </v>
      </c>
      <c r="E373" s="31" t="str">
        <f>IFERROR(__xludf.DUMMYFUNCTION("""COMPUTED_VALUE"""),"itservices@zupee.in ")</f>
        <v>itservices@zupee.in </v>
      </c>
      <c r="F373" s="31" t="str">
        <f>IFERROR(__xludf.DUMMYFUNCTION("""COMPUTED_VALUE"""),"Done")</f>
        <v>Done</v>
      </c>
      <c r="G373" s="31" t="str">
        <f>IFERROR(__xludf.DUMMYFUNCTION("""COMPUTED_VALUE"""),"No-Reply")</f>
        <v>No-Reply</v>
      </c>
      <c r="H373" s="31"/>
      <c r="I373" s="31" t="str">
        <f>IFERROR(__xludf.DUMMYFUNCTION("""COMPUTED_VALUE"""),"Technology")</f>
        <v>Technology</v>
      </c>
      <c r="J373" s="103">
        <f>IFERROR(__xludf.DUMMYFUNCTION("""COMPUTED_VALUE"""),46042.0)</f>
        <v>46042</v>
      </c>
      <c r="K373" s="104" t="str">
        <f>IFERROR(__xludf.DUMMYFUNCTION("""COMPUTED_VALUE"""),"Conf By Naveen Kadyan")</f>
        <v>Conf By Naveen Kadyan</v>
      </c>
    </row>
    <row r="374">
      <c r="A374" s="31" t="str">
        <f>IFERROR(__xludf.DUMMYFUNCTION("""COMPUTED_VALUE"""),"ankur.prajapati@zupee.in")</f>
        <v>ankur.prajapati@zupee.in</v>
      </c>
      <c r="B374" s="31" t="str">
        <f>IFERROR(__xludf.DUMMYFUNCTION("""COMPUTED_VALUE"""),"NOT_FOUND")</f>
        <v>NOT_FOUND</v>
      </c>
      <c r="C374" s="31" t="str">
        <f>IFERROR(__xludf.DUMMYFUNCTION("""COMPUTED_VALUE"""),"User not found")</f>
        <v>User not found</v>
      </c>
      <c r="D374" s="31" t="str">
        <f>IFERROR(__xludf.DUMMYFUNCTION("""COMPUTED_VALUE"""),"Revoked ")</f>
        <v>Revoked </v>
      </c>
      <c r="E374" s="31" t="str">
        <f>IFERROR(__xludf.DUMMYFUNCTION("""COMPUTED_VALUE"""),"itservices@zupee.in ")</f>
        <v>itservices@zupee.in </v>
      </c>
      <c r="F374" s="31" t="str">
        <f>IFERROR(__xludf.DUMMYFUNCTION("""COMPUTED_VALUE"""),"Done")</f>
        <v>Done</v>
      </c>
      <c r="G374" s="31" t="str">
        <f>IFERROR(__xludf.DUMMYFUNCTION("""COMPUTED_VALUE"""),"No-Reply")</f>
        <v>No-Reply</v>
      </c>
      <c r="H374" s="31"/>
      <c r="I374" s="31" t="str">
        <f>IFERROR(__xludf.DUMMYFUNCTION("""COMPUTED_VALUE"""),"Technology")</f>
        <v>Technology</v>
      </c>
      <c r="J374" s="103">
        <f>IFERROR(__xludf.DUMMYFUNCTION("""COMPUTED_VALUE"""),46042.0)</f>
        <v>46042</v>
      </c>
      <c r="K374" s="104" t="str">
        <f>IFERROR(__xludf.DUMMYFUNCTION("""COMPUTED_VALUE"""),"Conf By Naveen Kadyan")</f>
        <v>Conf By Naveen Kadyan</v>
      </c>
    </row>
    <row r="375">
      <c r="A375" s="31" t="str">
        <f>IFERROR(__xludf.DUMMYFUNCTION("""COMPUTED_VALUE"""),"aditya.samantaray@zupee.in")</f>
        <v>aditya.samantaray@zupee.in</v>
      </c>
      <c r="B375" s="31" t="str">
        <f>IFERROR(__xludf.DUMMYFUNCTION("""COMPUTED_VALUE"""),"NOT_FOUND")</f>
        <v>NOT_FOUND</v>
      </c>
      <c r="C375" s="31" t="str">
        <f>IFERROR(__xludf.DUMMYFUNCTION("""COMPUTED_VALUE"""),"User not found")</f>
        <v>User not found</v>
      </c>
      <c r="D375" s="31" t="str">
        <f>IFERROR(__xludf.DUMMYFUNCTION("""COMPUTED_VALUE"""),"Revoked ")</f>
        <v>Revoked </v>
      </c>
      <c r="E375" s="31" t="str">
        <f>IFERROR(__xludf.DUMMYFUNCTION("""COMPUTED_VALUE"""),"itservices@zupee.in ")</f>
        <v>itservices@zupee.in </v>
      </c>
      <c r="F375" s="31" t="str">
        <f>IFERROR(__xludf.DUMMYFUNCTION("""COMPUTED_VALUE"""),"Done")</f>
        <v>Done</v>
      </c>
      <c r="G375" s="31" t="str">
        <f>IFERROR(__xludf.DUMMYFUNCTION("""COMPUTED_VALUE"""),"No-Reply")</f>
        <v>No-Reply</v>
      </c>
      <c r="H375" s="31"/>
      <c r="I375" s="31" t="str">
        <f>IFERROR(__xludf.DUMMYFUNCTION("""COMPUTED_VALUE"""),"Technology")</f>
        <v>Technology</v>
      </c>
      <c r="J375" s="103">
        <f>IFERROR(__xludf.DUMMYFUNCTION("""COMPUTED_VALUE"""),46042.0)</f>
        <v>46042</v>
      </c>
      <c r="K375" s="104" t="str">
        <f>IFERROR(__xludf.DUMMYFUNCTION("""COMPUTED_VALUE"""),"Conf By Naveen Kadyan")</f>
        <v>Conf By Naveen Kadyan</v>
      </c>
    </row>
    <row r="376">
      <c r="A376" s="31" t="str">
        <f>IFERROR(__xludf.DUMMYFUNCTION("""COMPUTED_VALUE"""),"rahul.emmanuel@zupee.in")</f>
        <v>rahul.emmanuel@zupee.in</v>
      </c>
      <c r="B376" s="31" t="str">
        <f>IFERROR(__xludf.DUMMYFUNCTION("""COMPUTED_VALUE"""),"NON-ARCHIVED")</f>
        <v>NON-ARCHIVED</v>
      </c>
      <c r="C376" s="31" t="str">
        <f>IFERROR(__xludf.DUMMYFUNCTION("""COMPUTED_VALUE"""),"User is ACTIVE (SUSPENDED)")</f>
        <v>User is ACTIVE (SUSPENDED)</v>
      </c>
      <c r="D376" s="31" t="str">
        <f>IFERROR(__xludf.DUMMYFUNCTION("""COMPUTED_VALUE"""),"Done")</f>
        <v>Done</v>
      </c>
      <c r="E376" s="31" t="str">
        <f>IFERROR(__xludf.DUMMYFUNCTION("""COMPUTED_VALUE"""),"jyoti.prakash@zupee.in")</f>
        <v>jyoti.prakash@zupee.in</v>
      </c>
      <c r="F376" s="31" t="str">
        <f>IFERROR(__xludf.DUMMYFUNCTION("""COMPUTED_VALUE"""),"Done")</f>
        <v>Done</v>
      </c>
      <c r="G376" s="31"/>
      <c r="H376" s="31"/>
      <c r="I376" s="31"/>
      <c r="J376" s="103">
        <f>IFERROR(__xludf.DUMMYFUNCTION("""COMPUTED_VALUE"""),46057.0)</f>
        <v>46057</v>
      </c>
      <c r="K376" s="31" t="str">
        <f>IFERROR(__xludf.DUMMYFUNCTION("""COMPUTED_VALUE"""),"Apprv by ""Anmol Rawlani""")</f>
        <v>Apprv by "Anmol Rawlani"</v>
      </c>
    </row>
    <row r="377">
      <c r="A377" s="31" t="str">
        <f>IFERROR(__xludf.DUMMYFUNCTION("""COMPUTED_VALUE"""),"abhishek.goyal@zupee.in")</f>
        <v>abhishek.goyal@zupee.in</v>
      </c>
      <c r="B377" s="31" t="str">
        <f>IFERROR(__xludf.DUMMYFUNCTION("""COMPUTED_VALUE"""),"NOT_FOUND")</f>
        <v>NOT_FOUND</v>
      </c>
      <c r="C377" s="31" t="str">
        <f>IFERROR(__xludf.DUMMYFUNCTION("""COMPUTED_VALUE"""),"User not found")</f>
        <v>User not found</v>
      </c>
      <c r="D377" s="31" t="str">
        <f>IFERROR(__xludf.DUMMYFUNCTION("""COMPUTED_VALUE"""),"Revoked ")</f>
        <v>Revoked </v>
      </c>
      <c r="E377" s="31" t="str">
        <f>IFERROR(__xludf.DUMMYFUNCTION("""COMPUTED_VALUE"""),"Revoked+ITServices")</f>
        <v>Revoked+ITServices</v>
      </c>
      <c r="F377" s="31" t="str">
        <f>IFERROR(__xludf.DUMMYFUNCTION("""COMPUTED_VALUE"""),"No-Need")</f>
        <v>No-Need</v>
      </c>
      <c r="G377" s="31" t="str">
        <f>IFERROR(__xludf.DUMMYFUNCTION("""COMPUTED_VALUE"""),"No-Need")</f>
        <v>No-Need</v>
      </c>
      <c r="H377" s="31"/>
      <c r="I377" s="31" t="str">
        <f>IFERROR(__xludf.DUMMYFUNCTION("""COMPUTED_VALUE"""),"Strategy")</f>
        <v>Strategy</v>
      </c>
      <c r="J377" s="103">
        <f>IFERROR(__xludf.DUMMYFUNCTION("""COMPUTED_VALUE"""),46062.0)</f>
        <v>46062</v>
      </c>
      <c r="K377" s="31" t="str">
        <f>IFERROR(__xludf.DUMMYFUNCTION("""COMPUTED_VALUE"""),"Conf By Akanksha Dhamija")</f>
        <v>Conf By Akanksha Dhamija</v>
      </c>
    </row>
    <row r="378">
      <c r="A378" s="31" t="str">
        <f>IFERROR(__xludf.DUMMYFUNCTION("""COMPUTED_VALUE"""),"abhishek.mohapatra@zupee.in")</f>
        <v>abhishek.mohapatra@zupee.in</v>
      </c>
      <c r="B378" s="31" t="str">
        <f>IFERROR(__xludf.DUMMYFUNCTION("""COMPUTED_VALUE"""),"NOT_FOUND")</f>
        <v>NOT_FOUND</v>
      </c>
      <c r="C378" s="31" t="str">
        <f>IFERROR(__xludf.DUMMYFUNCTION("""COMPUTED_VALUE"""),"User not found")</f>
        <v>User not found</v>
      </c>
      <c r="D378" s="31" t="str">
        <f>IFERROR(__xludf.DUMMYFUNCTION("""COMPUTED_VALUE"""),"Revoked ")</f>
        <v>Revoked </v>
      </c>
      <c r="E378" s="31" t="str">
        <f>IFERROR(__xludf.DUMMYFUNCTION("""COMPUTED_VALUE"""),"Revoked+ITServices")</f>
        <v>Revoked+ITServices</v>
      </c>
      <c r="F378" s="31" t="str">
        <f>IFERROR(__xludf.DUMMYFUNCTION("""COMPUTED_VALUE"""),"No-Need")</f>
        <v>No-Need</v>
      </c>
      <c r="G378" s="31" t="str">
        <f>IFERROR(__xludf.DUMMYFUNCTION("""COMPUTED_VALUE"""),"No-Need")</f>
        <v>No-Need</v>
      </c>
      <c r="H378" s="31"/>
      <c r="I378" s="31" t="str">
        <f>IFERROR(__xludf.DUMMYFUNCTION("""COMPUTED_VALUE"""),"Strategy")</f>
        <v>Strategy</v>
      </c>
      <c r="J378" s="103">
        <f>IFERROR(__xludf.DUMMYFUNCTION("""COMPUTED_VALUE"""),46062.0)</f>
        <v>46062</v>
      </c>
      <c r="K378" s="31" t="str">
        <f>IFERROR(__xludf.DUMMYFUNCTION("""COMPUTED_VALUE"""),"Conf By Akanksha Dhamija")</f>
        <v>Conf By Akanksha Dhamija</v>
      </c>
    </row>
    <row r="379">
      <c r="A379" s="31" t="str">
        <f>IFERROR(__xludf.DUMMYFUNCTION("""COMPUTED_VALUE"""),"aditya.sinha@zupee.in")</f>
        <v>aditya.sinha@zupee.in</v>
      </c>
      <c r="B379" s="31" t="str">
        <f>IFERROR(__xludf.DUMMYFUNCTION("""COMPUTED_VALUE"""),"NOT_FOUND")</f>
        <v>NOT_FOUND</v>
      </c>
      <c r="C379" s="31" t="str">
        <f>IFERROR(__xludf.DUMMYFUNCTION("""COMPUTED_VALUE"""),"User not found")</f>
        <v>User not found</v>
      </c>
      <c r="D379" s="31" t="str">
        <f>IFERROR(__xludf.DUMMYFUNCTION("""COMPUTED_VALUE"""),"Revoked ")</f>
        <v>Revoked </v>
      </c>
      <c r="E379" s="31" t="str">
        <f>IFERROR(__xludf.DUMMYFUNCTION("""COMPUTED_VALUE"""),"Revoked+ITServices")</f>
        <v>Revoked+ITServices</v>
      </c>
      <c r="F379" s="31" t="str">
        <f>IFERROR(__xludf.DUMMYFUNCTION("""COMPUTED_VALUE"""),"No-Need")</f>
        <v>No-Need</v>
      </c>
      <c r="G379" s="31" t="str">
        <f>IFERROR(__xludf.DUMMYFUNCTION("""COMPUTED_VALUE"""),"No-Need")</f>
        <v>No-Need</v>
      </c>
      <c r="H379" s="31"/>
      <c r="I379" s="31" t="str">
        <f>IFERROR(__xludf.DUMMYFUNCTION("""COMPUTED_VALUE"""),"Strategy")</f>
        <v>Strategy</v>
      </c>
      <c r="J379" s="103">
        <f>IFERROR(__xludf.DUMMYFUNCTION("""COMPUTED_VALUE"""),46062.0)</f>
        <v>46062</v>
      </c>
      <c r="K379" s="31" t="str">
        <f>IFERROR(__xludf.DUMMYFUNCTION("""COMPUTED_VALUE"""),"Conf By Akanksha Dhamija")</f>
        <v>Conf By Akanksha Dhamija</v>
      </c>
    </row>
    <row r="380">
      <c r="A380" s="31" t="str">
        <f>IFERROR(__xludf.DUMMYFUNCTION("""COMPUTED_VALUE"""),"ajinkya.puranik@zupee.in")</f>
        <v>ajinkya.puranik@zupee.in</v>
      </c>
      <c r="B380" s="31" t="str">
        <f>IFERROR(__xludf.DUMMYFUNCTION("""COMPUTED_VALUE"""),"NOT_FOUND")</f>
        <v>NOT_FOUND</v>
      </c>
      <c r="C380" s="31" t="str">
        <f>IFERROR(__xludf.DUMMYFUNCTION("""COMPUTED_VALUE"""),"User not found")</f>
        <v>User not found</v>
      </c>
      <c r="D380" s="31" t="str">
        <f>IFERROR(__xludf.DUMMYFUNCTION("""COMPUTED_VALUE"""),"Revoked ")</f>
        <v>Revoked </v>
      </c>
      <c r="E380" s="31" t="str">
        <f>IFERROR(__xludf.DUMMYFUNCTION("""COMPUTED_VALUE"""),"Revoked+ITServices")</f>
        <v>Revoked+ITServices</v>
      </c>
      <c r="F380" s="31" t="str">
        <f>IFERROR(__xludf.DUMMYFUNCTION("""COMPUTED_VALUE"""),"No-Need")</f>
        <v>No-Need</v>
      </c>
      <c r="G380" s="31" t="str">
        <f>IFERROR(__xludf.DUMMYFUNCTION("""COMPUTED_VALUE"""),"No-Need")</f>
        <v>No-Need</v>
      </c>
      <c r="H380" s="31"/>
      <c r="I380" s="31" t="str">
        <f>IFERROR(__xludf.DUMMYFUNCTION("""COMPUTED_VALUE"""),"Strategy")</f>
        <v>Strategy</v>
      </c>
      <c r="J380" s="103">
        <f>IFERROR(__xludf.DUMMYFUNCTION("""COMPUTED_VALUE"""),46062.0)</f>
        <v>46062</v>
      </c>
      <c r="K380" s="31" t="str">
        <f>IFERROR(__xludf.DUMMYFUNCTION("""COMPUTED_VALUE"""),"Conf By Akanksha Dhamija")</f>
        <v>Conf By Akanksha Dhamija</v>
      </c>
    </row>
    <row r="381">
      <c r="A381" s="31" t="str">
        <f>IFERROR(__xludf.DUMMYFUNCTION("""COMPUTED_VALUE"""),"anshit.singh@zupee.in")</f>
        <v>anshit.singh@zupee.in</v>
      </c>
      <c r="B381" s="31" t="str">
        <f>IFERROR(__xludf.DUMMYFUNCTION("""COMPUTED_VALUE"""),"NOT_FOUND")</f>
        <v>NOT_FOUND</v>
      </c>
      <c r="C381" s="31" t="str">
        <f>IFERROR(__xludf.DUMMYFUNCTION("""COMPUTED_VALUE"""),"User not found")</f>
        <v>User not found</v>
      </c>
      <c r="D381" s="31" t="str">
        <f>IFERROR(__xludf.DUMMYFUNCTION("""COMPUTED_VALUE"""),"Revoked ")</f>
        <v>Revoked </v>
      </c>
      <c r="E381" s="31" t="str">
        <f>IFERROR(__xludf.DUMMYFUNCTION("""COMPUTED_VALUE"""),"Revoked+ITServices")</f>
        <v>Revoked+ITServices</v>
      </c>
      <c r="F381" s="31" t="str">
        <f>IFERROR(__xludf.DUMMYFUNCTION("""COMPUTED_VALUE"""),"No-Need")</f>
        <v>No-Need</v>
      </c>
      <c r="G381" s="31" t="str">
        <f>IFERROR(__xludf.DUMMYFUNCTION("""COMPUTED_VALUE"""),"No-Need")</f>
        <v>No-Need</v>
      </c>
      <c r="H381" s="31"/>
      <c r="I381" s="31" t="str">
        <f>IFERROR(__xludf.DUMMYFUNCTION("""COMPUTED_VALUE"""),"Strategy")</f>
        <v>Strategy</v>
      </c>
      <c r="J381" s="103">
        <f>IFERROR(__xludf.DUMMYFUNCTION("""COMPUTED_VALUE"""),46062.0)</f>
        <v>46062</v>
      </c>
      <c r="K381" s="31" t="str">
        <f>IFERROR(__xludf.DUMMYFUNCTION("""COMPUTED_VALUE"""),"Conf By Akanksha Dhamija")</f>
        <v>Conf By Akanksha Dhamija</v>
      </c>
    </row>
    <row r="382">
      <c r="A382" s="31" t="str">
        <f>IFERROR(__xludf.DUMMYFUNCTION("""COMPUTED_VALUE"""),"harshit.negi@zupee.in")</f>
        <v>harshit.negi@zupee.in</v>
      </c>
      <c r="B382" s="31" t="str">
        <f>IFERROR(__xludf.DUMMYFUNCTION("""COMPUTED_VALUE"""),"NOT_FOUND")</f>
        <v>NOT_FOUND</v>
      </c>
      <c r="C382" s="31" t="str">
        <f>IFERROR(__xludf.DUMMYFUNCTION("""COMPUTED_VALUE"""),"User not found")</f>
        <v>User not found</v>
      </c>
      <c r="D382" s="31" t="str">
        <f>IFERROR(__xludf.DUMMYFUNCTION("""COMPUTED_VALUE"""),"Revoked ")</f>
        <v>Revoked </v>
      </c>
      <c r="E382" s="31" t="str">
        <f>IFERROR(__xludf.DUMMYFUNCTION("""COMPUTED_VALUE"""),"Revoked+ITServices")</f>
        <v>Revoked+ITServices</v>
      </c>
      <c r="F382" s="31" t="str">
        <f>IFERROR(__xludf.DUMMYFUNCTION("""COMPUTED_VALUE"""),"No-Need")</f>
        <v>No-Need</v>
      </c>
      <c r="G382" s="31" t="str">
        <f>IFERROR(__xludf.DUMMYFUNCTION("""COMPUTED_VALUE"""),"No-Need")</f>
        <v>No-Need</v>
      </c>
      <c r="H382" s="31"/>
      <c r="I382" s="31" t="str">
        <f>IFERROR(__xludf.DUMMYFUNCTION("""COMPUTED_VALUE"""),"Strategy")</f>
        <v>Strategy</v>
      </c>
      <c r="J382" s="103">
        <f>IFERROR(__xludf.DUMMYFUNCTION("""COMPUTED_VALUE"""),46062.0)</f>
        <v>46062</v>
      </c>
      <c r="K382" s="31" t="str">
        <f>IFERROR(__xludf.DUMMYFUNCTION("""COMPUTED_VALUE"""),"Conf By Akanksha Dhamija")</f>
        <v>Conf By Akanksha Dhamija</v>
      </c>
    </row>
    <row r="383">
      <c r="A383" s="31" t="str">
        <f>IFERROR(__xludf.DUMMYFUNCTION("""COMPUTED_VALUE"""),"nilesh.inkar@zupee.in")</f>
        <v>nilesh.inkar@zupee.in</v>
      </c>
      <c r="B383" s="31" t="str">
        <f>IFERROR(__xludf.DUMMYFUNCTION("""COMPUTED_VALUE"""),"NOT_FOUND")</f>
        <v>NOT_FOUND</v>
      </c>
      <c r="C383" s="31" t="str">
        <f>IFERROR(__xludf.DUMMYFUNCTION("""COMPUTED_VALUE"""),"User not found")</f>
        <v>User not found</v>
      </c>
      <c r="D383" s="31" t="str">
        <f>IFERROR(__xludf.DUMMYFUNCTION("""COMPUTED_VALUE"""),"Revoked ")</f>
        <v>Revoked </v>
      </c>
      <c r="E383" s="31" t="str">
        <f>IFERROR(__xludf.DUMMYFUNCTION("""COMPUTED_VALUE"""),"Revoked+ITServices")</f>
        <v>Revoked+ITServices</v>
      </c>
      <c r="F383" s="31" t="str">
        <f>IFERROR(__xludf.DUMMYFUNCTION("""COMPUTED_VALUE"""),"No-Need")</f>
        <v>No-Need</v>
      </c>
      <c r="G383" s="31" t="str">
        <f>IFERROR(__xludf.DUMMYFUNCTION("""COMPUTED_VALUE"""),"No-Need")</f>
        <v>No-Need</v>
      </c>
      <c r="H383" s="31"/>
      <c r="I383" s="31" t="str">
        <f>IFERROR(__xludf.DUMMYFUNCTION("""COMPUTED_VALUE"""),"Strategy")</f>
        <v>Strategy</v>
      </c>
      <c r="J383" s="103">
        <f>IFERROR(__xludf.DUMMYFUNCTION("""COMPUTED_VALUE"""),46062.0)</f>
        <v>46062</v>
      </c>
      <c r="K383" s="31" t="str">
        <f>IFERROR(__xludf.DUMMYFUNCTION("""COMPUTED_VALUE"""),"Conf By Akanksha Dhamija")</f>
        <v>Conf By Akanksha Dhamija</v>
      </c>
    </row>
    <row r="384">
      <c r="A384" s="31" t="str">
        <f>IFERROR(__xludf.DUMMYFUNCTION("""COMPUTED_VALUE"""),"nishant.pandey@zupee.in")</f>
        <v>nishant.pandey@zupee.in</v>
      </c>
      <c r="B384" s="31" t="str">
        <f>IFERROR(__xludf.DUMMYFUNCTION("""COMPUTED_VALUE"""),"NOT_FOUND")</f>
        <v>NOT_FOUND</v>
      </c>
      <c r="C384" s="31" t="str">
        <f>IFERROR(__xludf.DUMMYFUNCTION("""COMPUTED_VALUE"""),"User not found")</f>
        <v>User not found</v>
      </c>
      <c r="D384" s="31" t="str">
        <f>IFERROR(__xludf.DUMMYFUNCTION("""COMPUTED_VALUE"""),"Revoked ")</f>
        <v>Revoked </v>
      </c>
      <c r="E384" s="31" t="str">
        <f>IFERROR(__xludf.DUMMYFUNCTION("""COMPUTED_VALUE"""),"Revoked+ITServices")</f>
        <v>Revoked+ITServices</v>
      </c>
      <c r="F384" s="31" t="str">
        <f>IFERROR(__xludf.DUMMYFUNCTION("""COMPUTED_VALUE"""),"No-Need")</f>
        <v>No-Need</v>
      </c>
      <c r="G384" s="31" t="str">
        <f>IFERROR(__xludf.DUMMYFUNCTION("""COMPUTED_VALUE"""),"No-Need")</f>
        <v>No-Need</v>
      </c>
      <c r="H384" s="31"/>
      <c r="I384" s="31" t="str">
        <f>IFERROR(__xludf.DUMMYFUNCTION("""COMPUTED_VALUE"""),"Strategy")</f>
        <v>Strategy</v>
      </c>
      <c r="J384" s="103">
        <f>IFERROR(__xludf.DUMMYFUNCTION("""COMPUTED_VALUE"""),46062.0)</f>
        <v>46062</v>
      </c>
      <c r="K384" s="31" t="str">
        <f>IFERROR(__xludf.DUMMYFUNCTION("""COMPUTED_VALUE"""),"Conf By Akanksha Dhamija")</f>
        <v>Conf By Akanksha Dhamija</v>
      </c>
    </row>
    <row r="385">
      <c r="A385" s="31" t="str">
        <f>IFERROR(__xludf.DUMMYFUNCTION("""COMPUTED_VALUE"""),"priyanshu.tripathi@zupee.in")</f>
        <v>priyanshu.tripathi@zupee.in</v>
      </c>
      <c r="B385" s="31" t="str">
        <f>IFERROR(__xludf.DUMMYFUNCTION("""COMPUTED_VALUE"""),"NOT_FOUND")</f>
        <v>NOT_FOUND</v>
      </c>
      <c r="C385" s="31" t="str">
        <f>IFERROR(__xludf.DUMMYFUNCTION("""COMPUTED_VALUE"""),"User not found")</f>
        <v>User not found</v>
      </c>
      <c r="D385" s="31" t="str">
        <f>IFERROR(__xludf.DUMMYFUNCTION("""COMPUTED_VALUE"""),"Revoked ")</f>
        <v>Revoked </v>
      </c>
      <c r="E385" s="31" t="str">
        <f>IFERROR(__xludf.DUMMYFUNCTION("""COMPUTED_VALUE"""),"Revoked+ITServices")</f>
        <v>Revoked+ITServices</v>
      </c>
      <c r="F385" s="31" t="str">
        <f>IFERROR(__xludf.DUMMYFUNCTION("""COMPUTED_VALUE"""),"No-Need")</f>
        <v>No-Need</v>
      </c>
      <c r="G385" s="31" t="str">
        <f>IFERROR(__xludf.DUMMYFUNCTION("""COMPUTED_VALUE"""),"No-Need")</f>
        <v>No-Need</v>
      </c>
      <c r="H385" s="31"/>
      <c r="I385" s="31" t="str">
        <f>IFERROR(__xludf.DUMMYFUNCTION("""COMPUTED_VALUE"""),"Strategy")</f>
        <v>Strategy</v>
      </c>
      <c r="J385" s="103">
        <f>IFERROR(__xludf.DUMMYFUNCTION("""COMPUTED_VALUE"""),46062.0)</f>
        <v>46062</v>
      </c>
      <c r="K385" s="31" t="str">
        <f>IFERROR(__xludf.DUMMYFUNCTION("""COMPUTED_VALUE"""),"Conf By Akanksha Dhamija")</f>
        <v>Conf By Akanksha Dhamija</v>
      </c>
    </row>
    <row r="386">
      <c r="A386" s="31" t="str">
        <f>IFERROR(__xludf.DUMMYFUNCTION("""COMPUTED_VALUE"""),"reshma.shikalgar@zupee.in")</f>
        <v>reshma.shikalgar@zupee.in</v>
      </c>
      <c r="B386" s="31" t="str">
        <f>IFERROR(__xludf.DUMMYFUNCTION("""COMPUTED_VALUE"""),"NOT_FOUND")</f>
        <v>NOT_FOUND</v>
      </c>
      <c r="C386" s="31" t="str">
        <f>IFERROR(__xludf.DUMMYFUNCTION("""COMPUTED_VALUE"""),"User not found")</f>
        <v>User not found</v>
      </c>
      <c r="D386" s="31" t="str">
        <f>IFERROR(__xludf.DUMMYFUNCTION("""COMPUTED_VALUE"""),"Revoked ")</f>
        <v>Revoked </v>
      </c>
      <c r="E386" s="31" t="str">
        <f>IFERROR(__xludf.DUMMYFUNCTION("""COMPUTED_VALUE"""),"Revoked+ITServices")</f>
        <v>Revoked+ITServices</v>
      </c>
      <c r="F386" s="31" t="str">
        <f>IFERROR(__xludf.DUMMYFUNCTION("""COMPUTED_VALUE"""),"No-Need")</f>
        <v>No-Need</v>
      </c>
      <c r="G386" s="31" t="str">
        <f>IFERROR(__xludf.DUMMYFUNCTION("""COMPUTED_VALUE"""),"No-Need")</f>
        <v>No-Need</v>
      </c>
      <c r="H386" s="31"/>
      <c r="I386" s="31" t="str">
        <f>IFERROR(__xludf.DUMMYFUNCTION("""COMPUTED_VALUE"""),"Strategy")</f>
        <v>Strategy</v>
      </c>
      <c r="J386" s="103">
        <f>IFERROR(__xludf.DUMMYFUNCTION("""COMPUTED_VALUE"""),46062.0)</f>
        <v>46062</v>
      </c>
      <c r="K386" s="31" t="str">
        <f>IFERROR(__xludf.DUMMYFUNCTION("""COMPUTED_VALUE"""),"Conf By Akanksha Dhamija")</f>
        <v>Conf By Akanksha Dhamija</v>
      </c>
    </row>
    <row r="387">
      <c r="A387" s="31" t="str">
        <f>IFERROR(__xludf.DUMMYFUNCTION("""COMPUTED_VALUE"""),"rohan.ray@zupee.in")</f>
        <v>rohan.ray@zupee.in</v>
      </c>
      <c r="B387" s="31" t="str">
        <f>IFERROR(__xludf.DUMMYFUNCTION("""COMPUTED_VALUE"""),"NOT_FOUND")</f>
        <v>NOT_FOUND</v>
      </c>
      <c r="C387" s="31" t="str">
        <f>IFERROR(__xludf.DUMMYFUNCTION("""COMPUTED_VALUE"""),"User not found")</f>
        <v>User not found</v>
      </c>
      <c r="D387" s="31" t="str">
        <f>IFERROR(__xludf.DUMMYFUNCTION("""COMPUTED_VALUE"""),"Revoked ")</f>
        <v>Revoked </v>
      </c>
      <c r="E387" s="31" t="str">
        <f>IFERROR(__xludf.DUMMYFUNCTION("""COMPUTED_VALUE"""),"Revoked+ITServices")</f>
        <v>Revoked+ITServices</v>
      </c>
      <c r="F387" s="31" t="str">
        <f>IFERROR(__xludf.DUMMYFUNCTION("""COMPUTED_VALUE"""),"No-Need")</f>
        <v>No-Need</v>
      </c>
      <c r="G387" s="31" t="str">
        <f>IFERROR(__xludf.DUMMYFUNCTION("""COMPUTED_VALUE"""),"No-Need")</f>
        <v>No-Need</v>
      </c>
      <c r="H387" s="31"/>
      <c r="I387" s="31" t="str">
        <f>IFERROR(__xludf.DUMMYFUNCTION("""COMPUTED_VALUE"""),"Strategy")</f>
        <v>Strategy</v>
      </c>
      <c r="J387" s="103">
        <f>IFERROR(__xludf.DUMMYFUNCTION("""COMPUTED_VALUE"""),46062.0)</f>
        <v>46062</v>
      </c>
      <c r="K387" s="31" t="str">
        <f>IFERROR(__xludf.DUMMYFUNCTION("""COMPUTED_VALUE"""),"Conf By Akanksha Dhamija")</f>
        <v>Conf By Akanksha Dhamija</v>
      </c>
    </row>
    <row r="388">
      <c r="A388" s="31" t="str">
        <f>IFERROR(__xludf.DUMMYFUNCTION("""COMPUTED_VALUE"""),"shivam.goel@zupee.in")</f>
        <v>shivam.goel@zupee.in</v>
      </c>
      <c r="B388" s="31" t="str">
        <f>IFERROR(__xludf.DUMMYFUNCTION("""COMPUTED_VALUE"""),"NOT_FOUND")</f>
        <v>NOT_FOUND</v>
      </c>
      <c r="C388" s="31" t="str">
        <f>IFERROR(__xludf.DUMMYFUNCTION("""COMPUTED_VALUE"""),"User not found")</f>
        <v>User not found</v>
      </c>
      <c r="D388" s="31" t="str">
        <f>IFERROR(__xludf.DUMMYFUNCTION("""COMPUTED_VALUE"""),"Revoked ")</f>
        <v>Revoked </v>
      </c>
      <c r="E388" s="31" t="str">
        <f>IFERROR(__xludf.DUMMYFUNCTION("""COMPUTED_VALUE"""),"Revoked+ITServices")</f>
        <v>Revoked+ITServices</v>
      </c>
      <c r="F388" s="31" t="str">
        <f>IFERROR(__xludf.DUMMYFUNCTION("""COMPUTED_VALUE"""),"No-Need")</f>
        <v>No-Need</v>
      </c>
      <c r="G388" s="31" t="str">
        <f>IFERROR(__xludf.DUMMYFUNCTION("""COMPUTED_VALUE"""),"No-Need")</f>
        <v>No-Need</v>
      </c>
      <c r="H388" s="31"/>
      <c r="I388" s="31" t="str">
        <f>IFERROR(__xludf.DUMMYFUNCTION("""COMPUTED_VALUE"""),"Strategy")</f>
        <v>Strategy</v>
      </c>
      <c r="J388" s="103">
        <f>IFERROR(__xludf.DUMMYFUNCTION("""COMPUTED_VALUE"""),46062.0)</f>
        <v>46062</v>
      </c>
      <c r="K388" s="31" t="str">
        <f>IFERROR(__xludf.DUMMYFUNCTION("""COMPUTED_VALUE"""),"Conf By Akanksha Dhamija")</f>
        <v>Conf By Akanksha Dhamija</v>
      </c>
    </row>
    <row r="389">
      <c r="A389" s="31" t="str">
        <f>IFERROR(__xludf.DUMMYFUNCTION("""COMPUTED_VALUE"""),"shriya.sarda@zupee.in")</f>
        <v>shriya.sarda@zupee.in</v>
      </c>
      <c r="B389" s="31" t="str">
        <f>IFERROR(__xludf.DUMMYFUNCTION("""COMPUTED_VALUE"""),"NOT_FOUND")</f>
        <v>NOT_FOUND</v>
      </c>
      <c r="C389" s="31" t="str">
        <f>IFERROR(__xludf.DUMMYFUNCTION("""COMPUTED_VALUE"""),"User not found")</f>
        <v>User not found</v>
      </c>
      <c r="D389" s="31" t="str">
        <f>IFERROR(__xludf.DUMMYFUNCTION("""COMPUTED_VALUE"""),"Revoked ")</f>
        <v>Revoked </v>
      </c>
      <c r="E389" s="31" t="str">
        <f>IFERROR(__xludf.DUMMYFUNCTION("""COMPUTED_VALUE"""),"Revoked+ITServices")</f>
        <v>Revoked+ITServices</v>
      </c>
      <c r="F389" s="31" t="str">
        <f>IFERROR(__xludf.DUMMYFUNCTION("""COMPUTED_VALUE"""),"No-Need")</f>
        <v>No-Need</v>
      </c>
      <c r="G389" s="31" t="str">
        <f>IFERROR(__xludf.DUMMYFUNCTION("""COMPUTED_VALUE"""),"No-Need")</f>
        <v>No-Need</v>
      </c>
      <c r="H389" s="31"/>
      <c r="I389" s="31" t="str">
        <f>IFERROR(__xludf.DUMMYFUNCTION("""COMPUTED_VALUE"""),"Strategy")</f>
        <v>Strategy</v>
      </c>
      <c r="J389" s="103">
        <f>IFERROR(__xludf.DUMMYFUNCTION("""COMPUTED_VALUE"""),46062.0)</f>
        <v>46062</v>
      </c>
      <c r="K389" s="31" t="str">
        <f>IFERROR(__xludf.DUMMYFUNCTION("""COMPUTED_VALUE"""),"Conf By Akanksha Dhamija")</f>
        <v>Conf By Akanksha Dhamija</v>
      </c>
    </row>
    <row r="390">
      <c r="A390" s="31" t="str">
        <f>IFERROR(__xludf.DUMMYFUNCTION("""COMPUTED_VALUE"""),"shubham.kashyap@zupee.in")</f>
        <v>shubham.kashyap@zupee.in</v>
      </c>
      <c r="B390" s="31" t="str">
        <f>IFERROR(__xludf.DUMMYFUNCTION("""COMPUTED_VALUE"""),"NOT_FOUND")</f>
        <v>NOT_FOUND</v>
      </c>
      <c r="C390" s="31" t="str">
        <f>IFERROR(__xludf.DUMMYFUNCTION("""COMPUTED_VALUE"""),"User not found")</f>
        <v>User not found</v>
      </c>
      <c r="D390" s="31" t="str">
        <f>IFERROR(__xludf.DUMMYFUNCTION("""COMPUTED_VALUE"""),"Revoked ")</f>
        <v>Revoked </v>
      </c>
      <c r="E390" s="31" t="str">
        <f>IFERROR(__xludf.DUMMYFUNCTION("""COMPUTED_VALUE"""),"Revoked+ITServices")</f>
        <v>Revoked+ITServices</v>
      </c>
      <c r="F390" s="31" t="str">
        <f>IFERROR(__xludf.DUMMYFUNCTION("""COMPUTED_VALUE"""),"No-Need")</f>
        <v>No-Need</v>
      </c>
      <c r="G390" s="31" t="str">
        <f>IFERROR(__xludf.DUMMYFUNCTION("""COMPUTED_VALUE"""),"No-Need")</f>
        <v>No-Need</v>
      </c>
      <c r="H390" s="31"/>
      <c r="I390" s="31" t="str">
        <f>IFERROR(__xludf.DUMMYFUNCTION("""COMPUTED_VALUE"""),"Strategy")</f>
        <v>Strategy</v>
      </c>
      <c r="J390" s="103">
        <f>IFERROR(__xludf.DUMMYFUNCTION("""COMPUTED_VALUE"""),46062.0)</f>
        <v>46062</v>
      </c>
      <c r="K390" s="31" t="str">
        <f>IFERROR(__xludf.DUMMYFUNCTION("""COMPUTED_VALUE"""),"Conf By Akanksha Dhamija")</f>
        <v>Conf By Akanksha Dhamija</v>
      </c>
    </row>
    <row r="391">
      <c r="A391" s="31" t="str">
        <f>IFERROR(__xludf.DUMMYFUNCTION("""COMPUTED_VALUE"""),"shubham.singh@zupee.in")</f>
        <v>shubham.singh@zupee.in</v>
      </c>
      <c r="B391" s="31" t="str">
        <f>IFERROR(__xludf.DUMMYFUNCTION("""COMPUTED_VALUE"""),"NOT_FOUND")</f>
        <v>NOT_FOUND</v>
      </c>
      <c r="C391" s="31" t="str">
        <f>IFERROR(__xludf.DUMMYFUNCTION("""COMPUTED_VALUE"""),"User not found")</f>
        <v>User not found</v>
      </c>
      <c r="D391" s="31" t="str">
        <f>IFERROR(__xludf.DUMMYFUNCTION("""COMPUTED_VALUE"""),"Revoked ")</f>
        <v>Revoked </v>
      </c>
      <c r="E391" s="31" t="str">
        <f>IFERROR(__xludf.DUMMYFUNCTION("""COMPUTED_VALUE"""),"akanksha.dhamija@zupee.in")</f>
        <v>akanksha.dhamija@zupee.in</v>
      </c>
      <c r="F391" s="31" t="str">
        <f>IFERROR(__xludf.DUMMYFUNCTION("""COMPUTED_VALUE"""),"Done")</f>
        <v>Done</v>
      </c>
      <c r="G391" s="31" t="str">
        <f>IFERROR(__xludf.DUMMYFUNCTION("""COMPUTED_VALUE"""),"No-Need")</f>
        <v>No-Need</v>
      </c>
      <c r="H391" s="31"/>
      <c r="I391" s="31" t="str">
        <f>IFERROR(__xludf.DUMMYFUNCTION("""COMPUTED_VALUE"""),"Strategy")</f>
        <v>Strategy</v>
      </c>
      <c r="J391" s="103">
        <f>IFERROR(__xludf.DUMMYFUNCTION("""COMPUTED_VALUE"""),46062.0)</f>
        <v>46062</v>
      </c>
      <c r="K391" s="31" t="str">
        <f>IFERROR(__xludf.DUMMYFUNCTION("""COMPUTED_VALUE"""),"Conf By Akanksha Dhamija")</f>
        <v>Conf By Akanksha Dhamija</v>
      </c>
    </row>
    <row r="392">
      <c r="A392" s="31" t="str">
        <f>IFERROR(__xludf.DUMMYFUNCTION("""COMPUTED_VALUE"""),"aditya.jha@zupee.in")</f>
        <v>aditya.jha@zupee.in</v>
      </c>
      <c r="B392" s="31" t="str">
        <f>IFERROR(__xludf.DUMMYFUNCTION("""COMPUTED_VALUE"""),"NOT_FOUND")</f>
        <v>NOT_FOUND</v>
      </c>
      <c r="C392" s="31" t="str">
        <f>IFERROR(__xludf.DUMMYFUNCTION("""COMPUTED_VALUE"""),"User not found")</f>
        <v>User not found</v>
      </c>
      <c r="D392" s="31" t="str">
        <f>IFERROR(__xludf.DUMMYFUNCTION("""COMPUTED_VALUE"""),"Revoked ")</f>
        <v>Revoked </v>
      </c>
      <c r="E392" s="31" t="str">
        <f>IFERROR(__xludf.DUMMYFUNCTION("""COMPUTED_VALUE"""),"pratik.taltia@zupee.in")</f>
        <v>pratik.taltia@zupee.in</v>
      </c>
      <c r="F392" s="31" t="str">
        <f>IFERROR(__xludf.DUMMYFUNCTION("""COMPUTED_VALUE"""),"Done")</f>
        <v>Done</v>
      </c>
      <c r="G392" s="31" t="str">
        <f>IFERROR(__xludf.DUMMYFUNCTION("""COMPUTED_VALUE"""),"No-Need")</f>
        <v>No-Need</v>
      </c>
      <c r="H392" s="31" t="str">
        <f>IFERROR(__xludf.DUMMYFUNCTION("""COMPUTED_VALUE"""),"No-Need")</f>
        <v>No-Need</v>
      </c>
      <c r="I392" s="31" t="str">
        <f>IFERROR(__xludf.DUMMYFUNCTION("""COMPUTED_VALUE"""),"Strategy")</f>
        <v>Strategy</v>
      </c>
      <c r="J392" s="103">
        <f>IFERROR(__xludf.DUMMYFUNCTION("""COMPUTED_VALUE"""),46062.0)</f>
        <v>46062</v>
      </c>
      <c r="K392" s="31" t="str">
        <f>IFERROR(__xludf.DUMMYFUNCTION("""COMPUTED_VALUE"""),"Conf By Akanksha Dhamija")</f>
        <v>Conf By Akanksha Dhamija</v>
      </c>
    </row>
    <row r="393">
      <c r="A393" s="31" t="str">
        <f>IFERROR(__xludf.DUMMYFUNCTION("""COMPUTED_VALUE"""),"aditya.rai@zupee.in")</f>
        <v>aditya.rai@zupee.in</v>
      </c>
      <c r="B393" s="31" t="str">
        <f>IFERROR(__xludf.DUMMYFUNCTION("""COMPUTED_VALUE"""),"NOT_FOUND")</f>
        <v>NOT_FOUND</v>
      </c>
      <c r="C393" s="31" t="str">
        <f>IFERROR(__xludf.DUMMYFUNCTION("""COMPUTED_VALUE"""),"User not found")</f>
        <v>User not found</v>
      </c>
      <c r="D393" s="31" t="str">
        <f>IFERROR(__xludf.DUMMYFUNCTION("""COMPUTED_VALUE"""),"Revoked ")</f>
        <v>Revoked </v>
      </c>
      <c r="E393" s="31" t="str">
        <f>IFERROR(__xludf.DUMMYFUNCTION("""COMPUTED_VALUE"""),"Revoked+ITServices")</f>
        <v>Revoked+ITServices</v>
      </c>
      <c r="F393" s="31" t="str">
        <f>IFERROR(__xludf.DUMMYFUNCTION("""COMPUTED_VALUE"""),"No-Need")</f>
        <v>No-Need</v>
      </c>
      <c r="G393" s="31" t="str">
        <f>IFERROR(__xludf.DUMMYFUNCTION("""COMPUTED_VALUE"""),"No-Need")</f>
        <v>No-Need</v>
      </c>
      <c r="H393" s="31"/>
      <c r="I393" s="31" t="str">
        <f>IFERROR(__xludf.DUMMYFUNCTION("""COMPUTED_VALUE"""),"Strategy")</f>
        <v>Strategy</v>
      </c>
      <c r="J393" s="103">
        <f>IFERROR(__xludf.DUMMYFUNCTION("""COMPUTED_VALUE"""),46062.0)</f>
        <v>46062</v>
      </c>
      <c r="K393" s="31" t="str">
        <f>IFERROR(__xludf.DUMMYFUNCTION("""COMPUTED_VALUE"""),"Conf By Akanksha Dhamija")</f>
        <v>Conf By Akanksha Dhamija</v>
      </c>
    </row>
    <row r="394">
      <c r="A394" s="31" t="str">
        <f>IFERROR(__xludf.DUMMYFUNCTION("""COMPUTED_VALUE"""),"agrim.panwar@zupee.in")</f>
        <v>agrim.panwar@zupee.in</v>
      </c>
      <c r="B394" s="31" t="str">
        <f>IFERROR(__xludf.DUMMYFUNCTION("""COMPUTED_VALUE"""),"NOT_FOUND")</f>
        <v>NOT_FOUND</v>
      </c>
      <c r="C394" s="31" t="str">
        <f>IFERROR(__xludf.DUMMYFUNCTION("""COMPUTED_VALUE"""),"User not found")</f>
        <v>User not found</v>
      </c>
      <c r="D394" s="31" t="str">
        <f>IFERROR(__xludf.DUMMYFUNCTION("""COMPUTED_VALUE"""),"Revoked ")</f>
        <v>Revoked </v>
      </c>
      <c r="E394" s="31" t="str">
        <f>IFERROR(__xludf.DUMMYFUNCTION("""COMPUTED_VALUE"""),"No-Need")</f>
        <v>No-Need</v>
      </c>
      <c r="F394" s="31" t="str">
        <f>IFERROR(__xludf.DUMMYFUNCTION("""COMPUTED_VALUE"""),"No-Need")</f>
        <v>No-Need</v>
      </c>
      <c r="G394" s="31" t="str">
        <f>IFERROR(__xludf.DUMMYFUNCTION("""COMPUTED_VALUE"""),"No-Need")</f>
        <v>No-Need</v>
      </c>
      <c r="H394" s="31"/>
      <c r="I394" s="31" t="str">
        <f>IFERROR(__xludf.DUMMYFUNCTION("""COMPUTED_VALUE"""),"Strategy")</f>
        <v>Strategy</v>
      </c>
      <c r="J394" s="103">
        <f>IFERROR(__xludf.DUMMYFUNCTION("""COMPUTED_VALUE"""),46062.0)</f>
        <v>46062</v>
      </c>
      <c r="K394" s="31" t="str">
        <f>IFERROR(__xludf.DUMMYFUNCTION("""COMPUTED_VALUE"""),"Conf By Akanksha Dhamija")</f>
        <v>Conf By Akanksha Dhamija</v>
      </c>
    </row>
    <row r="395">
      <c r="A395" s="31" t="str">
        <f>IFERROR(__xludf.DUMMYFUNCTION("""COMPUTED_VALUE"""),"akansha.rajawat@zupee.in")</f>
        <v>akansha.rajawat@zupee.in</v>
      </c>
      <c r="B395" s="31" t="str">
        <f>IFERROR(__xludf.DUMMYFUNCTION("""COMPUTED_VALUE"""),"NOT_FOUND")</f>
        <v>NOT_FOUND</v>
      </c>
      <c r="C395" s="31" t="str">
        <f>IFERROR(__xludf.DUMMYFUNCTION("""COMPUTED_VALUE"""),"User not found")</f>
        <v>User not found</v>
      </c>
      <c r="D395" s="31" t="str">
        <f>IFERROR(__xludf.DUMMYFUNCTION("""COMPUTED_VALUE"""),"Revoked ")</f>
        <v>Revoked </v>
      </c>
      <c r="E395" s="31" t="str">
        <f>IFERROR(__xludf.DUMMYFUNCTION("""COMPUTED_VALUE"""),"pratik.taltia@zupee.in")</f>
        <v>pratik.taltia@zupee.in</v>
      </c>
      <c r="F395" s="31" t="str">
        <f>IFERROR(__xludf.DUMMYFUNCTION("""COMPUTED_VALUE"""),"Done")</f>
        <v>Done</v>
      </c>
      <c r="G395" s="31" t="str">
        <f>IFERROR(__xludf.DUMMYFUNCTION("""COMPUTED_VALUE"""),"No-Need")</f>
        <v>No-Need</v>
      </c>
      <c r="H395" s="31" t="str">
        <f>IFERROR(__xludf.DUMMYFUNCTION("""COMPUTED_VALUE"""),"No-Need")</f>
        <v>No-Need</v>
      </c>
      <c r="I395" s="31" t="str">
        <f>IFERROR(__xludf.DUMMYFUNCTION("""COMPUTED_VALUE"""),"Strategy")</f>
        <v>Strategy</v>
      </c>
      <c r="J395" s="103">
        <f>IFERROR(__xludf.DUMMYFUNCTION("""COMPUTED_VALUE"""),46062.0)</f>
        <v>46062</v>
      </c>
      <c r="K395" s="31" t="str">
        <f>IFERROR(__xludf.DUMMYFUNCTION("""COMPUTED_VALUE"""),"Conf By Akanksha Dhamija")</f>
        <v>Conf By Akanksha Dhamija</v>
      </c>
    </row>
    <row r="396">
      <c r="A396" s="31" t="str">
        <f>IFERROR(__xludf.DUMMYFUNCTION("""COMPUTED_VALUE"""),"anjelina.tirkey@zupee.in")</f>
        <v>anjelina.tirkey@zupee.in</v>
      </c>
      <c r="B396" s="31" t="str">
        <f>IFERROR(__xludf.DUMMYFUNCTION("""COMPUTED_VALUE"""),"NOT_FOUND")</f>
        <v>NOT_FOUND</v>
      </c>
      <c r="C396" s="31" t="str">
        <f>IFERROR(__xludf.DUMMYFUNCTION("""COMPUTED_VALUE"""),"User not found")</f>
        <v>User not found</v>
      </c>
      <c r="D396" s="31" t="str">
        <f>IFERROR(__xludf.DUMMYFUNCTION("""COMPUTED_VALUE"""),"Revoked ")</f>
        <v>Revoked </v>
      </c>
      <c r="E396" s="31" t="str">
        <f>IFERROR(__xludf.DUMMYFUNCTION("""COMPUTED_VALUE"""),"Revoked+ITServices")</f>
        <v>Revoked+ITServices</v>
      </c>
      <c r="F396" s="31" t="str">
        <f>IFERROR(__xludf.DUMMYFUNCTION("""COMPUTED_VALUE"""),"No-Need")</f>
        <v>No-Need</v>
      </c>
      <c r="G396" s="31" t="str">
        <f>IFERROR(__xludf.DUMMYFUNCTION("""COMPUTED_VALUE"""),"No-Need")</f>
        <v>No-Need</v>
      </c>
      <c r="H396" s="31" t="str">
        <f>IFERROR(__xludf.DUMMYFUNCTION("""COMPUTED_VALUE"""),"N/A")</f>
        <v>N/A</v>
      </c>
      <c r="I396" s="31" t="str">
        <f>IFERROR(__xludf.DUMMYFUNCTION("""COMPUTED_VALUE"""),"Strategy")</f>
        <v>Strategy</v>
      </c>
      <c r="J396" s="103">
        <f>IFERROR(__xludf.DUMMYFUNCTION("""COMPUTED_VALUE"""),46062.0)</f>
        <v>46062</v>
      </c>
      <c r="K396" s="31" t="str">
        <f>IFERROR(__xludf.DUMMYFUNCTION("""COMPUTED_VALUE"""),"Conf By Akanksha Dhamija")</f>
        <v>Conf By Akanksha Dhamija</v>
      </c>
    </row>
    <row r="397">
      <c r="A397" s="31" t="str">
        <f>IFERROR(__xludf.DUMMYFUNCTION("""COMPUTED_VALUE"""),"ashutosh.wadhwani@zupee.in")</f>
        <v>ashutosh.wadhwani@zupee.in</v>
      </c>
      <c r="B397" s="31" t="str">
        <f>IFERROR(__xludf.DUMMYFUNCTION("""COMPUTED_VALUE"""),"NOT_FOUND")</f>
        <v>NOT_FOUND</v>
      </c>
      <c r="C397" s="31" t="str">
        <f>IFERROR(__xludf.DUMMYFUNCTION("""COMPUTED_VALUE"""),"User not found")</f>
        <v>User not found</v>
      </c>
      <c r="D397" s="31" t="str">
        <f>IFERROR(__xludf.DUMMYFUNCTION("""COMPUTED_VALUE"""),"Revoked ")</f>
        <v>Revoked </v>
      </c>
      <c r="E397" s="31" t="str">
        <f>IFERROR(__xludf.DUMMYFUNCTION("""COMPUTED_VALUE"""),"Revoked+ITServices")</f>
        <v>Revoked+ITServices</v>
      </c>
      <c r="F397" s="31" t="str">
        <f>IFERROR(__xludf.DUMMYFUNCTION("""COMPUTED_VALUE"""),"No-Need")</f>
        <v>No-Need</v>
      </c>
      <c r="G397" s="31" t="str">
        <f>IFERROR(__xludf.DUMMYFUNCTION("""COMPUTED_VALUE"""),"No-Need")</f>
        <v>No-Need</v>
      </c>
      <c r="H397" s="31" t="str">
        <f>IFERROR(__xludf.DUMMYFUNCTION("""COMPUTED_VALUE"""),"N/A")</f>
        <v>N/A</v>
      </c>
      <c r="I397" s="31" t="str">
        <f>IFERROR(__xludf.DUMMYFUNCTION("""COMPUTED_VALUE"""),"Strategy")</f>
        <v>Strategy</v>
      </c>
      <c r="J397" s="103">
        <f>IFERROR(__xludf.DUMMYFUNCTION("""COMPUTED_VALUE"""),46062.0)</f>
        <v>46062</v>
      </c>
      <c r="K397" s="31" t="str">
        <f>IFERROR(__xludf.DUMMYFUNCTION("""COMPUTED_VALUE"""),"Conf By Akanksha Dhamija")</f>
        <v>Conf By Akanksha Dhamija</v>
      </c>
    </row>
    <row r="398">
      <c r="A398" s="31" t="str">
        <f>IFERROR(__xludf.DUMMYFUNCTION("""COMPUTED_VALUE"""),"bhupendra.kumar@zupee.in")</f>
        <v>bhupendra.kumar@zupee.in</v>
      </c>
      <c r="B398" s="31" t="str">
        <f>IFERROR(__xludf.DUMMYFUNCTION("""COMPUTED_VALUE"""),"NOT_FOUND")</f>
        <v>NOT_FOUND</v>
      </c>
      <c r="C398" s="31" t="str">
        <f>IFERROR(__xludf.DUMMYFUNCTION("""COMPUTED_VALUE"""),"User not found")</f>
        <v>User not found</v>
      </c>
      <c r="D398" s="31" t="str">
        <f>IFERROR(__xludf.DUMMYFUNCTION("""COMPUTED_VALUE"""),"Revoked ")</f>
        <v>Revoked </v>
      </c>
      <c r="E398" s="31" t="str">
        <f>IFERROR(__xludf.DUMMYFUNCTION("""COMPUTED_VALUE"""),"Revoked+ITServices")</f>
        <v>Revoked+ITServices</v>
      </c>
      <c r="F398" s="31" t="str">
        <f>IFERROR(__xludf.DUMMYFUNCTION("""COMPUTED_VALUE"""),"No-Need")</f>
        <v>No-Need</v>
      </c>
      <c r="G398" s="31" t="str">
        <f>IFERROR(__xludf.DUMMYFUNCTION("""COMPUTED_VALUE"""),"No-Need")</f>
        <v>No-Need</v>
      </c>
      <c r="H398" s="31" t="str">
        <f>IFERROR(__xludf.DUMMYFUNCTION("""COMPUTED_VALUE"""),"N/A")</f>
        <v>N/A</v>
      </c>
      <c r="I398" s="31" t="str">
        <f>IFERROR(__xludf.DUMMYFUNCTION("""COMPUTED_VALUE"""),"Strategy")</f>
        <v>Strategy</v>
      </c>
      <c r="J398" s="103">
        <f>IFERROR(__xludf.DUMMYFUNCTION("""COMPUTED_VALUE"""),46062.0)</f>
        <v>46062</v>
      </c>
      <c r="K398" s="31" t="str">
        <f>IFERROR(__xludf.DUMMYFUNCTION("""COMPUTED_VALUE"""),"Conf By Akanksha Dhamija")</f>
        <v>Conf By Akanksha Dhamija</v>
      </c>
    </row>
    <row r="399">
      <c r="A399" s="31" t="str">
        <f>IFERROR(__xludf.DUMMYFUNCTION("""COMPUTED_VALUE"""),"karan.aggarwal@zupee.in")</f>
        <v>karan.aggarwal@zupee.in</v>
      </c>
      <c r="B399" s="31" t="str">
        <f>IFERROR(__xludf.DUMMYFUNCTION("""COMPUTED_VALUE"""),"NOT_FOUND")</f>
        <v>NOT_FOUND</v>
      </c>
      <c r="C399" s="31" t="str">
        <f>IFERROR(__xludf.DUMMYFUNCTION("""COMPUTED_VALUE"""),"User not found")</f>
        <v>User not found</v>
      </c>
      <c r="D399" s="31" t="str">
        <f>IFERROR(__xludf.DUMMYFUNCTION("""COMPUTED_VALUE"""),"Revoked ")</f>
        <v>Revoked </v>
      </c>
      <c r="E399" s="31" t="str">
        <f>IFERROR(__xludf.DUMMYFUNCTION("""COMPUTED_VALUE"""),"Revoked+ITServices")</f>
        <v>Revoked+ITServices</v>
      </c>
      <c r="F399" s="31" t="str">
        <f>IFERROR(__xludf.DUMMYFUNCTION("""COMPUTED_VALUE"""),"No-Need")</f>
        <v>No-Need</v>
      </c>
      <c r="G399" s="31" t="str">
        <f>IFERROR(__xludf.DUMMYFUNCTION("""COMPUTED_VALUE"""),"No-Need")</f>
        <v>No-Need</v>
      </c>
      <c r="H399" s="31" t="str">
        <f>IFERROR(__xludf.DUMMYFUNCTION("""COMPUTED_VALUE"""),"N/A")</f>
        <v>N/A</v>
      </c>
      <c r="I399" s="31" t="str">
        <f>IFERROR(__xludf.DUMMYFUNCTION("""COMPUTED_VALUE"""),"Strategy")</f>
        <v>Strategy</v>
      </c>
      <c r="J399" s="103">
        <f>IFERROR(__xludf.DUMMYFUNCTION("""COMPUTED_VALUE"""),46062.0)</f>
        <v>46062</v>
      </c>
      <c r="K399" s="31" t="str">
        <f>IFERROR(__xludf.DUMMYFUNCTION("""COMPUTED_VALUE"""),"Conf By Akanksha Dhamija")</f>
        <v>Conf By Akanksha Dhamija</v>
      </c>
    </row>
    <row r="400">
      <c r="A400" s="31" t="str">
        <f>IFERROR(__xludf.DUMMYFUNCTION("""COMPUTED_VALUE"""),"raghav.maheshwari@zupee.in")</f>
        <v>raghav.maheshwari@zupee.in</v>
      </c>
      <c r="B400" s="31" t="str">
        <f>IFERROR(__xludf.DUMMYFUNCTION("""COMPUTED_VALUE"""),"NOT_FOUND")</f>
        <v>NOT_FOUND</v>
      </c>
      <c r="C400" s="31" t="str">
        <f>IFERROR(__xludf.DUMMYFUNCTION("""COMPUTED_VALUE"""),"User not found")</f>
        <v>User not found</v>
      </c>
      <c r="D400" s="31" t="str">
        <f>IFERROR(__xludf.DUMMYFUNCTION("""COMPUTED_VALUE"""),"Revoked ")</f>
        <v>Revoked </v>
      </c>
      <c r="E400" s="31" t="str">
        <f>IFERROR(__xludf.DUMMYFUNCTION("""COMPUTED_VALUE"""),"Revoked+ITServices")</f>
        <v>Revoked+ITServices</v>
      </c>
      <c r="F400" s="31" t="str">
        <f>IFERROR(__xludf.DUMMYFUNCTION("""COMPUTED_VALUE"""),"No-Need")</f>
        <v>No-Need</v>
      </c>
      <c r="G400" s="31" t="str">
        <f>IFERROR(__xludf.DUMMYFUNCTION("""COMPUTED_VALUE"""),"No-Need")</f>
        <v>No-Need</v>
      </c>
      <c r="H400" s="31" t="str">
        <f>IFERROR(__xludf.DUMMYFUNCTION("""COMPUTED_VALUE"""),"N/A")</f>
        <v>N/A</v>
      </c>
      <c r="I400" s="31" t="str">
        <f>IFERROR(__xludf.DUMMYFUNCTION("""COMPUTED_VALUE"""),"Strategy")</f>
        <v>Strategy</v>
      </c>
      <c r="J400" s="103">
        <f>IFERROR(__xludf.DUMMYFUNCTION("""COMPUTED_VALUE"""),46062.0)</f>
        <v>46062</v>
      </c>
      <c r="K400" s="31" t="str">
        <f>IFERROR(__xludf.DUMMYFUNCTION("""COMPUTED_VALUE"""),"Conf By Akanksha Dhamija")</f>
        <v>Conf By Akanksha Dhamija</v>
      </c>
    </row>
    <row r="401">
      <c r="A401" s="31" t="str">
        <f>IFERROR(__xludf.DUMMYFUNCTION("""COMPUTED_VALUE"""),"rishabh.baid@zupee.in")</f>
        <v>rishabh.baid@zupee.in</v>
      </c>
      <c r="B401" s="31" t="str">
        <f>IFERROR(__xludf.DUMMYFUNCTION("""COMPUTED_VALUE"""),"NOT_FOUND")</f>
        <v>NOT_FOUND</v>
      </c>
      <c r="C401" s="31" t="str">
        <f>IFERROR(__xludf.DUMMYFUNCTION("""COMPUTED_VALUE"""),"User not found")</f>
        <v>User not found</v>
      </c>
      <c r="D401" s="31" t="str">
        <f>IFERROR(__xludf.DUMMYFUNCTION("""COMPUTED_VALUE"""),"Revoked ")</f>
        <v>Revoked </v>
      </c>
      <c r="E401" s="31" t="str">
        <f>IFERROR(__xludf.DUMMYFUNCTION("""COMPUTED_VALUE"""),"Revoked+ITServices")</f>
        <v>Revoked+ITServices</v>
      </c>
      <c r="F401" s="31" t="str">
        <f>IFERROR(__xludf.DUMMYFUNCTION("""COMPUTED_VALUE"""),"No-Need")</f>
        <v>No-Need</v>
      </c>
      <c r="G401" s="31" t="str">
        <f>IFERROR(__xludf.DUMMYFUNCTION("""COMPUTED_VALUE"""),"No-Need")</f>
        <v>No-Need</v>
      </c>
      <c r="H401" s="31" t="str">
        <f>IFERROR(__xludf.DUMMYFUNCTION("""COMPUTED_VALUE"""),"N/A")</f>
        <v>N/A</v>
      </c>
      <c r="I401" s="31" t="str">
        <f>IFERROR(__xludf.DUMMYFUNCTION("""COMPUTED_VALUE"""),"Strategy")</f>
        <v>Strategy</v>
      </c>
      <c r="J401" s="103">
        <f>IFERROR(__xludf.DUMMYFUNCTION("""COMPUTED_VALUE"""),46062.0)</f>
        <v>46062</v>
      </c>
      <c r="K401" s="31" t="str">
        <f>IFERROR(__xludf.DUMMYFUNCTION("""COMPUTED_VALUE"""),"Conf By Akanksha Dhamija")</f>
        <v>Conf By Akanksha Dhamija</v>
      </c>
    </row>
    <row r="402">
      <c r="A402" s="31" t="str">
        <f>IFERROR(__xludf.DUMMYFUNCTION("""COMPUTED_VALUE"""),"sanket.jain@zupee.in")</f>
        <v>sanket.jain@zupee.in</v>
      </c>
      <c r="B402" s="31" t="str">
        <f>IFERROR(__xludf.DUMMYFUNCTION("""COMPUTED_VALUE"""),"NOT_FOUND")</f>
        <v>NOT_FOUND</v>
      </c>
      <c r="C402" s="31" t="str">
        <f>IFERROR(__xludf.DUMMYFUNCTION("""COMPUTED_VALUE"""),"User not found")</f>
        <v>User not found</v>
      </c>
      <c r="D402" s="31" t="str">
        <f>IFERROR(__xludf.DUMMYFUNCTION("""COMPUTED_VALUE"""),"Revoked ")</f>
        <v>Revoked </v>
      </c>
      <c r="E402" s="31" t="str">
        <f>IFERROR(__xludf.DUMMYFUNCTION("""COMPUTED_VALUE"""),"Revoked+ITServices")</f>
        <v>Revoked+ITServices</v>
      </c>
      <c r="F402" s="31" t="str">
        <f>IFERROR(__xludf.DUMMYFUNCTION("""COMPUTED_VALUE"""),"No-Need")</f>
        <v>No-Need</v>
      </c>
      <c r="G402" s="31" t="str">
        <f>IFERROR(__xludf.DUMMYFUNCTION("""COMPUTED_VALUE"""),"No-Need")</f>
        <v>No-Need</v>
      </c>
      <c r="H402" s="31" t="str">
        <f>IFERROR(__xludf.DUMMYFUNCTION("""COMPUTED_VALUE"""),"N/A")</f>
        <v>N/A</v>
      </c>
      <c r="I402" s="31" t="str">
        <f>IFERROR(__xludf.DUMMYFUNCTION("""COMPUTED_VALUE"""),"Strategy")</f>
        <v>Strategy</v>
      </c>
      <c r="J402" s="103">
        <f>IFERROR(__xludf.DUMMYFUNCTION("""COMPUTED_VALUE"""),46062.0)</f>
        <v>46062</v>
      </c>
      <c r="K402" s="31" t="str">
        <f>IFERROR(__xludf.DUMMYFUNCTION("""COMPUTED_VALUE"""),"Conf By Akanksha Dhamija")</f>
        <v>Conf By Akanksha Dhamija</v>
      </c>
    </row>
    <row r="403">
      <c r="A403" s="31" t="str">
        <f>IFERROR(__xludf.DUMMYFUNCTION("""COMPUTED_VALUE"""),"vaibhav.patawari@zupee.in")</f>
        <v>vaibhav.patawari@zupee.in</v>
      </c>
      <c r="B403" s="31" t="str">
        <f>IFERROR(__xludf.DUMMYFUNCTION("""COMPUTED_VALUE"""),"NOT_FOUND")</f>
        <v>NOT_FOUND</v>
      </c>
      <c r="C403" s="31" t="str">
        <f>IFERROR(__xludf.DUMMYFUNCTION("""COMPUTED_VALUE"""),"User not found")</f>
        <v>User not found</v>
      </c>
      <c r="D403" s="31" t="str">
        <f>IFERROR(__xludf.DUMMYFUNCTION("""COMPUTED_VALUE"""),"Revoked ")</f>
        <v>Revoked </v>
      </c>
      <c r="E403" s="31" t="str">
        <f>IFERROR(__xludf.DUMMYFUNCTION("""COMPUTED_VALUE"""),"itservices@zupee.in ")</f>
        <v>itservices@zupee.in </v>
      </c>
      <c r="F403" s="31" t="str">
        <f>IFERROR(__xludf.DUMMYFUNCTION("""COMPUTED_VALUE"""),"No-Need")</f>
        <v>No-Need</v>
      </c>
      <c r="G403" s="31" t="str">
        <f>IFERROR(__xludf.DUMMYFUNCTION("""COMPUTED_VALUE"""),"No-Need")</f>
        <v>No-Need</v>
      </c>
      <c r="H403" s="31" t="str">
        <f>IFERROR(__xludf.DUMMYFUNCTION("""COMPUTED_VALUE"""),"N/A")</f>
        <v>N/A</v>
      </c>
      <c r="I403" s="31" t="str">
        <f>IFERROR(__xludf.DUMMYFUNCTION("""COMPUTED_VALUE"""),"Strategy")</f>
        <v>Strategy</v>
      </c>
      <c r="J403" s="103">
        <f>IFERROR(__xludf.DUMMYFUNCTION("""COMPUTED_VALUE"""),46062.0)</f>
        <v>46062</v>
      </c>
      <c r="K403" s="31" t="str">
        <f>IFERROR(__xludf.DUMMYFUNCTION("""COMPUTED_VALUE"""),"Conf By Akanksha Dhamija")</f>
        <v>Conf By Akanksha Dhamija</v>
      </c>
    </row>
    <row r="404">
      <c r="A404" s="31" t="str">
        <f>IFERROR(__xludf.DUMMYFUNCTION("""COMPUTED_VALUE"""),"vivek.pathak@zupee.in")</f>
        <v>vivek.pathak@zupee.in</v>
      </c>
      <c r="B404" s="31" t="str">
        <f>IFERROR(__xludf.DUMMYFUNCTION("""COMPUTED_VALUE"""),"NOT_FOUND")</f>
        <v>NOT_FOUND</v>
      </c>
      <c r="C404" s="31" t="str">
        <f>IFERROR(__xludf.DUMMYFUNCTION("""COMPUTED_VALUE"""),"User not found")</f>
        <v>User not found</v>
      </c>
      <c r="D404" s="31" t="str">
        <f>IFERROR(__xludf.DUMMYFUNCTION("""COMPUTED_VALUE"""),"Revoked ")</f>
        <v>Revoked </v>
      </c>
      <c r="E404" s="31" t="str">
        <f>IFERROR(__xludf.DUMMYFUNCTION("""COMPUTED_VALUE"""),"Revoked+ITServices")</f>
        <v>Revoked+ITServices</v>
      </c>
      <c r="F404" s="31" t="str">
        <f>IFERROR(__xludf.DUMMYFUNCTION("""COMPUTED_VALUE"""),"No-Need")</f>
        <v>No-Need</v>
      </c>
      <c r="G404" s="31" t="str">
        <f>IFERROR(__xludf.DUMMYFUNCTION("""COMPUTED_VALUE"""),"No-Need")</f>
        <v>No-Need</v>
      </c>
      <c r="H404" s="31" t="str">
        <f>IFERROR(__xludf.DUMMYFUNCTION("""COMPUTED_VALUE"""),"N/A")</f>
        <v>N/A</v>
      </c>
      <c r="I404" s="31" t="str">
        <f>IFERROR(__xludf.DUMMYFUNCTION("""COMPUTED_VALUE"""),"Strategy")</f>
        <v>Strategy</v>
      </c>
      <c r="J404" s="103">
        <f>IFERROR(__xludf.DUMMYFUNCTION("""COMPUTED_VALUE"""),46062.0)</f>
        <v>46062</v>
      </c>
      <c r="K404" s="31" t="str">
        <f>IFERROR(__xludf.DUMMYFUNCTION("""COMPUTED_VALUE"""),"Conf By Akanksha Dhamija")</f>
        <v>Conf By Akanksha Dhamija</v>
      </c>
    </row>
    <row r="405">
      <c r="A405" s="31" t="str">
        <f>IFERROR(__xludf.DUMMYFUNCTION("""COMPUTED_VALUE"""),"aman.chhabra@neoastro.com")</f>
        <v>aman.chhabra@neoastro.com</v>
      </c>
      <c r="B405" s="31" t="str">
        <f>IFERROR(__xludf.DUMMYFUNCTION("""COMPUTED_VALUE"""),"NOT_FOUND")</f>
        <v>NOT_FOUND</v>
      </c>
      <c r="C405" s="31" t="str">
        <f>IFERROR(__xludf.DUMMYFUNCTION("""COMPUTED_VALUE"""),"User not found")</f>
        <v>User not found</v>
      </c>
      <c r="D405" s="31" t="str">
        <f>IFERROR(__xludf.DUMMYFUNCTION("""COMPUTED_VALUE"""),"Revoked ")</f>
        <v>Revoked </v>
      </c>
      <c r="E405" s="31" t="str">
        <f>IFERROR(__xludf.DUMMYFUNCTION("""COMPUTED_VALUE"""),"Revoked+ITServices")</f>
        <v>Revoked+ITServices</v>
      </c>
      <c r="F405" s="31" t="str">
        <f>IFERROR(__xludf.DUMMYFUNCTION("""COMPUTED_VALUE"""),"No-Need")</f>
        <v>No-Need</v>
      </c>
      <c r="G405" s="31" t="str">
        <f>IFERROR(__xludf.DUMMYFUNCTION("""COMPUTED_VALUE"""),"No-Need")</f>
        <v>No-Need</v>
      </c>
      <c r="H405" s="31" t="str">
        <f>IFERROR(__xludf.DUMMYFUNCTION("""COMPUTED_VALUE"""),"N/A")</f>
        <v>N/A</v>
      </c>
      <c r="I405" s="31" t="str">
        <f>IFERROR(__xludf.DUMMYFUNCTION("""COMPUTED_VALUE"""),"Customer Experience")</f>
        <v>Customer Experience</v>
      </c>
      <c r="J405" s="103">
        <f>IFERROR(__xludf.DUMMYFUNCTION("""COMPUTED_VALUE"""),46062.0)</f>
        <v>46062</v>
      </c>
      <c r="K405" s="31" t="str">
        <f>IFERROR(__xludf.DUMMYFUNCTION("""COMPUTED_VALUE"""),"Conf By ""Mrityunjay Kumar""")</f>
        <v>Conf By "Mrityunjay Kumar"</v>
      </c>
    </row>
    <row r="406">
      <c r="A406" s="31" t="str">
        <f>IFERROR(__xludf.DUMMYFUNCTION("""COMPUTED_VALUE"""),"amit.a@zupee.in")</f>
        <v>amit.a@zupee.in</v>
      </c>
      <c r="B406" s="31" t="str">
        <f>IFERROR(__xludf.DUMMYFUNCTION("""COMPUTED_VALUE"""),"NOT_FOUND")</f>
        <v>NOT_FOUND</v>
      </c>
      <c r="C406" s="31" t="str">
        <f>IFERROR(__xludf.DUMMYFUNCTION("""COMPUTED_VALUE"""),"User not found")</f>
        <v>User not found</v>
      </c>
      <c r="D406" s="31" t="str">
        <f>IFERROR(__xludf.DUMMYFUNCTION("""COMPUTED_VALUE"""),"Revoked ")</f>
        <v>Revoked </v>
      </c>
      <c r="E406" s="31" t="str">
        <f>IFERROR(__xludf.DUMMYFUNCTION("""COMPUTED_VALUE"""),"Revoked+ITServices")</f>
        <v>Revoked+ITServices</v>
      </c>
      <c r="F406" s="31" t="str">
        <f>IFERROR(__xludf.DUMMYFUNCTION("""COMPUTED_VALUE"""),"No-Need")</f>
        <v>No-Need</v>
      </c>
      <c r="G406" s="31" t="str">
        <f>IFERROR(__xludf.DUMMYFUNCTION("""COMPUTED_VALUE"""),"No-Need")</f>
        <v>No-Need</v>
      </c>
      <c r="H406" s="31" t="str">
        <f>IFERROR(__xludf.DUMMYFUNCTION("""COMPUTED_VALUE"""),"N/A")</f>
        <v>N/A</v>
      </c>
      <c r="I406" s="31" t="str">
        <f>IFERROR(__xludf.DUMMYFUNCTION("""COMPUTED_VALUE"""),"Customer Experience")</f>
        <v>Customer Experience</v>
      </c>
      <c r="J406" s="103">
        <f>IFERROR(__xludf.DUMMYFUNCTION("""COMPUTED_VALUE"""),46062.0)</f>
        <v>46062</v>
      </c>
      <c r="K406" s="31" t="str">
        <f>IFERROR(__xludf.DUMMYFUNCTION("""COMPUTED_VALUE"""),"Conf By ""Mrityunjay Kumar""")</f>
        <v>Conf By "Mrityunjay Kumar"</v>
      </c>
    </row>
    <row r="407">
      <c r="A407" s="31" t="str">
        <f>IFERROR(__xludf.DUMMYFUNCTION("""COMPUTED_VALUE"""),"anjali.pal@zupee.in")</f>
        <v>anjali.pal@zupee.in</v>
      </c>
      <c r="B407" s="31" t="str">
        <f>IFERROR(__xludf.DUMMYFUNCTION("""COMPUTED_VALUE"""),"NOT_FOUND")</f>
        <v>NOT_FOUND</v>
      </c>
      <c r="C407" s="31" t="str">
        <f>IFERROR(__xludf.DUMMYFUNCTION("""COMPUTED_VALUE"""),"User not found")</f>
        <v>User not found</v>
      </c>
      <c r="D407" s="31" t="str">
        <f>IFERROR(__xludf.DUMMYFUNCTION("""COMPUTED_VALUE"""),"Revoked ")</f>
        <v>Revoked </v>
      </c>
      <c r="E407" s="31" t="str">
        <f>IFERROR(__xludf.DUMMYFUNCTION("""COMPUTED_VALUE"""),"Revoked+ITServices")</f>
        <v>Revoked+ITServices</v>
      </c>
      <c r="F407" s="31" t="str">
        <f>IFERROR(__xludf.DUMMYFUNCTION("""COMPUTED_VALUE"""),"No-Need")</f>
        <v>No-Need</v>
      </c>
      <c r="G407" s="31" t="str">
        <f>IFERROR(__xludf.DUMMYFUNCTION("""COMPUTED_VALUE"""),"No-Need")</f>
        <v>No-Need</v>
      </c>
      <c r="H407" s="31" t="str">
        <f>IFERROR(__xludf.DUMMYFUNCTION("""COMPUTED_VALUE"""),"N/A")</f>
        <v>N/A</v>
      </c>
      <c r="I407" s="31" t="str">
        <f>IFERROR(__xludf.DUMMYFUNCTION("""COMPUTED_VALUE"""),"Customer Experience")</f>
        <v>Customer Experience</v>
      </c>
      <c r="J407" s="103">
        <f>IFERROR(__xludf.DUMMYFUNCTION("""COMPUTED_VALUE"""),46062.0)</f>
        <v>46062</v>
      </c>
      <c r="K407" s="31" t="str">
        <f>IFERROR(__xludf.DUMMYFUNCTION("""COMPUTED_VALUE"""),"Conf By ""Mrityunjay Kumar""")</f>
        <v>Conf By "Mrityunjay Kumar"</v>
      </c>
    </row>
    <row r="408">
      <c r="A408" s="31" t="str">
        <f>IFERROR(__xludf.DUMMYFUNCTION("""COMPUTED_VALUE"""),"arun.r@zupee.in")</f>
        <v>arun.r@zupee.in</v>
      </c>
      <c r="B408" s="31" t="str">
        <f>IFERROR(__xludf.DUMMYFUNCTION("""COMPUTED_VALUE"""),"NOT_FOUND")</f>
        <v>NOT_FOUND</v>
      </c>
      <c r="C408" s="31" t="str">
        <f>IFERROR(__xludf.DUMMYFUNCTION("""COMPUTED_VALUE"""),"User not found")</f>
        <v>User not found</v>
      </c>
      <c r="D408" s="31" t="str">
        <f>IFERROR(__xludf.DUMMYFUNCTION("""COMPUTED_VALUE"""),"Revoked ")</f>
        <v>Revoked </v>
      </c>
      <c r="E408" s="31" t="str">
        <f>IFERROR(__xludf.DUMMYFUNCTION("""COMPUTED_VALUE"""),"Revoked+ITServices")</f>
        <v>Revoked+ITServices</v>
      </c>
      <c r="F408" s="31" t="str">
        <f>IFERROR(__xludf.DUMMYFUNCTION("""COMPUTED_VALUE"""),"No-Need")</f>
        <v>No-Need</v>
      </c>
      <c r="G408" s="31" t="str">
        <f>IFERROR(__xludf.DUMMYFUNCTION("""COMPUTED_VALUE"""),"No-Need")</f>
        <v>No-Need</v>
      </c>
      <c r="H408" s="31" t="str">
        <f>IFERROR(__xludf.DUMMYFUNCTION("""COMPUTED_VALUE"""),"N/A")</f>
        <v>N/A</v>
      </c>
      <c r="I408" s="31" t="str">
        <f>IFERROR(__xludf.DUMMYFUNCTION("""COMPUTED_VALUE"""),"Customer Experience")</f>
        <v>Customer Experience</v>
      </c>
      <c r="J408" s="103">
        <f>IFERROR(__xludf.DUMMYFUNCTION("""COMPUTED_VALUE"""),46062.0)</f>
        <v>46062</v>
      </c>
      <c r="K408" s="31" t="str">
        <f>IFERROR(__xludf.DUMMYFUNCTION("""COMPUTED_VALUE"""),"Conf By ""Mrityunjay Kumar""")</f>
        <v>Conf By "Mrityunjay Kumar"</v>
      </c>
    </row>
    <row r="409">
      <c r="A409" s="31" t="str">
        <f>IFERROR(__xludf.DUMMYFUNCTION("""COMPUTED_VALUE"""),"ashu.salmani@zupee.in")</f>
        <v>ashu.salmani@zupee.in</v>
      </c>
      <c r="B409" s="31" t="str">
        <f>IFERROR(__xludf.DUMMYFUNCTION("""COMPUTED_VALUE"""),"NOT_FOUND")</f>
        <v>NOT_FOUND</v>
      </c>
      <c r="C409" s="31" t="str">
        <f>IFERROR(__xludf.DUMMYFUNCTION("""COMPUTED_VALUE"""),"User not found")</f>
        <v>User not found</v>
      </c>
      <c r="D409" s="31" t="str">
        <f>IFERROR(__xludf.DUMMYFUNCTION("""COMPUTED_VALUE"""),"Revoked ")</f>
        <v>Revoked </v>
      </c>
      <c r="E409" s="31" t="str">
        <f>IFERROR(__xludf.DUMMYFUNCTION("""COMPUTED_VALUE"""),"Revoked+ITServices")</f>
        <v>Revoked+ITServices</v>
      </c>
      <c r="F409" s="31" t="str">
        <f>IFERROR(__xludf.DUMMYFUNCTION("""COMPUTED_VALUE"""),"No-Need")</f>
        <v>No-Need</v>
      </c>
      <c r="G409" s="31" t="str">
        <f>IFERROR(__xludf.DUMMYFUNCTION("""COMPUTED_VALUE"""),"No-Need")</f>
        <v>No-Need</v>
      </c>
      <c r="H409" s="31" t="str">
        <f>IFERROR(__xludf.DUMMYFUNCTION("""COMPUTED_VALUE"""),"N/A")</f>
        <v>N/A</v>
      </c>
      <c r="I409" s="31" t="str">
        <f>IFERROR(__xludf.DUMMYFUNCTION("""COMPUTED_VALUE"""),"Customer Experience")</f>
        <v>Customer Experience</v>
      </c>
      <c r="J409" s="103">
        <f>IFERROR(__xludf.DUMMYFUNCTION("""COMPUTED_VALUE"""),46062.0)</f>
        <v>46062</v>
      </c>
      <c r="K409" s="31" t="str">
        <f>IFERROR(__xludf.DUMMYFUNCTION("""COMPUTED_VALUE"""),"Conf By ""Mrityunjay Kumar""")</f>
        <v>Conf By "Mrityunjay Kumar"</v>
      </c>
    </row>
    <row r="410">
      <c r="A410" s="31" t="str">
        <f>IFERROR(__xludf.DUMMYFUNCTION("""COMPUTED_VALUE"""),"geeta.joshi@zupee.in")</f>
        <v>geeta.joshi@zupee.in</v>
      </c>
      <c r="B410" s="31" t="str">
        <f>IFERROR(__xludf.DUMMYFUNCTION("""COMPUTED_VALUE"""),"NOT_FOUND")</f>
        <v>NOT_FOUND</v>
      </c>
      <c r="C410" s="31" t="str">
        <f>IFERROR(__xludf.DUMMYFUNCTION("""COMPUTED_VALUE"""),"User not found")</f>
        <v>User not found</v>
      </c>
      <c r="D410" s="31" t="str">
        <f>IFERROR(__xludf.DUMMYFUNCTION("""COMPUTED_VALUE"""),"Revoked ")</f>
        <v>Revoked </v>
      </c>
      <c r="E410" s="31" t="str">
        <f>IFERROR(__xludf.DUMMYFUNCTION("""COMPUTED_VALUE"""),"Revoked+ITServices")</f>
        <v>Revoked+ITServices</v>
      </c>
      <c r="F410" s="31" t="str">
        <f>IFERROR(__xludf.DUMMYFUNCTION("""COMPUTED_VALUE"""),"No-Need")</f>
        <v>No-Need</v>
      </c>
      <c r="G410" s="31" t="str">
        <f>IFERROR(__xludf.DUMMYFUNCTION("""COMPUTED_VALUE"""),"No-Need")</f>
        <v>No-Need</v>
      </c>
      <c r="H410" s="31" t="str">
        <f>IFERROR(__xludf.DUMMYFUNCTION("""COMPUTED_VALUE"""),"N/A")</f>
        <v>N/A</v>
      </c>
      <c r="I410" s="31" t="str">
        <f>IFERROR(__xludf.DUMMYFUNCTION("""COMPUTED_VALUE"""),"Customer Experience")</f>
        <v>Customer Experience</v>
      </c>
      <c r="J410" s="103">
        <f>IFERROR(__xludf.DUMMYFUNCTION("""COMPUTED_VALUE"""),46062.0)</f>
        <v>46062</v>
      </c>
      <c r="K410" s="31" t="str">
        <f>IFERROR(__xludf.DUMMYFUNCTION("""COMPUTED_VALUE"""),"Conf By ""Mrityunjay Kumar""")</f>
        <v>Conf By "Mrityunjay Kumar"</v>
      </c>
    </row>
    <row r="411">
      <c r="A411" s="31" t="str">
        <f>IFERROR(__xludf.DUMMYFUNCTION("""COMPUTED_VALUE"""),"gyani.dass@zupee.in")</f>
        <v>gyani.dass@zupee.in</v>
      </c>
      <c r="B411" s="31" t="str">
        <f>IFERROR(__xludf.DUMMYFUNCTION("""COMPUTED_VALUE"""),"NOT_FOUND")</f>
        <v>NOT_FOUND</v>
      </c>
      <c r="C411" s="31" t="str">
        <f>IFERROR(__xludf.DUMMYFUNCTION("""COMPUTED_VALUE"""),"User not found")</f>
        <v>User not found</v>
      </c>
      <c r="D411" s="31" t="str">
        <f>IFERROR(__xludf.DUMMYFUNCTION("""COMPUTED_VALUE"""),"Revoked ")</f>
        <v>Revoked </v>
      </c>
      <c r="E411" s="31" t="str">
        <f>IFERROR(__xludf.DUMMYFUNCTION("""COMPUTED_VALUE"""),"Revoked+ITServices")</f>
        <v>Revoked+ITServices</v>
      </c>
      <c r="F411" s="31" t="str">
        <f>IFERROR(__xludf.DUMMYFUNCTION("""COMPUTED_VALUE"""),"No-Need")</f>
        <v>No-Need</v>
      </c>
      <c r="G411" s="31" t="str">
        <f>IFERROR(__xludf.DUMMYFUNCTION("""COMPUTED_VALUE"""),"No-Need")</f>
        <v>No-Need</v>
      </c>
      <c r="H411" s="31" t="str">
        <f>IFERROR(__xludf.DUMMYFUNCTION("""COMPUTED_VALUE"""),"N/A")</f>
        <v>N/A</v>
      </c>
      <c r="I411" s="31" t="str">
        <f>IFERROR(__xludf.DUMMYFUNCTION("""COMPUTED_VALUE"""),"Customer Experience")</f>
        <v>Customer Experience</v>
      </c>
      <c r="J411" s="103">
        <f>IFERROR(__xludf.DUMMYFUNCTION("""COMPUTED_VALUE"""),46062.0)</f>
        <v>46062</v>
      </c>
      <c r="K411" s="31" t="str">
        <f>IFERROR(__xludf.DUMMYFUNCTION("""COMPUTED_VALUE"""),"Conf By ""Mrityunjay Kumar""")</f>
        <v>Conf By "Mrityunjay Kumar"</v>
      </c>
    </row>
    <row r="412">
      <c r="A412" s="31" t="str">
        <f>IFERROR(__xludf.DUMMYFUNCTION("""COMPUTED_VALUE"""),"himanshu.nagpal@zupee.in")</f>
        <v>himanshu.nagpal@zupee.in</v>
      </c>
      <c r="B412" s="31" t="str">
        <f>IFERROR(__xludf.DUMMYFUNCTION("""COMPUTED_VALUE"""),"NOT_FOUND")</f>
        <v>NOT_FOUND</v>
      </c>
      <c r="C412" s="31" t="str">
        <f>IFERROR(__xludf.DUMMYFUNCTION("""COMPUTED_VALUE"""),"User not found")</f>
        <v>User not found</v>
      </c>
      <c r="D412" s="31" t="str">
        <f>IFERROR(__xludf.DUMMYFUNCTION("""COMPUTED_VALUE"""),"Revoked ")</f>
        <v>Revoked </v>
      </c>
      <c r="E412" s="31" t="str">
        <f>IFERROR(__xludf.DUMMYFUNCTION("""COMPUTED_VALUE"""),"Revoked+ITServices")</f>
        <v>Revoked+ITServices</v>
      </c>
      <c r="F412" s="31" t="str">
        <f>IFERROR(__xludf.DUMMYFUNCTION("""COMPUTED_VALUE"""),"No-Need")</f>
        <v>No-Need</v>
      </c>
      <c r="G412" s="31" t="str">
        <f>IFERROR(__xludf.DUMMYFUNCTION("""COMPUTED_VALUE"""),"No-Need")</f>
        <v>No-Need</v>
      </c>
      <c r="H412" s="31" t="str">
        <f>IFERROR(__xludf.DUMMYFUNCTION("""COMPUTED_VALUE"""),"N/A")</f>
        <v>N/A</v>
      </c>
      <c r="I412" s="31" t="str">
        <f>IFERROR(__xludf.DUMMYFUNCTION("""COMPUTED_VALUE"""),"Customer Experience")</f>
        <v>Customer Experience</v>
      </c>
      <c r="J412" s="103">
        <f>IFERROR(__xludf.DUMMYFUNCTION("""COMPUTED_VALUE"""),46062.0)</f>
        <v>46062</v>
      </c>
      <c r="K412" s="31" t="str">
        <f>IFERROR(__xludf.DUMMYFUNCTION("""COMPUTED_VALUE"""),"Conf By ""Mrityunjay Kumar""")</f>
        <v>Conf By "Mrityunjay Kumar"</v>
      </c>
    </row>
    <row r="413">
      <c r="A413" s="31" t="str">
        <f>IFERROR(__xludf.DUMMYFUNCTION("""COMPUTED_VALUE"""),"kajal.kaim@zupee.in")</f>
        <v>kajal.kaim@zupee.in</v>
      </c>
      <c r="B413" s="31" t="str">
        <f>IFERROR(__xludf.DUMMYFUNCTION("""COMPUTED_VALUE"""),"NOT_FOUND")</f>
        <v>NOT_FOUND</v>
      </c>
      <c r="C413" s="31" t="str">
        <f>IFERROR(__xludf.DUMMYFUNCTION("""COMPUTED_VALUE"""),"User not found")</f>
        <v>User not found</v>
      </c>
      <c r="D413" s="31" t="str">
        <f>IFERROR(__xludf.DUMMYFUNCTION("""COMPUTED_VALUE"""),"Revoked ")</f>
        <v>Revoked </v>
      </c>
      <c r="E413" s="31" t="str">
        <f>IFERROR(__xludf.DUMMYFUNCTION("""COMPUTED_VALUE"""),"Revoked+ITServices")</f>
        <v>Revoked+ITServices</v>
      </c>
      <c r="F413" s="31" t="str">
        <f>IFERROR(__xludf.DUMMYFUNCTION("""COMPUTED_VALUE"""),"No-Need")</f>
        <v>No-Need</v>
      </c>
      <c r="G413" s="31" t="str">
        <f>IFERROR(__xludf.DUMMYFUNCTION("""COMPUTED_VALUE"""),"No-Need")</f>
        <v>No-Need</v>
      </c>
      <c r="H413" s="31" t="str">
        <f>IFERROR(__xludf.DUMMYFUNCTION("""COMPUTED_VALUE"""),"N/A")</f>
        <v>N/A</v>
      </c>
      <c r="I413" s="31" t="str">
        <f>IFERROR(__xludf.DUMMYFUNCTION("""COMPUTED_VALUE"""),"Customer Experience")</f>
        <v>Customer Experience</v>
      </c>
      <c r="J413" s="103">
        <f>IFERROR(__xludf.DUMMYFUNCTION("""COMPUTED_VALUE"""),46062.0)</f>
        <v>46062</v>
      </c>
      <c r="K413" s="31" t="str">
        <f>IFERROR(__xludf.DUMMYFUNCTION("""COMPUTED_VALUE"""),"Conf By ""Mrityunjay Kumar""")</f>
        <v>Conf By "Mrityunjay Kumar"</v>
      </c>
    </row>
    <row r="414">
      <c r="A414" s="31" t="str">
        <f>IFERROR(__xludf.DUMMYFUNCTION("""COMPUTED_VALUE"""),"khushboo.singh@zupee.in")</f>
        <v>khushboo.singh@zupee.in</v>
      </c>
      <c r="B414" s="31" t="str">
        <f>IFERROR(__xludf.DUMMYFUNCTION("""COMPUTED_VALUE"""),"NOT_FOUND")</f>
        <v>NOT_FOUND</v>
      </c>
      <c r="C414" s="31" t="str">
        <f>IFERROR(__xludf.DUMMYFUNCTION("""COMPUTED_VALUE"""),"User not found")</f>
        <v>User not found</v>
      </c>
      <c r="D414" s="31" t="str">
        <f>IFERROR(__xludf.DUMMYFUNCTION("""COMPUTED_VALUE"""),"Revoked ")</f>
        <v>Revoked </v>
      </c>
      <c r="E414" s="31" t="str">
        <f>IFERROR(__xludf.DUMMYFUNCTION("""COMPUTED_VALUE"""),"Revoked+ITServices")</f>
        <v>Revoked+ITServices</v>
      </c>
      <c r="F414" s="31" t="str">
        <f>IFERROR(__xludf.DUMMYFUNCTION("""COMPUTED_VALUE"""),"No-Need")</f>
        <v>No-Need</v>
      </c>
      <c r="G414" s="31" t="str">
        <f>IFERROR(__xludf.DUMMYFUNCTION("""COMPUTED_VALUE"""),"No-Need")</f>
        <v>No-Need</v>
      </c>
      <c r="H414" s="31" t="str">
        <f>IFERROR(__xludf.DUMMYFUNCTION("""COMPUTED_VALUE"""),"N/A")</f>
        <v>N/A</v>
      </c>
      <c r="I414" s="31" t="str">
        <f>IFERROR(__xludf.DUMMYFUNCTION("""COMPUTED_VALUE"""),"Customer Experience")</f>
        <v>Customer Experience</v>
      </c>
      <c r="J414" s="103">
        <f>IFERROR(__xludf.DUMMYFUNCTION("""COMPUTED_VALUE"""),46062.0)</f>
        <v>46062</v>
      </c>
      <c r="K414" s="31" t="str">
        <f>IFERROR(__xludf.DUMMYFUNCTION("""COMPUTED_VALUE"""),"Conf By ""Mrityunjay Kumar""")</f>
        <v>Conf By "Mrityunjay Kumar"</v>
      </c>
    </row>
    <row r="415">
      <c r="A415" s="31" t="str">
        <f>IFERROR(__xludf.DUMMYFUNCTION("""COMPUTED_VALUE"""),"mirza.azhar@zupee.in")</f>
        <v>mirza.azhar@zupee.in</v>
      </c>
      <c r="B415" s="31" t="str">
        <f>IFERROR(__xludf.DUMMYFUNCTION("""COMPUTED_VALUE"""),"NOT_FOUND")</f>
        <v>NOT_FOUND</v>
      </c>
      <c r="C415" s="31" t="str">
        <f>IFERROR(__xludf.DUMMYFUNCTION("""COMPUTED_VALUE"""),"User not found")</f>
        <v>User not found</v>
      </c>
      <c r="D415" s="31" t="str">
        <f>IFERROR(__xludf.DUMMYFUNCTION("""COMPUTED_VALUE"""),"Revoked ")</f>
        <v>Revoked </v>
      </c>
      <c r="E415" s="31" t="str">
        <f>IFERROR(__xludf.DUMMYFUNCTION("""COMPUTED_VALUE"""),"Revoked+ITServices")</f>
        <v>Revoked+ITServices</v>
      </c>
      <c r="F415" s="31" t="str">
        <f>IFERROR(__xludf.DUMMYFUNCTION("""COMPUTED_VALUE"""),"No-Need")</f>
        <v>No-Need</v>
      </c>
      <c r="G415" s="31" t="str">
        <f>IFERROR(__xludf.DUMMYFUNCTION("""COMPUTED_VALUE"""),"No-Need")</f>
        <v>No-Need</v>
      </c>
      <c r="H415" s="31" t="str">
        <f>IFERROR(__xludf.DUMMYFUNCTION("""COMPUTED_VALUE"""),"N/A")</f>
        <v>N/A</v>
      </c>
      <c r="I415" s="31" t="str">
        <f>IFERROR(__xludf.DUMMYFUNCTION("""COMPUTED_VALUE"""),"Customer Experience")</f>
        <v>Customer Experience</v>
      </c>
      <c r="J415" s="103">
        <f>IFERROR(__xludf.DUMMYFUNCTION("""COMPUTED_VALUE"""),46062.0)</f>
        <v>46062</v>
      </c>
      <c r="K415" s="31" t="str">
        <f>IFERROR(__xludf.DUMMYFUNCTION("""COMPUTED_VALUE"""),"Conf By ""Mrityunjay Kumar""")</f>
        <v>Conf By "Mrityunjay Kumar"</v>
      </c>
    </row>
    <row r="416">
      <c r="A416" s="31" t="str">
        <f>IFERROR(__xludf.DUMMYFUNCTION("""COMPUTED_VALUE"""),"nidhi.kashyap@zupee.in")</f>
        <v>nidhi.kashyap@zupee.in</v>
      </c>
      <c r="B416" s="31" t="str">
        <f>IFERROR(__xludf.DUMMYFUNCTION("""COMPUTED_VALUE"""),"NOT_FOUND")</f>
        <v>NOT_FOUND</v>
      </c>
      <c r="C416" s="31" t="str">
        <f>IFERROR(__xludf.DUMMYFUNCTION("""COMPUTED_VALUE"""),"User not found")</f>
        <v>User not found</v>
      </c>
      <c r="D416" s="31" t="str">
        <f>IFERROR(__xludf.DUMMYFUNCTION("""COMPUTED_VALUE"""),"Revoked ")</f>
        <v>Revoked </v>
      </c>
      <c r="E416" s="31" t="str">
        <f>IFERROR(__xludf.DUMMYFUNCTION("""COMPUTED_VALUE"""),"Revoked+ITServices")</f>
        <v>Revoked+ITServices</v>
      </c>
      <c r="F416" s="31" t="str">
        <f>IFERROR(__xludf.DUMMYFUNCTION("""COMPUTED_VALUE"""),"No-Need")</f>
        <v>No-Need</v>
      </c>
      <c r="G416" s="31" t="str">
        <f>IFERROR(__xludf.DUMMYFUNCTION("""COMPUTED_VALUE"""),"No-Need")</f>
        <v>No-Need</v>
      </c>
      <c r="H416" s="31" t="str">
        <f>IFERROR(__xludf.DUMMYFUNCTION("""COMPUTED_VALUE"""),"N/A")</f>
        <v>N/A</v>
      </c>
      <c r="I416" s="31" t="str">
        <f>IFERROR(__xludf.DUMMYFUNCTION("""COMPUTED_VALUE"""),"Customer Experience")</f>
        <v>Customer Experience</v>
      </c>
      <c r="J416" s="103">
        <f>IFERROR(__xludf.DUMMYFUNCTION("""COMPUTED_VALUE"""),46062.0)</f>
        <v>46062</v>
      </c>
      <c r="K416" s="31" t="str">
        <f>IFERROR(__xludf.DUMMYFUNCTION("""COMPUTED_VALUE"""),"Conf By ""Mrityunjay Kumar""")</f>
        <v>Conf By "Mrityunjay Kumar"</v>
      </c>
    </row>
    <row r="417">
      <c r="A417" s="31" t="str">
        <f>IFERROR(__xludf.DUMMYFUNCTION("""COMPUTED_VALUE"""),"suraj.yadav@zupee.in")</f>
        <v>suraj.yadav@zupee.in</v>
      </c>
      <c r="B417" s="31" t="str">
        <f>IFERROR(__xludf.DUMMYFUNCTION("""COMPUTED_VALUE"""),"NOT_FOUND")</f>
        <v>NOT_FOUND</v>
      </c>
      <c r="C417" s="31" t="str">
        <f>IFERROR(__xludf.DUMMYFUNCTION("""COMPUTED_VALUE"""),"User not found")</f>
        <v>User not found</v>
      </c>
      <c r="D417" s="31" t="str">
        <f>IFERROR(__xludf.DUMMYFUNCTION("""COMPUTED_VALUE"""),"Revoked ")</f>
        <v>Revoked </v>
      </c>
      <c r="E417" s="31" t="str">
        <f>IFERROR(__xludf.DUMMYFUNCTION("""COMPUTED_VALUE"""),"Revoked+ITServices")</f>
        <v>Revoked+ITServices</v>
      </c>
      <c r="F417" s="31" t="str">
        <f>IFERROR(__xludf.DUMMYFUNCTION("""COMPUTED_VALUE"""),"No-Need")</f>
        <v>No-Need</v>
      </c>
      <c r="G417" s="31" t="str">
        <f>IFERROR(__xludf.DUMMYFUNCTION("""COMPUTED_VALUE"""),"No-Need")</f>
        <v>No-Need</v>
      </c>
      <c r="H417" s="31" t="str">
        <f>IFERROR(__xludf.DUMMYFUNCTION("""COMPUTED_VALUE"""),"N/A")</f>
        <v>N/A</v>
      </c>
      <c r="I417" s="31" t="str">
        <f>IFERROR(__xludf.DUMMYFUNCTION("""COMPUTED_VALUE"""),"Customer Experience")</f>
        <v>Customer Experience</v>
      </c>
      <c r="J417" s="103">
        <f>IFERROR(__xludf.DUMMYFUNCTION("""COMPUTED_VALUE"""),46062.0)</f>
        <v>46062</v>
      </c>
      <c r="K417" s="31" t="str">
        <f>IFERROR(__xludf.DUMMYFUNCTION("""COMPUTED_VALUE"""),"Conf By ""Mrityunjay Kumar""")</f>
        <v>Conf By "Mrityunjay Kumar"</v>
      </c>
    </row>
    <row r="418">
      <c r="A418" s="31" t="str">
        <f>IFERROR(__xludf.DUMMYFUNCTION("""COMPUTED_VALUE"""),"akash.tamta@zupee.in")</f>
        <v>akash.tamta@zupee.in</v>
      </c>
      <c r="B418" s="31" t="str">
        <f>IFERROR(__xludf.DUMMYFUNCTION("""COMPUTED_VALUE"""),"NOT_FOUND")</f>
        <v>NOT_FOUND</v>
      </c>
      <c r="C418" s="31" t="str">
        <f>IFERROR(__xludf.DUMMYFUNCTION("""COMPUTED_VALUE"""),"User not found")</f>
        <v>User not found</v>
      </c>
      <c r="D418" s="31" t="str">
        <f>IFERROR(__xludf.DUMMYFUNCTION("""COMPUTED_VALUE"""),"Revoked ")</f>
        <v>Revoked </v>
      </c>
      <c r="E418" s="31" t="str">
        <f>IFERROR(__xludf.DUMMYFUNCTION("""COMPUTED_VALUE"""),"Revoked+ITServices")</f>
        <v>Revoked+ITServices</v>
      </c>
      <c r="F418" s="31" t="str">
        <f>IFERROR(__xludf.DUMMYFUNCTION("""COMPUTED_VALUE"""),"No-Need")</f>
        <v>No-Need</v>
      </c>
      <c r="G418" s="31" t="str">
        <f>IFERROR(__xludf.DUMMYFUNCTION("""COMPUTED_VALUE"""),"No-Need")</f>
        <v>No-Need</v>
      </c>
      <c r="H418" s="31" t="str">
        <f>IFERROR(__xludf.DUMMYFUNCTION("""COMPUTED_VALUE"""),"N/A")</f>
        <v>N/A</v>
      </c>
      <c r="I418" s="31" t="str">
        <f>IFERROR(__xludf.DUMMYFUNCTION("""COMPUTED_VALUE"""),"Customer Experience")</f>
        <v>Customer Experience</v>
      </c>
      <c r="J418" s="103">
        <f>IFERROR(__xludf.DUMMYFUNCTION("""COMPUTED_VALUE"""),46062.0)</f>
        <v>46062</v>
      </c>
      <c r="K418" s="31" t="str">
        <f>IFERROR(__xludf.DUMMYFUNCTION("""COMPUTED_VALUE"""),"Conf By ""Mrityunjay Kumar""")</f>
        <v>Conf By "Mrityunjay Kumar"</v>
      </c>
    </row>
    <row r="419">
      <c r="A419" s="31" t="str">
        <f>IFERROR(__xludf.DUMMYFUNCTION("""COMPUTED_VALUE"""),"joyce.dass@zupee.in")</f>
        <v>joyce.dass@zupee.in</v>
      </c>
      <c r="B419" s="31" t="str">
        <f>IFERROR(__xludf.DUMMYFUNCTION("""COMPUTED_VALUE"""),"NOT_FOUND")</f>
        <v>NOT_FOUND</v>
      </c>
      <c r="C419" s="31" t="str">
        <f>IFERROR(__xludf.DUMMYFUNCTION("""COMPUTED_VALUE"""),"User not found")</f>
        <v>User not found</v>
      </c>
      <c r="D419" s="31" t="str">
        <f>IFERROR(__xludf.DUMMYFUNCTION("""COMPUTED_VALUE"""),"Revoked ")</f>
        <v>Revoked </v>
      </c>
      <c r="E419" s="31" t="str">
        <f>IFERROR(__xludf.DUMMYFUNCTION("""COMPUTED_VALUE"""),"Revoked+ITServices")</f>
        <v>Revoked+ITServices</v>
      </c>
      <c r="F419" s="31" t="str">
        <f>IFERROR(__xludf.DUMMYFUNCTION("""COMPUTED_VALUE"""),"No-Need")</f>
        <v>No-Need</v>
      </c>
      <c r="G419" s="31" t="str">
        <f>IFERROR(__xludf.DUMMYFUNCTION("""COMPUTED_VALUE"""),"No-Need")</f>
        <v>No-Need</v>
      </c>
      <c r="H419" s="31" t="str">
        <f>IFERROR(__xludf.DUMMYFUNCTION("""COMPUTED_VALUE"""),"N/A")</f>
        <v>N/A</v>
      </c>
      <c r="I419" s="31" t="str">
        <f>IFERROR(__xludf.DUMMYFUNCTION("""COMPUTED_VALUE"""),"Customer Experience")</f>
        <v>Customer Experience</v>
      </c>
      <c r="J419" s="103">
        <f>IFERROR(__xludf.DUMMYFUNCTION("""COMPUTED_VALUE"""),46062.0)</f>
        <v>46062</v>
      </c>
      <c r="K419" s="31" t="str">
        <f>IFERROR(__xludf.DUMMYFUNCTION("""COMPUTED_VALUE"""),"Conf By ""Mrityunjay Kumar""")</f>
        <v>Conf By "Mrityunjay Kumar"</v>
      </c>
    </row>
    <row r="420">
      <c r="A420" s="31" t="str">
        <f>IFERROR(__xludf.DUMMYFUNCTION("""COMPUTED_VALUE"""),"reema.gupta@zupee.in")</f>
        <v>reema.gupta@zupee.in</v>
      </c>
      <c r="B420" s="31" t="str">
        <f>IFERROR(__xludf.DUMMYFUNCTION("""COMPUTED_VALUE"""),"NOT_FOUND")</f>
        <v>NOT_FOUND</v>
      </c>
      <c r="C420" s="31" t="str">
        <f>IFERROR(__xludf.DUMMYFUNCTION("""COMPUTED_VALUE"""),"User not found")</f>
        <v>User not found</v>
      </c>
      <c r="D420" s="31" t="str">
        <f>IFERROR(__xludf.DUMMYFUNCTION("""COMPUTED_VALUE"""),"Revoked ")</f>
        <v>Revoked </v>
      </c>
      <c r="E420" s="31" t="str">
        <f>IFERROR(__xludf.DUMMYFUNCTION("""COMPUTED_VALUE"""),"Revoked+ITServices")</f>
        <v>Revoked+ITServices</v>
      </c>
      <c r="F420" s="31" t="str">
        <f>IFERROR(__xludf.DUMMYFUNCTION("""COMPUTED_VALUE"""),"No-Need")</f>
        <v>No-Need</v>
      </c>
      <c r="G420" s="31" t="str">
        <f>IFERROR(__xludf.DUMMYFUNCTION("""COMPUTED_VALUE"""),"No-Need")</f>
        <v>No-Need</v>
      </c>
      <c r="H420" s="31" t="str">
        <f>IFERROR(__xludf.DUMMYFUNCTION("""COMPUTED_VALUE"""),"N/A")</f>
        <v>N/A</v>
      </c>
      <c r="I420" s="31" t="str">
        <f>IFERROR(__xludf.DUMMYFUNCTION("""COMPUTED_VALUE"""),"Customer Experience")</f>
        <v>Customer Experience</v>
      </c>
      <c r="J420" s="103">
        <f>IFERROR(__xludf.DUMMYFUNCTION("""COMPUTED_VALUE"""),46062.0)</f>
        <v>46062</v>
      </c>
      <c r="K420" s="31" t="str">
        <f>IFERROR(__xludf.DUMMYFUNCTION("""COMPUTED_VALUE"""),"Conf By ""Mrityunjay Kumar""")</f>
        <v>Conf By "Mrityunjay Kumar"</v>
      </c>
    </row>
    <row r="421">
      <c r="A421" s="31" t="str">
        <f>IFERROR(__xludf.DUMMYFUNCTION("""COMPUTED_VALUE"""),"subhankar.jha@zupee.in")</f>
        <v>subhankar.jha@zupee.in</v>
      </c>
      <c r="B421" s="31" t="str">
        <f>IFERROR(__xludf.DUMMYFUNCTION("""COMPUTED_VALUE"""),"NOT_FOUND")</f>
        <v>NOT_FOUND</v>
      </c>
      <c r="C421" s="31" t="str">
        <f>IFERROR(__xludf.DUMMYFUNCTION("""COMPUTED_VALUE"""),"User not found")</f>
        <v>User not found</v>
      </c>
      <c r="D421" s="31" t="str">
        <f>IFERROR(__xludf.DUMMYFUNCTION("""COMPUTED_VALUE"""),"Revoked ")</f>
        <v>Revoked </v>
      </c>
      <c r="E421" s="31" t="str">
        <f>IFERROR(__xludf.DUMMYFUNCTION("""COMPUTED_VALUE"""),"Revoked+ITServices")</f>
        <v>Revoked+ITServices</v>
      </c>
      <c r="F421" s="31" t="str">
        <f>IFERROR(__xludf.DUMMYFUNCTION("""COMPUTED_VALUE"""),"No-Need")</f>
        <v>No-Need</v>
      </c>
      <c r="G421" s="31" t="str">
        <f>IFERROR(__xludf.DUMMYFUNCTION("""COMPUTED_VALUE"""),"No-Need")</f>
        <v>No-Need</v>
      </c>
      <c r="H421" s="31" t="str">
        <f>IFERROR(__xludf.DUMMYFUNCTION("""COMPUTED_VALUE"""),"N/A")</f>
        <v>N/A</v>
      </c>
      <c r="I421" s="31" t="str">
        <f>IFERROR(__xludf.DUMMYFUNCTION("""COMPUTED_VALUE"""),"Customer Experience")</f>
        <v>Customer Experience</v>
      </c>
      <c r="J421" s="103">
        <f>IFERROR(__xludf.DUMMYFUNCTION("""COMPUTED_VALUE"""),46062.0)</f>
        <v>46062</v>
      </c>
      <c r="K421" s="31" t="str">
        <f>IFERROR(__xludf.DUMMYFUNCTION("""COMPUTED_VALUE"""),"Conf By ""Mrityunjay Kumar""")</f>
        <v>Conf By "Mrityunjay Kumar"</v>
      </c>
    </row>
    <row r="422">
      <c r="A422" s="31" t="str">
        <f>IFERROR(__xludf.DUMMYFUNCTION("""COMPUTED_VALUE"""),"shiwani.pokhriyal@zupee.in")</f>
        <v>shiwani.pokhriyal@zupee.in</v>
      </c>
      <c r="B422" s="31" t="str">
        <f>IFERROR(__xludf.DUMMYFUNCTION("""COMPUTED_VALUE"""),"NOT_FOUND")</f>
        <v>NOT_FOUND</v>
      </c>
      <c r="C422" s="31" t="str">
        <f>IFERROR(__xludf.DUMMYFUNCTION("""COMPUTED_VALUE"""),"User not found")</f>
        <v>User not found</v>
      </c>
      <c r="D422" s="31" t="str">
        <f>IFERROR(__xludf.DUMMYFUNCTION("""COMPUTED_VALUE"""),"Revoked ")</f>
        <v>Revoked </v>
      </c>
      <c r="E422" s="31" t="str">
        <f>IFERROR(__xludf.DUMMYFUNCTION("""COMPUTED_VALUE"""),"mrityunjay.k@zupee.in")</f>
        <v>mrityunjay.k@zupee.in</v>
      </c>
      <c r="F422" s="31" t="str">
        <f>IFERROR(__xludf.DUMMYFUNCTION("""COMPUTED_VALUE"""),"Done")</f>
        <v>Done</v>
      </c>
      <c r="G422" s="31" t="str">
        <f>IFERROR(__xludf.DUMMYFUNCTION("""COMPUTED_VALUE"""),"No-Need")</f>
        <v>No-Need</v>
      </c>
      <c r="H422" s="31" t="str">
        <f>IFERROR(__xludf.DUMMYFUNCTION("""COMPUTED_VALUE"""),"N/A")</f>
        <v>N/A</v>
      </c>
      <c r="I422" s="31" t="str">
        <f>IFERROR(__xludf.DUMMYFUNCTION("""COMPUTED_VALUE"""),"Customer Experience")</f>
        <v>Customer Experience</v>
      </c>
      <c r="J422" s="103">
        <f>IFERROR(__xludf.DUMMYFUNCTION("""COMPUTED_VALUE"""),46062.0)</f>
        <v>46062</v>
      </c>
      <c r="K422" s="31" t="str">
        <f>IFERROR(__xludf.DUMMYFUNCTION("""COMPUTED_VALUE"""),"Conf By ""Mrityunjay Kumar""")</f>
        <v>Conf By "Mrityunjay Kumar"</v>
      </c>
    </row>
    <row r="423">
      <c r="A423" s="31" t="str">
        <f>IFERROR(__xludf.DUMMYFUNCTION("""COMPUTED_VALUE"""),"abhishek.prasad@zupee.in")</f>
        <v>abhishek.prasad@zupee.in</v>
      </c>
      <c r="B423" s="31" t="str">
        <f>IFERROR(__xludf.DUMMYFUNCTION("""COMPUTED_VALUE"""),"NOT_FOUND")</f>
        <v>NOT_FOUND</v>
      </c>
      <c r="C423" s="31" t="str">
        <f>IFERROR(__xludf.DUMMYFUNCTION("""COMPUTED_VALUE"""),"User not found")</f>
        <v>User not found</v>
      </c>
      <c r="D423" s="31" t="str">
        <f>IFERROR(__xludf.DUMMYFUNCTION("""COMPUTED_VALUE"""),"Revoked ")</f>
        <v>Revoked </v>
      </c>
      <c r="E423" s="31" t="str">
        <f>IFERROR(__xludf.DUMMYFUNCTION("""COMPUTED_VALUE"""),"mrityunjay.k@zupee.in")</f>
        <v>mrityunjay.k@zupee.in</v>
      </c>
      <c r="F423" s="31" t="str">
        <f>IFERROR(__xludf.DUMMYFUNCTION("""COMPUTED_VALUE"""),"Done")</f>
        <v>Done</v>
      </c>
      <c r="G423" s="31" t="str">
        <f>IFERROR(__xludf.DUMMYFUNCTION("""COMPUTED_VALUE"""),"No-Need")</f>
        <v>No-Need</v>
      </c>
      <c r="H423" s="31" t="str">
        <f>IFERROR(__xludf.DUMMYFUNCTION("""COMPUTED_VALUE"""),"N/A")</f>
        <v>N/A</v>
      </c>
      <c r="I423" s="31" t="str">
        <f>IFERROR(__xludf.DUMMYFUNCTION("""COMPUTED_VALUE"""),"Customer Experience")</f>
        <v>Customer Experience</v>
      </c>
      <c r="J423" s="103">
        <f>IFERROR(__xludf.DUMMYFUNCTION("""COMPUTED_VALUE"""),46062.0)</f>
        <v>46062</v>
      </c>
      <c r="K423" s="31" t="str">
        <f>IFERROR(__xludf.DUMMYFUNCTION("""COMPUTED_VALUE"""),"Conf By ""Mrityunjay Kumar""")</f>
        <v>Conf By "Mrityunjay Kumar"</v>
      </c>
    </row>
    <row r="424">
      <c r="A424" s="31" t="str">
        <f>IFERROR(__xludf.DUMMYFUNCTION("""COMPUTED_VALUE"""),"basilnath.masabiel@zupee.in")</f>
        <v>basilnath.masabiel@zupee.in</v>
      </c>
      <c r="B424" s="31" t="str">
        <f>IFERROR(__xludf.DUMMYFUNCTION("""COMPUTED_VALUE"""),"NOT_FOUND")</f>
        <v>NOT_FOUND</v>
      </c>
      <c r="C424" s="31" t="str">
        <f>IFERROR(__xludf.DUMMYFUNCTION("""COMPUTED_VALUE"""),"User not found")</f>
        <v>User not found</v>
      </c>
      <c r="D424" s="31" t="str">
        <f>IFERROR(__xludf.DUMMYFUNCTION("""COMPUTED_VALUE"""),"Revoked ")</f>
        <v>Revoked </v>
      </c>
      <c r="E424" s="31" t="str">
        <f>IFERROR(__xludf.DUMMYFUNCTION("""COMPUTED_VALUE"""),"mrityunjay.k@zupee.in")</f>
        <v>mrityunjay.k@zupee.in</v>
      </c>
      <c r="F424" s="31" t="str">
        <f>IFERROR(__xludf.DUMMYFUNCTION("""COMPUTED_VALUE"""),"Done")</f>
        <v>Done</v>
      </c>
      <c r="G424" s="31" t="str">
        <f>IFERROR(__xludf.DUMMYFUNCTION("""COMPUTED_VALUE"""),"No-Need")</f>
        <v>No-Need</v>
      </c>
      <c r="H424" s="31" t="str">
        <f>IFERROR(__xludf.DUMMYFUNCTION("""COMPUTED_VALUE"""),"N/A")</f>
        <v>N/A</v>
      </c>
      <c r="I424" s="31" t="str">
        <f>IFERROR(__xludf.DUMMYFUNCTION("""COMPUTED_VALUE"""),"Customer Experience")</f>
        <v>Customer Experience</v>
      </c>
      <c r="J424" s="103">
        <f>IFERROR(__xludf.DUMMYFUNCTION("""COMPUTED_VALUE"""),46062.0)</f>
        <v>46062</v>
      </c>
      <c r="K424" s="31" t="str">
        <f>IFERROR(__xludf.DUMMYFUNCTION("""COMPUTED_VALUE"""),"Conf By ""Mrityunjay Kumar""")</f>
        <v>Conf By "Mrityunjay Kumar"</v>
      </c>
    </row>
    <row r="425">
      <c r="A425" s="31" t="str">
        <f>IFERROR(__xludf.DUMMYFUNCTION("""COMPUTED_VALUE"""),"sanjeev.bhardwaj@zupee.in")</f>
        <v>sanjeev.bhardwaj@zupee.in</v>
      </c>
      <c r="B425" s="31" t="str">
        <f>IFERROR(__xludf.DUMMYFUNCTION("""COMPUTED_VALUE"""),"NOT_FOUND")</f>
        <v>NOT_FOUND</v>
      </c>
      <c r="C425" s="31" t="str">
        <f>IFERROR(__xludf.DUMMYFUNCTION("""COMPUTED_VALUE"""),"User not found")</f>
        <v>User not found</v>
      </c>
      <c r="D425" s="31" t="str">
        <f>IFERROR(__xludf.DUMMYFUNCTION("""COMPUTED_VALUE"""),"Revoked ")</f>
        <v>Revoked </v>
      </c>
      <c r="E425" s="31" t="str">
        <f>IFERROR(__xludf.DUMMYFUNCTION("""COMPUTED_VALUE"""),"mrityunjay.k@zupee.in")</f>
        <v>mrityunjay.k@zupee.in</v>
      </c>
      <c r="F425" s="31" t="str">
        <f>IFERROR(__xludf.DUMMYFUNCTION("""COMPUTED_VALUE"""),"Done")</f>
        <v>Done</v>
      </c>
      <c r="G425" s="31" t="str">
        <f>IFERROR(__xludf.DUMMYFUNCTION("""COMPUTED_VALUE"""),"Done")</f>
        <v>Done</v>
      </c>
      <c r="H425" s="31" t="str">
        <f>IFERROR(__xludf.DUMMYFUNCTION("""COMPUTED_VALUE"""),"IT Services")</f>
        <v>IT Services</v>
      </c>
      <c r="I425" s="31" t="str">
        <f>IFERROR(__xludf.DUMMYFUNCTION("""COMPUTED_VALUE"""),"Customer Experience")</f>
        <v>Customer Experience</v>
      </c>
      <c r="J425" s="103">
        <f>IFERROR(__xludf.DUMMYFUNCTION("""COMPUTED_VALUE"""),46062.0)</f>
        <v>46062</v>
      </c>
      <c r="K425" s="31" t="str">
        <f>IFERROR(__xludf.DUMMYFUNCTION("""COMPUTED_VALUE"""),"Conf By ""Mrityunjay Kumar""")</f>
        <v>Conf By "Mrityunjay Kumar"</v>
      </c>
    </row>
    <row r="426">
      <c r="A426" s="31" t="str">
        <f>IFERROR(__xludf.DUMMYFUNCTION("""COMPUTED_VALUE"""),"aman.chhabra@zupee.in")</f>
        <v>aman.chhabra@zupee.in</v>
      </c>
      <c r="B426" s="31" t="str">
        <f>IFERROR(__xludf.DUMMYFUNCTION("""COMPUTED_VALUE"""),"NOT_FOUND")</f>
        <v>NOT_FOUND</v>
      </c>
      <c r="C426" s="31" t="str">
        <f>IFERROR(__xludf.DUMMYFUNCTION("""COMPUTED_VALUE"""),"User not found")</f>
        <v>User not found</v>
      </c>
      <c r="D426" s="31" t="str">
        <f>IFERROR(__xludf.DUMMYFUNCTION("""COMPUTED_VALUE"""),"Revoked ")</f>
        <v>Revoked </v>
      </c>
      <c r="E426" s="31" t="str">
        <f>IFERROR(__xludf.DUMMYFUNCTION("""COMPUTED_VALUE"""),"mrityunjay.k@zupee.in")</f>
        <v>mrityunjay.k@zupee.in</v>
      </c>
      <c r="F426" s="31" t="str">
        <f>IFERROR(__xludf.DUMMYFUNCTION("""COMPUTED_VALUE"""),"Done")</f>
        <v>Done</v>
      </c>
      <c r="G426" s="31" t="str">
        <f>IFERROR(__xludf.DUMMYFUNCTION("""COMPUTED_VALUE"""),"Done")</f>
        <v>Done</v>
      </c>
      <c r="H426" s="31" t="str">
        <f>IFERROR(__xludf.DUMMYFUNCTION("""COMPUTED_VALUE"""),"IT Services")</f>
        <v>IT Services</v>
      </c>
      <c r="I426" s="31" t="str">
        <f>IFERROR(__xludf.DUMMYFUNCTION("""COMPUTED_VALUE"""),"Customer Experience")</f>
        <v>Customer Experience</v>
      </c>
      <c r="J426" s="103">
        <f>IFERROR(__xludf.DUMMYFUNCTION("""COMPUTED_VALUE"""),46062.0)</f>
        <v>46062</v>
      </c>
      <c r="K426" s="31" t="str">
        <f>IFERROR(__xludf.DUMMYFUNCTION("""COMPUTED_VALUE"""),"Conf By ""Mrityunjay Kumar""")</f>
        <v>Conf By "Mrityunjay Kumar"</v>
      </c>
    </row>
    <row r="427">
      <c r="A427" s="31" t="str">
        <f>IFERROR(__xludf.DUMMYFUNCTION("""COMPUTED_VALUE"""),"attar.kaur@zupee.in")</f>
        <v>attar.kaur@zupee.in</v>
      </c>
      <c r="B427" s="31" t="str">
        <f>IFERROR(__xludf.DUMMYFUNCTION("""COMPUTED_VALUE"""),"NOT_FOUND")</f>
        <v>NOT_FOUND</v>
      </c>
      <c r="C427" s="31" t="str">
        <f>IFERROR(__xludf.DUMMYFUNCTION("""COMPUTED_VALUE"""),"User not found")</f>
        <v>User not found</v>
      </c>
      <c r="D427" s="31" t="str">
        <f>IFERROR(__xludf.DUMMYFUNCTION("""COMPUTED_VALUE"""),"Revoked ")</f>
        <v>Revoked </v>
      </c>
      <c r="E427" s="31" t="str">
        <f>IFERROR(__xludf.DUMMYFUNCTION("""COMPUTED_VALUE"""),"mrityunjay.k@zupee.in")</f>
        <v>mrityunjay.k@zupee.in</v>
      </c>
      <c r="F427" s="31" t="str">
        <f>IFERROR(__xludf.DUMMYFUNCTION("""COMPUTED_VALUE"""),"Done")</f>
        <v>Done</v>
      </c>
      <c r="G427" s="31" t="str">
        <f>IFERROR(__xludf.DUMMYFUNCTION("""COMPUTED_VALUE"""),"Done")</f>
        <v>Done</v>
      </c>
      <c r="H427" s="31" t="str">
        <f>IFERROR(__xludf.DUMMYFUNCTION("""COMPUTED_VALUE"""),"IT Services")</f>
        <v>IT Services</v>
      </c>
      <c r="I427" s="31" t="str">
        <f>IFERROR(__xludf.DUMMYFUNCTION("""COMPUTED_VALUE"""),"Customer Experience")</f>
        <v>Customer Experience</v>
      </c>
      <c r="J427" s="103">
        <f>IFERROR(__xludf.DUMMYFUNCTION("""COMPUTED_VALUE"""),46062.0)</f>
        <v>46062</v>
      </c>
      <c r="K427" s="31" t="str">
        <f>IFERROR(__xludf.DUMMYFUNCTION("""COMPUTED_VALUE"""),"Conf By ""Mrityunjay Kumar""")</f>
        <v>Conf By "Mrityunjay Kumar"</v>
      </c>
    </row>
    <row r="428">
      <c r="A428" s="31" t="str">
        <f>IFERROR(__xludf.DUMMYFUNCTION("""COMPUTED_VALUE"""),"anuj.dagar@zupee.in")</f>
        <v>anuj.dagar@zupee.in</v>
      </c>
      <c r="B428" s="31" t="str">
        <f>IFERROR(__xludf.DUMMYFUNCTION("""COMPUTED_VALUE"""),"NOT_FOUND")</f>
        <v>NOT_FOUND</v>
      </c>
      <c r="C428" s="31" t="str">
        <f>IFERROR(__xludf.DUMMYFUNCTION("""COMPUTED_VALUE"""),"User not found")</f>
        <v>User not found</v>
      </c>
      <c r="D428" s="31" t="str">
        <f>IFERROR(__xludf.DUMMYFUNCTION("""COMPUTED_VALUE"""),"Revoked ")</f>
        <v>Revoked </v>
      </c>
      <c r="E428" s="31" t="str">
        <f>IFERROR(__xludf.DUMMYFUNCTION("""COMPUTED_VALUE"""),"financebackup@zupee.in")</f>
        <v>financebackup@zupee.in</v>
      </c>
      <c r="F428" s="31" t="str">
        <f>IFERROR(__xludf.DUMMYFUNCTION("""COMPUTED_VALUE"""),"Done")</f>
        <v>Done</v>
      </c>
      <c r="G428" s="31" t="str">
        <f>IFERROR(__xludf.DUMMYFUNCTION("""COMPUTED_VALUE"""),"Done")</f>
        <v>Done</v>
      </c>
      <c r="H428" s="31" t="str">
        <f>IFERROR(__xludf.DUMMYFUNCTION("""COMPUTED_VALUE"""),"financebackup@zupee.in")</f>
        <v>financebackup@zupee.in</v>
      </c>
      <c r="I428" s="31" t="str">
        <f>IFERROR(__xludf.DUMMYFUNCTION("""COMPUTED_VALUE"""),"Finance")</f>
        <v>Finance</v>
      </c>
      <c r="J428" s="103">
        <f>IFERROR(__xludf.DUMMYFUNCTION("""COMPUTED_VALUE"""),46069.0)</f>
        <v>46069</v>
      </c>
      <c r="K428" s="31" t="str">
        <f>IFERROR(__xludf.DUMMYFUNCTION("""COMPUTED_VALUE"""),"Conf By ""Ankit Maheshwari """)</f>
        <v>Conf By "Ankit Maheshwari "</v>
      </c>
    </row>
    <row r="429">
      <c r="A429" s="31" t="str">
        <f>IFERROR(__xludf.DUMMYFUNCTION("""COMPUTED_VALUE"""),"dhruv.singh@zupee.in")</f>
        <v>dhruv.singh@zupee.in</v>
      </c>
      <c r="B429" s="31" t="str">
        <f>IFERROR(__xludf.DUMMYFUNCTION("""COMPUTED_VALUE"""),"NOT_FOUND")</f>
        <v>NOT_FOUND</v>
      </c>
      <c r="C429" s="31" t="str">
        <f>IFERROR(__xludf.DUMMYFUNCTION("""COMPUTED_VALUE"""),"User not found")</f>
        <v>User not found</v>
      </c>
      <c r="D429" s="31" t="str">
        <f>IFERROR(__xludf.DUMMYFUNCTION("""COMPUTED_VALUE"""),"Revoked ")</f>
        <v>Revoked </v>
      </c>
      <c r="E429" s="31" t="str">
        <f>IFERROR(__xludf.DUMMYFUNCTION("""COMPUTED_VALUE"""),"financebackup@zupee.in")</f>
        <v>financebackup@zupee.in</v>
      </c>
      <c r="F429" s="31" t="str">
        <f>IFERROR(__xludf.DUMMYFUNCTION("""COMPUTED_VALUE"""),"Done")</f>
        <v>Done</v>
      </c>
      <c r="G429" s="31" t="str">
        <f>IFERROR(__xludf.DUMMYFUNCTION("""COMPUTED_VALUE"""),"Done")</f>
        <v>Done</v>
      </c>
      <c r="H429" s="31" t="str">
        <f>IFERROR(__xludf.DUMMYFUNCTION("""COMPUTED_VALUE"""),"financebackup@zupee.in")</f>
        <v>financebackup@zupee.in</v>
      </c>
      <c r="I429" s="31" t="str">
        <f>IFERROR(__xludf.DUMMYFUNCTION("""COMPUTED_VALUE"""),"Finance")</f>
        <v>Finance</v>
      </c>
      <c r="J429" s="103">
        <f>IFERROR(__xludf.DUMMYFUNCTION("""COMPUTED_VALUE"""),46069.0)</f>
        <v>46069</v>
      </c>
      <c r="K429" s="31" t="str">
        <f>IFERROR(__xludf.DUMMYFUNCTION("""COMPUTED_VALUE"""),"Conf By ""Ankit Maheshwari """)</f>
        <v>Conf By "Ankit Maheshwari "</v>
      </c>
    </row>
    <row r="430">
      <c r="A430" s="31" t="str">
        <f>IFERROR(__xludf.DUMMYFUNCTION("""COMPUTED_VALUE"""),"nupur.aggarwal@zupee.in")</f>
        <v>nupur.aggarwal@zupee.in</v>
      </c>
      <c r="B430" s="31" t="str">
        <f>IFERROR(__xludf.DUMMYFUNCTION("""COMPUTED_VALUE"""),"NOT_FOUND")</f>
        <v>NOT_FOUND</v>
      </c>
      <c r="C430" s="31" t="str">
        <f>IFERROR(__xludf.DUMMYFUNCTION("""COMPUTED_VALUE"""),"User not found")</f>
        <v>User not found</v>
      </c>
      <c r="D430" s="31" t="str">
        <f>IFERROR(__xludf.DUMMYFUNCTION("""COMPUTED_VALUE"""),"Revoked ")</f>
        <v>Revoked </v>
      </c>
      <c r="E430" s="31" t="str">
        <f>IFERROR(__xludf.DUMMYFUNCTION("""COMPUTED_VALUE"""),"financebackup@zupee.in")</f>
        <v>financebackup@zupee.in</v>
      </c>
      <c r="F430" s="31" t="str">
        <f>IFERROR(__xludf.DUMMYFUNCTION("""COMPUTED_VALUE"""),"Done")</f>
        <v>Done</v>
      </c>
      <c r="G430" s="31" t="str">
        <f>IFERROR(__xludf.DUMMYFUNCTION("""COMPUTED_VALUE"""),"Done")</f>
        <v>Done</v>
      </c>
      <c r="H430" s="31" t="str">
        <f>IFERROR(__xludf.DUMMYFUNCTION("""COMPUTED_VALUE"""),"financebackup@zupee.in")</f>
        <v>financebackup@zupee.in</v>
      </c>
      <c r="I430" s="31" t="str">
        <f>IFERROR(__xludf.DUMMYFUNCTION("""COMPUTED_VALUE"""),"Finance")</f>
        <v>Finance</v>
      </c>
      <c r="J430" s="103">
        <f>IFERROR(__xludf.DUMMYFUNCTION("""COMPUTED_VALUE"""),46069.0)</f>
        <v>46069</v>
      </c>
      <c r="K430" s="31" t="str">
        <f>IFERROR(__xludf.DUMMYFUNCTION("""COMPUTED_VALUE"""),"Conf By ""Ankit Maheshwari """)</f>
        <v>Conf By "Ankit Maheshwari "</v>
      </c>
    </row>
    <row r="431">
      <c r="A431" s="31" t="str">
        <f>IFERROR(__xludf.DUMMYFUNCTION("""COMPUTED_VALUE"""),"sumit.kumar1@zupee.in")</f>
        <v>sumit.kumar1@zupee.in</v>
      </c>
      <c r="B431" s="31" t="str">
        <f>IFERROR(__xludf.DUMMYFUNCTION("""COMPUTED_VALUE"""),"NOT_FOUND")</f>
        <v>NOT_FOUND</v>
      </c>
      <c r="C431" s="31" t="str">
        <f>IFERROR(__xludf.DUMMYFUNCTION("""COMPUTED_VALUE"""),"User not found")</f>
        <v>User not found</v>
      </c>
      <c r="D431" s="31" t="str">
        <f>IFERROR(__xludf.DUMMYFUNCTION("""COMPUTED_VALUE"""),"Revoked ")</f>
        <v>Revoked </v>
      </c>
      <c r="E431" s="31" t="str">
        <f>IFERROR(__xludf.DUMMYFUNCTION("""COMPUTED_VALUE"""),"financebackup@zupee.in")</f>
        <v>financebackup@zupee.in</v>
      </c>
      <c r="F431" s="31" t="str">
        <f>IFERROR(__xludf.DUMMYFUNCTION("""COMPUTED_VALUE"""),"Done")</f>
        <v>Done</v>
      </c>
      <c r="G431" s="31" t="str">
        <f>IFERROR(__xludf.DUMMYFUNCTION("""COMPUTED_VALUE"""),"Done")</f>
        <v>Done</v>
      </c>
      <c r="H431" s="31" t="str">
        <f>IFERROR(__xludf.DUMMYFUNCTION("""COMPUTED_VALUE"""),"financebackup@zupee.in")</f>
        <v>financebackup@zupee.in</v>
      </c>
      <c r="I431" s="31" t="str">
        <f>IFERROR(__xludf.DUMMYFUNCTION("""COMPUTED_VALUE"""),"Finance")</f>
        <v>Finance</v>
      </c>
      <c r="J431" s="103">
        <f>IFERROR(__xludf.DUMMYFUNCTION("""COMPUTED_VALUE"""),46069.0)</f>
        <v>46069</v>
      </c>
      <c r="K431" s="31" t="str">
        <f>IFERROR(__xludf.DUMMYFUNCTION("""COMPUTED_VALUE"""),"Conf By ""Ankit Maheshwari """)</f>
        <v>Conf By "Ankit Maheshwari "</v>
      </c>
    </row>
    <row r="432">
      <c r="A432" s="31" t="str">
        <f>IFERROR(__xludf.DUMMYFUNCTION("""COMPUTED_VALUE"""),"mohit.arora@zupee.in")</f>
        <v>mohit.arora@zupee.in</v>
      </c>
      <c r="B432" s="31" t="str">
        <f>IFERROR(__xludf.DUMMYFUNCTION("""COMPUTED_VALUE"""),"ACTIVE")</f>
        <v>ACTIVE</v>
      </c>
      <c r="C432" s="31" t="str">
        <f>IFERROR(__xludf.DUMMYFUNCTION("""COMPUTED_VALUE"""),"User is ACTIVE")</f>
        <v>User is ACTIVE</v>
      </c>
      <c r="D432" s="31" t="str">
        <f>IFERROR(__xludf.DUMMYFUNCTION("""COMPUTED_VALUE"""),"Takeout")</f>
        <v>Takeout</v>
      </c>
      <c r="E432" s="31" t="str">
        <f>IFERROR(__xludf.DUMMYFUNCTION("""COMPUTED_VALUE"""),"financebackup@zupee.in")</f>
        <v>financebackup@zupee.in</v>
      </c>
      <c r="F432" s="31" t="str">
        <f>IFERROR(__xludf.DUMMYFUNCTION("""COMPUTED_VALUE"""),"Done")</f>
        <v>Done</v>
      </c>
      <c r="G432" s="31" t="str">
        <f>IFERROR(__xludf.DUMMYFUNCTION("""COMPUTED_VALUE"""),"Done")</f>
        <v>Done</v>
      </c>
      <c r="H432" s="31" t="str">
        <f>IFERROR(__xludf.DUMMYFUNCTION("""COMPUTED_VALUE"""),"financebackup@zupee.in")</f>
        <v>financebackup@zupee.in</v>
      </c>
      <c r="I432" s="31" t="str">
        <f>IFERROR(__xludf.DUMMYFUNCTION("""COMPUTED_VALUE"""),"Finance")</f>
        <v>Finance</v>
      </c>
      <c r="J432" s="103">
        <f>IFERROR(__xludf.DUMMYFUNCTION("""COMPUTED_VALUE"""),46069.0)</f>
        <v>46069</v>
      </c>
      <c r="K432" s="31" t="str">
        <f>IFERROR(__xludf.DUMMYFUNCTION("""COMPUTED_VALUE"""),"Conf By ""Ankit Maheshwari """)</f>
        <v>Conf By "Ankit Maheshwari "</v>
      </c>
    </row>
    <row r="433">
      <c r="A433" s="31" t="str">
        <f>IFERROR(__xludf.DUMMYFUNCTION("""COMPUTED_VALUE"""),"naman.vijay@zupee.in")</f>
        <v>naman.vijay@zupee.in</v>
      </c>
      <c r="B433" s="31" t="str">
        <f>IFERROR(__xludf.DUMMYFUNCTION("""COMPUTED_VALUE"""),"NOT_FOUND")</f>
        <v>NOT_FOUND</v>
      </c>
      <c r="C433" s="31" t="str">
        <f>IFERROR(__xludf.DUMMYFUNCTION("""COMPUTED_VALUE"""),"User not found")</f>
        <v>User not found</v>
      </c>
      <c r="D433" s="31" t="str">
        <f>IFERROR(__xludf.DUMMYFUNCTION("""COMPUTED_VALUE"""),"Revoked ")</f>
        <v>Revoked </v>
      </c>
      <c r="E433" s="31" t="str">
        <f>IFERROR(__xludf.DUMMYFUNCTION("""COMPUTED_VALUE"""),"rahul.satija@zupee.in =&gt; Ankit Maheshwari")</f>
        <v>rahul.satija@zupee.in =&gt; Ankit Maheshwari</v>
      </c>
      <c r="F433" s="31" t="str">
        <f>IFERROR(__xludf.DUMMYFUNCTION("""COMPUTED_VALUE"""),"Done")</f>
        <v>Done</v>
      </c>
      <c r="G433" s="31" t="str">
        <f>IFERROR(__xludf.DUMMYFUNCTION("""COMPUTED_VALUE"""),"Done")</f>
        <v>Done</v>
      </c>
      <c r="H433" s="31" t="str">
        <f>IFERROR(__xludf.DUMMYFUNCTION("""COMPUTED_VALUE"""),"financebackup@zupee.in")</f>
        <v>financebackup@zupee.in</v>
      </c>
      <c r="I433" s="31" t="str">
        <f>IFERROR(__xludf.DUMMYFUNCTION("""COMPUTED_VALUE"""),"Finance")</f>
        <v>Finance</v>
      </c>
      <c r="J433" s="103">
        <f>IFERROR(__xludf.DUMMYFUNCTION("""COMPUTED_VALUE"""),46069.0)</f>
        <v>46069</v>
      </c>
      <c r="K433" s="103" t="str">
        <f>IFERROR(__xludf.DUMMYFUNCTION("""COMPUTED_VALUE"""),"K&amp;JeIC[^)K0Dq&gt;R) ""DT By Rajkumar""")</f>
        <v>K&amp;JeIC[^)K0Dq&gt;R) "DT By Rajkumar"</v>
      </c>
    </row>
    <row r="434">
      <c r="A434" s="31" t="str">
        <f>IFERROR(__xludf.DUMMYFUNCTION("""COMPUTED_VALUE"""),"rohit.chhabra@zupee.in")</f>
        <v>rohit.chhabra@zupee.in</v>
      </c>
      <c r="B434" s="31" t="str">
        <f>IFERROR(__xludf.DUMMYFUNCTION("""COMPUTED_VALUE"""),"NOT_FOUND")</f>
        <v>NOT_FOUND</v>
      </c>
      <c r="C434" s="31" t="str">
        <f>IFERROR(__xludf.DUMMYFUNCTION("""COMPUTED_VALUE"""),"User not found")</f>
        <v>User not found</v>
      </c>
      <c r="D434" s="31" t="str">
        <f>IFERROR(__xludf.DUMMYFUNCTION("""COMPUTED_VALUE"""),"Revoked ")</f>
        <v>Revoked </v>
      </c>
      <c r="E434" s="31" t="str">
        <f>IFERROR(__xludf.DUMMYFUNCTION("""COMPUTED_VALUE"""),"financebackup@zupee.in")</f>
        <v>financebackup@zupee.in</v>
      </c>
      <c r="F434" s="31" t="str">
        <f>IFERROR(__xludf.DUMMYFUNCTION("""COMPUTED_VALUE"""),"Done")</f>
        <v>Done</v>
      </c>
      <c r="G434" s="31" t="str">
        <f>IFERROR(__xludf.DUMMYFUNCTION("""COMPUTED_VALUE"""),"Done")</f>
        <v>Done</v>
      </c>
      <c r="H434" s="31" t="str">
        <f>IFERROR(__xludf.DUMMYFUNCTION("""COMPUTED_VALUE"""),"financebackup@zupee.in")</f>
        <v>financebackup@zupee.in</v>
      </c>
      <c r="I434" s="31" t="str">
        <f>IFERROR(__xludf.DUMMYFUNCTION("""COMPUTED_VALUE"""),"Finance")</f>
        <v>Finance</v>
      </c>
      <c r="J434" s="103">
        <f>IFERROR(__xludf.DUMMYFUNCTION("""COMPUTED_VALUE"""),46069.0)</f>
        <v>46069</v>
      </c>
      <c r="K434" s="103" t="str">
        <f>IFERROR(__xludf.DUMMYFUNCTION("""COMPUTED_VALUE"""),"using By Hitesh Vats, appv by Raj on Slack")</f>
        <v>using By Hitesh Vats, appv by Raj on Slack</v>
      </c>
    </row>
    <row r="435">
      <c r="A435" s="31" t="str">
        <f>IFERROR(__xludf.DUMMYFUNCTION("""COMPUTED_VALUE"""),"shubham.thakur@zupee.in")</f>
        <v>shubham.thakur@zupee.in</v>
      </c>
      <c r="B435" s="31" t="str">
        <f>IFERROR(__xludf.DUMMYFUNCTION("""COMPUTED_VALUE"""),"NOT_FOUND")</f>
        <v>NOT_FOUND</v>
      </c>
      <c r="C435" s="31" t="str">
        <f>IFERROR(__xludf.DUMMYFUNCTION("""COMPUTED_VALUE"""),"User not found")</f>
        <v>User not found</v>
      </c>
      <c r="D435" s="31" t="str">
        <f>IFERROR(__xludf.DUMMYFUNCTION("""COMPUTED_VALUE"""),"Revoked ")</f>
        <v>Revoked </v>
      </c>
      <c r="E435" s="31" t="str">
        <f>IFERROR(__xludf.DUMMYFUNCTION("""COMPUTED_VALUE"""),"financebackup@zupee.in")</f>
        <v>financebackup@zupee.in</v>
      </c>
      <c r="F435" s="31" t="str">
        <f>IFERROR(__xludf.DUMMYFUNCTION("""COMPUTED_VALUE"""),"Done")</f>
        <v>Done</v>
      </c>
      <c r="G435" s="31" t="str">
        <f>IFERROR(__xludf.DUMMYFUNCTION("""COMPUTED_VALUE"""),"Done")</f>
        <v>Done</v>
      </c>
      <c r="H435" s="31" t="str">
        <f>IFERROR(__xludf.DUMMYFUNCTION("""COMPUTED_VALUE"""),"financebackup@zupee.in")</f>
        <v>financebackup@zupee.in</v>
      </c>
      <c r="I435" s="31" t="str">
        <f>IFERROR(__xludf.DUMMYFUNCTION("""COMPUTED_VALUE"""),"Finance")</f>
        <v>Finance</v>
      </c>
      <c r="J435" s="103">
        <f>IFERROR(__xludf.DUMMYFUNCTION("""COMPUTED_VALUE"""),46069.0)</f>
        <v>46069</v>
      </c>
      <c r="K435" s="31" t="str">
        <f>IFERROR(__xludf.DUMMYFUNCTION("""COMPUTED_VALUE"""),"Conf By ""Ankit Maheshwari """)</f>
        <v>Conf By "Ankit Maheshwari "</v>
      </c>
    </row>
    <row r="436">
      <c r="A436" s="31" t="str">
        <f>IFERROR(__xludf.DUMMYFUNCTION("""COMPUTED_VALUE"""),"siddharth.monga@zupee.in")</f>
        <v>siddharth.monga@zupee.in</v>
      </c>
      <c r="B436" s="31" t="str">
        <f>IFERROR(__xludf.DUMMYFUNCTION("""COMPUTED_VALUE"""),"NOT_FOUND")</f>
        <v>NOT_FOUND</v>
      </c>
      <c r="C436" s="31" t="str">
        <f>IFERROR(__xludf.DUMMYFUNCTION("""COMPUTED_VALUE"""),"User not found")</f>
        <v>User not found</v>
      </c>
      <c r="D436" s="31" t="str">
        <f>IFERROR(__xludf.DUMMYFUNCTION("""COMPUTED_VALUE"""),"Revoked ")</f>
        <v>Revoked </v>
      </c>
      <c r="E436" s="31" t="str">
        <f>IFERROR(__xludf.DUMMYFUNCTION("""COMPUTED_VALUE"""),"financebackup@zupee.in")</f>
        <v>financebackup@zupee.in</v>
      </c>
      <c r="F436" s="31" t="str">
        <f>IFERROR(__xludf.DUMMYFUNCTION("""COMPUTED_VALUE"""),"Done")</f>
        <v>Done</v>
      </c>
      <c r="G436" s="31" t="str">
        <f>IFERROR(__xludf.DUMMYFUNCTION("""COMPUTED_VALUE"""),"Done")</f>
        <v>Done</v>
      </c>
      <c r="H436" s="31" t="str">
        <f>IFERROR(__xludf.DUMMYFUNCTION("""COMPUTED_VALUE"""),"financebackup@zupee.in")</f>
        <v>financebackup@zupee.in</v>
      </c>
      <c r="I436" s="31" t="str">
        <f>IFERROR(__xludf.DUMMYFUNCTION("""COMPUTED_VALUE"""),"Finance")</f>
        <v>Finance</v>
      </c>
      <c r="J436" s="103">
        <f>IFERROR(__xludf.DUMMYFUNCTION("""COMPUTED_VALUE"""),46069.0)</f>
        <v>46069</v>
      </c>
      <c r="K436" s="31" t="str">
        <f>IFERROR(__xludf.DUMMYFUNCTION("""COMPUTED_VALUE"""),"Conf By ""Ankit Maheshwari """)</f>
        <v>Conf By "Ankit Maheshwari "</v>
      </c>
    </row>
    <row r="437">
      <c r="A437" s="31" t="str">
        <f>IFERROR(__xludf.DUMMYFUNCTION("""COMPUTED_VALUE"""),"vikas.gupta@zupee.in")</f>
        <v>vikas.gupta@zupee.in</v>
      </c>
      <c r="B437" s="31" t="str">
        <f>IFERROR(__xludf.DUMMYFUNCTION("""COMPUTED_VALUE"""),"NOT_FOUND")</f>
        <v>NOT_FOUND</v>
      </c>
      <c r="C437" s="31" t="str">
        <f>IFERROR(__xludf.DUMMYFUNCTION("""COMPUTED_VALUE"""),"User not found")</f>
        <v>User not found</v>
      </c>
      <c r="D437" s="31" t="str">
        <f>IFERROR(__xludf.DUMMYFUNCTION("""COMPUTED_VALUE"""),"Revoked ")</f>
        <v>Revoked </v>
      </c>
      <c r="E437" s="31" t="str">
        <f>IFERROR(__xludf.DUMMYFUNCTION("""COMPUTED_VALUE"""),"financebackup@zupee.in")</f>
        <v>financebackup@zupee.in</v>
      </c>
      <c r="F437" s="31" t="str">
        <f>IFERROR(__xludf.DUMMYFUNCTION("""COMPUTED_VALUE"""),"Done")</f>
        <v>Done</v>
      </c>
      <c r="G437" s="31" t="str">
        <f>IFERROR(__xludf.DUMMYFUNCTION("""COMPUTED_VALUE"""),"Done")</f>
        <v>Done</v>
      </c>
      <c r="H437" s="31" t="str">
        <f>IFERROR(__xludf.DUMMYFUNCTION("""COMPUTED_VALUE"""),"financebackup@zupee.in")</f>
        <v>financebackup@zupee.in</v>
      </c>
      <c r="I437" s="31" t="str">
        <f>IFERROR(__xludf.DUMMYFUNCTION("""COMPUTED_VALUE"""),"Finance")</f>
        <v>Finance</v>
      </c>
      <c r="J437" s="103">
        <f>IFERROR(__xludf.DUMMYFUNCTION("""COMPUTED_VALUE"""),46069.0)</f>
        <v>46069</v>
      </c>
      <c r="K437" s="31" t="str">
        <f>IFERROR(__xludf.DUMMYFUNCTION("""COMPUTED_VALUE"""),"Conf By ""Ankit Maheshwari """)</f>
        <v>Conf By "Ankit Maheshwari "</v>
      </c>
    </row>
    <row r="438">
      <c r="A438" s="31" t="str">
        <f>IFERROR(__xludf.DUMMYFUNCTION("""COMPUTED_VALUE"""),"abhishek.gupta@zupee.in")</f>
        <v>abhishek.gupta@zupee.in</v>
      </c>
      <c r="B438" s="31" t="str">
        <f>IFERROR(__xludf.DUMMYFUNCTION("""COMPUTED_VALUE"""),"ACTIVE")</f>
        <v>ACTIVE</v>
      </c>
      <c r="C438" s="31" t="str">
        <f>IFERROR(__xludf.DUMMYFUNCTION("""COMPUTED_VALUE"""),"User is ACTIVE")</f>
        <v>User is ACTIVE</v>
      </c>
      <c r="D438" s="31" t="str">
        <f>IFERROR(__xludf.DUMMYFUNCTION("""COMPUTED_VALUE"""),"Hold")</f>
        <v>Hold</v>
      </c>
      <c r="E438" s="31" t="str">
        <f>IFERROR(__xludf.DUMMYFUNCTION("""COMPUTED_VALUE"""),"Hold")</f>
        <v>Hold</v>
      </c>
      <c r="F438" s="31" t="str">
        <f>IFERROR(__xludf.DUMMYFUNCTION("""COMPUTED_VALUE"""),"Hold")</f>
        <v>Hold</v>
      </c>
      <c r="G438" s="31" t="str">
        <f>IFERROR(__xludf.DUMMYFUNCTION("""COMPUTED_VALUE"""),"Hold")</f>
        <v>Hold</v>
      </c>
      <c r="H438" s="31" t="str">
        <f>IFERROR(__xludf.DUMMYFUNCTION("""COMPUTED_VALUE"""),"Hold")</f>
        <v>Hold</v>
      </c>
      <c r="I438" s="31" t="str">
        <f>IFERROR(__xludf.DUMMYFUNCTION("""COMPUTED_VALUE"""),"Technology")</f>
        <v>Technology</v>
      </c>
      <c r="J438" s="31"/>
      <c r="K438" s="104" t="str">
        <f>IFERROR(__xludf.DUMMYFUNCTION("""COMPUTED_VALUE"""),"Conf By Naveen Kadyan")</f>
        <v>Conf By Naveen Kadyan</v>
      </c>
    </row>
    <row r="439">
      <c r="A439" s="31" t="str">
        <f>IFERROR(__xludf.DUMMYFUNCTION("""COMPUTED_VALUE"""),"abhishek.rawat@zupee.in")</f>
        <v>abhishek.rawat@zupee.in</v>
      </c>
      <c r="B439" s="31" t="str">
        <f>IFERROR(__xludf.DUMMYFUNCTION("""COMPUTED_VALUE"""),"NOT_FOUND")</f>
        <v>NOT_FOUND</v>
      </c>
      <c r="C439" s="31" t="str">
        <f>IFERROR(__xludf.DUMMYFUNCTION("""COMPUTED_VALUE"""),"User not found")</f>
        <v>User not found</v>
      </c>
      <c r="D439" s="31" t="str">
        <f>IFERROR(__xludf.DUMMYFUNCTION("""COMPUTED_VALUE"""),"Revoked ")</f>
        <v>Revoked </v>
      </c>
      <c r="E439" s="31" t="str">
        <f>IFERROR(__xludf.DUMMYFUNCTION("""COMPUTED_VALUE"""),"techbackup@zupee.in")</f>
        <v>techbackup@zupee.in</v>
      </c>
      <c r="F439" s="31" t="str">
        <f>IFERROR(__xludf.DUMMYFUNCTION("""COMPUTED_VALUE"""),"Done")</f>
        <v>Done</v>
      </c>
      <c r="G439" s="31" t="str">
        <f>IFERROR(__xludf.DUMMYFUNCTION("""COMPUTED_VALUE"""),"No-Need")</f>
        <v>No-Need</v>
      </c>
      <c r="H439" s="31" t="str">
        <f>IFERROR(__xludf.DUMMYFUNCTION("""COMPUTED_VALUE"""),"No-Need")</f>
        <v>No-Need</v>
      </c>
      <c r="I439" s="31" t="str">
        <f>IFERROR(__xludf.DUMMYFUNCTION("""COMPUTED_VALUE"""),"Technology")</f>
        <v>Technology</v>
      </c>
      <c r="J439" s="103">
        <f>IFERROR(__xludf.DUMMYFUNCTION("""COMPUTED_VALUE"""),46072.0)</f>
        <v>46072</v>
      </c>
      <c r="K439" s="104" t="str">
        <f>IFERROR(__xludf.DUMMYFUNCTION("""COMPUTED_VALUE"""),"Conf By Naveen Kadyan")</f>
        <v>Conf By Naveen Kadyan</v>
      </c>
    </row>
    <row r="440">
      <c r="A440" s="31" t="str">
        <f>IFERROR(__xludf.DUMMYFUNCTION("""COMPUTED_VALUE"""),"adhip.kushwaha@zupee.in")</f>
        <v>adhip.kushwaha@zupee.in</v>
      </c>
      <c r="B440" s="31" t="str">
        <f>IFERROR(__xludf.DUMMYFUNCTION("""COMPUTED_VALUE"""),"NOT_FOUND")</f>
        <v>NOT_FOUND</v>
      </c>
      <c r="C440" s="31" t="str">
        <f>IFERROR(__xludf.DUMMYFUNCTION("""COMPUTED_VALUE"""),"User not found")</f>
        <v>User not found</v>
      </c>
      <c r="D440" s="31" t="str">
        <f>IFERROR(__xludf.DUMMYFUNCTION("""COMPUTED_VALUE"""),"Revoked ")</f>
        <v>Revoked </v>
      </c>
      <c r="E440" s="31" t="str">
        <f>IFERROR(__xludf.DUMMYFUNCTION("""COMPUTED_VALUE"""),"techbackup@zupee.in")</f>
        <v>techbackup@zupee.in</v>
      </c>
      <c r="F440" s="31" t="str">
        <f>IFERROR(__xludf.DUMMYFUNCTION("""COMPUTED_VALUE"""),"Done")</f>
        <v>Done</v>
      </c>
      <c r="G440" s="31" t="str">
        <f>IFERROR(__xludf.DUMMYFUNCTION("""COMPUTED_VALUE"""),"No-Need")</f>
        <v>No-Need</v>
      </c>
      <c r="H440" s="31" t="str">
        <f>IFERROR(__xludf.DUMMYFUNCTION("""COMPUTED_VALUE"""),"No-Need")</f>
        <v>No-Need</v>
      </c>
      <c r="I440" s="31" t="str">
        <f>IFERROR(__xludf.DUMMYFUNCTION("""COMPUTED_VALUE"""),"Technology")</f>
        <v>Technology</v>
      </c>
      <c r="J440" s="103">
        <f>IFERROR(__xludf.DUMMYFUNCTION("""COMPUTED_VALUE"""),46072.0)</f>
        <v>46072</v>
      </c>
      <c r="K440" s="104" t="str">
        <f>IFERROR(__xludf.DUMMYFUNCTION("""COMPUTED_VALUE"""),"Conf By Naveen Kadyan")</f>
        <v>Conf By Naveen Kadyan</v>
      </c>
    </row>
    <row r="441">
      <c r="A441" s="31" t="str">
        <f>IFERROR(__xludf.DUMMYFUNCTION("""COMPUTED_VALUE"""),"aditya.rao@zupee.in")</f>
        <v>aditya.rao@zupee.in</v>
      </c>
      <c r="B441" s="31" t="str">
        <f>IFERROR(__xludf.DUMMYFUNCTION("""COMPUTED_VALUE"""),"NOT_FOUND")</f>
        <v>NOT_FOUND</v>
      </c>
      <c r="C441" s="31" t="str">
        <f>IFERROR(__xludf.DUMMYFUNCTION("""COMPUTED_VALUE"""),"User not found")</f>
        <v>User not found</v>
      </c>
      <c r="D441" s="31" t="str">
        <f>IFERROR(__xludf.DUMMYFUNCTION("""COMPUTED_VALUE"""),"Revoked ")</f>
        <v>Revoked </v>
      </c>
      <c r="E441" s="31" t="str">
        <f>IFERROR(__xludf.DUMMYFUNCTION("""COMPUTED_VALUE"""),"techbackup@zupee.in")</f>
        <v>techbackup@zupee.in</v>
      </c>
      <c r="F441" s="31" t="str">
        <f>IFERROR(__xludf.DUMMYFUNCTION("""COMPUTED_VALUE"""),"Done")</f>
        <v>Done</v>
      </c>
      <c r="G441" s="31" t="str">
        <f>IFERROR(__xludf.DUMMYFUNCTION("""COMPUTED_VALUE"""),"No-Need")</f>
        <v>No-Need</v>
      </c>
      <c r="H441" s="31" t="str">
        <f>IFERROR(__xludf.DUMMYFUNCTION("""COMPUTED_VALUE"""),"No-Need")</f>
        <v>No-Need</v>
      </c>
      <c r="I441" s="31" t="str">
        <f>IFERROR(__xludf.DUMMYFUNCTION("""COMPUTED_VALUE"""),"Technology")</f>
        <v>Technology</v>
      </c>
      <c r="J441" s="103">
        <f>IFERROR(__xludf.DUMMYFUNCTION("""COMPUTED_VALUE"""),46072.0)</f>
        <v>46072</v>
      </c>
      <c r="K441" s="104" t="str">
        <f>IFERROR(__xludf.DUMMYFUNCTION("""COMPUTED_VALUE"""),"Conf By Naveen Kadyan")</f>
        <v>Conf By Naveen Kadyan</v>
      </c>
    </row>
    <row r="442">
      <c r="A442" s="31" t="str">
        <f>IFERROR(__xludf.DUMMYFUNCTION("""COMPUTED_VALUE"""),"aman.hans@zupee.in")</f>
        <v>aman.hans@zupee.in</v>
      </c>
      <c r="B442" s="31" t="str">
        <f>IFERROR(__xludf.DUMMYFUNCTION("""COMPUTED_VALUE"""),"ACTIVE")</f>
        <v>ACTIVE</v>
      </c>
      <c r="C442" s="31" t="str">
        <f>IFERROR(__xludf.DUMMYFUNCTION("""COMPUTED_VALUE"""),"User is ACTIVE")</f>
        <v>User is ACTIVE</v>
      </c>
      <c r="D442" s="31" t="str">
        <f>IFERROR(__xludf.DUMMYFUNCTION("""COMPUTED_VALUE"""),"Revoked ")</f>
        <v>Revoked </v>
      </c>
      <c r="E442" s="31" t="str">
        <f>IFERROR(__xludf.DUMMYFUNCTION("""COMPUTED_VALUE"""),"techbackup@zupee.in")</f>
        <v>techbackup@zupee.in</v>
      </c>
      <c r="F442" s="31" t="str">
        <f>IFERROR(__xludf.DUMMYFUNCTION("""COMPUTED_VALUE"""),"Done")</f>
        <v>Done</v>
      </c>
      <c r="G442" s="31" t="str">
        <f>IFERROR(__xludf.DUMMYFUNCTION("""COMPUTED_VALUE"""),"No-Need")</f>
        <v>No-Need</v>
      </c>
      <c r="H442" s="31" t="str">
        <f>IFERROR(__xludf.DUMMYFUNCTION("""COMPUTED_VALUE"""),"No-Need")</f>
        <v>No-Need</v>
      </c>
      <c r="I442" s="31" t="str">
        <f>IFERROR(__xludf.DUMMYFUNCTION("""COMPUTED_VALUE"""),"Technology")</f>
        <v>Technology</v>
      </c>
      <c r="J442" s="103">
        <f>IFERROR(__xludf.DUMMYFUNCTION("""COMPUTED_VALUE"""),46072.0)</f>
        <v>46072</v>
      </c>
      <c r="K442" s="104" t="str">
        <f>IFERROR(__xludf.DUMMYFUNCTION("""COMPUTED_VALUE"""),"Conf By Naveen Kadyan")</f>
        <v>Conf By Naveen Kadyan</v>
      </c>
    </row>
    <row r="443">
      <c r="A443" s="31" t="str">
        <f>IFERROR(__xludf.DUMMYFUNCTION("""COMPUTED_VALUE"""),"aman.k@zupee.in")</f>
        <v>aman.k@zupee.in</v>
      </c>
      <c r="B443" s="31" t="str">
        <f>IFERROR(__xludf.DUMMYFUNCTION("""COMPUTED_VALUE"""),"NOT_FOUND")</f>
        <v>NOT_FOUND</v>
      </c>
      <c r="C443" s="31" t="str">
        <f>IFERROR(__xludf.DUMMYFUNCTION("""COMPUTED_VALUE"""),"User not found")</f>
        <v>User not found</v>
      </c>
      <c r="D443" s="31" t="str">
        <f>IFERROR(__xludf.DUMMYFUNCTION("""COMPUTED_VALUE"""),"Revoked ")</f>
        <v>Revoked </v>
      </c>
      <c r="E443" s="31" t="str">
        <f>IFERROR(__xludf.DUMMYFUNCTION("""COMPUTED_VALUE"""),"techbackup@zupee.in")</f>
        <v>techbackup@zupee.in</v>
      </c>
      <c r="F443" s="31" t="str">
        <f>IFERROR(__xludf.DUMMYFUNCTION("""COMPUTED_VALUE"""),"Done")</f>
        <v>Done</v>
      </c>
      <c r="G443" s="31" t="str">
        <f>IFERROR(__xludf.DUMMYFUNCTION("""COMPUTED_VALUE"""),"No-Need")</f>
        <v>No-Need</v>
      </c>
      <c r="H443" s="31" t="str">
        <f>IFERROR(__xludf.DUMMYFUNCTION("""COMPUTED_VALUE"""),"No-Need")</f>
        <v>No-Need</v>
      </c>
      <c r="I443" s="31" t="str">
        <f>IFERROR(__xludf.DUMMYFUNCTION("""COMPUTED_VALUE"""),"Technology")</f>
        <v>Technology</v>
      </c>
      <c r="J443" s="103">
        <f>IFERROR(__xludf.DUMMYFUNCTION("""COMPUTED_VALUE"""),46072.0)</f>
        <v>46072</v>
      </c>
      <c r="K443" s="104" t="str">
        <f>IFERROR(__xludf.DUMMYFUNCTION("""COMPUTED_VALUE"""),"Conf By Naveen Kadyan")</f>
        <v>Conf By Naveen Kadyan</v>
      </c>
    </row>
    <row r="444">
      <c r="A444" s="31" t="str">
        <f>IFERROR(__xludf.DUMMYFUNCTION("""COMPUTED_VALUE"""),"aman.kumar2@zupee.in")</f>
        <v>aman.kumar2@zupee.in</v>
      </c>
      <c r="B444" s="31" t="str">
        <f>IFERROR(__xludf.DUMMYFUNCTION("""COMPUTED_VALUE"""),"NOT_FOUND")</f>
        <v>NOT_FOUND</v>
      </c>
      <c r="C444" s="31" t="str">
        <f>IFERROR(__xludf.DUMMYFUNCTION("""COMPUTED_VALUE"""),"User not found")</f>
        <v>User not found</v>
      </c>
      <c r="D444" s="31" t="str">
        <f>IFERROR(__xludf.DUMMYFUNCTION("""COMPUTED_VALUE"""),"Revoked ")</f>
        <v>Revoked </v>
      </c>
      <c r="E444" s="31" t="str">
        <f>IFERROR(__xludf.DUMMYFUNCTION("""COMPUTED_VALUE"""),"techbackup@zupee.in")</f>
        <v>techbackup@zupee.in</v>
      </c>
      <c r="F444" s="31" t="str">
        <f>IFERROR(__xludf.DUMMYFUNCTION("""COMPUTED_VALUE"""),"Done")</f>
        <v>Done</v>
      </c>
      <c r="G444" s="31" t="str">
        <f>IFERROR(__xludf.DUMMYFUNCTION("""COMPUTED_VALUE"""),"No-Need")</f>
        <v>No-Need</v>
      </c>
      <c r="H444" s="31" t="str">
        <f>IFERROR(__xludf.DUMMYFUNCTION("""COMPUTED_VALUE"""),"No-Need")</f>
        <v>No-Need</v>
      </c>
      <c r="I444" s="31" t="str">
        <f>IFERROR(__xludf.DUMMYFUNCTION("""COMPUTED_VALUE"""),"Technology")</f>
        <v>Technology</v>
      </c>
      <c r="J444" s="103">
        <f>IFERROR(__xludf.DUMMYFUNCTION("""COMPUTED_VALUE"""),46072.0)</f>
        <v>46072</v>
      </c>
      <c r="K444" s="104" t="str">
        <f>IFERROR(__xludf.DUMMYFUNCTION("""COMPUTED_VALUE"""),"Conf By Naveen Kadyan")</f>
        <v>Conf By Naveen Kadyan</v>
      </c>
    </row>
    <row r="445">
      <c r="A445" s="31" t="str">
        <f>IFERROR(__xludf.DUMMYFUNCTION("""COMPUTED_VALUE"""),"amit.roy@zupee.in")</f>
        <v>amit.roy@zupee.in</v>
      </c>
      <c r="B445" s="31" t="str">
        <f>IFERROR(__xludf.DUMMYFUNCTION("""COMPUTED_VALUE"""),"NOT_FOUND")</f>
        <v>NOT_FOUND</v>
      </c>
      <c r="C445" s="31" t="str">
        <f>IFERROR(__xludf.DUMMYFUNCTION("""COMPUTED_VALUE"""),"User not found")</f>
        <v>User not found</v>
      </c>
      <c r="D445" s="31" t="str">
        <f>IFERROR(__xludf.DUMMYFUNCTION("""COMPUTED_VALUE"""),"Revoked ")</f>
        <v>Revoked </v>
      </c>
      <c r="E445" s="31" t="str">
        <f>IFERROR(__xludf.DUMMYFUNCTION("""COMPUTED_VALUE"""),"techbackup@zupee.in")</f>
        <v>techbackup@zupee.in</v>
      </c>
      <c r="F445" s="31" t="str">
        <f>IFERROR(__xludf.DUMMYFUNCTION("""COMPUTED_VALUE"""),"Done")</f>
        <v>Done</v>
      </c>
      <c r="G445" s="31" t="str">
        <f>IFERROR(__xludf.DUMMYFUNCTION("""COMPUTED_VALUE"""),"No-Need")</f>
        <v>No-Need</v>
      </c>
      <c r="H445" s="31" t="str">
        <f>IFERROR(__xludf.DUMMYFUNCTION("""COMPUTED_VALUE"""),"No-Need")</f>
        <v>No-Need</v>
      </c>
      <c r="I445" s="31" t="str">
        <f>IFERROR(__xludf.DUMMYFUNCTION("""COMPUTED_VALUE"""),"Technology")</f>
        <v>Technology</v>
      </c>
      <c r="J445" s="103">
        <f>IFERROR(__xludf.DUMMYFUNCTION("""COMPUTED_VALUE"""),46072.0)</f>
        <v>46072</v>
      </c>
      <c r="K445" s="104" t="str">
        <f>IFERROR(__xludf.DUMMYFUNCTION("""COMPUTED_VALUE"""),"Conf By Naveen Kadyan")</f>
        <v>Conf By Naveen Kadyan</v>
      </c>
    </row>
    <row r="446">
      <c r="A446" s="31" t="str">
        <f>IFERROR(__xludf.DUMMYFUNCTION("""COMPUTED_VALUE"""),"aniket.goel@zupee.in")</f>
        <v>aniket.goel@zupee.in</v>
      </c>
      <c r="B446" s="31" t="str">
        <f>IFERROR(__xludf.DUMMYFUNCTION("""COMPUTED_VALUE"""),"NOT_FOUND")</f>
        <v>NOT_FOUND</v>
      </c>
      <c r="C446" s="31" t="str">
        <f>IFERROR(__xludf.DUMMYFUNCTION("""COMPUTED_VALUE"""),"User not found")</f>
        <v>User not found</v>
      </c>
      <c r="D446" s="31" t="str">
        <f>IFERROR(__xludf.DUMMYFUNCTION("""COMPUTED_VALUE"""),"Revoked ")</f>
        <v>Revoked </v>
      </c>
      <c r="E446" s="31" t="str">
        <f>IFERROR(__xludf.DUMMYFUNCTION("""COMPUTED_VALUE"""),"techbackup@zupee.in")</f>
        <v>techbackup@zupee.in</v>
      </c>
      <c r="F446" s="31" t="str">
        <f>IFERROR(__xludf.DUMMYFUNCTION("""COMPUTED_VALUE"""),"Done")</f>
        <v>Done</v>
      </c>
      <c r="G446" s="31" t="str">
        <f>IFERROR(__xludf.DUMMYFUNCTION("""COMPUTED_VALUE"""),"No-Need")</f>
        <v>No-Need</v>
      </c>
      <c r="H446" s="31" t="str">
        <f>IFERROR(__xludf.DUMMYFUNCTION("""COMPUTED_VALUE"""),"No-Need")</f>
        <v>No-Need</v>
      </c>
      <c r="I446" s="31" t="str">
        <f>IFERROR(__xludf.DUMMYFUNCTION("""COMPUTED_VALUE"""),"Technology")</f>
        <v>Technology</v>
      </c>
      <c r="J446" s="103">
        <f>IFERROR(__xludf.DUMMYFUNCTION("""COMPUTED_VALUE"""),46072.0)</f>
        <v>46072</v>
      </c>
      <c r="K446" s="104" t="str">
        <f>IFERROR(__xludf.DUMMYFUNCTION("""COMPUTED_VALUE"""),"Conf By Naveen Kadyan")</f>
        <v>Conf By Naveen Kadyan</v>
      </c>
    </row>
    <row r="447">
      <c r="A447" s="31" t="str">
        <f>IFERROR(__xludf.DUMMYFUNCTION("""COMPUTED_VALUE"""),"ankit.sahu@zupee.in")</f>
        <v>ankit.sahu@zupee.in</v>
      </c>
      <c r="B447" s="31" t="str">
        <f>IFERROR(__xludf.DUMMYFUNCTION("""COMPUTED_VALUE"""),"NOT_FOUND")</f>
        <v>NOT_FOUND</v>
      </c>
      <c r="C447" s="31" t="str">
        <f>IFERROR(__xludf.DUMMYFUNCTION("""COMPUTED_VALUE"""),"User not found")</f>
        <v>User not found</v>
      </c>
      <c r="D447" s="31" t="str">
        <f>IFERROR(__xludf.DUMMYFUNCTION("""COMPUTED_VALUE"""),"Revoked ")</f>
        <v>Revoked </v>
      </c>
      <c r="E447" s="31" t="str">
        <f>IFERROR(__xludf.DUMMYFUNCTION("""COMPUTED_VALUE"""),"techbackup@zupee.in")</f>
        <v>techbackup@zupee.in</v>
      </c>
      <c r="F447" s="31" t="str">
        <f>IFERROR(__xludf.DUMMYFUNCTION("""COMPUTED_VALUE"""),"Done")</f>
        <v>Done</v>
      </c>
      <c r="G447" s="31" t="str">
        <f>IFERROR(__xludf.DUMMYFUNCTION("""COMPUTED_VALUE"""),"No-Need")</f>
        <v>No-Need</v>
      </c>
      <c r="H447" s="31" t="str">
        <f>IFERROR(__xludf.DUMMYFUNCTION("""COMPUTED_VALUE"""),"No-Need")</f>
        <v>No-Need</v>
      </c>
      <c r="I447" s="31" t="str">
        <f>IFERROR(__xludf.DUMMYFUNCTION("""COMPUTED_VALUE"""),"Technology")</f>
        <v>Technology</v>
      </c>
      <c r="J447" s="103">
        <f>IFERROR(__xludf.DUMMYFUNCTION("""COMPUTED_VALUE"""),46072.0)</f>
        <v>46072</v>
      </c>
      <c r="K447" s="104" t="str">
        <f>IFERROR(__xludf.DUMMYFUNCTION("""COMPUTED_VALUE"""),"Conf By Naveen Kadyan")</f>
        <v>Conf By Naveen Kadyan</v>
      </c>
    </row>
    <row r="448">
      <c r="A448" s="31" t="str">
        <f>IFERROR(__xludf.DUMMYFUNCTION("""COMPUTED_VALUE"""),"anshul.ahuja@zupee.in")</f>
        <v>anshul.ahuja@zupee.in</v>
      </c>
      <c r="B448" s="31" t="str">
        <f>IFERROR(__xludf.DUMMYFUNCTION("""COMPUTED_VALUE"""),"NOT_FOUND")</f>
        <v>NOT_FOUND</v>
      </c>
      <c r="C448" s="31" t="str">
        <f>IFERROR(__xludf.DUMMYFUNCTION("""COMPUTED_VALUE"""),"User not found")</f>
        <v>User not found</v>
      </c>
      <c r="D448" s="31" t="str">
        <f>IFERROR(__xludf.DUMMYFUNCTION("""COMPUTED_VALUE"""),"Revoked ")</f>
        <v>Revoked </v>
      </c>
      <c r="E448" s="31" t="str">
        <f>IFERROR(__xludf.DUMMYFUNCTION("""COMPUTED_VALUE"""),"techbackup@zupee.in")</f>
        <v>techbackup@zupee.in</v>
      </c>
      <c r="F448" s="31" t="str">
        <f>IFERROR(__xludf.DUMMYFUNCTION("""COMPUTED_VALUE"""),"Done")</f>
        <v>Done</v>
      </c>
      <c r="G448" s="31" t="str">
        <f>IFERROR(__xludf.DUMMYFUNCTION("""COMPUTED_VALUE"""),"No-Need")</f>
        <v>No-Need</v>
      </c>
      <c r="H448" s="31" t="str">
        <f>IFERROR(__xludf.DUMMYFUNCTION("""COMPUTED_VALUE"""),"No-Need")</f>
        <v>No-Need</v>
      </c>
      <c r="I448" s="31" t="str">
        <f>IFERROR(__xludf.DUMMYFUNCTION("""COMPUTED_VALUE"""),"Technology")</f>
        <v>Technology</v>
      </c>
      <c r="J448" s="103">
        <f>IFERROR(__xludf.DUMMYFUNCTION("""COMPUTED_VALUE"""),46072.0)</f>
        <v>46072</v>
      </c>
      <c r="K448" s="104" t="str">
        <f>IFERROR(__xludf.DUMMYFUNCTION("""COMPUTED_VALUE"""),"Conf By Naveen Kadyan")</f>
        <v>Conf By Naveen Kadyan</v>
      </c>
    </row>
    <row r="449">
      <c r="A449" s="31" t="str">
        <f>IFERROR(__xludf.DUMMYFUNCTION("""COMPUTED_VALUE"""),"archit.goswami@zupee.in")</f>
        <v>archit.goswami@zupee.in</v>
      </c>
      <c r="B449" s="31" t="str">
        <f>IFERROR(__xludf.DUMMYFUNCTION("""COMPUTED_VALUE"""),"NOT_FOUND")</f>
        <v>NOT_FOUND</v>
      </c>
      <c r="C449" s="31" t="str">
        <f>IFERROR(__xludf.DUMMYFUNCTION("""COMPUTED_VALUE"""),"User not found")</f>
        <v>User not found</v>
      </c>
      <c r="D449" s="31" t="str">
        <f>IFERROR(__xludf.DUMMYFUNCTION("""COMPUTED_VALUE"""),"Revoked ")</f>
        <v>Revoked </v>
      </c>
      <c r="E449" s="31" t="str">
        <f>IFERROR(__xludf.DUMMYFUNCTION("""COMPUTED_VALUE"""),"techbackup@zupee.in")</f>
        <v>techbackup@zupee.in</v>
      </c>
      <c r="F449" s="31" t="str">
        <f>IFERROR(__xludf.DUMMYFUNCTION("""COMPUTED_VALUE"""),"Done")</f>
        <v>Done</v>
      </c>
      <c r="G449" s="31" t="str">
        <f>IFERROR(__xludf.DUMMYFUNCTION("""COMPUTED_VALUE"""),"No-Need")</f>
        <v>No-Need</v>
      </c>
      <c r="H449" s="31" t="str">
        <f>IFERROR(__xludf.DUMMYFUNCTION("""COMPUTED_VALUE"""),"No-Need")</f>
        <v>No-Need</v>
      </c>
      <c r="I449" s="31" t="str">
        <f>IFERROR(__xludf.DUMMYFUNCTION("""COMPUTED_VALUE"""),"Technology")</f>
        <v>Technology</v>
      </c>
      <c r="J449" s="103">
        <f>IFERROR(__xludf.DUMMYFUNCTION("""COMPUTED_VALUE"""),46072.0)</f>
        <v>46072</v>
      </c>
      <c r="K449" s="104" t="str">
        <f>IFERROR(__xludf.DUMMYFUNCTION("""COMPUTED_VALUE"""),"Conf By Naveen Kadyan")</f>
        <v>Conf By Naveen Kadyan</v>
      </c>
    </row>
    <row r="450">
      <c r="A450" s="31" t="str">
        <f>IFERROR(__xludf.DUMMYFUNCTION("""COMPUTED_VALUE"""),"arham.ali@zupee.in")</f>
        <v>arham.ali@zupee.in</v>
      </c>
      <c r="B450" s="31" t="str">
        <f>IFERROR(__xludf.DUMMYFUNCTION("""COMPUTED_VALUE"""),"NOT_FOUND")</f>
        <v>NOT_FOUND</v>
      </c>
      <c r="C450" s="31" t="str">
        <f>IFERROR(__xludf.DUMMYFUNCTION("""COMPUTED_VALUE"""),"User not found")</f>
        <v>User not found</v>
      </c>
      <c r="D450" s="31" t="str">
        <f>IFERROR(__xludf.DUMMYFUNCTION("""COMPUTED_VALUE"""),"Revoked ")</f>
        <v>Revoked </v>
      </c>
      <c r="E450" s="31" t="str">
        <f>IFERROR(__xludf.DUMMYFUNCTION("""COMPUTED_VALUE"""),"techbackup@zupee.in")</f>
        <v>techbackup@zupee.in</v>
      </c>
      <c r="F450" s="31" t="str">
        <f>IFERROR(__xludf.DUMMYFUNCTION("""COMPUTED_VALUE"""),"Done")</f>
        <v>Done</v>
      </c>
      <c r="G450" s="31" t="str">
        <f>IFERROR(__xludf.DUMMYFUNCTION("""COMPUTED_VALUE"""),"No-Need")</f>
        <v>No-Need</v>
      </c>
      <c r="H450" s="31" t="str">
        <f>IFERROR(__xludf.DUMMYFUNCTION("""COMPUTED_VALUE"""),"No-Need")</f>
        <v>No-Need</v>
      </c>
      <c r="I450" s="31" t="str">
        <f>IFERROR(__xludf.DUMMYFUNCTION("""COMPUTED_VALUE"""),"Technology")</f>
        <v>Technology</v>
      </c>
      <c r="J450" s="103">
        <f>IFERROR(__xludf.DUMMYFUNCTION("""COMPUTED_VALUE"""),46072.0)</f>
        <v>46072</v>
      </c>
      <c r="K450" s="104" t="str">
        <f>IFERROR(__xludf.DUMMYFUNCTION("""COMPUTED_VALUE"""),"Conf By Naveen Kadyan")</f>
        <v>Conf By Naveen Kadyan</v>
      </c>
    </row>
    <row r="451">
      <c r="A451" s="31" t="str">
        <f>IFERROR(__xludf.DUMMYFUNCTION("""COMPUTED_VALUE"""),"aryan.chopra@zupee.in")</f>
        <v>aryan.chopra@zupee.in</v>
      </c>
      <c r="B451" s="31" t="str">
        <f>IFERROR(__xludf.DUMMYFUNCTION("""COMPUTED_VALUE"""),"NOT_FOUND")</f>
        <v>NOT_FOUND</v>
      </c>
      <c r="C451" s="31" t="str">
        <f>IFERROR(__xludf.DUMMYFUNCTION("""COMPUTED_VALUE"""),"User not found")</f>
        <v>User not found</v>
      </c>
      <c r="D451" s="31" t="str">
        <f>IFERROR(__xludf.DUMMYFUNCTION("""COMPUTED_VALUE"""),"Revoked ")</f>
        <v>Revoked </v>
      </c>
      <c r="E451" s="31" t="str">
        <f>IFERROR(__xludf.DUMMYFUNCTION("""COMPUTED_VALUE"""),"techbackup@zupee.in")</f>
        <v>techbackup@zupee.in</v>
      </c>
      <c r="F451" s="31" t="str">
        <f>IFERROR(__xludf.DUMMYFUNCTION("""COMPUTED_VALUE"""),"Done")</f>
        <v>Done</v>
      </c>
      <c r="G451" s="31" t="str">
        <f>IFERROR(__xludf.DUMMYFUNCTION("""COMPUTED_VALUE"""),"No-Need")</f>
        <v>No-Need</v>
      </c>
      <c r="H451" s="31" t="str">
        <f>IFERROR(__xludf.DUMMYFUNCTION("""COMPUTED_VALUE"""),"No-Need")</f>
        <v>No-Need</v>
      </c>
      <c r="I451" s="31" t="str">
        <f>IFERROR(__xludf.DUMMYFUNCTION("""COMPUTED_VALUE"""),"Technology")</f>
        <v>Technology</v>
      </c>
      <c r="J451" s="103">
        <f>IFERROR(__xludf.DUMMYFUNCTION("""COMPUTED_VALUE"""),46072.0)</f>
        <v>46072</v>
      </c>
      <c r="K451" s="104" t="str">
        <f>IFERROR(__xludf.DUMMYFUNCTION("""COMPUTED_VALUE"""),"Conf By Naveen Kadyan")</f>
        <v>Conf By Naveen Kadyan</v>
      </c>
    </row>
    <row r="452">
      <c r="A452" s="31" t="str">
        <f>IFERROR(__xludf.DUMMYFUNCTION("""COMPUTED_VALUE"""),"aryan.duhan@zupee.in")</f>
        <v>aryan.duhan@zupee.in</v>
      </c>
      <c r="B452" s="31" t="str">
        <f>IFERROR(__xludf.DUMMYFUNCTION("""COMPUTED_VALUE"""),"NOT_FOUND")</f>
        <v>NOT_FOUND</v>
      </c>
      <c r="C452" s="31" t="str">
        <f>IFERROR(__xludf.DUMMYFUNCTION("""COMPUTED_VALUE"""),"User not found")</f>
        <v>User not found</v>
      </c>
      <c r="D452" s="31" t="str">
        <f>IFERROR(__xludf.DUMMYFUNCTION("""COMPUTED_VALUE"""),"Revoked ")</f>
        <v>Revoked </v>
      </c>
      <c r="E452" s="31" t="str">
        <f>IFERROR(__xludf.DUMMYFUNCTION("""COMPUTED_VALUE"""),"techbackup@zupee.in")</f>
        <v>techbackup@zupee.in</v>
      </c>
      <c r="F452" s="31" t="str">
        <f>IFERROR(__xludf.DUMMYFUNCTION("""COMPUTED_VALUE"""),"Done")</f>
        <v>Done</v>
      </c>
      <c r="G452" s="31" t="str">
        <f>IFERROR(__xludf.DUMMYFUNCTION("""COMPUTED_VALUE"""),"No-Need")</f>
        <v>No-Need</v>
      </c>
      <c r="H452" s="31" t="str">
        <f>IFERROR(__xludf.DUMMYFUNCTION("""COMPUTED_VALUE"""),"No-Need")</f>
        <v>No-Need</v>
      </c>
      <c r="I452" s="31" t="str">
        <f>IFERROR(__xludf.DUMMYFUNCTION("""COMPUTED_VALUE"""),"Technology")</f>
        <v>Technology</v>
      </c>
      <c r="J452" s="103">
        <f>IFERROR(__xludf.DUMMYFUNCTION("""COMPUTED_VALUE"""),46072.0)</f>
        <v>46072</v>
      </c>
      <c r="K452" s="104" t="str">
        <f>IFERROR(__xludf.DUMMYFUNCTION("""COMPUTED_VALUE"""),"Conf By Naveen Kadyan")</f>
        <v>Conf By Naveen Kadyan</v>
      </c>
    </row>
    <row r="453">
      <c r="A453" s="31" t="str">
        <f>IFERROR(__xludf.DUMMYFUNCTION("""COMPUTED_VALUE"""),"astha.mishra@zupee.in")</f>
        <v>astha.mishra@zupee.in</v>
      </c>
      <c r="B453" s="31" t="str">
        <f>IFERROR(__xludf.DUMMYFUNCTION("""COMPUTED_VALUE"""),"NOT_FOUND")</f>
        <v>NOT_FOUND</v>
      </c>
      <c r="C453" s="31" t="str">
        <f>IFERROR(__xludf.DUMMYFUNCTION("""COMPUTED_VALUE"""),"User not found")</f>
        <v>User not found</v>
      </c>
      <c r="D453" s="31" t="str">
        <f>IFERROR(__xludf.DUMMYFUNCTION("""COMPUTED_VALUE"""),"Revoked ")</f>
        <v>Revoked </v>
      </c>
      <c r="E453" s="31" t="str">
        <f>IFERROR(__xludf.DUMMYFUNCTION("""COMPUTED_VALUE"""),"techbackup@zupee.in")</f>
        <v>techbackup@zupee.in</v>
      </c>
      <c r="F453" s="31" t="str">
        <f>IFERROR(__xludf.DUMMYFUNCTION("""COMPUTED_VALUE"""),"Done")</f>
        <v>Done</v>
      </c>
      <c r="G453" s="31" t="str">
        <f>IFERROR(__xludf.DUMMYFUNCTION("""COMPUTED_VALUE"""),"No-Need")</f>
        <v>No-Need</v>
      </c>
      <c r="H453" s="31" t="str">
        <f>IFERROR(__xludf.DUMMYFUNCTION("""COMPUTED_VALUE"""),"No-Need")</f>
        <v>No-Need</v>
      </c>
      <c r="I453" s="31" t="str">
        <f>IFERROR(__xludf.DUMMYFUNCTION("""COMPUTED_VALUE"""),"Technology")</f>
        <v>Technology</v>
      </c>
      <c r="J453" s="103">
        <f>IFERROR(__xludf.DUMMYFUNCTION("""COMPUTED_VALUE"""),46072.0)</f>
        <v>46072</v>
      </c>
      <c r="K453" s="104" t="str">
        <f>IFERROR(__xludf.DUMMYFUNCTION("""COMPUTED_VALUE"""),"Conf By Naveen Kadyan")</f>
        <v>Conf By Naveen Kadyan</v>
      </c>
    </row>
    <row r="454">
      <c r="A454" s="31" t="str">
        <f>IFERROR(__xludf.DUMMYFUNCTION("""COMPUTED_VALUE"""),"ayush.dabas@zupee.in")</f>
        <v>ayush.dabas@zupee.in</v>
      </c>
      <c r="B454" s="31" t="str">
        <f>IFERROR(__xludf.DUMMYFUNCTION("""COMPUTED_VALUE"""),"NOT_FOUND")</f>
        <v>NOT_FOUND</v>
      </c>
      <c r="C454" s="31" t="str">
        <f>IFERROR(__xludf.DUMMYFUNCTION("""COMPUTED_VALUE"""),"User not found")</f>
        <v>User not found</v>
      </c>
      <c r="D454" s="31" t="str">
        <f>IFERROR(__xludf.DUMMYFUNCTION("""COMPUTED_VALUE"""),"Revoked ")</f>
        <v>Revoked </v>
      </c>
      <c r="E454" s="31" t="str">
        <f>IFERROR(__xludf.DUMMYFUNCTION("""COMPUTED_VALUE"""),"techbackup@zupee.in")</f>
        <v>techbackup@zupee.in</v>
      </c>
      <c r="F454" s="31" t="str">
        <f>IFERROR(__xludf.DUMMYFUNCTION("""COMPUTED_VALUE"""),"Done")</f>
        <v>Done</v>
      </c>
      <c r="G454" s="31" t="str">
        <f>IFERROR(__xludf.DUMMYFUNCTION("""COMPUTED_VALUE"""),"No-Need")</f>
        <v>No-Need</v>
      </c>
      <c r="H454" s="31" t="str">
        <f>IFERROR(__xludf.DUMMYFUNCTION("""COMPUTED_VALUE"""),"No-Need")</f>
        <v>No-Need</v>
      </c>
      <c r="I454" s="31" t="str">
        <f>IFERROR(__xludf.DUMMYFUNCTION("""COMPUTED_VALUE"""),"Technology")</f>
        <v>Technology</v>
      </c>
      <c r="J454" s="103">
        <f>IFERROR(__xludf.DUMMYFUNCTION("""COMPUTED_VALUE"""),46072.0)</f>
        <v>46072</v>
      </c>
      <c r="K454" s="104" t="str">
        <f>IFERROR(__xludf.DUMMYFUNCTION("""COMPUTED_VALUE"""),"Conf By Naveen Kadyan")</f>
        <v>Conf By Naveen Kadyan</v>
      </c>
    </row>
    <row r="455">
      <c r="A455" s="31" t="str">
        <f>IFERROR(__xludf.DUMMYFUNCTION("""COMPUTED_VALUE"""),"ayush.g@zupee.in")</f>
        <v>ayush.g@zupee.in</v>
      </c>
      <c r="B455" s="31" t="str">
        <f>IFERROR(__xludf.DUMMYFUNCTION("""COMPUTED_VALUE"""),"NOT_FOUND")</f>
        <v>NOT_FOUND</v>
      </c>
      <c r="C455" s="31" t="str">
        <f>IFERROR(__xludf.DUMMYFUNCTION("""COMPUTED_VALUE"""),"User not found")</f>
        <v>User not found</v>
      </c>
      <c r="D455" s="31" t="str">
        <f>IFERROR(__xludf.DUMMYFUNCTION("""COMPUTED_VALUE"""),"Revoked ")</f>
        <v>Revoked </v>
      </c>
      <c r="E455" s="31" t="str">
        <f>IFERROR(__xludf.DUMMYFUNCTION("""COMPUTED_VALUE"""),"techbackup@zupee.in")</f>
        <v>techbackup@zupee.in</v>
      </c>
      <c r="F455" s="31" t="str">
        <f>IFERROR(__xludf.DUMMYFUNCTION("""COMPUTED_VALUE"""),"Done")</f>
        <v>Done</v>
      </c>
      <c r="G455" s="31" t="str">
        <f>IFERROR(__xludf.DUMMYFUNCTION("""COMPUTED_VALUE"""),"No-Need")</f>
        <v>No-Need</v>
      </c>
      <c r="H455" s="31" t="str">
        <f>IFERROR(__xludf.DUMMYFUNCTION("""COMPUTED_VALUE"""),"No-Need")</f>
        <v>No-Need</v>
      </c>
      <c r="I455" s="31" t="str">
        <f>IFERROR(__xludf.DUMMYFUNCTION("""COMPUTED_VALUE"""),"Technology")</f>
        <v>Technology</v>
      </c>
      <c r="J455" s="103">
        <f>IFERROR(__xludf.DUMMYFUNCTION("""COMPUTED_VALUE"""),46072.0)</f>
        <v>46072</v>
      </c>
      <c r="K455" s="104" t="str">
        <f>IFERROR(__xludf.DUMMYFUNCTION("""COMPUTED_VALUE"""),"Conf By Naveen Kadyan")</f>
        <v>Conf By Naveen Kadyan</v>
      </c>
    </row>
    <row r="456">
      <c r="A456" s="31" t="str">
        <f>IFERROR(__xludf.DUMMYFUNCTION("""COMPUTED_VALUE"""),"bharat.gupta@zupee.in")</f>
        <v>bharat.gupta@zupee.in</v>
      </c>
      <c r="B456" s="31" t="str">
        <f>IFERROR(__xludf.DUMMYFUNCTION("""COMPUTED_VALUE"""),"NOT_FOUND")</f>
        <v>NOT_FOUND</v>
      </c>
      <c r="C456" s="31" t="str">
        <f>IFERROR(__xludf.DUMMYFUNCTION("""COMPUTED_VALUE"""),"User not found")</f>
        <v>User not found</v>
      </c>
      <c r="D456" s="31" t="str">
        <f>IFERROR(__xludf.DUMMYFUNCTION("""COMPUTED_VALUE"""),"Revoked ")</f>
        <v>Revoked </v>
      </c>
      <c r="E456" s="31" t="str">
        <f>IFERROR(__xludf.DUMMYFUNCTION("""COMPUTED_VALUE"""),"techbackup@zupee.in")</f>
        <v>techbackup@zupee.in</v>
      </c>
      <c r="F456" s="31" t="str">
        <f>IFERROR(__xludf.DUMMYFUNCTION("""COMPUTED_VALUE"""),"Done")</f>
        <v>Done</v>
      </c>
      <c r="G456" s="31" t="str">
        <f>IFERROR(__xludf.DUMMYFUNCTION("""COMPUTED_VALUE"""),"No-Need")</f>
        <v>No-Need</v>
      </c>
      <c r="H456" s="31" t="str">
        <f>IFERROR(__xludf.DUMMYFUNCTION("""COMPUTED_VALUE"""),"No-Need")</f>
        <v>No-Need</v>
      </c>
      <c r="I456" s="31" t="str">
        <f>IFERROR(__xludf.DUMMYFUNCTION("""COMPUTED_VALUE"""),"Technology")</f>
        <v>Technology</v>
      </c>
      <c r="J456" s="103">
        <f>IFERROR(__xludf.DUMMYFUNCTION("""COMPUTED_VALUE"""),46072.0)</f>
        <v>46072</v>
      </c>
      <c r="K456" s="104" t="str">
        <f>IFERROR(__xludf.DUMMYFUNCTION("""COMPUTED_VALUE"""),"Conf By Naveen Kadyan")</f>
        <v>Conf By Naveen Kadyan</v>
      </c>
    </row>
    <row r="457">
      <c r="A457" s="31" t="str">
        <f>IFERROR(__xludf.DUMMYFUNCTION("""COMPUTED_VALUE"""),"deepak.khandelwal@zupee.in")</f>
        <v>deepak.khandelwal@zupee.in</v>
      </c>
      <c r="B457" s="31" t="str">
        <f>IFERROR(__xludf.DUMMYFUNCTION("""COMPUTED_VALUE"""),"NOT_FOUND")</f>
        <v>NOT_FOUND</v>
      </c>
      <c r="C457" s="31" t="str">
        <f>IFERROR(__xludf.DUMMYFUNCTION("""COMPUTED_VALUE"""),"User not found")</f>
        <v>User not found</v>
      </c>
      <c r="D457" s="31" t="str">
        <f>IFERROR(__xludf.DUMMYFUNCTION("""COMPUTED_VALUE"""),"Revoked ")</f>
        <v>Revoked </v>
      </c>
      <c r="E457" s="31" t="str">
        <f>IFERROR(__xludf.DUMMYFUNCTION("""COMPUTED_VALUE"""),"techbackup@zupee.in")</f>
        <v>techbackup@zupee.in</v>
      </c>
      <c r="F457" s="31" t="str">
        <f>IFERROR(__xludf.DUMMYFUNCTION("""COMPUTED_VALUE"""),"Done")</f>
        <v>Done</v>
      </c>
      <c r="G457" s="31" t="str">
        <f>IFERROR(__xludf.DUMMYFUNCTION("""COMPUTED_VALUE"""),"No-Need")</f>
        <v>No-Need</v>
      </c>
      <c r="H457" s="31" t="str">
        <f>IFERROR(__xludf.DUMMYFUNCTION("""COMPUTED_VALUE"""),"No-Need")</f>
        <v>No-Need</v>
      </c>
      <c r="I457" s="31" t="str">
        <f>IFERROR(__xludf.DUMMYFUNCTION("""COMPUTED_VALUE"""),"Technology")</f>
        <v>Technology</v>
      </c>
      <c r="J457" s="103">
        <f>IFERROR(__xludf.DUMMYFUNCTION("""COMPUTED_VALUE"""),46072.0)</f>
        <v>46072</v>
      </c>
      <c r="K457" s="104" t="str">
        <f>IFERROR(__xludf.DUMMYFUNCTION("""COMPUTED_VALUE"""),"Conf By Naveen Kadyan")</f>
        <v>Conf By Naveen Kadyan</v>
      </c>
    </row>
    <row r="458">
      <c r="A458" s="31" t="str">
        <f>IFERROR(__xludf.DUMMYFUNCTION("""COMPUTED_VALUE"""),"diksha.sachdeva@zupee.in")</f>
        <v>diksha.sachdeva@zupee.in</v>
      </c>
      <c r="B458" s="31" t="str">
        <f>IFERROR(__xludf.DUMMYFUNCTION("""COMPUTED_VALUE"""),"NOT_FOUND")</f>
        <v>NOT_FOUND</v>
      </c>
      <c r="C458" s="31" t="str">
        <f>IFERROR(__xludf.DUMMYFUNCTION("""COMPUTED_VALUE"""),"User not found")</f>
        <v>User not found</v>
      </c>
      <c r="D458" s="31" t="str">
        <f>IFERROR(__xludf.DUMMYFUNCTION("""COMPUTED_VALUE"""),"Revoked ")</f>
        <v>Revoked </v>
      </c>
      <c r="E458" s="31" t="str">
        <f>IFERROR(__xludf.DUMMYFUNCTION("""COMPUTED_VALUE"""),"techbackup@zupee.in")</f>
        <v>techbackup@zupee.in</v>
      </c>
      <c r="F458" s="31" t="str">
        <f>IFERROR(__xludf.DUMMYFUNCTION("""COMPUTED_VALUE"""),"Done")</f>
        <v>Done</v>
      </c>
      <c r="G458" s="31" t="str">
        <f>IFERROR(__xludf.DUMMYFUNCTION("""COMPUTED_VALUE"""),"No-Need")</f>
        <v>No-Need</v>
      </c>
      <c r="H458" s="31" t="str">
        <f>IFERROR(__xludf.DUMMYFUNCTION("""COMPUTED_VALUE"""),"No-Need")</f>
        <v>No-Need</v>
      </c>
      <c r="I458" s="31" t="str">
        <f>IFERROR(__xludf.DUMMYFUNCTION("""COMPUTED_VALUE"""),"Technology")</f>
        <v>Technology</v>
      </c>
      <c r="J458" s="103">
        <f>IFERROR(__xludf.DUMMYFUNCTION("""COMPUTED_VALUE"""),46072.0)</f>
        <v>46072</v>
      </c>
      <c r="K458" s="104" t="str">
        <f>IFERROR(__xludf.DUMMYFUNCTION("""COMPUTED_VALUE"""),"Conf By Naveen Kadyan")</f>
        <v>Conf By Naveen Kadyan</v>
      </c>
    </row>
    <row r="459">
      <c r="A459" s="31" t="str">
        <f>IFERROR(__xludf.DUMMYFUNCTION("""COMPUTED_VALUE"""),"disha.garg@zupee.in")</f>
        <v>disha.garg@zupee.in</v>
      </c>
      <c r="B459" s="31" t="str">
        <f>IFERROR(__xludf.DUMMYFUNCTION("""COMPUTED_VALUE"""),"NOT_FOUND")</f>
        <v>NOT_FOUND</v>
      </c>
      <c r="C459" s="31" t="str">
        <f>IFERROR(__xludf.DUMMYFUNCTION("""COMPUTED_VALUE"""),"User not found")</f>
        <v>User not found</v>
      </c>
      <c r="D459" s="31" t="str">
        <f>IFERROR(__xludf.DUMMYFUNCTION("""COMPUTED_VALUE"""),"Revoked ")</f>
        <v>Revoked </v>
      </c>
      <c r="E459" s="31" t="str">
        <f>IFERROR(__xludf.DUMMYFUNCTION("""COMPUTED_VALUE"""),"techbackup@zupee.in")</f>
        <v>techbackup@zupee.in</v>
      </c>
      <c r="F459" s="31" t="str">
        <f>IFERROR(__xludf.DUMMYFUNCTION("""COMPUTED_VALUE"""),"Done")</f>
        <v>Done</v>
      </c>
      <c r="G459" s="31" t="str">
        <f>IFERROR(__xludf.DUMMYFUNCTION("""COMPUTED_VALUE"""),"No-Need")</f>
        <v>No-Need</v>
      </c>
      <c r="H459" s="31" t="str">
        <f>IFERROR(__xludf.DUMMYFUNCTION("""COMPUTED_VALUE"""),"No-Need")</f>
        <v>No-Need</v>
      </c>
      <c r="I459" s="31" t="str">
        <f>IFERROR(__xludf.DUMMYFUNCTION("""COMPUTED_VALUE"""),"Technology")</f>
        <v>Technology</v>
      </c>
      <c r="J459" s="103">
        <f>IFERROR(__xludf.DUMMYFUNCTION("""COMPUTED_VALUE"""),46072.0)</f>
        <v>46072</v>
      </c>
      <c r="K459" s="104" t="str">
        <f>IFERROR(__xludf.DUMMYFUNCTION("""COMPUTED_VALUE"""),"Conf By Naveen Kadyan")</f>
        <v>Conf By Naveen Kadyan</v>
      </c>
    </row>
    <row r="460">
      <c r="A460" s="31" t="str">
        <f>IFERROR(__xludf.DUMMYFUNCTION("""COMPUTED_VALUE"""),"divy.dwivedi@zupee.in")</f>
        <v>divy.dwivedi@zupee.in</v>
      </c>
      <c r="B460" s="31" t="str">
        <f>IFERROR(__xludf.DUMMYFUNCTION("""COMPUTED_VALUE"""),"NOT_FOUND")</f>
        <v>NOT_FOUND</v>
      </c>
      <c r="C460" s="31" t="str">
        <f>IFERROR(__xludf.DUMMYFUNCTION("""COMPUTED_VALUE"""),"User not found")</f>
        <v>User not found</v>
      </c>
      <c r="D460" s="31" t="str">
        <f>IFERROR(__xludf.DUMMYFUNCTION("""COMPUTED_VALUE"""),"Revoked ")</f>
        <v>Revoked </v>
      </c>
      <c r="E460" s="31" t="str">
        <f>IFERROR(__xludf.DUMMYFUNCTION("""COMPUTED_VALUE"""),"techbackup@zupee.in")</f>
        <v>techbackup@zupee.in</v>
      </c>
      <c r="F460" s="31" t="str">
        <f>IFERROR(__xludf.DUMMYFUNCTION("""COMPUTED_VALUE"""),"Done")</f>
        <v>Done</v>
      </c>
      <c r="G460" s="31" t="str">
        <f>IFERROR(__xludf.DUMMYFUNCTION("""COMPUTED_VALUE"""),"No-Need")</f>
        <v>No-Need</v>
      </c>
      <c r="H460" s="31" t="str">
        <f>IFERROR(__xludf.DUMMYFUNCTION("""COMPUTED_VALUE"""),"No-Need")</f>
        <v>No-Need</v>
      </c>
      <c r="I460" s="31" t="str">
        <f>IFERROR(__xludf.DUMMYFUNCTION("""COMPUTED_VALUE"""),"Technology")</f>
        <v>Technology</v>
      </c>
      <c r="J460" s="103">
        <f>IFERROR(__xludf.DUMMYFUNCTION("""COMPUTED_VALUE"""),46072.0)</f>
        <v>46072</v>
      </c>
      <c r="K460" s="104" t="str">
        <f>IFERROR(__xludf.DUMMYFUNCTION("""COMPUTED_VALUE"""),"Conf By Naveen Kadyan")</f>
        <v>Conf By Naveen Kadyan</v>
      </c>
    </row>
    <row r="461">
      <c r="A461" s="31" t="str">
        <f>IFERROR(__xludf.DUMMYFUNCTION("""COMPUTED_VALUE"""),"gaurav.sharma@zupee.in")</f>
        <v>gaurav.sharma@zupee.in</v>
      </c>
      <c r="B461" s="31" t="str">
        <f>IFERROR(__xludf.DUMMYFUNCTION("""COMPUTED_VALUE"""),"NOT_FOUND")</f>
        <v>NOT_FOUND</v>
      </c>
      <c r="C461" s="31" t="str">
        <f>IFERROR(__xludf.DUMMYFUNCTION("""COMPUTED_VALUE"""),"User not found")</f>
        <v>User not found</v>
      </c>
      <c r="D461" s="31" t="str">
        <f>IFERROR(__xludf.DUMMYFUNCTION("""COMPUTED_VALUE"""),"Revoked ")</f>
        <v>Revoked </v>
      </c>
      <c r="E461" s="31" t="str">
        <f>IFERROR(__xludf.DUMMYFUNCTION("""COMPUTED_VALUE"""),"techbackup@zupee.in")</f>
        <v>techbackup@zupee.in</v>
      </c>
      <c r="F461" s="31" t="str">
        <f>IFERROR(__xludf.DUMMYFUNCTION("""COMPUTED_VALUE"""),"Done")</f>
        <v>Done</v>
      </c>
      <c r="G461" s="31" t="str">
        <f>IFERROR(__xludf.DUMMYFUNCTION("""COMPUTED_VALUE"""),"No-Need")</f>
        <v>No-Need</v>
      </c>
      <c r="H461" s="31" t="str">
        <f>IFERROR(__xludf.DUMMYFUNCTION("""COMPUTED_VALUE"""),"No-Need")</f>
        <v>No-Need</v>
      </c>
      <c r="I461" s="31" t="str">
        <f>IFERROR(__xludf.DUMMYFUNCTION("""COMPUTED_VALUE"""),"Technology")</f>
        <v>Technology</v>
      </c>
      <c r="J461" s="103">
        <f>IFERROR(__xludf.DUMMYFUNCTION("""COMPUTED_VALUE"""),46072.0)</f>
        <v>46072</v>
      </c>
      <c r="K461" s="104" t="str">
        <f>IFERROR(__xludf.DUMMYFUNCTION("""COMPUTED_VALUE"""),"Conf By Naveen Kadyan")</f>
        <v>Conf By Naveen Kadyan</v>
      </c>
    </row>
    <row r="462">
      <c r="A462" s="31" t="str">
        <f>IFERROR(__xludf.DUMMYFUNCTION("""COMPUTED_VALUE"""),"gokul.verma@zupee.in")</f>
        <v>gokul.verma@zupee.in</v>
      </c>
      <c r="B462" s="31" t="str">
        <f>IFERROR(__xludf.DUMMYFUNCTION("""COMPUTED_VALUE"""),"NOT_FOUND")</f>
        <v>NOT_FOUND</v>
      </c>
      <c r="C462" s="31" t="str">
        <f>IFERROR(__xludf.DUMMYFUNCTION("""COMPUTED_VALUE"""),"User not found")</f>
        <v>User not found</v>
      </c>
      <c r="D462" s="31" t="str">
        <f>IFERROR(__xludf.DUMMYFUNCTION("""COMPUTED_VALUE"""),"Revoked ")</f>
        <v>Revoked </v>
      </c>
      <c r="E462" s="31" t="str">
        <f>IFERROR(__xludf.DUMMYFUNCTION("""COMPUTED_VALUE"""),"techbackup@zupee.in")</f>
        <v>techbackup@zupee.in</v>
      </c>
      <c r="F462" s="31" t="str">
        <f>IFERROR(__xludf.DUMMYFUNCTION("""COMPUTED_VALUE"""),"Done")</f>
        <v>Done</v>
      </c>
      <c r="G462" s="31" t="str">
        <f>IFERROR(__xludf.DUMMYFUNCTION("""COMPUTED_VALUE"""),"No-Need")</f>
        <v>No-Need</v>
      </c>
      <c r="H462" s="31" t="str">
        <f>IFERROR(__xludf.DUMMYFUNCTION("""COMPUTED_VALUE"""),"No-Need")</f>
        <v>No-Need</v>
      </c>
      <c r="I462" s="31" t="str">
        <f>IFERROR(__xludf.DUMMYFUNCTION("""COMPUTED_VALUE"""),"Technology")</f>
        <v>Technology</v>
      </c>
      <c r="J462" s="103">
        <f>IFERROR(__xludf.DUMMYFUNCTION("""COMPUTED_VALUE"""),46072.0)</f>
        <v>46072</v>
      </c>
      <c r="K462" s="104" t="str">
        <f>IFERROR(__xludf.DUMMYFUNCTION("""COMPUTED_VALUE"""),"Conf By Naveen Kadyan")</f>
        <v>Conf By Naveen Kadyan</v>
      </c>
    </row>
    <row r="463">
      <c r="A463" s="31" t="str">
        <f>IFERROR(__xludf.DUMMYFUNCTION("""COMPUTED_VALUE"""),"harshit.khanna@zupee.in")</f>
        <v>harshit.khanna@zupee.in</v>
      </c>
      <c r="B463" s="31" t="str">
        <f>IFERROR(__xludf.DUMMYFUNCTION("""COMPUTED_VALUE"""),"NOT_FOUND")</f>
        <v>NOT_FOUND</v>
      </c>
      <c r="C463" s="31" t="str">
        <f>IFERROR(__xludf.DUMMYFUNCTION("""COMPUTED_VALUE"""),"User not found")</f>
        <v>User not found</v>
      </c>
      <c r="D463" s="31" t="str">
        <f>IFERROR(__xludf.DUMMYFUNCTION("""COMPUTED_VALUE"""),"Revoked ")</f>
        <v>Revoked </v>
      </c>
      <c r="E463" s="31" t="str">
        <f>IFERROR(__xludf.DUMMYFUNCTION("""COMPUTED_VALUE"""),"techbackup@zupee.in")</f>
        <v>techbackup@zupee.in</v>
      </c>
      <c r="F463" s="31" t="str">
        <f>IFERROR(__xludf.DUMMYFUNCTION("""COMPUTED_VALUE"""),"Done")</f>
        <v>Done</v>
      </c>
      <c r="G463" s="31" t="str">
        <f>IFERROR(__xludf.DUMMYFUNCTION("""COMPUTED_VALUE"""),"No-Need")</f>
        <v>No-Need</v>
      </c>
      <c r="H463" s="31" t="str">
        <f>IFERROR(__xludf.DUMMYFUNCTION("""COMPUTED_VALUE"""),"No-Need")</f>
        <v>No-Need</v>
      </c>
      <c r="I463" s="31" t="str">
        <f>IFERROR(__xludf.DUMMYFUNCTION("""COMPUTED_VALUE"""),"Technology")</f>
        <v>Technology</v>
      </c>
      <c r="J463" s="103">
        <f>IFERROR(__xludf.DUMMYFUNCTION("""COMPUTED_VALUE"""),46072.0)</f>
        <v>46072</v>
      </c>
      <c r="K463" s="104" t="str">
        <f>IFERROR(__xludf.DUMMYFUNCTION("""COMPUTED_VALUE"""),"Conf By Naveen Kadyan")</f>
        <v>Conf By Naveen Kadyan</v>
      </c>
    </row>
    <row r="464">
      <c r="A464" s="31" t="str">
        <f>IFERROR(__xludf.DUMMYFUNCTION("""COMPUTED_VALUE"""),"jatin.kinra@zupee.in")</f>
        <v>jatin.kinra@zupee.in</v>
      </c>
      <c r="B464" s="31" t="str">
        <f>IFERROR(__xludf.DUMMYFUNCTION("""COMPUTED_VALUE"""),"NOT_FOUND")</f>
        <v>NOT_FOUND</v>
      </c>
      <c r="C464" s="31" t="str">
        <f>IFERROR(__xludf.DUMMYFUNCTION("""COMPUTED_VALUE"""),"User not found")</f>
        <v>User not found</v>
      </c>
      <c r="D464" s="31" t="str">
        <f>IFERROR(__xludf.DUMMYFUNCTION("""COMPUTED_VALUE"""),"Revoked ")</f>
        <v>Revoked </v>
      </c>
      <c r="E464" s="31" t="str">
        <f>IFERROR(__xludf.DUMMYFUNCTION("""COMPUTED_VALUE"""),"techbackup@zupee.in")</f>
        <v>techbackup@zupee.in</v>
      </c>
      <c r="F464" s="31" t="str">
        <f>IFERROR(__xludf.DUMMYFUNCTION("""COMPUTED_VALUE"""),"Done")</f>
        <v>Done</v>
      </c>
      <c r="G464" s="31" t="str">
        <f>IFERROR(__xludf.DUMMYFUNCTION("""COMPUTED_VALUE"""),"No-Need")</f>
        <v>No-Need</v>
      </c>
      <c r="H464" s="31" t="str">
        <f>IFERROR(__xludf.DUMMYFUNCTION("""COMPUTED_VALUE"""),"No-Need")</f>
        <v>No-Need</v>
      </c>
      <c r="I464" s="31" t="str">
        <f>IFERROR(__xludf.DUMMYFUNCTION("""COMPUTED_VALUE"""),"Technology")</f>
        <v>Technology</v>
      </c>
      <c r="J464" s="103">
        <f>IFERROR(__xludf.DUMMYFUNCTION("""COMPUTED_VALUE"""),46072.0)</f>
        <v>46072</v>
      </c>
      <c r="K464" s="104" t="str">
        <f>IFERROR(__xludf.DUMMYFUNCTION("""COMPUTED_VALUE"""),"Conf By Naveen Kadyan")</f>
        <v>Conf By Naveen Kadyan</v>
      </c>
    </row>
    <row r="465">
      <c r="A465" s="31" t="str">
        <f>IFERROR(__xludf.DUMMYFUNCTION("""COMPUTED_VALUE"""),"kamal.sharma@zupee.in")</f>
        <v>kamal.sharma@zupee.in</v>
      </c>
      <c r="B465" s="31" t="str">
        <f>IFERROR(__xludf.DUMMYFUNCTION("""COMPUTED_VALUE"""),"NOT_FOUND")</f>
        <v>NOT_FOUND</v>
      </c>
      <c r="C465" s="31" t="str">
        <f>IFERROR(__xludf.DUMMYFUNCTION("""COMPUTED_VALUE"""),"User not found")</f>
        <v>User not found</v>
      </c>
      <c r="D465" s="31" t="str">
        <f>IFERROR(__xludf.DUMMYFUNCTION("""COMPUTED_VALUE"""),"Revoked ")</f>
        <v>Revoked </v>
      </c>
      <c r="E465" s="31" t="str">
        <f>IFERROR(__xludf.DUMMYFUNCTION("""COMPUTED_VALUE"""),"techbackup@zupee.in")</f>
        <v>techbackup@zupee.in</v>
      </c>
      <c r="F465" s="31" t="str">
        <f>IFERROR(__xludf.DUMMYFUNCTION("""COMPUTED_VALUE"""),"Done")</f>
        <v>Done</v>
      </c>
      <c r="G465" s="31" t="str">
        <f>IFERROR(__xludf.DUMMYFUNCTION("""COMPUTED_VALUE"""),"No-Need")</f>
        <v>No-Need</v>
      </c>
      <c r="H465" s="31" t="str">
        <f>IFERROR(__xludf.DUMMYFUNCTION("""COMPUTED_VALUE"""),"No-Need")</f>
        <v>No-Need</v>
      </c>
      <c r="I465" s="31" t="str">
        <f>IFERROR(__xludf.DUMMYFUNCTION("""COMPUTED_VALUE"""),"Technology")</f>
        <v>Technology</v>
      </c>
      <c r="J465" s="103">
        <f>IFERROR(__xludf.DUMMYFUNCTION("""COMPUTED_VALUE"""),46072.0)</f>
        <v>46072</v>
      </c>
      <c r="K465" s="104" t="str">
        <f>IFERROR(__xludf.DUMMYFUNCTION("""COMPUTED_VALUE"""),"Conf By Naveen Kadyan")</f>
        <v>Conf By Naveen Kadyan</v>
      </c>
    </row>
    <row r="466">
      <c r="A466" s="31" t="str">
        <f>IFERROR(__xludf.DUMMYFUNCTION("""COMPUTED_VALUE"""),"karan.sunkariya@zupee.in")</f>
        <v>karan.sunkariya@zupee.in</v>
      </c>
      <c r="B466" s="31" t="str">
        <f>IFERROR(__xludf.DUMMYFUNCTION("""COMPUTED_VALUE"""),"NOT_FOUND")</f>
        <v>NOT_FOUND</v>
      </c>
      <c r="C466" s="31" t="str">
        <f>IFERROR(__xludf.DUMMYFUNCTION("""COMPUTED_VALUE"""),"User not found")</f>
        <v>User not found</v>
      </c>
      <c r="D466" s="31" t="str">
        <f>IFERROR(__xludf.DUMMYFUNCTION("""COMPUTED_VALUE"""),"Revoked ")</f>
        <v>Revoked </v>
      </c>
      <c r="E466" s="31" t="str">
        <f>IFERROR(__xludf.DUMMYFUNCTION("""COMPUTED_VALUE"""),"techbackup@zupee.in")</f>
        <v>techbackup@zupee.in</v>
      </c>
      <c r="F466" s="31" t="str">
        <f>IFERROR(__xludf.DUMMYFUNCTION("""COMPUTED_VALUE"""),"Done")</f>
        <v>Done</v>
      </c>
      <c r="G466" s="31" t="str">
        <f>IFERROR(__xludf.DUMMYFUNCTION("""COMPUTED_VALUE"""),"No-Need")</f>
        <v>No-Need</v>
      </c>
      <c r="H466" s="31" t="str">
        <f>IFERROR(__xludf.DUMMYFUNCTION("""COMPUTED_VALUE"""),"No-Need")</f>
        <v>No-Need</v>
      </c>
      <c r="I466" s="31" t="str">
        <f>IFERROR(__xludf.DUMMYFUNCTION("""COMPUTED_VALUE"""),"Technology")</f>
        <v>Technology</v>
      </c>
      <c r="J466" s="103">
        <f>IFERROR(__xludf.DUMMYFUNCTION("""COMPUTED_VALUE"""),46072.0)</f>
        <v>46072</v>
      </c>
      <c r="K466" s="104" t="str">
        <f>IFERROR(__xludf.DUMMYFUNCTION("""COMPUTED_VALUE"""),"Conf By Naveen Kadyan")</f>
        <v>Conf By Naveen Kadyan</v>
      </c>
    </row>
    <row r="467">
      <c r="A467" s="31" t="str">
        <f>IFERROR(__xludf.DUMMYFUNCTION("""COMPUTED_VALUE"""),"kritika.kapoor@zupee.in")</f>
        <v>kritika.kapoor@zupee.in</v>
      </c>
      <c r="B467" s="31" t="str">
        <f>IFERROR(__xludf.DUMMYFUNCTION("""COMPUTED_VALUE"""),"NOT_FOUND")</f>
        <v>NOT_FOUND</v>
      </c>
      <c r="C467" s="31" t="str">
        <f>IFERROR(__xludf.DUMMYFUNCTION("""COMPUTED_VALUE"""),"User not found")</f>
        <v>User not found</v>
      </c>
      <c r="D467" s="31" t="str">
        <f>IFERROR(__xludf.DUMMYFUNCTION("""COMPUTED_VALUE"""),"Revoked ")</f>
        <v>Revoked </v>
      </c>
      <c r="E467" s="31" t="str">
        <f>IFERROR(__xludf.DUMMYFUNCTION("""COMPUTED_VALUE"""),"techbackup@zupee.in")</f>
        <v>techbackup@zupee.in</v>
      </c>
      <c r="F467" s="31" t="str">
        <f>IFERROR(__xludf.DUMMYFUNCTION("""COMPUTED_VALUE"""),"Done")</f>
        <v>Done</v>
      </c>
      <c r="G467" s="31" t="str">
        <f>IFERROR(__xludf.DUMMYFUNCTION("""COMPUTED_VALUE"""),"No-Need")</f>
        <v>No-Need</v>
      </c>
      <c r="H467" s="31" t="str">
        <f>IFERROR(__xludf.DUMMYFUNCTION("""COMPUTED_VALUE"""),"No-Need")</f>
        <v>No-Need</v>
      </c>
      <c r="I467" s="31" t="str">
        <f>IFERROR(__xludf.DUMMYFUNCTION("""COMPUTED_VALUE"""),"Technology")</f>
        <v>Technology</v>
      </c>
      <c r="J467" s="103">
        <f>IFERROR(__xludf.DUMMYFUNCTION("""COMPUTED_VALUE"""),46072.0)</f>
        <v>46072</v>
      </c>
      <c r="K467" s="104" t="str">
        <f>IFERROR(__xludf.DUMMYFUNCTION("""COMPUTED_VALUE"""),"Conf By Naveen Kadyan")</f>
        <v>Conf By Naveen Kadyan</v>
      </c>
    </row>
    <row r="468">
      <c r="A468" s="31" t="str">
        <f>IFERROR(__xludf.DUMMYFUNCTION("""COMPUTED_VALUE"""),"kunal.bansal@zupee.in")</f>
        <v>kunal.bansal@zupee.in</v>
      </c>
      <c r="B468" s="31" t="str">
        <f>IFERROR(__xludf.DUMMYFUNCTION("""COMPUTED_VALUE"""),"NOT_FOUND")</f>
        <v>NOT_FOUND</v>
      </c>
      <c r="C468" s="31" t="str">
        <f>IFERROR(__xludf.DUMMYFUNCTION("""COMPUTED_VALUE"""),"User not found")</f>
        <v>User not found</v>
      </c>
      <c r="D468" s="31" t="str">
        <f>IFERROR(__xludf.DUMMYFUNCTION("""COMPUTED_VALUE"""),"Revoked ")</f>
        <v>Revoked </v>
      </c>
      <c r="E468" s="31" t="str">
        <f>IFERROR(__xludf.DUMMYFUNCTION("""COMPUTED_VALUE"""),"techbackup@zupee.in")</f>
        <v>techbackup@zupee.in</v>
      </c>
      <c r="F468" s="31" t="str">
        <f>IFERROR(__xludf.DUMMYFUNCTION("""COMPUTED_VALUE"""),"Done")</f>
        <v>Done</v>
      </c>
      <c r="G468" s="31" t="str">
        <f>IFERROR(__xludf.DUMMYFUNCTION("""COMPUTED_VALUE"""),"No-Need")</f>
        <v>No-Need</v>
      </c>
      <c r="H468" s="31" t="str">
        <f>IFERROR(__xludf.DUMMYFUNCTION("""COMPUTED_VALUE"""),"No-Need")</f>
        <v>No-Need</v>
      </c>
      <c r="I468" s="31" t="str">
        <f>IFERROR(__xludf.DUMMYFUNCTION("""COMPUTED_VALUE"""),"Technology")</f>
        <v>Technology</v>
      </c>
      <c r="J468" s="103">
        <f>IFERROR(__xludf.DUMMYFUNCTION("""COMPUTED_VALUE"""),46072.0)</f>
        <v>46072</v>
      </c>
      <c r="K468" s="104" t="str">
        <f>IFERROR(__xludf.DUMMYFUNCTION("""COMPUTED_VALUE"""),"Conf By Naveen Kadyan")</f>
        <v>Conf By Naveen Kadyan</v>
      </c>
    </row>
    <row r="469">
      <c r="A469" s="31" t="str">
        <f>IFERROR(__xludf.DUMMYFUNCTION("""COMPUTED_VALUE"""),"kushagra.agrawal@zupee.in")</f>
        <v>kushagra.agrawal@zupee.in</v>
      </c>
      <c r="B469" s="31" t="str">
        <f>IFERROR(__xludf.DUMMYFUNCTION("""COMPUTED_VALUE"""),"NOT_FOUND")</f>
        <v>NOT_FOUND</v>
      </c>
      <c r="C469" s="31" t="str">
        <f>IFERROR(__xludf.DUMMYFUNCTION("""COMPUTED_VALUE"""),"User not found")</f>
        <v>User not found</v>
      </c>
      <c r="D469" s="31" t="str">
        <f>IFERROR(__xludf.DUMMYFUNCTION("""COMPUTED_VALUE"""),"Revoked ")</f>
        <v>Revoked </v>
      </c>
      <c r="E469" s="31" t="str">
        <f>IFERROR(__xludf.DUMMYFUNCTION("""COMPUTED_VALUE"""),"techbackup@zupee.in")</f>
        <v>techbackup@zupee.in</v>
      </c>
      <c r="F469" s="31" t="str">
        <f>IFERROR(__xludf.DUMMYFUNCTION("""COMPUTED_VALUE"""),"Done")</f>
        <v>Done</v>
      </c>
      <c r="G469" s="31" t="str">
        <f>IFERROR(__xludf.DUMMYFUNCTION("""COMPUTED_VALUE"""),"No-Need")</f>
        <v>No-Need</v>
      </c>
      <c r="H469" s="31" t="str">
        <f>IFERROR(__xludf.DUMMYFUNCTION("""COMPUTED_VALUE"""),"No-Need")</f>
        <v>No-Need</v>
      </c>
      <c r="I469" s="31" t="str">
        <f>IFERROR(__xludf.DUMMYFUNCTION("""COMPUTED_VALUE"""),"Technology")</f>
        <v>Technology</v>
      </c>
      <c r="J469" s="103">
        <f>IFERROR(__xludf.DUMMYFUNCTION("""COMPUTED_VALUE"""),46072.0)</f>
        <v>46072</v>
      </c>
      <c r="K469" s="104" t="str">
        <f>IFERROR(__xludf.DUMMYFUNCTION("""COMPUTED_VALUE"""),"Conf By Naveen Kadyan")</f>
        <v>Conf By Naveen Kadyan</v>
      </c>
    </row>
    <row r="470">
      <c r="A470" s="31" t="str">
        <f>IFERROR(__xludf.DUMMYFUNCTION("""COMPUTED_VALUE"""),"mukul.bhatt@zupee.in")</f>
        <v>mukul.bhatt@zupee.in</v>
      </c>
      <c r="B470" s="31" t="str">
        <f>IFERROR(__xludf.DUMMYFUNCTION("""COMPUTED_VALUE"""),"NOT_FOUND")</f>
        <v>NOT_FOUND</v>
      </c>
      <c r="C470" s="31" t="str">
        <f>IFERROR(__xludf.DUMMYFUNCTION("""COMPUTED_VALUE"""),"User not found")</f>
        <v>User not found</v>
      </c>
      <c r="D470" s="31" t="str">
        <f>IFERROR(__xludf.DUMMYFUNCTION("""COMPUTED_VALUE"""),"Revoked ")</f>
        <v>Revoked </v>
      </c>
      <c r="E470" s="31" t="str">
        <f>IFERROR(__xludf.DUMMYFUNCTION("""COMPUTED_VALUE"""),"techbackup@zupee.in")</f>
        <v>techbackup@zupee.in</v>
      </c>
      <c r="F470" s="31" t="str">
        <f>IFERROR(__xludf.DUMMYFUNCTION("""COMPUTED_VALUE"""),"Done")</f>
        <v>Done</v>
      </c>
      <c r="G470" s="31" t="str">
        <f>IFERROR(__xludf.DUMMYFUNCTION("""COMPUTED_VALUE"""),"No-Need")</f>
        <v>No-Need</v>
      </c>
      <c r="H470" s="31" t="str">
        <f>IFERROR(__xludf.DUMMYFUNCTION("""COMPUTED_VALUE"""),"No-Need")</f>
        <v>No-Need</v>
      </c>
      <c r="I470" s="31" t="str">
        <f>IFERROR(__xludf.DUMMYFUNCTION("""COMPUTED_VALUE"""),"Technology")</f>
        <v>Technology</v>
      </c>
      <c r="J470" s="103">
        <f>IFERROR(__xludf.DUMMYFUNCTION("""COMPUTED_VALUE"""),46072.0)</f>
        <v>46072</v>
      </c>
      <c r="K470" s="104" t="str">
        <f>IFERROR(__xludf.DUMMYFUNCTION("""COMPUTED_VALUE"""),"Conf By Naveen Kadyan")</f>
        <v>Conf By Naveen Kadyan</v>
      </c>
    </row>
    <row r="471">
      <c r="A471" s="31" t="str">
        <f>IFERROR(__xludf.DUMMYFUNCTION("""COMPUTED_VALUE"""),"nikunj.a@zupee.in")</f>
        <v>nikunj.a@zupee.in</v>
      </c>
      <c r="B471" s="31" t="str">
        <f>IFERROR(__xludf.DUMMYFUNCTION("""COMPUTED_VALUE"""),"NOT_FOUND")</f>
        <v>NOT_FOUND</v>
      </c>
      <c r="C471" s="31" t="str">
        <f>IFERROR(__xludf.DUMMYFUNCTION("""COMPUTED_VALUE"""),"User not found")</f>
        <v>User not found</v>
      </c>
      <c r="D471" s="31" t="str">
        <f>IFERROR(__xludf.DUMMYFUNCTION("""COMPUTED_VALUE"""),"Revoked ")</f>
        <v>Revoked </v>
      </c>
      <c r="E471" s="31" t="str">
        <f>IFERROR(__xludf.DUMMYFUNCTION("""COMPUTED_VALUE"""),"techbackup@zupee.in")</f>
        <v>techbackup@zupee.in</v>
      </c>
      <c r="F471" s="31" t="str">
        <f>IFERROR(__xludf.DUMMYFUNCTION("""COMPUTED_VALUE"""),"Done")</f>
        <v>Done</v>
      </c>
      <c r="G471" s="31" t="str">
        <f>IFERROR(__xludf.DUMMYFUNCTION("""COMPUTED_VALUE"""),"No-Need")</f>
        <v>No-Need</v>
      </c>
      <c r="H471" s="31" t="str">
        <f>IFERROR(__xludf.DUMMYFUNCTION("""COMPUTED_VALUE"""),"No-Need")</f>
        <v>No-Need</v>
      </c>
      <c r="I471" s="31" t="str">
        <f>IFERROR(__xludf.DUMMYFUNCTION("""COMPUTED_VALUE"""),"Technology")</f>
        <v>Technology</v>
      </c>
      <c r="J471" s="103">
        <f>IFERROR(__xludf.DUMMYFUNCTION("""COMPUTED_VALUE"""),46072.0)</f>
        <v>46072</v>
      </c>
      <c r="K471" s="104" t="str">
        <f>IFERROR(__xludf.DUMMYFUNCTION("""COMPUTED_VALUE"""),"Conf By Naveen Kadyan")</f>
        <v>Conf By Naveen Kadyan</v>
      </c>
    </row>
    <row r="472">
      <c r="A472" s="31" t="str">
        <f>IFERROR(__xludf.DUMMYFUNCTION("""COMPUTED_VALUE"""),"nitesh.gupta@zupee.in")</f>
        <v>nitesh.gupta@zupee.in</v>
      </c>
      <c r="B472" s="31" t="str">
        <f>IFERROR(__xludf.DUMMYFUNCTION("""COMPUTED_VALUE"""),"NOT_FOUND")</f>
        <v>NOT_FOUND</v>
      </c>
      <c r="C472" s="31" t="str">
        <f>IFERROR(__xludf.DUMMYFUNCTION("""COMPUTED_VALUE"""),"User not found")</f>
        <v>User not found</v>
      </c>
      <c r="D472" s="31" t="str">
        <f>IFERROR(__xludf.DUMMYFUNCTION("""COMPUTED_VALUE"""),"Revoked ")</f>
        <v>Revoked </v>
      </c>
      <c r="E472" s="31" t="str">
        <f>IFERROR(__xludf.DUMMYFUNCTION("""COMPUTED_VALUE"""),"techbackup@zupee.in")</f>
        <v>techbackup@zupee.in</v>
      </c>
      <c r="F472" s="31" t="str">
        <f>IFERROR(__xludf.DUMMYFUNCTION("""COMPUTED_VALUE"""),"Done")</f>
        <v>Done</v>
      </c>
      <c r="G472" s="31" t="str">
        <f>IFERROR(__xludf.DUMMYFUNCTION("""COMPUTED_VALUE"""),"No-Need")</f>
        <v>No-Need</v>
      </c>
      <c r="H472" s="31" t="str">
        <f>IFERROR(__xludf.DUMMYFUNCTION("""COMPUTED_VALUE"""),"No-Need")</f>
        <v>No-Need</v>
      </c>
      <c r="I472" s="31" t="str">
        <f>IFERROR(__xludf.DUMMYFUNCTION("""COMPUTED_VALUE"""),"Technology")</f>
        <v>Technology</v>
      </c>
      <c r="J472" s="103">
        <f>IFERROR(__xludf.DUMMYFUNCTION("""COMPUTED_VALUE"""),46072.0)</f>
        <v>46072</v>
      </c>
      <c r="K472" s="104" t="str">
        <f>IFERROR(__xludf.DUMMYFUNCTION("""COMPUTED_VALUE"""),"Conf By Naveen Kadyan")</f>
        <v>Conf By Naveen Kadyan</v>
      </c>
    </row>
    <row r="473">
      <c r="A473" s="31" t="str">
        <f>IFERROR(__xludf.DUMMYFUNCTION("""COMPUTED_VALUE"""),"nitish.naidu@zupee.in")</f>
        <v>nitish.naidu@zupee.in</v>
      </c>
      <c r="B473" s="31" t="str">
        <f>IFERROR(__xludf.DUMMYFUNCTION("""COMPUTED_VALUE"""),"NOT_FOUND")</f>
        <v>NOT_FOUND</v>
      </c>
      <c r="C473" s="31" t="str">
        <f>IFERROR(__xludf.DUMMYFUNCTION("""COMPUTED_VALUE"""),"User not found")</f>
        <v>User not found</v>
      </c>
      <c r="D473" s="31" t="str">
        <f>IFERROR(__xludf.DUMMYFUNCTION("""COMPUTED_VALUE"""),"Revoked ")</f>
        <v>Revoked </v>
      </c>
      <c r="E473" s="31" t="str">
        <f>IFERROR(__xludf.DUMMYFUNCTION("""COMPUTED_VALUE"""),"techbackup@zupee.in")</f>
        <v>techbackup@zupee.in</v>
      </c>
      <c r="F473" s="31" t="str">
        <f>IFERROR(__xludf.DUMMYFUNCTION("""COMPUTED_VALUE"""),"Done")</f>
        <v>Done</v>
      </c>
      <c r="G473" s="31" t="str">
        <f>IFERROR(__xludf.DUMMYFUNCTION("""COMPUTED_VALUE"""),"No-Need")</f>
        <v>No-Need</v>
      </c>
      <c r="H473" s="31" t="str">
        <f>IFERROR(__xludf.DUMMYFUNCTION("""COMPUTED_VALUE"""),"No-Need")</f>
        <v>No-Need</v>
      </c>
      <c r="I473" s="31" t="str">
        <f>IFERROR(__xludf.DUMMYFUNCTION("""COMPUTED_VALUE"""),"Technology")</f>
        <v>Technology</v>
      </c>
      <c r="J473" s="103">
        <f>IFERROR(__xludf.DUMMYFUNCTION("""COMPUTED_VALUE"""),46072.0)</f>
        <v>46072</v>
      </c>
      <c r="K473" s="104" t="str">
        <f>IFERROR(__xludf.DUMMYFUNCTION("""COMPUTED_VALUE"""),"Conf By Naveen Kadyan")</f>
        <v>Conf By Naveen Kadyan</v>
      </c>
    </row>
    <row r="474">
      <c r="A474" s="31" t="str">
        <f>IFERROR(__xludf.DUMMYFUNCTION("""COMPUTED_VALUE"""),"palak.dua@zupee.in")</f>
        <v>palak.dua@zupee.in</v>
      </c>
      <c r="B474" s="31" t="str">
        <f>IFERROR(__xludf.DUMMYFUNCTION("""COMPUTED_VALUE"""),"NOT_FOUND")</f>
        <v>NOT_FOUND</v>
      </c>
      <c r="C474" s="31" t="str">
        <f>IFERROR(__xludf.DUMMYFUNCTION("""COMPUTED_VALUE"""),"User not found")</f>
        <v>User not found</v>
      </c>
      <c r="D474" s="31" t="str">
        <f>IFERROR(__xludf.DUMMYFUNCTION("""COMPUTED_VALUE"""),"Revoked ")</f>
        <v>Revoked </v>
      </c>
      <c r="E474" s="31" t="str">
        <f>IFERROR(__xludf.DUMMYFUNCTION("""COMPUTED_VALUE"""),"techbackup@zupee.in")</f>
        <v>techbackup@zupee.in</v>
      </c>
      <c r="F474" s="31" t="str">
        <f>IFERROR(__xludf.DUMMYFUNCTION("""COMPUTED_VALUE"""),"Done")</f>
        <v>Done</v>
      </c>
      <c r="G474" s="31" t="str">
        <f>IFERROR(__xludf.DUMMYFUNCTION("""COMPUTED_VALUE"""),"No-Need")</f>
        <v>No-Need</v>
      </c>
      <c r="H474" s="31" t="str">
        <f>IFERROR(__xludf.DUMMYFUNCTION("""COMPUTED_VALUE"""),"No-Need")</f>
        <v>No-Need</v>
      </c>
      <c r="I474" s="31" t="str">
        <f>IFERROR(__xludf.DUMMYFUNCTION("""COMPUTED_VALUE"""),"Technology")</f>
        <v>Technology</v>
      </c>
      <c r="J474" s="103">
        <f>IFERROR(__xludf.DUMMYFUNCTION("""COMPUTED_VALUE"""),46072.0)</f>
        <v>46072</v>
      </c>
      <c r="K474" s="104" t="str">
        <f>IFERROR(__xludf.DUMMYFUNCTION("""COMPUTED_VALUE"""),"Conf By Naveen Kadyan")</f>
        <v>Conf By Naveen Kadyan</v>
      </c>
    </row>
    <row r="475">
      <c r="A475" s="31" t="str">
        <f>IFERROR(__xludf.DUMMYFUNCTION("""COMPUTED_VALUE"""),"payal.katoch@zupee.in")</f>
        <v>payal.katoch@zupee.in</v>
      </c>
      <c r="B475" s="31" t="str">
        <f>IFERROR(__xludf.DUMMYFUNCTION("""COMPUTED_VALUE"""),"NOT_FOUND")</f>
        <v>NOT_FOUND</v>
      </c>
      <c r="C475" s="31" t="str">
        <f>IFERROR(__xludf.DUMMYFUNCTION("""COMPUTED_VALUE"""),"User not found")</f>
        <v>User not found</v>
      </c>
      <c r="D475" s="31" t="str">
        <f>IFERROR(__xludf.DUMMYFUNCTION("""COMPUTED_VALUE"""),"Revoked ")</f>
        <v>Revoked </v>
      </c>
      <c r="E475" s="31" t="str">
        <f>IFERROR(__xludf.DUMMYFUNCTION("""COMPUTED_VALUE"""),"techbackup@zupee.in")</f>
        <v>techbackup@zupee.in</v>
      </c>
      <c r="F475" s="31" t="str">
        <f>IFERROR(__xludf.DUMMYFUNCTION("""COMPUTED_VALUE"""),"Done")</f>
        <v>Done</v>
      </c>
      <c r="G475" s="31" t="str">
        <f>IFERROR(__xludf.DUMMYFUNCTION("""COMPUTED_VALUE"""),"No-Need")</f>
        <v>No-Need</v>
      </c>
      <c r="H475" s="31" t="str">
        <f>IFERROR(__xludf.DUMMYFUNCTION("""COMPUTED_VALUE"""),"No-Need")</f>
        <v>No-Need</v>
      </c>
      <c r="I475" s="31" t="str">
        <f>IFERROR(__xludf.DUMMYFUNCTION("""COMPUTED_VALUE"""),"Technology")</f>
        <v>Technology</v>
      </c>
      <c r="J475" s="103">
        <f>IFERROR(__xludf.DUMMYFUNCTION("""COMPUTED_VALUE"""),46072.0)</f>
        <v>46072</v>
      </c>
      <c r="K475" s="104" t="str">
        <f>IFERROR(__xludf.DUMMYFUNCTION("""COMPUTED_VALUE"""),"Conf By Naveen Kadyan")</f>
        <v>Conf By Naveen Kadyan</v>
      </c>
    </row>
    <row r="476">
      <c r="A476" s="31" t="str">
        <f>IFERROR(__xludf.DUMMYFUNCTION("""COMPUTED_VALUE"""),"pooja.uppal@zupee.in")</f>
        <v>pooja.uppal@zupee.in</v>
      </c>
      <c r="B476" s="31" t="str">
        <f>IFERROR(__xludf.DUMMYFUNCTION("""COMPUTED_VALUE"""),"NOT_FOUND")</f>
        <v>NOT_FOUND</v>
      </c>
      <c r="C476" s="31" t="str">
        <f>IFERROR(__xludf.DUMMYFUNCTION("""COMPUTED_VALUE"""),"User not found")</f>
        <v>User not found</v>
      </c>
      <c r="D476" s="31" t="str">
        <f>IFERROR(__xludf.DUMMYFUNCTION("""COMPUTED_VALUE"""),"Revoked ")</f>
        <v>Revoked </v>
      </c>
      <c r="E476" s="31" t="str">
        <f>IFERROR(__xludf.DUMMYFUNCTION("""COMPUTED_VALUE"""),"techbackup@zupee.in")</f>
        <v>techbackup@zupee.in</v>
      </c>
      <c r="F476" s="31" t="str">
        <f>IFERROR(__xludf.DUMMYFUNCTION("""COMPUTED_VALUE"""),"Done")</f>
        <v>Done</v>
      </c>
      <c r="G476" s="31" t="str">
        <f>IFERROR(__xludf.DUMMYFUNCTION("""COMPUTED_VALUE"""),"No-Need")</f>
        <v>No-Need</v>
      </c>
      <c r="H476" s="31" t="str">
        <f>IFERROR(__xludf.DUMMYFUNCTION("""COMPUTED_VALUE"""),"No-Need")</f>
        <v>No-Need</v>
      </c>
      <c r="I476" s="31" t="str">
        <f>IFERROR(__xludf.DUMMYFUNCTION("""COMPUTED_VALUE"""),"Technology")</f>
        <v>Technology</v>
      </c>
      <c r="J476" s="103">
        <f>IFERROR(__xludf.DUMMYFUNCTION("""COMPUTED_VALUE"""),46072.0)</f>
        <v>46072</v>
      </c>
      <c r="K476" s="104" t="str">
        <f>IFERROR(__xludf.DUMMYFUNCTION("""COMPUTED_VALUE"""),"Conf By Naveen Kadyan")</f>
        <v>Conf By Naveen Kadyan</v>
      </c>
    </row>
    <row r="477">
      <c r="A477" s="31" t="str">
        <f>IFERROR(__xludf.DUMMYFUNCTION("""COMPUTED_VALUE"""),"prabhat.kumar1@zupee.in")</f>
        <v>prabhat.kumar1@zupee.in</v>
      </c>
      <c r="B477" s="31" t="str">
        <f>IFERROR(__xludf.DUMMYFUNCTION("""COMPUTED_VALUE"""),"NOT_FOUND")</f>
        <v>NOT_FOUND</v>
      </c>
      <c r="C477" s="31" t="str">
        <f>IFERROR(__xludf.DUMMYFUNCTION("""COMPUTED_VALUE"""),"User not found")</f>
        <v>User not found</v>
      </c>
      <c r="D477" s="31" t="str">
        <f>IFERROR(__xludf.DUMMYFUNCTION("""COMPUTED_VALUE"""),"Revoked ")</f>
        <v>Revoked </v>
      </c>
      <c r="E477" s="31" t="str">
        <f>IFERROR(__xludf.DUMMYFUNCTION("""COMPUTED_VALUE"""),"techbackup@zupee.in")</f>
        <v>techbackup@zupee.in</v>
      </c>
      <c r="F477" s="31" t="str">
        <f>IFERROR(__xludf.DUMMYFUNCTION("""COMPUTED_VALUE"""),"Done")</f>
        <v>Done</v>
      </c>
      <c r="G477" s="31" t="str">
        <f>IFERROR(__xludf.DUMMYFUNCTION("""COMPUTED_VALUE"""),"No-Need")</f>
        <v>No-Need</v>
      </c>
      <c r="H477" s="31" t="str">
        <f>IFERROR(__xludf.DUMMYFUNCTION("""COMPUTED_VALUE"""),"No-Need")</f>
        <v>No-Need</v>
      </c>
      <c r="I477" s="31" t="str">
        <f>IFERROR(__xludf.DUMMYFUNCTION("""COMPUTED_VALUE"""),"Technology")</f>
        <v>Technology</v>
      </c>
      <c r="J477" s="103">
        <f>IFERROR(__xludf.DUMMYFUNCTION("""COMPUTED_VALUE"""),46072.0)</f>
        <v>46072</v>
      </c>
      <c r="K477" s="104" t="str">
        <f>IFERROR(__xludf.DUMMYFUNCTION("""COMPUTED_VALUE"""),"Conf By Naveen Kadyan")</f>
        <v>Conf By Naveen Kadyan</v>
      </c>
    </row>
    <row r="478">
      <c r="A478" s="31" t="str">
        <f>IFERROR(__xludf.DUMMYFUNCTION("""COMPUTED_VALUE"""),"pranav.jaradi@zupee.in")</f>
        <v>pranav.jaradi@zupee.in</v>
      </c>
      <c r="B478" s="31" t="str">
        <f>IFERROR(__xludf.DUMMYFUNCTION("""COMPUTED_VALUE"""),"NOT_FOUND")</f>
        <v>NOT_FOUND</v>
      </c>
      <c r="C478" s="31" t="str">
        <f>IFERROR(__xludf.DUMMYFUNCTION("""COMPUTED_VALUE"""),"User not found")</f>
        <v>User not found</v>
      </c>
      <c r="D478" s="31" t="str">
        <f>IFERROR(__xludf.DUMMYFUNCTION("""COMPUTED_VALUE"""),"Revoked ")</f>
        <v>Revoked </v>
      </c>
      <c r="E478" s="31" t="str">
        <f>IFERROR(__xludf.DUMMYFUNCTION("""COMPUTED_VALUE"""),"techbackup@zupee.in")</f>
        <v>techbackup@zupee.in</v>
      </c>
      <c r="F478" s="31" t="str">
        <f>IFERROR(__xludf.DUMMYFUNCTION("""COMPUTED_VALUE"""),"Done")</f>
        <v>Done</v>
      </c>
      <c r="G478" s="31" t="str">
        <f>IFERROR(__xludf.DUMMYFUNCTION("""COMPUTED_VALUE"""),"No-Need")</f>
        <v>No-Need</v>
      </c>
      <c r="H478" s="31" t="str">
        <f>IFERROR(__xludf.DUMMYFUNCTION("""COMPUTED_VALUE"""),"No-Need")</f>
        <v>No-Need</v>
      </c>
      <c r="I478" s="31" t="str">
        <f>IFERROR(__xludf.DUMMYFUNCTION("""COMPUTED_VALUE"""),"Technology")</f>
        <v>Technology</v>
      </c>
      <c r="J478" s="103">
        <f>IFERROR(__xludf.DUMMYFUNCTION("""COMPUTED_VALUE"""),46072.0)</f>
        <v>46072</v>
      </c>
      <c r="K478" s="104" t="str">
        <f>IFERROR(__xludf.DUMMYFUNCTION("""COMPUTED_VALUE"""),"Conf By Naveen Kadyan")</f>
        <v>Conf By Naveen Kadyan</v>
      </c>
    </row>
    <row r="479">
      <c r="A479" s="31" t="str">
        <f>IFERROR(__xludf.DUMMYFUNCTION("""COMPUTED_VALUE"""),"prashant.yadav@zupee.in")</f>
        <v>prashant.yadav@zupee.in</v>
      </c>
      <c r="B479" s="31" t="str">
        <f>IFERROR(__xludf.DUMMYFUNCTION("""COMPUTED_VALUE"""),"NOT_FOUND")</f>
        <v>NOT_FOUND</v>
      </c>
      <c r="C479" s="31" t="str">
        <f>IFERROR(__xludf.DUMMYFUNCTION("""COMPUTED_VALUE"""),"User not found")</f>
        <v>User not found</v>
      </c>
      <c r="D479" s="31" t="str">
        <f>IFERROR(__xludf.DUMMYFUNCTION("""COMPUTED_VALUE"""),"Revoked ")</f>
        <v>Revoked </v>
      </c>
      <c r="E479" s="31" t="str">
        <f>IFERROR(__xludf.DUMMYFUNCTION("""COMPUTED_VALUE"""),"techbackup@zupee.in")</f>
        <v>techbackup@zupee.in</v>
      </c>
      <c r="F479" s="31" t="str">
        <f>IFERROR(__xludf.DUMMYFUNCTION("""COMPUTED_VALUE"""),"Done")</f>
        <v>Done</v>
      </c>
      <c r="G479" s="31" t="str">
        <f>IFERROR(__xludf.DUMMYFUNCTION("""COMPUTED_VALUE"""),"No-Need")</f>
        <v>No-Need</v>
      </c>
      <c r="H479" s="31" t="str">
        <f>IFERROR(__xludf.DUMMYFUNCTION("""COMPUTED_VALUE"""),"No-Need")</f>
        <v>No-Need</v>
      </c>
      <c r="I479" s="31" t="str">
        <f>IFERROR(__xludf.DUMMYFUNCTION("""COMPUTED_VALUE"""),"Technology")</f>
        <v>Technology</v>
      </c>
      <c r="J479" s="103">
        <f>IFERROR(__xludf.DUMMYFUNCTION("""COMPUTED_VALUE"""),46072.0)</f>
        <v>46072</v>
      </c>
      <c r="K479" s="104" t="str">
        <f>IFERROR(__xludf.DUMMYFUNCTION("""COMPUTED_VALUE"""),"Conf By Naveen Kadyan")</f>
        <v>Conf By Naveen Kadyan</v>
      </c>
    </row>
    <row r="480">
      <c r="A480" s="31" t="str">
        <f>IFERROR(__xludf.DUMMYFUNCTION("""COMPUTED_VALUE"""),"prateek.mittal@zupee.in")</f>
        <v>prateek.mittal@zupee.in</v>
      </c>
      <c r="B480" s="31" t="str">
        <f>IFERROR(__xludf.DUMMYFUNCTION("""COMPUTED_VALUE"""),"NOT_FOUND")</f>
        <v>NOT_FOUND</v>
      </c>
      <c r="C480" s="31" t="str">
        <f>IFERROR(__xludf.DUMMYFUNCTION("""COMPUTED_VALUE"""),"User not found")</f>
        <v>User not found</v>
      </c>
      <c r="D480" s="31" t="str">
        <f>IFERROR(__xludf.DUMMYFUNCTION("""COMPUTED_VALUE"""),"Revoked ")</f>
        <v>Revoked </v>
      </c>
      <c r="E480" s="31" t="str">
        <f>IFERROR(__xludf.DUMMYFUNCTION("""COMPUTED_VALUE"""),"techbackup@zupee.in")</f>
        <v>techbackup@zupee.in</v>
      </c>
      <c r="F480" s="31" t="str">
        <f>IFERROR(__xludf.DUMMYFUNCTION("""COMPUTED_VALUE"""),"Done")</f>
        <v>Done</v>
      </c>
      <c r="G480" s="31" t="str">
        <f>IFERROR(__xludf.DUMMYFUNCTION("""COMPUTED_VALUE"""),"No-Need")</f>
        <v>No-Need</v>
      </c>
      <c r="H480" s="31" t="str">
        <f>IFERROR(__xludf.DUMMYFUNCTION("""COMPUTED_VALUE"""),"No-Need")</f>
        <v>No-Need</v>
      </c>
      <c r="I480" s="31" t="str">
        <f>IFERROR(__xludf.DUMMYFUNCTION("""COMPUTED_VALUE"""),"Technology")</f>
        <v>Technology</v>
      </c>
      <c r="J480" s="103">
        <f>IFERROR(__xludf.DUMMYFUNCTION("""COMPUTED_VALUE"""),46072.0)</f>
        <v>46072</v>
      </c>
      <c r="K480" s="104" t="str">
        <f>IFERROR(__xludf.DUMMYFUNCTION("""COMPUTED_VALUE"""),"Conf By Naveen Kadyan")</f>
        <v>Conf By Naveen Kadyan</v>
      </c>
    </row>
    <row r="481">
      <c r="A481" s="31" t="str">
        <f>IFERROR(__xludf.DUMMYFUNCTION("""COMPUTED_VALUE"""),"prityankur.biswas@zupee.in")</f>
        <v>prityankur.biswas@zupee.in</v>
      </c>
      <c r="B481" s="31" t="str">
        <f>IFERROR(__xludf.DUMMYFUNCTION("""COMPUTED_VALUE"""),"NOT_FOUND")</f>
        <v>NOT_FOUND</v>
      </c>
      <c r="C481" s="31" t="str">
        <f>IFERROR(__xludf.DUMMYFUNCTION("""COMPUTED_VALUE"""),"User not found")</f>
        <v>User not found</v>
      </c>
      <c r="D481" s="31" t="str">
        <f>IFERROR(__xludf.DUMMYFUNCTION("""COMPUTED_VALUE"""),"Revoked ")</f>
        <v>Revoked </v>
      </c>
      <c r="E481" s="31" t="str">
        <f>IFERROR(__xludf.DUMMYFUNCTION("""COMPUTED_VALUE"""),"techbackup@zupee.in")</f>
        <v>techbackup@zupee.in</v>
      </c>
      <c r="F481" s="31" t="str">
        <f>IFERROR(__xludf.DUMMYFUNCTION("""COMPUTED_VALUE"""),"Done")</f>
        <v>Done</v>
      </c>
      <c r="G481" s="31" t="str">
        <f>IFERROR(__xludf.DUMMYFUNCTION("""COMPUTED_VALUE"""),"No-Need")</f>
        <v>No-Need</v>
      </c>
      <c r="H481" s="31" t="str">
        <f>IFERROR(__xludf.DUMMYFUNCTION("""COMPUTED_VALUE"""),"No-Need")</f>
        <v>No-Need</v>
      </c>
      <c r="I481" s="31" t="str">
        <f>IFERROR(__xludf.DUMMYFUNCTION("""COMPUTED_VALUE"""),"Technology")</f>
        <v>Technology</v>
      </c>
      <c r="J481" s="103">
        <f>IFERROR(__xludf.DUMMYFUNCTION("""COMPUTED_VALUE"""),46072.0)</f>
        <v>46072</v>
      </c>
      <c r="K481" s="104" t="str">
        <f>IFERROR(__xludf.DUMMYFUNCTION("""COMPUTED_VALUE"""),"Conf By Naveen Kadyan")</f>
        <v>Conf By Naveen Kadyan</v>
      </c>
    </row>
    <row r="482">
      <c r="A482" s="31" t="str">
        <f>IFERROR(__xludf.DUMMYFUNCTION("""COMPUTED_VALUE"""),"priyansh.barya@zupee.in")</f>
        <v>priyansh.barya@zupee.in</v>
      </c>
      <c r="B482" s="31" t="str">
        <f>IFERROR(__xludf.DUMMYFUNCTION("""COMPUTED_VALUE"""),"NOT_FOUND")</f>
        <v>NOT_FOUND</v>
      </c>
      <c r="C482" s="31" t="str">
        <f>IFERROR(__xludf.DUMMYFUNCTION("""COMPUTED_VALUE"""),"User not found")</f>
        <v>User not found</v>
      </c>
      <c r="D482" s="31" t="str">
        <f>IFERROR(__xludf.DUMMYFUNCTION("""COMPUTED_VALUE"""),"Revoked ")</f>
        <v>Revoked </v>
      </c>
      <c r="E482" s="31" t="str">
        <f>IFERROR(__xludf.DUMMYFUNCTION("""COMPUTED_VALUE"""),"techbackup@zupee.in")</f>
        <v>techbackup@zupee.in</v>
      </c>
      <c r="F482" s="31" t="str">
        <f>IFERROR(__xludf.DUMMYFUNCTION("""COMPUTED_VALUE"""),"Done")</f>
        <v>Done</v>
      </c>
      <c r="G482" s="31" t="str">
        <f>IFERROR(__xludf.DUMMYFUNCTION("""COMPUTED_VALUE"""),"No-Need")</f>
        <v>No-Need</v>
      </c>
      <c r="H482" s="31" t="str">
        <f>IFERROR(__xludf.DUMMYFUNCTION("""COMPUTED_VALUE"""),"No-Need")</f>
        <v>No-Need</v>
      </c>
      <c r="I482" s="31" t="str">
        <f>IFERROR(__xludf.DUMMYFUNCTION("""COMPUTED_VALUE"""),"Technology")</f>
        <v>Technology</v>
      </c>
      <c r="J482" s="103">
        <f>IFERROR(__xludf.DUMMYFUNCTION("""COMPUTED_VALUE"""),46072.0)</f>
        <v>46072</v>
      </c>
      <c r="K482" s="104" t="str">
        <f>IFERROR(__xludf.DUMMYFUNCTION("""COMPUTED_VALUE"""),"Conf By Naveen Kadyan")</f>
        <v>Conf By Naveen Kadyan</v>
      </c>
    </row>
    <row r="483">
      <c r="A483" s="31" t="str">
        <f>IFERROR(__xludf.DUMMYFUNCTION("""COMPUTED_VALUE"""),"priyanshu.gandhi@zupee.in")</f>
        <v>priyanshu.gandhi@zupee.in</v>
      </c>
      <c r="B483" s="31" t="str">
        <f>IFERROR(__xludf.DUMMYFUNCTION("""COMPUTED_VALUE"""),"NOT_FOUND")</f>
        <v>NOT_FOUND</v>
      </c>
      <c r="C483" s="31" t="str">
        <f>IFERROR(__xludf.DUMMYFUNCTION("""COMPUTED_VALUE"""),"User not found")</f>
        <v>User not found</v>
      </c>
      <c r="D483" s="31" t="str">
        <f>IFERROR(__xludf.DUMMYFUNCTION("""COMPUTED_VALUE"""),"Revoked ")</f>
        <v>Revoked </v>
      </c>
      <c r="E483" s="31" t="str">
        <f>IFERROR(__xludf.DUMMYFUNCTION("""COMPUTED_VALUE"""),"techbackup@zupee.in")</f>
        <v>techbackup@zupee.in</v>
      </c>
      <c r="F483" s="31" t="str">
        <f>IFERROR(__xludf.DUMMYFUNCTION("""COMPUTED_VALUE"""),"Done")</f>
        <v>Done</v>
      </c>
      <c r="G483" s="31" t="str">
        <f>IFERROR(__xludf.DUMMYFUNCTION("""COMPUTED_VALUE"""),"No-Need")</f>
        <v>No-Need</v>
      </c>
      <c r="H483" s="31" t="str">
        <f>IFERROR(__xludf.DUMMYFUNCTION("""COMPUTED_VALUE"""),"No-Need")</f>
        <v>No-Need</v>
      </c>
      <c r="I483" s="31" t="str">
        <f>IFERROR(__xludf.DUMMYFUNCTION("""COMPUTED_VALUE"""),"Technology")</f>
        <v>Technology</v>
      </c>
      <c r="J483" s="103">
        <f>IFERROR(__xludf.DUMMYFUNCTION("""COMPUTED_VALUE"""),46072.0)</f>
        <v>46072</v>
      </c>
      <c r="K483" s="104" t="str">
        <f>IFERROR(__xludf.DUMMYFUNCTION("""COMPUTED_VALUE"""),"Conf By Naveen Kadyan")</f>
        <v>Conf By Naveen Kadyan</v>
      </c>
    </row>
    <row r="484">
      <c r="A484" s="31" t="str">
        <f>IFERROR(__xludf.DUMMYFUNCTION("""COMPUTED_VALUE"""),"rahul.punia@zupee.in")</f>
        <v>rahul.punia@zupee.in</v>
      </c>
      <c r="B484" s="31" t="str">
        <f>IFERROR(__xludf.DUMMYFUNCTION("""COMPUTED_VALUE"""),"NOT_FOUND")</f>
        <v>NOT_FOUND</v>
      </c>
      <c r="C484" s="31" t="str">
        <f>IFERROR(__xludf.DUMMYFUNCTION("""COMPUTED_VALUE"""),"User not found")</f>
        <v>User not found</v>
      </c>
      <c r="D484" s="31" t="str">
        <f>IFERROR(__xludf.DUMMYFUNCTION("""COMPUTED_VALUE"""),"Revoked ")</f>
        <v>Revoked </v>
      </c>
      <c r="E484" s="31" t="str">
        <f>IFERROR(__xludf.DUMMYFUNCTION("""COMPUTED_VALUE"""),"techbackup@zupee.in")</f>
        <v>techbackup@zupee.in</v>
      </c>
      <c r="F484" s="31" t="str">
        <f>IFERROR(__xludf.DUMMYFUNCTION("""COMPUTED_VALUE"""),"Done")</f>
        <v>Done</v>
      </c>
      <c r="G484" s="31" t="str">
        <f>IFERROR(__xludf.DUMMYFUNCTION("""COMPUTED_VALUE"""),"No-Need")</f>
        <v>No-Need</v>
      </c>
      <c r="H484" s="31" t="str">
        <f>IFERROR(__xludf.DUMMYFUNCTION("""COMPUTED_VALUE"""),"No-Need")</f>
        <v>No-Need</v>
      </c>
      <c r="I484" s="31" t="str">
        <f>IFERROR(__xludf.DUMMYFUNCTION("""COMPUTED_VALUE"""),"Technology")</f>
        <v>Technology</v>
      </c>
      <c r="J484" s="103">
        <f>IFERROR(__xludf.DUMMYFUNCTION("""COMPUTED_VALUE"""),46072.0)</f>
        <v>46072</v>
      </c>
      <c r="K484" s="104" t="str">
        <f>IFERROR(__xludf.DUMMYFUNCTION("""COMPUTED_VALUE"""),"Conf By Naveen Kadyan")</f>
        <v>Conf By Naveen Kadyan</v>
      </c>
    </row>
    <row r="485">
      <c r="A485" s="31" t="str">
        <f>IFERROR(__xludf.DUMMYFUNCTION("""COMPUTED_VALUE"""),"rahul.ranjan@zupee.in")</f>
        <v>rahul.ranjan@zupee.in</v>
      </c>
      <c r="B485" s="31" t="str">
        <f>IFERROR(__xludf.DUMMYFUNCTION("""COMPUTED_VALUE"""),"NOT_FOUND")</f>
        <v>NOT_FOUND</v>
      </c>
      <c r="C485" s="31" t="str">
        <f>IFERROR(__xludf.DUMMYFUNCTION("""COMPUTED_VALUE"""),"User not found")</f>
        <v>User not found</v>
      </c>
      <c r="D485" s="31" t="str">
        <f>IFERROR(__xludf.DUMMYFUNCTION("""COMPUTED_VALUE"""),"Revoked ")</f>
        <v>Revoked </v>
      </c>
      <c r="E485" s="31" t="str">
        <f>IFERROR(__xludf.DUMMYFUNCTION("""COMPUTED_VALUE"""),"techbackup@zupee.in")</f>
        <v>techbackup@zupee.in</v>
      </c>
      <c r="F485" s="31" t="str">
        <f>IFERROR(__xludf.DUMMYFUNCTION("""COMPUTED_VALUE"""),"Done")</f>
        <v>Done</v>
      </c>
      <c r="G485" s="31" t="str">
        <f>IFERROR(__xludf.DUMMYFUNCTION("""COMPUTED_VALUE"""),"No-Need")</f>
        <v>No-Need</v>
      </c>
      <c r="H485" s="31" t="str">
        <f>IFERROR(__xludf.DUMMYFUNCTION("""COMPUTED_VALUE"""),"No-Need")</f>
        <v>No-Need</v>
      </c>
      <c r="I485" s="31" t="str">
        <f>IFERROR(__xludf.DUMMYFUNCTION("""COMPUTED_VALUE"""),"Technology")</f>
        <v>Technology</v>
      </c>
      <c r="J485" s="103">
        <f>IFERROR(__xludf.DUMMYFUNCTION("""COMPUTED_VALUE"""),46072.0)</f>
        <v>46072</v>
      </c>
      <c r="K485" s="104" t="str">
        <f>IFERROR(__xludf.DUMMYFUNCTION("""COMPUTED_VALUE"""),"Conf By Naveen Kadyan")</f>
        <v>Conf By Naveen Kadyan</v>
      </c>
    </row>
    <row r="486">
      <c r="A486" s="31" t="str">
        <f>IFERROR(__xludf.DUMMYFUNCTION("""COMPUTED_VALUE"""),"rahul.yadav1@zupee.in")</f>
        <v>rahul.yadav1@zupee.in</v>
      </c>
      <c r="B486" s="31" t="str">
        <f>IFERROR(__xludf.DUMMYFUNCTION("""COMPUTED_VALUE"""),"NOT_FOUND")</f>
        <v>NOT_FOUND</v>
      </c>
      <c r="C486" s="31" t="str">
        <f>IFERROR(__xludf.DUMMYFUNCTION("""COMPUTED_VALUE"""),"User not found")</f>
        <v>User not found</v>
      </c>
      <c r="D486" s="31" t="str">
        <f>IFERROR(__xludf.DUMMYFUNCTION("""COMPUTED_VALUE"""),"Revoked ")</f>
        <v>Revoked </v>
      </c>
      <c r="E486" s="31" t="str">
        <f>IFERROR(__xludf.DUMMYFUNCTION("""COMPUTED_VALUE"""),"techbackup@zupee.in")</f>
        <v>techbackup@zupee.in</v>
      </c>
      <c r="F486" s="31" t="str">
        <f>IFERROR(__xludf.DUMMYFUNCTION("""COMPUTED_VALUE"""),"Done")</f>
        <v>Done</v>
      </c>
      <c r="G486" s="31" t="str">
        <f>IFERROR(__xludf.DUMMYFUNCTION("""COMPUTED_VALUE"""),"No-Need")</f>
        <v>No-Need</v>
      </c>
      <c r="H486" s="31" t="str">
        <f>IFERROR(__xludf.DUMMYFUNCTION("""COMPUTED_VALUE"""),"No-Need")</f>
        <v>No-Need</v>
      </c>
      <c r="I486" s="31" t="str">
        <f>IFERROR(__xludf.DUMMYFUNCTION("""COMPUTED_VALUE"""),"Technology")</f>
        <v>Technology</v>
      </c>
      <c r="J486" s="103">
        <f>IFERROR(__xludf.DUMMYFUNCTION("""COMPUTED_VALUE"""),46072.0)</f>
        <v>46072</v>
      </c>
      <c r="K486" s="104" t="str">
        <f>IFERROR(__xludf.DUMMYFUNCTION("""COMPUTED_VALUE"""),"Conf By Naveen Kadyan")</f>
        <v>Conf By Naveen Kadyan</v>
      </c>
    </row>
    <row r="487">
      <c r="A487" s="31" t="str">
        <f>IFERROR(__xludf.DUMMYFUNCTION("""COMPUTED_VALUE"""),"rajnish.kumar@zupee.in")</f>
        <v>rajnish.kumar@zupee.in</v>
      </c>
      <c r="B487" s="31" t="str">
        <f>IFERROR(__xludf.DUMMYFUNCTION("""COMPUTED_VALUE"""),"NOT_FOUND")</f>
        <v>NOT_FOUND</v>
      </c>
      <c r="C487" s="31" t="str">
        <f>IFERROR(__xludf.DUMMYFUNCTION("""COMPUTED_VALUE"""),"User not found")</f>
        <v>User not found</v>
      </c>
      <c r="D487" s="31" t="str">
        <f>IFERROR(__xludf.DUMMYFUNCTION("""COMPUTED_VALUE"""),"Revoked ")</f>
        <v>Revoked </v>
      </c>
      <c r="E487" s="31" t="str">
        <f>IFERROR(__xludf.DUMMYFUNCTION("""COMPUTED_VALUE"""),"techbackup@zupee.in")</f>
        <v>techbackup@zupee.in</v>
      </c>
      <c r="F487" s="31" t="str">
        <f>IFERROR(__xludf.DUMMYFUNCTION("""COMPUTED_VALUE"""),"Done")</f>
        <v>Done</v>
      </c>
      <c r="G487" s="31" t="str">
        <f>IFERROR(__xludf.DUMMYFUNCTION("""COMPUTED_VALUE"""),"No-Need")</f>
        <v>No-Need</v>
      </c>
      <c r="H487" s="31" t="str">
        <f>IFERROR(__xludf.DUMMYFUNCTION("""COMPUTED_VALUE"""),"No-Need")</f>
        <v>No-Need</v>
      </c>
      <c r="I487" s="31" t="str">
        <f>IFERROR(__xludf.DUMMYFUNCTION("""COMPUTED_VALUE"""),"Technology")</f>
        <v>Technology</v>
      </c>
      <c r="J487" s="103">
        <f>IFERROR(__xludf.DUMMYFUNCTION("""COMPUTED_VALUE"""),46072.0)</f>
        <v>46072</v>
      </c>
      <c r="K487" s="104" t="str">
        <f>IFERROR(__xludf.DUMMYFUNCTION("""COMPUTED_VALUE"""),"Conf By Naveen Kadyan")</f>
        <v>Conf By Naveen Kadyan</v>
      </c>
    </row>
    <row r="488">
      <c r="A488" s="31" t="str">
        <f>IFERROR(__xludf.DUMMYFUNCTION("""COMPUTED_VALUE"""),"rishabh.bhatia@zupee.in")</f>
        <v>rishabh.bhatia@zupee.in</v>
      </c>
      <c r="B488" s="31" t="str">
        <f>IFERROR(__xludf.DUMMYFUNCTION("""COMPUTED_VALUE"""),"NOT_FOUND")</f>
        <v>NOT_FOUND</v>
      </c>
      <c r="C488" s="31" t="str">
        <f>IFERROR(__xludf.DUMMYFUNCTION("""COMPUTED_VALUE"""),"User not found")</f>
        <v>User not found</v>
      </c>
      <c r="D488" s="31" t="str">
        <f>IFERROR(__xludf.DUMMYFUNCTION("""COMPUTED_VALUE"""),"Revoked ")</f>
        <v>Revoked </v>
      </c>
      <c r="E488" s="31" t="str">
        <f>IFERROR(__xludf.DUMMYFUNCTION("""COMPUTED_VALUE"""),"techbackup@zupee.in")</f>
        <v>techbackup@zupee.in</v>
      </c>
      <c r="F488" s="31" t="str">
        <f>IFERROR(__xludf.DUMMYFUNCTION("""COMPUTED_VALUE"""),"Done")</f>
        <v>Done</v>
      </c>
      <c r="G488" s="31" t="str">
        <f>IFERROR(__xludf.DUMMYFUNCTION("""COMPUTED_VALUE"""),"No-Need")</f>
        <v>No-Need</v>
      </c>
      <c r="H488" s="31" t="str">
        <f>IFERROR(__xludf.DUMMYFUNCTION("""COMPUTED_VALUE"""),"No-Need")</f>
        <v>No-Need</v>
      </c>
      <c r="I488" s="31" t="str">
        <f>IFERROR(__xludf.DUMMYFUNCTION("""COMPUTED_VALUE"""),"Technology")</f>
        <v>Technology</v>
      </c>
      <c r="J488" s="103">
        <f>IFERROR(__xludf.DUMMYFUNCTION("""COMPUTED_VALUE"""),46072.0)</f>
        <v>46072</v>
      </c>
      <c r="K488" s="104" t="str">
        <f>IFERROR(__xludf.DUMMYFUNCTION("""COMPUTED_VALUE"""),"Conf By Naveen Kadyan")</f>
        <v>Conf By Naveen Kadyan</v>
      </c>
    </row>
    <row r="489">
      <c r="A489" s="31" t="str">
        <f>IFERROR(__xludf.DUMMYFUNCTION("""COMPUTED_VALUE"""),"riya.jhalani@zupee.in")</f>
        <v>riya.jhalani@zupee.in</v>
      </c>
      <c r="B489" s="31" t="str">
        <f>IFERROR(__xludf.DUMMYFUNCTION("""COMPUTED_VALUE"""),"NOT_FOUND")</f>
        <v>NOT_FOUND</v>
      </c>
      <c r="C489" s="31" t="str">
        <f>IFERROR(__xludf.DUMMYFUNCTION("""COMPUTED_VALUE"""),"User not found")</f>
        <v>User not found</v>
      </c>
      <c r="D489" s="31" t="str">
        <f>IFERROR(__xludf.DUMMYFUNCTION("""COMPUTED_VALUE"""),"Revoked ")</f>
        <v>Revoked </v>
      </c>
      <c r="E489" s="31" t="str">
        <f>IFERROR(__xludf.DUMMYFUNCTION("""COMPUTED_VALUE"""),"techbackup@zupee.in")</f>
        <v>techbackup@zupee.in</v>
      </c>
      <c r="F489" s="31" t="str">
        <f>IFERROR(__xludf.DUMMYFUNCTION("""COMPUTED_VALUE"""),"Done")</f>
        <v>Done</v>
      </c>
      <c r="G489" s="31" t="str">
        <f>IFERROR(__xludf.DUMMYFUNCTION("""COMPUTED_VALUE"""),"No-Need")</f>
        <v>No-Need</v>
      </c>
      <c r="H489" s="31" t="str">
        <f>IFERROR(__xludf.DUMMYFUNCTION("""COMPUTED_VALUE"""),"No-Need")</f>
        <v>No-Need</v>
      </c>
      <c r="I489" s="31" t="str">
        <f>IFERROR(__xludf.DUMMYFUNCTION("""COMPUTED_VALUE"""),"Technology")</f>
        <v>Technology</v>
      </c>
      <c r="J489" s="103">
        <f>IFERROR(__xludf.DUMMYFUNCTION("""COMPUTED_VALUE"""),46072.0)</f>
        <v>46072</v>
      </c>
      <c r="K489" s="104" t="str">
        <f>IFERROR(__xludf.DUMMYFUNCTION("""COMPUTED_VALUE"""),"Conf By Naveen Kadyan")</f>
        <v>Conf By Naveen Kadyan</v>
      </c>
    </row>
    <row r="490">
      <c r="A490" s="31" t="str">
        <f>IFERROR(__xludf.DUMMYFUNCTION("""COMPUTED_VALUE"""),"rudraksh.sharma@zupee.in")</f>
        <v>rudraksh.sharma@zupee.in</v>
      </c>
      <c r="B490" s="31" t="str">
        <f>IFERROR(__xludf.DUMMYFUNCTION("""COMPUTED_VALUE"""),"NOT_FOUND")</f>
        <v>NOT_FOUND</v>
      </c>
      <c r="C490" s="31" t="str">
        <f>IFERROR(__xludf.DUMMYFUNCTION("""COMPUTED_VALUE"""),"User not found")</f>
        <v>User not found</v>
      </c>
      <c r="D490" s="31" t="str">
        <f>IFERROR(__xludf.DUMMYFUNCTION("""COMPUTED_VALUE"""),"Revoked ")</f>
        <v>Revoked </v>
      </c>
      <c r="E490" s="31" t="str">
        <f>IFERROR(__xludf.DUMMYFUNCTION("""COMPUTED_VALUE"""),"techbackup@zupee.in")</f>
        <v>techbackup@zupee.in</v>
      </c>
      <c r="F490" s="31" t="str">
        <f>IFERROR(__xludf.DUMMYFUNCTION("""COMPUTED_VALUE"""),"Done")</f>
        <v>Done</v>
      </c>
      <c r="G490" s="31" t="str">
        <f>IFERROR(__xludf.DUMMYFUNCTION("""COMPUTED_VALUE"""),"No-Need")</f>
        <v>No-Need</v>
      </c>
      <c r="H490" s="31" t="str">
        <f>IFERROR(__xludf.DUMMYFUNCTION("""COMPUTED_VALUE"""),"No-Need")</f>
        <v>No-Need</v>
      </c>
      <c r="I490" s="31" t="str">
        <f>IFERROR(__xludf.DUMMYFUNCTION("""COMPUTED_VALUE"""),"Technology")</f>
        <v>Technology</v>
      </c>
      <c r="J490" s="103">
        <f>IFERROR(__xludf.DUMMYFUNCTION("""COMPUTED_VALUE"""),46072.0)</f>
        <v>46072</v>
      </c>
      <c r="K490" s="104" t="str">
        <f>IFERROR(__xludf.DUMMYFUNCTION("""COMPUTED_VALUE"""),"Conf By Naveen Kadyan")</f>
        <v>Conf By Naveen Kadyan</v>
      </c>
    </row>
    <row r="491">
      <c r="A491" s="31" t="str">
        <f>IFERROR(__xludf.DUMMYFUNCTION("""COMPUTED_VALUE"""),"sameer.singh@zupee.in")</f>
        <v>sameer.singh@zupee.in</v>
      </c>
      <c r="B491" s="31" t="str">
        <f>IFERROR(__xludf.DUMMYFUNCTION("""COMPUTED_VALUE"""),"NOT_FOUND")</f>
        <v>NOT_FOUND</v>
      </c>
      <c r="C491" s="31" t="str">
        <f>IFERROR(__xludf.DUMMYFUNCTION("""COMPUTED_VALUE"""),"User not found")</f>
        <v>User not found</v>
      </c>
      <c r="D491" s="31" t="str">
        <f>IFERROR(__xludf.DUMMYFUNCTION("""COMPUTED_VALUE"""),"Revoked ")</f>
        <v>Revoked </v>
      </c>
      <c r="E491" s="31" t="str">
        <f>IFERROR(__xludf.DUMMYFUNCTION("""COMPUTED_VALUE"""),"techbackup@zupee.in")</f>
        <v>techbackup@zupee.in</v>
      </c>
      <c r="F491" s="31" t="str">
        <f>IFERROR(__xludf.DUMMYFUNCTION("""COMPUTED_VALUE"""),"Done")</f>
        <v>Done</v>
      </c>
      <c r="G491" s="31" t="str">
        <f>IFERROR(__xludf.DUMMYFUNCTION("""COMPUTED_VALUE"""),"No-Need")</f>
        <v>No-Need</v>
      </c>
      <c r="H491" s="31" t="str">
        <f>IFERROR(__xludf.DUMMYFUNCTION("""COMPUTED_VALUE"""),"No-Need")</f>
        <v>No-Need</v>
      </c>
      <c r="I491" s="31" t="str">
        <f>IFERROR(__xludf.DUMMYFUNCTION("""COMPUTED_VALUE"""),"Technology")</f>
        <v>Technology</v>
      </c>
      <c r="J491" s="103">
        <f>IFERROR(__xludf.DUMMYFUNCTION("""COMPUTED_VALUE"""),46072.0)</f>
        <v>46072</v>
      </c>
      <c r="K491" s="104" t="str">
        <f>IFERROR(__xludf.DUMMYFUNCTION("""COMPUTED_VALUE"""),"Conf By Naveen Kadyan")</f>
        <v>Conf By Naveen Kadyan</v>
      </c>
    </row>
    <row r="492">
      <c r="A492" s="31" t="str">
        <f>IFERROR(__xludf.DUMMYFUNCTION("""COMPUTED_VALUE"""),"sarthak.chhabra@zupee.in")</f>
        <v>sarthak.chhabra@zupee.in</v>
      </c>
      <c r="B492" s="31" t="str">
        <f>IFERROR(__xludf.DUMMYFUNCTION("""COMPUTED_VALUE"""),"NOT_FOUND")</f>
        <v>NOT_FOUND</v>
      </c>
      <c r="C492" s="31" t="str">
        <f>IFERROR(__xludf.DUMMYFUNCTION("""COMPUTED_VALUE"""),"User not found")</f>
        <v>User not found</v>
      </c>
      <c r="D492" s="31" t="str">
        <f>IFERROR(__xludf.DUMMYFUNCTION("""COMPUTED_VALUE"""),"Revoked ")</f>
        <v>Revoked </v>
      </c>
      <c r="E492" s="31" t="str">
        <f>IFERROR(__xludf.DUMMYFUNCTION("""COMPUTED_VALUE"""),"techbackup@zupee.in")</f>
        <v>techbackup@zupee.in</v>
      </c>
      <c r="F492" s="31" t="str">
        <f>IFERROR(__xludf.DUMMYFUNCTION("""COMPUTED_VALUE"""),"Done")</f>
        <v>Done</v>
      </c>
      <c r="G492" s="31" t="str">
        <f>IFERROR(__xludf.DUMMYFUNCTION("""COMPUTED_VALUE"""),"No-Need")</f>
        <v>No-Need</v>
      </c>
      <c r="H492" s="31" t="str">
        <f>IFERROR(__xludf.DUMMYFUNCTION("""COMPUTED_VALUE"""),"No-Need")</f>
        <v>No-Need</v>
      </c>
      <c r="I492" s="31" t="str">
        <f>IFERROR(__xludf.DUMMYFUNCTION("""COMPUTED_VALUE"""),"Technology")</f>
        <v>Technology</v>
      </c>
      <c r="J492" s="103">
        <f>IFERROR(__xludf.DUMMYFUNCTION("""COMPUTED_VALUE"""),46072.0)</f>
        <v>46072</v>
      </c>
      <c r="K492" s="104" t="str">
        <f>IFERROR(__xludf.DUMMYFUNCTION("""COMPUTED_VALUE"""),"Conf By Naveen Kadyan")</f>
        <v>Conf By Naveen Kadyan</v>
      </c>
    </row>
    <row r="493">
      <c r="A493" s="31" t="str">
        <f>IFERROR(__xludf.DUMMYFUNCTION("""COMPUTED_VALUE"""),"satyam.jaiswal@zupee.in")</f>
        <v>satyam.jaiswal@zupee.in</v>
      </c>
      <c r="B493" s="31" t="str">
        <f>IFERROR(__xludf.DUMMYFUNCTION("""COMPUTED_VALUE"""),"NOT_FOUND")</f>
        <v>NOT_FOUND</v>
      </c>
      <c r="C493" s="31" t="str">
        <f>IFERROR(__xludf.DUMMYFUNCTION("""COMPUTED_VALUE"""),"User not found")</f>
        <v>User not found</v>
      </c>
      <c r="D493" s="31" t="str">
        <f>IFERROR(__xludf.DUMMYFUNCTION("""COMPUTED_VALUE"""),"Revoked ")</f>
        <v>Revoked </v>
      </c>
      <c r="E493" s="31" t="str">
        <f>IFERROR(__xludf.DUMMYFUNCTION("""COMPUTED_VALUE"""),"techbackup@zupee.in")</f>
        <v>techbackup@zupee.in</v>
      </c>
      <c r="F493" s="31" t="str">
        <f>IFERROR(__xludf.DUMMYFUNCTION("""COMPUTED_VALUE"""),"Done")</f>
        <v>Done</v>
      </c>
      <c r="G493" s="31" t="str">
        <f>IFERROR(__xludf.DUMMYFUNCTION("""COMPUTED_VALUE"""),"No-Need")</f>
        <v>No-Need</v>
      </c>
      <c r="H493" s="31" t="str">
        <f>IFERROR(__xludf.DUMMYFUNCTION("""COMPUTED_VALUE"""),"No-Need")</f>
        <v>No-Need</v>
      </c>
      <c r="I493" s="31" t="str">
        <f>IFERROR(__xludf.DUMMYFUNCTION("""COMPUTED_VALUE"""),"Technology")</f>
        <v>Technology</v>
      </c>
      <c r="J493" s="103">
        <f>IFERROR(__xludf.DUMMYFUNCTION("""COMPUTED_VALUE"""),46072.0)</f>
        <v>46072</v>
      </c>
      <c r="K493" s="104" t="str">
        <f>IFERROR(__xludf.DUMMYFUNCTION("""COMPUTED_VALUE"""),"Conf By Naveen Kadyan")</f>
        <v>Conf By Naveen Kadyan</v>
      </c>
    </row>
    <row r="494">
      <c r="A494" s="31" t="str">
        <f>IFERROR(__xludf.DUMMYFUNCTION("""COMPUTED_VALUE"""),"saurabh.singh@zupee.in")</f>
        <v>saurabh.singh@zupee.in</v>
      </c>
      <c r="B494" s="31" t="str">
        <f>IFERROR(__xludf.DUMMYFUNCTION("""COMPUTED_VALUE"""),"NOT_FOUND")</f>
        <v>NOT_FOUND</v>
      </c>
      <c r="C494" s="31" t="str">
        <f>IFERROR(__xludf.DUMMYFUNCTION("""COMPUTED_VALUE"""),"User not found")</f>
        <v>User not found</v>
      </c>
      <c r="D494" s="31" t="str">
        <f>IFERROR(__xludf.DUMMYFUNCTION("""COMPUTED_VALUE"""),"Revoked ")</f>
        <v>Revoked </v>
      </c>
      <c r="E494" s="31" t="str">
        <f>IFERROR(__xludf.DUMMYFUNCTION("""COMPUTED_VALUE"""),"techbackup@zupee.in")</f>
        <v>techbackup@zupee.in</v>
      </c>
      <c r="F494" s="31" t="str">
        <f>IFERROR(__xludf.DUMMYFUNCTION("""COMPUTED_VALUE"""),"Done")</f>
        <v>Done</v>
      </c>
      <c r="G494" s="31" t="str">
        <f>IFERROR(__xludf.DUMMYFUNCTION("""COMPUTED_VALUE"""),"No-Need")</f>
        <v>No-Need</v>
      </c>
      <c r="H494" s="31" t="str">
        <f>IFERROR(__xludf.DUMMYFUNCTION("""COMPUTED_VALUE"""),"No-Need")</f>
        <v>No-Need</v>
      </c>
      <c r="I494" s="31" t="str">
        <f>IFERROR(__xludf.DUMMYFUNCTION("""COMPUTED_VALUE"""),"Technology")</f>
        <v>Technology</v>
      </c>
      <c r="J494" s="103">
        <f>IFERROR(__xludf.DUMMYFUNCTION("""COMPUTED_VALUE"""),46072.0)</f>
        <v>46072</v>
      </c>
      <c r="K494" s="104" t="str">
        <f>IFERROR(__xludf.DUMMYFUNCTION("""COMPUTED_VALUE"""),"Conf By Naveen Kadyan")</f>
        <v>Conf By Naveen Kadyan</v>
      </c>
    </row>
    <row r="495">
      <c r="A495" s="31" t="str">
        <f>IFERROR(__xludf.DUMMYFUNCTION("""COMPUTED_VALUE"""),"shahid.gauri@zupee.in")</f>
        <v>shahid.gauri@zupee.in</v>
      </c>
      <c r="B495" s="31" t="str">
        <f>IFERROR(__xludf.DUMMYFUNCTION("""COMPUTED_VALUE"""),"NOT_FOUND")</f>
        <v>NOT_FOUND</v>
      </c>
      <c r="C495" s="31" t="str">
        <f>IFERROR(__xludf.DUMMYFUNCTION("""COMPUTED_VALUE"""),"User not found")</f>
        <v>User not found</v>
      </c>
      <c r="D495" s="31" t="str">
        <f>IFERROR(__xludf.DUMMYFUNCTION("""COMPUTED_VALUE"""),"Revoked ")</f>
        <v>Revoked </v>
      </c>
      <c r="E495" s="31" t="str">
        <f>IFERROR(__xludf.DUMMYFUNCTION("""COMPUTED_VALUE"""),"techbackup@zupee.in")</f>
        <v>techbackup@zupee.in</v>
      </c>
      <c r="F495" s="31" t="str">
        <f>IFERROR(__xludf.DUMMYFUNCTION("""COMPUTED_VALUE"""),"Done")</f>
        <v>Done</v>
      </c>
      <c r="G495" s="31" t="str">
        <f>IFERROR(__xludf.DUMMYFUNCTION("""COMPUTED_VALUE"""),"No-Need")</f>
        <v>No-Need</v>
      </c>
      <c r="H495" s="31" t="str">
        <f>IFERROR(__xludf.DUMMYFUNCTION("""COMPUTED_VALUE"""),"No-Need")</f>
        <v>No-Need</v>
      </c>
      <c r="I495" s="31" t="str">
        <f>IFERROR(__xludf.DUMMYFUNCTION("""COMPUTED_VALUE"""),"Technology")</f>
        <v>Technology</v>
      </c>
      <c r="J495" s="103">
        <f>IFERROR(__xludf.DUMMYFUNCTION("""COMPUTED_VALUE"""),46072.0)</f>
        <v>46072</v>
      </c>
      <c r="K495" s="104" t="str">
        <f>IFERROR(__xludf.DUMMYFUNCTION("""COMPUTED_VALUE"""),"Conf By Naveen Kadyan")</f>
        <v>Conf By Naveen Kadyan</v>
      </c>
    </row>
    <row r="496">
      <c r="A496" s="31" t="str">
        <f>IFERROR(__xludf.DUMMYFUNCTION("""COMPUTED_VALUE"""),"shruti.sachdeva@zupee.in")</f>
        <v>shruti.sachdeva@zupee.in</v>
      </c>
      <c r="B496" s="31" t="str">
        <f>IFERROR(__xludf.DUMMYFUNCTION("""COMPUTED_VALUE"""),"NOT_FOUND")</f>
        <v>NOT_FOUND</v>
      </c>
      <c r="C496" s="31" t="str">
        <f>IFERROR(__xludf.DUMMYFUNCTION("""COMPUTED_VALUE"""),"User not found")</f>
        <v>User not found</v>
      </c>
      <c r="D496" s="31" t="str">
        <f>IFERROR(__xludf.DUMMYFUNCTION("""COMPUTED_VALUE"""),"Revoked ")</f>
        <v>Revoked </v>
      </c>
      <c r="E496" s="31" t="str">
        <f>IFERROR(__xludf.DUMMYFUNCTION("""COMPUTED_VALUE"""),"techbackup@zupee.in")</f>
        <v>techbackup@zupee.in</v>
      </c>
      <c r="F496" s="31" t="str">
        <f>IFERROR(__xludf.DUMMYFUNCTION("""COMPUTED_VALUE"""),"Done")</f>
        <v>Done</v>
      </c>
      <c r="G496" s="31" t="str">
        <f>IFERROR(__xludf.DUMMYFUNCTION("""COMPUTED_VALUE"""),"No-Need")</f>
        <v>No-Need</v>
      </c>
      <c r="H496" s="31" t="str">
        <f>IFERROR(__xludf.DUMMYFUNCTION("""COMPUTED_VALUE"""),"No-Need")</f>
        <v>No-Need</v>
      </c>
      <c r="I496" s="31" t="str">
        <f>IFERROR(__xludf.DUMMYFUNCTION("""COMPUTED_VALUE"""),"Technology")</f>
        <v>Technology</v>
      </c>
      <c r="J496" s="103">
        <f>IFERROR(__xludf.DUMMYFUNCTION("""COMPUTED_VALUE"""),46072.0)</f>
        <v>46072</v>
      </c>
      <c r="K496" s="104" t="str">
        <f>IFERROR(__xludf.DUMMYFUNCTION("""COMPUTED_VALUE"""),"Conf By Naveen Kadyan")</f>
        <v>Conf By Naveen Kadyan</v>
      </c>
    </row>
    <row r="497">
      <c r="A497" s="31" t="str">
        <f>IFERROR(__xludf.DUMMYFUNCTION("""COMPUTED_VALUE"""),"shubham.srivastava@zupee.in")</f>
        <v>shubham.srivastava@zupee.in</v>
      </c>
      <c r="B497" s="31" t="str">
        <f>IFERROR(__xludf.DUMMYFUNCTION("""COMPUTED_VALUE"""),"NOT_FOUND")</f>
        <v>NOT_FOUND</v>
      </c>
      <c r="C497" s="31" t="str">
        <f>IFERROR(__xludf.DUMMYFUNCTION("""COMPUTED_VALUE"""),"User not found")</f>
        <v>User not found</v>
      </c>
      <c r="D497" s="31" t="str">
        <f>IFERROR(__xludf.DUMMYFUNCTION("""COMPUTED_VALUE"""),"Revoked ")</f>
        <v>Revoked </v>
      </c>
      <c r="E497" s="31" t="str">
        <f>IFERROR(__xludf.DUMMYFUNCTION("""COMPUTED_VALUE"""),"techbackup@zupee.in")</f>
        <v>techbackup@zupee.in</v>
      </c>
      <c r="F497" s="31" t="str">
        <f>IFERROR(__xludf.DUMMYFUNCTION("""COMPUTED_VALUE"""),"Done")</f>
        <v>Done</v>
      </c>
      <c r="G497" s="31" t="str">
        <f>IFERROR(__xludf.DUMMYFUNCTION("""COMPUTED_VALUE"""),"No-Need")</f>
        <v>No-Need</v>
      </c>
      <c r="H497" s="31" t="str">
        <f>IFERROR(__xludf.DUMMYFUNCTION("""COMPUTED_VALUE"""),"No-Need")</f>
        <v>No-Need</v>
      </c>
      <c r="I497" s="31" t="str">
        <f>IFERROR(__xludf.DUMMYFUNCTION("""COMPUTED_VALUE"""),"Technology")</f>
        <v>Technology</v>
      </c>
      <c r="J497" s="103">
        <f>IFERROR(__xludf.DUMMYFUNCTION("""COMPUTED_VALUE"""),46072.0)</f>
        <v>46072</v>
      </c>
      <c r="K497" s="104" t="str">
        <f>IFERROR(__xludf.DUMMYFUNCTION("""COMPUTED_VALUE"""),"Conf By Naveen Kadyan")</f>
        <v>Conf By Naveen Kadyan</v>
      </c>
    </row>
    <row r="498">
      <c r="A498" s="31" t="str">
        <f>IFERROR(__xludf.DUMMYFUNCTION("""COMPUTED_VALUE"""),"sparsh.pandey@zupee.in")</f>
        <v>sparsh.pandey@zupee.in</v>
      </c>
      <c r="B498" s="31" t="str">
        <f>IFERROR(__xludf.DUMMYFUNCTION("""COMPUTED_VALUE"""),"NOT_FOUND")</f>
        <v>NOT_FOUND</v>
      </c>
      <c r="C498" s="31" t="str">
        <f>IFERROR(__xludf.DUMMYFUNCTION("""COMPUTED_VALUE"""),"User not found")</f>
        <v>User not found</v>
      </c>
      <c r="D498" s="31" t="str">
        <f>IFERROR(__xludf.DUMMYFUNCTION("""COMPUTED_VALUE"""),"Revoked ")</f>
        <v>Revoked </v>
      </c>
      <c r="E498" s="31" t="str">
        <f>IFERROR(__xludf.DUMMYFUNCTION("""COMPUTED_VALUE"""),"techbackup@zupee.in")</f>
        <v>techbackup@zupee.in</v>
      </c>
      <c r="F498" s="31" t="str">
        <f>IFERROR(__xludf.DUMMYFUNCTION("""COMPUTED_VALUE"""),"Done")</f>
        <v>Done</v>
      </c>
      <c r="G498" s="31" t="str">
        <f>IFERROR(__xludf.DUMMYFUNCTION("""COMPUTED_VALUE"""),"No-Need")</f>
        <v>No-Need</v>
      </c>
      <c r="H498" s="31" t="str">
        <f>IFERROR(__xludf.DUMMYFUNCTION("""COMPUTED_VALUE"""),"No-Need")</f>
        <v>No-Need</v>
      </c>
      <c r="I498" s="31" t="str">
        <f>IFERROR(__xludf.DUMMYFUNCTION("""COMPUTED_VALUE"""),"Technology")</f>
        <v>Technology</v>
      </c>
      <c r="J498" s="103">
        <f>IFERROR(__xludf.DUMMYFUNCTION("""COMPUTED_VALUE"""),46072.0)</f>
        <v>46072</v>
      </c>
      <c r="K498" s="104" t="str">
        <f>IFERROR(__xludf.DUMMYFUNCTION("""COMPUTED_VALUE"""),"Conf By Naveen Kadyan")</f>
        <v>Conf By Naveen Kadyan</v>
      </c>
    </row>
    <row r="499">
      <c r="A499" s="31" t="str">
        <f>IFERROR(__xludf.DUMMYFUNCTION("""COMPUTED_VALUE"""),"tushar.mehta@zupee.in")</f>
        <v>tushar.mehta@zupee.in</v>
      </c>
      <c r="B499" s="31" t="str">
        <f>IFERROR(__xludf.DUMMYFUNCTION("""COMPUTED_VALUE"""),"NOT_FOUND")</f>
        <v>NOT_FOUND</v>
      </c>
      <c r="C499" s="31" t="str">
        <f>IFERROR(__xludf.DUMMYFUNCTION("""COMPUTED_VALUE"""),"User not found")</f>
        <v>User not found</v>
      </c>
      <c r="D499" s="31" t="str">
        <f>IFERROR(__xludf.DUMMYFUNCTION("""COMPUTED_VALUE"""),"Revoked ")</f>
        <v>Revoked </v>
      </c>
      <c r="E499" s="31" t="str">
        <f>IFERROR(__xludf.DUMMYFUNCTION("""COMPUTED_VALUE"""),"techbackup@zupee.in")</f>
        <v>techbackup@zupee.in</v>
      </c>
      <c r="F499" s="31" t="str">
        <f>IFERROR(__xludf.DUMMYFUNCTION("""COMPUTED_VALUE"""),"Done")</f>
        <v>Done</v>
      </c>
      <c r="G499" s="31" t="str">
        <f>IFERROR(__xludf.DUMMYFUNCTION("""COMPUTED_VALUE"""),"No-Need")</f>
        <v>No-Need</v>
      </c>
      <c r="H499" s="31" t="str">
        <f>IFERROR(__xludf.DUMMYFUNCTION("""COMPUTED_VALUE"""),"No-Need")</f>
        <v>No-Need</v>
      </c>
      <c r="I499" s="31" t="str">
        <f>IFERROR(__xludf.DUMMYFUNCTION("""COMPUTED_VALUE"""),"Technology")</f>
        <v>Technology</v>
      </c>
      <c r="J499" s="103">
        <f>IFERROR(__xludf.DUMMYFUNCTION("""COMPUTED_VALUE"""),46072.0)</f>
        <v>46072</v>
      </c>
      <c r="K499" s="104" t="str">
        <f>IFERROR(__xludf.DUMMYFUNCTION("""COMPUTED_VALUE"""),"Conf By Naveen Kadyan")</f>
        <v>Conf By Naveen Kadyan</v>
      </c>
    </row>
    <row r="500">
      <c r="A500" s="31" t="str">
        <f>IFERROR(__xludf.DUMMYFUNCTION("""COMPUTED_VALUE"""),"upamdeep.buragohain@zupee.in")</f>
        <v>upamdeep.buragohain@zupee.in</v>
      </c>
      <c r="B500" s="31" t="str">
        <f>IFERROR(__xludf.DUMMYFUNCTION("""COMPUTED_VALUE"""),"NOT_FOUND")</f>
        <v>NOT_FOUND</v>
      </c>
      <c r="C500" s="31" t="str">
        <f>IFERROR(__xludf.DUMMYFUNCTION("""COMPUTED_VALUE"""),"User not found")</f>
        <v>User not found</v>
      </c>
      <c r="D500" s="31" t="str">
        <f>IFERROR(__xludf.DUMMYFUNCTION("""COMPUTED_VALUE"""),"Revoked ")</f>
        <v>Revoked </v>
      </c>
      <c r="E500" s="31" t="str">
        <f>IFERROR(__xludf.DUMMYFUNCTION("""COMPUTED_VALUE"""),"techbackup@zupee.in")</f>
        <v>techbackup@zupee.in</v>
      </c>
      <c r="F500" s="31" t="str">
        <f>IFERROR(__xludf.DUMMYFUNCTION("""COMPUTED_VALUE"""),"Done")</f>
        <v>Done</v>
      </c>
      <c r="G500" s="31" t="str">
        <f>IFERROR(__xludf.DUMMYFUNCTION("""COMPUTED_VALUE"""),"No-Need")</f>
        <v>No-Need</v>
      </c>
      <c r="H500" s="31" t="str">
        <f>IFERROR(__xludf.DUMMYFUNCTION("""COMPUTED_VALUE"""),"No-Need")</f>
        <v>No-Need</v>
      </c>
      <c r="I500" s="31" t="str">
        <f>IFERROR(__xludf.DUMMYFUNCTION("""COMPUTED_VALUE"""),"Technology")</f>
        <v>Technology</v>
      </c>
      <c r="J500" s="103">
        <f>IFERROR(__xludf.DUMMYFUNCTION("""COMPUTED_VALUE"""),46072.0)</f>
        <v>46072</v>
      </c>
      <c r="K500" s="104" t="str">
        <f>IFERROR(__xludf.DUMMYFUNCTION("""COMPUTED_VALUE"""),"Conf By Naveen Kadyan")</f>
        <v>Conf By Naveen Kadyan</v>
      </c>
    </row>
    <row r="501">
      <c r="A501" s="31" t="str">
        <f>IFERROR(__xludf.DUMMYFUNCTION("""COMPUTED_VALUE"""),"vamsi.haridasu@zupee.in")</f>
        <v>vamsi.haridasu@zupee.in</v>
      </c>
      <c r="B501" s="31" t="str">
        <f>IFERROR(__xludf.DUMMYFUNCTION("""COMPUTED_VALUE"""),"NOT_FOUND")</f>
        <v>NOT_FOUND</v>
      </c>
      <c r="C501" s="31" t="str">
        <f>IFERROR(__xludf.DUMMYFUNCTION("""COMPUTED_VALUE"""),"User not found")</f>
        <v>User not found</v>
      </c>
      <c r="D501" s="31" t="str">
        <f>IFERROR(__xludf.DUMMYFUNCTION("""COMPUTED_VALUE"""),"Revoked ")</f>
        <v>Revoked </v>
      </c>
      <c r="E501" s="31" t="str">
        <f>IFERROR(__xludf.DUMMYFUNCTION("""COMPUTED_VALUE"""),"techbackup@zupee.in")</f>
        <v>techbackup@zupee.in</v>
      </c>
      <c r="F501" s="31" t="str">
        <f>IFERROR(__xludf.DUMMYFUNCTION("""COMPUTED_VALUE"""),"Done")</f>
        <v>Done</v>
      </c>
      <c r="G501" s="31" t="str">
        <f>IFERROR(__xludf.DUMMYFUNCTION("""COMPUTED_VALUE"""),"No-Need")</f>
        <v>No-Need</v>
      </c>
      <c r="H501" s="31" t="str">
        <f>IFERROR(__xludf.DUMMYFUNCTION("""COMPUTED_VALUE"""),"No-Need")</f>
        <v>No-Need</v>
      </c>
      <c r="I501" s="31" t="str">
        <f>IFERROR(__xludf.DUMMYFUNCTION("""COMPUTED_VALUE"""),"Technology")</f>
        <v>Technology</v>
      </c>
      <c r="J501" s="103">
        <f>IFERROR(__xludf.DUMMYFUNCTION("""COMPUTED_VALUE"""),46072.0)</f>
        <v>46072</v>
      </c>
      <c r="K501" s="104" t="str">
        <f>IFERROR(__xludf.DUMMYFUNCTION("""COMPUTED_VALUE"""),"Conf By Naveen Kadyan")</f>
        <v>Conf By Naveen Kadyan</v>
      </c>
    </row>
    <row r="502">
      <c r="A502" s="31" t="str">
        <f>IFERROR(__xludf.DUMMYFUNCTION("""COMPUTED_VALUE"""),"varun.sahu@zupee.in")</f>
        <v>varun.sahu@zupee.in</v>
      </c>
      <c r="B502" s="31" t="str">
        <f>IFERROR(__xludf.DUMMYFUNCTION("""COMPUTED_VALUE"""),"NOT_FOUND")</f>
        <v>NOT_FOUND</v>
      </c>
      <c r="C502" s="31" t="str">
        <f>IFERROR(__xludf.DUMMYFUNCTION("""COMPUTED_VALUE"""),"User not found")</f>
        <v>User not found</v>
      </c>
      <c r="D502" s="31" t="str">
        <f>IFERROR(__xludf.DUMMYFUNCTION("""COMPUTED_VALUE"""),"Revoked ")</f>
        <v>Revoked </v>
      </c>
      <c r="E502" s="31" t="str">
        <f>IFERROR(__xludf.DUMMYFUNCTION("""COMPUTED_VALUE"""),"techbackup@zupee.in")</f>
        <v>techbackup@zupee.in</v>
      </c>
      <c r="F502" s="31" t="str">
        <f>IFERROR(__xludf.DUMMYFUNCTION("""COMPUTED_VALUE"""),"Done")</f>
        <v>Done</v>
      </c>
      <c r="G502" s="31" t="str">
        <f>IFERROR(__xludf.DUMMYFUNCTION("""COMPUTED_VALUE"""),"No-Need")</f>
        <v>No-Need</v>
      </c>
      <c r="H502" s="31" t="str">
        <f>IFERROR(__xludf.DUMMYFUNCTION("""COMPUTED_VALUE"""),"No-Need")</f>
        <v>No-Need</v>
      </c>
      <c r="I502" s="31" t="str">
        <f>IFERROR(__xludf.DUMMYFUNCTION("""COMPUTED_VALUE"""),"Technology")</f>
        <v>Technology</v>
      </c>
      <c r="J502" s="103">
        <f>IFERROR(__xludf.DUMMYFUNCTION("""COMPUTED_VALUE"""),46072.0)</f>
        <v>46072</v>
      </c>
      <c r="K502" s="104" t="str">
        <f>IFERROR(__xludf.DUMMYFUNCTION("""COMPUTED_VALUE"""),"Conf By Naveen Kadyan")</f>
        <v>Conf By Naveen Kadyan</v>
      </c>
    </row>
    <row r="503">
      <c r="A503" s="31" t="str">
        <f>IFERROR(__xludf.DUMMYFUNCTION("""COMPUTED_VALUE"""),"vidit.mathur@zupee.in")</f>
        <v>vidit.mathur@zupee.in</v>
      </c>
      <c r="B503" s="31" t="str">
        <f>IFERROR(__xludf.DUMMYFUNCTION("""COMPUTED_VALUE"""),"NOT_FOUND")</f>
        <v>NOT_FOUND</v>
      </c>
      <c r="C503" s="31" t="str">
        <f>IFERROR(__xludf.DUMMYFUNCTION("""COMPUTED_VALUE"""),"User not found")</f>
        <v>User not found</v>
      </c>
      <c r="D503" s="31" t="str">
        <f>IFERROR(__xludf.DUMMYFUNCTION("""COMPUTED_VALUE"""),"Revoked ")</f>
        <v>Revoked </v>
      </c>
      <c r="E503" s="31" t="str">
        <f>IFERROR(__xludf.DUMMYFUNCTION("""COMPUTED_VALUE"""),"techbackup@zupee.in")</f>
        <v>techbackup@zupee.in</v>
      </c>
      <c r="F503" s="31" t="str">
        <f>IFERROR(__xludf.DUMMYFUNCTION("""COMPUTED_VALUE"""),"Done")</f>
        <v>Done</v>
      </c>
      <c r="G503" s="31" t="str">
        <f>IFERROR(__xludf.DUMMYFUNCTION("""COMPUTED_VALUE"""),"No-Need")</f>
        <v>No-Need</v>
      </c>
      <c r="H503" s="31" t="str">
        <f>IFERROR(__xludf.DUMMYFUNCTION("""COMPUTED_VALUE"""),"No-Need")</f>
        <v>No-Need</v>
      </c>
      <c r="I503" s="31" t="str">
        <f>IFERROR(__xludf.DUMMYFUNCTION("""COMPUTED_VALUE"""),"Technology")</f>
        <v>Technology</v>
      </c>
      <c r="J503" s="103">
        <f>IFERROR(__xludf.DUMMYFUNCTION("""COMPUTED_VALUE"""),46072.0)</f>
        <v>46072</v>
      </c>
      <c r="K503" s="104" t="str">
        <f>IFERROR(__xludf.DUMMYFUNCTION("""COMPUTED_VALUE"""),"Conf By Naveen Kadyan")</f>
        <v>Conf By Naveen Kadyan</v>
      </c>
    </row>
    <row r="504">
      <c r="A504" s="31" t="str">
        <f>IFERROR(__xludf.DUMMYFUNCTION("""COMPUTED_VALUE"""),"vipul.gupta@zupee.in")</f>
        <v>vipul.gupta@zupee.in</v>
      </c>
      <c r="B504" s="31" t="str">
        <f>IFERROR(__xludf.DUMMYFUNCTION("""COMPUTED_VALUE"""),"NOT_FOUND")</f>
        <v>NOT_FOUND</v>
      </c>
      <c r="C504" s="31" t="str">
        <f>IFERROR(__xludf.DUMMYFUNCTION("""COMPUTED_VALUE"""),"User not found")</f>
        <v>User not found</v>
      </c>
      <c r="D504" s="31" t="str">
        <f>IFERROR(__xludf.DUMMYFUNCTION("""COMPUTED_VALUE"""),"Revoked ")</f>
        <v>Revoked </v>
      </c>
      <c r="E504" s="31" t="str">
        <f>IFERROR(__xludf.DUMMYFUNCTION("""COMPUTED_VALUE"""),"techbackup@zupee.in")</f>
        <v>techbackup@zupee.in</v>
      </c>
      <c r="F504" s="31" t="str">
        <f>IFERROR(__xludf.DUMMYFUNCTION("""COMPUTED_VALUE"""),"Done")</f>
        <v>Done</v>
      </c>
      <c r="G504" s="31" t="str">
        <f>IFERROR(__xludf.DUMMYFUNCTION("""COMPUTED_VALUE"""),"No-Need")</f>
        <v>No-Need</v>
      </c>
      <c r="H504" s="31" t="str">
        <f>IFERROR(__xludf.DUMMYFUNCTION("""COMPUTED_VALUE"""),"No-Need")</f>
        <v>No-Need</v>
      </c>
      <c r="I504" s="31" t="str">
        <f>IFERROR(__xludf.DUMMYFUNCTION("""COMPUTED_VALUE"""),"Technology")</f>
        <v>Technology</v>
      </c>
      <c r="J504" s="103">
        <f>IFERROR(__xludf.DUMMYFUNCTION("""COMPUTED_VALUE"""),46072.0)</f>
        <v>46072</v>
      </c>
      <c r="K504" s="104" t="str">
        <f>IFERROR(__xludf.DUMMYFUNCTION("""COMPUTED_VALUE"""),"Conf By Naveen Kadyan")</f>
        <v>Conf By Naveen Kadyan</v>
      </c>
    </row>
    <row r="505">
      <c r="A505" s="31" t="str">
        <f>IFERROR(__xludf.DUMMYFUNCTION("""COMPUTED_VALUE"""),"vishal.kapoor@zupee.in")</f>
        <v>vishal.kapoor@zupee.in</v>
      </c>
      <c r="B505" s="31" t="str">
        <f>IFERROR(__xludf.DUMMYFUNCTION("""COMPUTED_VALUE"""),"NOT_FOUND")</f>
        <v>NOT_FOUND</v>
      </c>
      <c r="C505" s="31" t="str">
        <f>IFERROR(__xludf.DUMMYFUNCTION("""COMPUTED_VALUE"""),"User not found")</f>
        <v>User not found</v>
      </c>
      <c r="D505" s="31" t="str">
        <f>IFERROR(__xludf.DUMMYFUNCTION("""COMPUTED_VALUE"""),"Revoked ")</f>
        <v>Revoked </v>
      </c>
      <c r="E505" s="31" t="str">
        <f>IFERROR(__xludf.DUMMYFUNCTION("""COMPUTED_VALUE"""),"techbackup@zupee.in")</f>
        <v>techbackup@zupee.in</v>
      </c>
      <c r="F505" s="31" t="str">
        <f>IFERROR(__xludf.DUMMYFUNCTION("""COMPUTED_VALUE"""),"Done")</f>
        <v>Done</v>
      </c>
      <c r="G505" s="31" t="str">
        <f>IFERROR(__xludf.DUMMYFUNCTION("""COMPUTED_VALUE"""),"No-Need")</f>
        <v>No-Need</v>
      </c>
      <c r="H505" s="31" t="str">
        <f>IFERROR(__xludf.DUMMYFUNCTION("""COMPUTED_VALUE"""),"No-Need")</f>
        <v>No-Need</v>
      </c>
      <c r="I505" s="31" t="str">
        <f>IFERROR(__xludf.DUMMYFUNCTION("""COMPUTED_VALUE"""),"Technology")</f>
        <v>Technology</v>
      </c>
      <c r="J505" s="103">
        <f>IFERROR(__xludf.DUMMYFUNCTION("""COMPUTED_VALUE"""),46072.0)</f>
        <v>46072</v>
      </c>
      <c r="K505" s="104" t="str">
        <f>IFERROR(__xludf.DUMMYFUNCTION("""COMPUTED_VALUE"""),"Conf By Naveen Kadyan")</f>
        <v>Conf By Naveen Kadyan</v>
      </c>
    </row>
    <row r="506">
      <c r="A506" s="31" t="str">
        <f>IFERROR(__xludf.DUMMYFUNCTION("""COMPUTED_VALUE"""),"vishwa.patel@zupee.in")</f>
        <v>vishwa.patel@zupee.in</v>
      </c>
      <c r="B506" s="31" t="str">
        <f>IFERROR(__xludf.DUMMYFUNCTION("""COMPUTED_VALUE"""),"NOT_FOUND")</f>
        <v>NOT_FOUND</v>
      </c>
      <c r="C506" s="31" t="str">
        <f>IFERROR(__xludf.DUMMYFUNCTION("""COMPUTED_VALUE"""),"User not found")</f>
        <v>User not found</v>
      </c>
      <c r="D506" s="31" t="str">
        <f>IFERROR(__xludf.DUMMYFUNCTION("""COMPUTED_VALUE"""),"Revoked ")</f>
        <v>Revoked </v>
      </c>
      <c r="E506" s="31" t="str">
        <f>IFERROR(__xludf.DUMMYFUNCTION("""COMPUTED_VALUE"""),"techbackup@zupee.in")</f>
        <v>techbackup@zupee.in</v>
      </c>
      <c r="F506" s="31" t="str">
        <f>IFERROR(__xludf.DUMMYFUNCTION("""COMPUTED_VALUE"""),"Done")</f>
        <v>Done</v>
      </c>
      <c r="G506" s="31" t="str">
        <f>IFERROR(__xludf.DUMMYFUNCTION("""COMPUTED_VALUE"""),"No-Need")</f>
        <v>No-Need</v>
      </c>
      <c r="H506" s="31" t="str">
        <f>IFERROR(__xludf.DUMMYFUNCTION("""COMPUTED_VALUE"""),"No-Need")</f>
        <v>No-Need</v>
      </c>
      <c r="I506" s="31" t="str">
        <f>IFERROR(__xludf.DUMMYFUNCTION("""COMPUTED_VALUE"""),"Technology")</f>
        <v>Technology</v>
      </c>
      <c r="J506" s="103">
        <f>IFERROR(__xludf.DUMMYFUNCTION("""COMPUTED_VALUE"""),46072.0)</f>
        <v>46072</v>
      </c>
      <c r="K506" s="104" t="str">
        <f>IFERROR(__xludf.DUMMYFUNCTION("""COMPUTED_VALUE"""),"Conf By Naveen Kadyan")</f>
        <v>Conf By Naveen Kadyan</v>
      </c>
    </row>
    <row r="507">
      <c r="A507" s="31" t="str">
        <f>IFERROR(__xludf.DUMMYFUNCTION("""COMPUTED_VALUE"""),"vivek.choudhary@zupee.in")</f>
        <v>vivek.choudhary@zupee.in</v>
      </c>
      <c r="B507" s="31" t="str">
        <f>IFERROR(__xludf.DUMMYFUNCTION("""COMPUTED_VALUE"""),"NOT_FOUND")</f>
        <v>NOT_FOUND</v>
      </c>
      <c r="C507" s="31" t="str">
        <f>IFERROR(__xludf.DUMMYFUNCTION("""COMPUTED_VALUE"""),"User not found")</f>
        <v>User not found</v>
      </c>
      <c r="D507" s="31" t="str">
        <f>IFERROR(__xludf.DUMMYFUNCTION("""COMPUTED_VALUE"""),"Revoked ")</f>
        <v>Revoked </v>
      </c>
      <c r="E507" s="31" t="str">
        <f>IFERROR(__xludf.DUMMYFUNCTION("""COMPUTED_VALUE"""),"techbackup@zupee.in")</f>
        <v>techbackup@zupee.in</v>
      </c>
      <c r="F507" s="31" t="str">
        <f>IFERROR(__xludf.DUMMYFUNCTION("""COMPUTED_VALUE"""),"Done")</f>
        <v>Done</v>
      </c>
      <c r="G507" s="31" t="str">
        <f>IFERROR(__xludf.DUMMYFUNCTION("""COMPUTED_VALUE"""),"No-Need")</f>
        <v>No-Need</v>
      </c>
      <c r="H507" s="31" t="str">
        <f>IFERROR(__xludf.DUMMYFUNCTION("""COMPUTED_VALUE"""),"No-Need")</f>
        <v>No-Need</v>
      </c>
      <c r="I507" s="31" t="str">
        <f>IFERROR(__xludf.DUMMYFUNCTION("""COMPUTED_VALUE"""),"Technology")</f>
        <v>Technology</v>
      </c>
      <c r="J507" s="103">
        <f>IFERROR(__xludf.DUMMYFUNCTION("""COMPUTED_VALUE"""),46072.0)</f>
        <v>46072</v>
      </c>
      <c r="K507" s="104" t="str">
        <f>IFERROR(__xludf.DUMMYFUNCTION("""COMPUTED_VALUE"""),"Conf By Naveen Kadyan")</f>
        <v>Conf By Naveen Kadyan</v>
      </c>
    </row>
    <row r="508">
      <c r="A508" s="31" t="str">
        <f>IFERROR(__xludf.DUMMYFUNCTION("""COMPUTED_VALUE"""),"yogesh.yadav@zupee.in")</f>
        <v>yogesh.yadav@zupee.in</v>
      </c>
      <c r="B508" s="31" t="str">
        <f>IFERROR(__xludf.DUMMYFUNCTION("""COMPUTED_VALUE"""),"NOT_FOUND")</f>
        <v>NOT_FOUND</v>
      </c>
      <c r="C508" s="31" t="str">
        <f>IFERROR(__xludf.DUMMYFUNCTION("""COMPUTED_VALUE"""),"User not found")</f>
        <v>User not found</v>
      </c>
      <c r="D508" s="31" t="str">
        <f>IFERROR(__xludf.DUMMYFUNCTION("""COMPUTED_VALUE"""),"Revoked ")</f>
        <v>Revoked </v>
      </c>
      <c r="E508" s="31" t="str">
        <f>IFERROR(__xludf.DUMMYFUNCTION("""COMPUTED_VALUE"""),"techbackup@zupee.in")</f>
        <v>techbackup@zupee.in</v>
      </c>
      <c r="F508" s="31" t="str">
        <f>IFERROR(__xludf.DUMMYFUNCTION("""COMPUTED_VALUE"""),"Done")</f>
        <v>Done</v>
      </c>
      <c r="G508" s="31" t="str">
        <f>IFERROR(__xludf.DUMMYFUNCTION("""COMPUTED_VALUE"""),"No-Need")</f>
        <v>No-Need</v>
      </c>
      <c r="H508" s="31" t="str">
        <f>IFERROR(__xludf.DUMMYFUNCTION("""COMPUTED_VALUE"""),"No-Need")</f>
        <v>No-Need</v>
      </c>
      <c r="I508" s="31" t="str">
        <f>IFERROR(__xludf.DUMMYFUNCTION("""COMPUTED_VALUE"""),"Technology")</f>
        <v>Technology</v>
      </c>
      <c r="J508" s="103">
        <f>IFERROR(__xludf.DUMMYFUNCTION("""COMPUTED_VALUE"""),46072.0)</f>
        <v>46072</v>
      </c>
      <c r="K508" s="104" t="str">
        <f>IFERROR(__xludf.DUMMYFUNCTION("""COMPUTED_VALUE"""),"Conf By Naveen Kadyan")</f>
        <v>Conf By Naveen Kadyan</v>
      </c>
    </row>
    <row r="509">
      <c r="A509" s="31" t="str">
        <f>IFERROR(__xludf.DUMMYFUNCTION("""COMPUTED_VALUE"""),"dhiraj.kumar@zupee.in")</f>
        <v>dhiraj.kumar@zupee.in</v>
      </c>
      <c r="B509" s="31" t="str">
        <f>IFERROR(__xludf.DUMMYFUNCTION("""COMPUTED_VALUE"""),"NOT_FOUND")</f>
        <v>NOT_FOUND</v>
      </c>
      <c r="C509" s="31" t="str">
        <f>IFERROR(__xludf.DUMMYFUNCTION("""COMPUTED_VALUE"""),"User not found")</f>
        <v>User not found</v>
      </c>
      <c r="D509" s="31" t="str">
        <f>IFERROR(__xludf.DUMMYFUNCTION("""COMPUTED_VALUE"""),"Revoked ")</f>
        <v>Revoked </v>
      </c>
      <c r="E509" s="31" t="str">
        <f>IFERROR(__xludf.DUMMYFUNCTION("""COMPUTED_VALUE"""),"techbackup@zupee.in")</f>
        <v>techbackup@zupee.in</v>
      </c>
      <c r="F509" s="31" t="str">
        <f>IFERROR(__xludf.DUMMYFUNCTION("""COMPUTED_VALUE"""),"Done")</f>
        <v>Done</v>
      </c>
      <c r="G509" s="31" t="str">
        <f>IFERROR(__xludf.DUMMYFUNCTION("""COMPUTED_VALUE"""),"No-Need")</f>
        <v>No-Need</v>
      </c>
      <c r="H509" s="31" t="str">
        <f>IFERROR(__xludf.DUMMYFUNCTION("""COMPUTED_VALUE"""),"No-Need")</f>
        <v>No-Need</v>
      </c>
      <c r="I509" s="31" t="str">
        <f>IFERROR(__xludf.DUMMYFUNCTION("""COMPUTED_VALUE"""),"Technology")</f>
        <v>Technology</v>
      </c>
      <c r="J509" s="103">
        <f>IFERROR(__xludf.DUMMYFUNCTION("""COMPUTED_VALUE"""),46072.0)</f>
        <v>46072</v>
      </c>
      <c r="K509" s="104" t="str">
        <f>IFERROR(__xludf.DUMMYFUNCTION("""COMPUTED_VALUE"""),"Conf By Naveen Kadyan")</f>
        <v>Conf By Naveen Kadyan</v>
      </c>
    </row>
    <row r="510">
      <c r="A510" s="31" t="str">
        <f>IFERROR(__xludf.DUMMYFUNCTION("""COMPUTED_VALUE"""),"jyoti.gupta@zupee.in")</f>
        <v>jyoti.gupta@zupee.in</v>
      </c>
      <c r="B510" s="31" t="str">
        <f>IFERROR(__xludf.DUMMYFUNCTION("""COMPUTED_VALUE"""),"NOT_FOUND")</f>
        <v>NOT_FOUND</v>
      </c>
      <c r="C510" s="31" t="str">
        <f>IFERROR(__xludf.DUMMYFUNCTION("""COMPUTED_VALUE"""),"User not found")</f>
        <v>User not found</v>
      </c>
      <c r="D510" s="31" t="str">
        <f>IFERROR(__xludf.DUMMYFUNCTION("""COMPUTED_VALUE"""),"Revoked ")</f>
        <v>Revoked </v>
      </c>
      <c r="E510" s="31" t="str">
        <f>IFERROR(__xludf.DUMMYFUNCTION("""COMPUTED_VALUE"""),"techbackup@zupee.in")</f>
        <v>techbackup@zupee.in</v>
      </c>
      <c r="F510" s="31" t="str">
        <f>IFERROR(__xludf.DUMMYFUNCTION("""COMPUTED_VALUE"""),"Done")</f>
        <v>Done</v>
      </c>
      <c r="G510" s="31" t="str">
        <f>IFERROR(__xludf.DUMMYFUNCTION("""COMPUTED_VALUE"""),"No-Need")</f>
        <v>No-Need</v>
      </c>
      <c r="H510" s="31" t="str">
        <f>IFERROR(__xludf.DUMMYFUNCTION("""COMPUTED_VALUE"""),"No-Need")</f>
        <v>No-Need</v>
      </c>
      <c r="I510" s="31" t="str">
        <f>IFERROR(__xludf.DUMMYFUNCTION("""COMPUTED_VALUE"""),"Technology")</f>
        <v>Technology</v>
      </c>
      <c r="J510" s="103">
        <f>IFERROR(__xludf.DUMMYFUNCTION("""COMPUTED_VALUE"""),46072.0)</f>
        <v>46072</v>
      </c>
      <c r="K510" s="104" t="str">
        <f>IFERROR(__xludf.DUMMYFUNCTION("""COMPUTED_VALUE"""),"Conf By Naveen Kadyan")</f>
        <v>Conf By Naveen Kadyan</v>
      </c>
    </row>
    <row r="511">
      <c r="A511" s="31" t="str">
        <f>IFERROR(__xludf.DUMMYFUNCTION("""COMPUTED_VALUE"""),"jyoti.gupta@ludozing.com")</f>
        <v>jyoti.gupta@ludozing.com</v>
      </c>
      <c r="B511" s="31" t="str">
        <f>IFERROR(__xludf.DUMMYFUNCTION("""COMPUTED_VALUE"""),"NOT_FOUND")</f>
        <v>NOT_FOUND</v>
      </c>
      <c r="C511" s="31" t="str">
        <f>IFERROR(__xludf.DUMMYFUNCTION("""COMPUTED_VALUE"""),"User not found")</f>
        <v>User not found</v>
      </c>
      <c r="D511" s="31" t="str">
        <f>IFERROR(__xludf.DUMMYFUNCTION("""COMPUTED_VALUE"""),"Revoked ")</f>
        <v>Revoked </v>
      </c>
      <c r="E511" s="31">
        <f>IFERROR(__xludf.DUMMYFUNCTION("""COMPUTED_VALUE"""),0.0)</f>
        <v>0</v>
      </c>
      <c r="F511" s="31">
        <f>IFERROR(__xludf.DUMMYFUNCTION("""COMPUTED_VALUE"""),0.0)</f>
        <v>0</v>
      </c>
      <c r="G511" s="31" t="str">
        <f>IFERROR(__xludf.DUMMYFUNCTION("""COMPUTED_VALUE"""),"Done")</f>
        <v>Done</v>
      </c>
      <c r="H511" s="31" t="str">
        <f>IFERROR(__xludf.DUMMYFUNCTION("""COMPUTED_VALUE"""),"itservices@zupee.in ")</f>
        <v>itservices@zupee.in </v>
      </c>
      <c r="I511" s="31" t="str">
        <f>IFERROR(__xludf.DUMMYFUNCTION("""COMPUTED_VALUE"""),"Technology")</f>
        <v>Technology</v>
      </c>
      <c r="J511" s="103">
        <f>IFERROR(__xludf.DUMMYFUNCTION("""COMPUTED_VALUE"""),46072.0)</f>
        <v>46072</v>
      </c>
      <c r="K511" s="104" t="str">
        <f>IFERROR(__xludf.DUMMYFUNCTION("""COMPUTED_VALUE"""),"Conf By Naveen Kadyan")</f>
        <v>Conf By Naveen Kadyan</v>
      </c>
    </row>
    <row r="512">
      <c r="A512" s="31" t="str">
        <f>IFERROR(__xludf.DUMMYFUNCTION("""COMPUTED_VALUE"""),"jyoti.gupta@cardspatti.com")</f>
        <v>jyoti.gupta@cardspatti.com</v>
      </c>
      <c r="B512" s="31" t="str">
        <f>IFERROR(__xludf.DUMMYFUNCTION("""COMPUTED_VALUE"""),"NOT_FOUND")</f>
        <v>NOT_FOUND</v>
      </c>
      <c r="C512" s="31" t="str">
        <f>IFERROR(__xludf.DUMMYFUNCTION("""COMPUTED_VALUE"""),"User not found")</f>
        <v>User not found</v>
      </c>
      <c r="D512" s="31" t="str">
        <f>IFERROR(__xludf.DUMMYFUNCTION("""COMPUTED_VALUE"""),"Revoked ")</f>
        <v>Revoked </v>
      </c>
      <c r="E512" s="31">
        <f>IFERROR(__xludf.DUMMYFUNCTION("""COMPUTED_VALUE"""),0.0)</f>
        <v>0</v>
      </c>
      <c r="F512" s="31">
        <f>IFERROR(__xludf.DUMMYFUNCTION("""COMPUTED_VALUE"""),0.0)</f>
        <v>0</v>
      </c>
      <c r="G512" s="31" t="str">
        <f>IFERROR(__xludf.DUMMYFUNCTION("""COMPUTED_VALUE"""),"Done")</f>
        <v>Done</v>
      </c>
      <c r="H512" s="31" t="str">
        <f>IFERROR(__xludf.DUMMYFUNCTION("""COMPUTED_VALUE"""),"itservices@zupee.in ")</f>
        <v>itservices@zupee.in </v>
      </c>
      <c r="I512" s="31" t="str">
        <f>IFERROR(__xludf.DUMMYFUNCTION("""COMPUTED_VALUE"""),"Technology")</f>
        <v>Technology</v>
      </c>
      <c r="J512" s="103">
        <f>IFERROR(__xludf.DUMMYFUNCTION("""COMPUTED_VALUE"""),46072.0)</f>
        <v>46072</v>
      </c>
      <c r="K512" s="104" t="str">
        <f>IFERROR(__xludf.DUMMYFUNCTION("""COMPUTED_VALUE"""),"Conf By Naveen Kadyan")</f>
        <v>Conf By Naveen Kadyan</v>
      </c>
    </row>
    <row r="513">
      <c r="A513" s="31" t="str">
        <f>IFERROR(__xludf.DUMMYFUNCTION("""COMPUTED_VALUE"""),"lucky.singh1@zupee.in")</f>
        <v>lucky.singh1@zupee.in</v>
      </c>
      <c r="B513" s="31" t="str">
        <f>IFERROR(__xludf.DUMMYFUNCTION("""COMPUTED_VALUE"""),"NOT_FOUND")</f>
        <v>NOT_FOUND</v>
      </c>
      <c r="C513" s="31" t="str">
        <f>IFERROR(__xludf.DUMMYFUNCTION("""COMPUTED_VALUE"""),"User not found")</f>
        <v>User not found</v>
      </c>
      <c r="D513" s="31" t="str">
        <f>IFERROR(__xludf.DUMMYFUNCTION("""COMPUTED_VALUE"""),"Revoked ")</f>
        <v>Revoked </v>
      </c>
      <c r="E513" s="31" t="str">
        <f>IFERROR(__xludf.DUMMYFUNCTION("""COMPUTED_VALUE"""),"techbackup@zupee.in")</f>
        <v>techbackup@zupee.in</v>
      </c>
      <c r="F513" s="31" t="str">
        <f>IFERROR(__xludf.DUMMYFUNCTION("""COMPUTED_VALUE"""),"Done")</f>
        <v>Done</v>
      </c>
      <c r="G513" s="31" t="str">
        <f>IFERROR(__xludf.DUMMYFUNCTION("""COMPUTED_VALUE"""),"No-Need")</f>
        <v>No-Need</v>
      </c>
      <c r="H513" s="31" t="str">
        <f>IFERROR(__xludf.DUMMYFUNCTION("""COMPUTED_VALUE"""),"No-Need")</f>
        <v>No-Need</v>
      </c>
      <c r="I513" s="31" t="str">
        <f>IFERROR(__xludf.DUMMYFUNCTION("""COMPUTED_VALUE"""),"Technology")</f>
        <v>Technology</v>
      </c>
      <c r="J513" s="103">
        <f>IFERROR(__xludf.DUMMYFUNCTION("""COMPUTED_VALUE"""),46072.0)</f>
        <v>46072</v>
      </c>
      <c r="K513" s="104" t="str">
        <f>IFERROR(__xludf.DUMMYFUNCTION("""COMPUTED_VALUE"""),"Conf By Naveen Kadyan")</f>
        <v>Conf By Naveen Kadyan</v>
      </c>
    </row>
    <row r="514">
      <c r="A514" s="31" t="str">
        <f>IFERROR(__xludf.DUMMYFUNCTION("""COMPUTED_VALUE"""),"monika.yadav@zupee.in")</f>
        <v>monika.yadav@zupee.in</v>
      </c>
      <c r="B514" s="31" t="str">
        <f>IFERROR(__xludf.DUMMYFUNCTION("""COMPUTED_VALUE"""),"NOT_FOUND")</f>
        <v>NOT_FOUND</v>
      </c>
      <c r="C514" s="31" t="str">
        <f>IFERROR(__xludf.DUMMYFUNCTION("""COMPUTED_VALUE"""),"User not found")</f>
        <v>User not found</v>
      </c>
      <c r="D514" s="31" t="str">
        <f>IFERROR(__xludf.DUMMYFUNCTION("""COMPUTED_VALUE"""),"Revoked ")</f>
        <v>Revoked </v>
      </c>
      <c r="E514" s="31" t="str">
        <f>IFERROR(__xludf.DUMMYFUNCTION("""COMPUTED_VALUE"""),"techbackup@zupee.in")</f>
        <v>techbackup@zupee.in</v>
      </c>
      <c r="F514" s="31" t="str">
        <f>IFERROR(__xludf.DUMMYFUNCTION("""COMPUTED_VALUE"""),"Done")</f>
        <v>Done</v>
      </c>
      <c r="G514" s="31" t="str">
        <f>IFERROR(__xludf.DUMMYFUNCTION("""COMPUTED_VALUE"""),"No-Need")</f>
        <v>No-Need</v>
      </c>
      <c r="H514" s="31" t="str">
        <f>IFERROR(__xludf.DUMMYFUNCTION("""COMPUTED_VALUE"""),"No-Need")</f>
        <v>No-Need</v>
      </c>
      <c r="I514" s="31" t="str">
        <f>IFERROR(__xludf.DUMMYFUNCTION("""COMPUTED_VALUE"""),"Technology")</f>
        <v>Technology</v>
      </c>
      <c r="J514" s="103">
        <f>IFERROR(__xludf.DUMMYFUNCTION("""COMPUTED_VALUE"""),46072.0)</f>
        <v>46072</v>
      </c>
      <c r="K514" s="104" t="str">
        <f>IFERROR(__xludf.DUMMYFUNCTION("""COMPUTED_VALUE"""),"Conf By Naveen Kadyan")</f>
        <v>Conf By Naveen Kadyan</v>
      </c>
    </row>
    <row r="515">
      <c r="A515" s="31" t="str">
        <f>IFERROR(__xludf.DUMMYFUNCTION("""COMPUTED_VALUE"""),"prakrati.gupta@zupee.in")</f>
        <v>prakrati.gupta@zupee.in</v>
      </c>
      <c r="B515" s="31" t="str">
        <f>IFERROR(__xludf.DUMMYFUNCTION("""COMPUTED_VALUE"""),"NOT_FOUND")</f>
        <v>NOT_FOUND</v>
      </c>
      <c r="C515" s="31" t="str">
        <f>IFERROR(__xludf.DUMMYFUNCTION("""COMPUTED_VALUE"""),"User not found")</f>
        <v>User not found</v>
      </c>
      <c r="D515" s="31" t="str">
        <f>IFERROR(__xludf.DUMMYFUNCTION("""COMPUTED_VALUE"""),"Revoked ")</f>
        <v>Revoked </v>
      </c>
      <c r="E515" s="31" t="str">
        <f>IFERROR(__xludf.DUMMYFUNCTION("""COMPUTED_VALUE"""),"techbackup@zupee.in")</f>
        <v>techbackup@zupee.in</v>
      </c>
      <c r="F515" s="31" t="str">
        <f>IFERROR(__xludf.DUMMYFUNCTION("""COMPUTED_VALUE"""),"Done")</f>
        <v>Done</v>
      </c>
      <c r="G515" s="31" t="str">
        <f>IFERROR(__xludf.DUMMYFUNCTION("""COMPUTED_VALUE"""),"No-Need")</f>
        <v>No-Need</v>
      </c>
      <c r="H515" s="31" t="str">
        <f>IFERROR(__xludf.DUMMYFUNCTION("""COMPUTED_VALUE"""),"No-Need")</f>
        <v>No-Need</v>
      </c>
      <c r="I515" s="31" t="str">
        <f>IFERROR(__xludf.DUMMYFUNCTION("""COMPUTED_VALUE"""),"Technology")</f>
        <v>Technology</v>
      </c>
      <c r="J515" s="103">
        <f>IFERROR(__xludf.DUMMYFUNCTION("""COMPUTED_VALUE"""),46072.0)</f>
        <v>46072</v>
      </c>
      <c r="K515" s="104" t="str">
        <f>IFERROR(__xludf.DUMMYFUNCTION("""COMPUTED_VALUE"""),"Conf By Naveen Kadyan")</f>
        <v>Conf By Naveen Kadyan</v>
      </c>
    </row>
    <row r="516">
      <c r="A516" s="31" t="str">
        <f>IFERROR(__xludf.DUMMYFUNCTION("""COMPUTED_VALUE"""),"rohit.gupta@zupee.in")</f>
        <v>rohit.gupta@zupee.in</v>
      </c>
      <c r="B516" s="31" t="str">
        <f>IFERROR(__xludf.DUMMYFUNCTION("""COMPUTED_VALUE"""),"NOT_FOUND")</f>
        <v>NOT_FOUND</v>
      </c>
      <c r="C516" s="31" t="str">
        <f>IFERROR(__xludf.DUMMYFUNCTION("""COMPUTED_VALUE"""),"User not found")</f>
        <v>User not found</v>
      </c>
      <c r="D516" s="31" t="str">
        <f>IFERROR(__xludf.DUMMYFUNCTION("""COMPUTED_VALUE"""),"Revoked ")</f>
        <v>Revoked </v>
      </c>
      <c r="E516" s="31" t="str">
        <f>IFERROR(__xludf.DUMMYFUNCTION("""COMPUTED_VALUE"""),"techbackup@zupee.in")</f>
        <v>techbackup@zupee.in</v>
      </c>
      <c r="F516" s="31" t="str">
        <f>IFERROR(__xludf.DUMMYFUNCTION("""COMPUTED_VALUE"""),"Done")</f>
        <v>Done</v>
      </c>
      <c r="G516" s="31" t="str">
        <f>IFERROR(__xludf.DUMMYFUNCTION("""COMPUTED_VALUE"""),"No-Need")</f>
        <v>No-Need</v>
      </c>
      <c r="H516" s="31" t="str">
        <f>IFERROR(__xludf.DUMMYFUNCTION("""COMPUTED_VALUE"""),"No-Need")</f>
        <v>No-Need</v>
      </c>
      <c r="I516" s="31" t="str">
        <f>IFERROR(__xludf.DUMMYFUNCTION("""COMPUTED_VALUE"""),"Technology")</f>
        <v>Technology</v>
      </c>
      <c r="J516" s="103">
        <f>IFERROR(__xludf.DUMMYFUNCTION("""COMPUTED_VALUE"""),46072.0)</f>
        <v>46072</v>
      </c>
      <c r="K516" s="104" t="str">
        <f>IFERROR(__xludf.DUMMYFUNCTION("""COMPUTED_VALUE"""),"Conf By Naveen Kadyan")</f>
        <v>Conf By Naveen Kadyan</v>
      </c>
    </row>
    <row r="517">
      <c r="A517" s="31" t="str">
        <f>IFERROR(__xludf.DUMMYFUNCTION("""COMPUTED_VALUE"""),"saksham.aneja@zupee.in")</f>
        <v>saksham.aneja@zupee.in</v>
      </c>
      <c r="B517" s="31" t="str">
        <f>IFERROR(__xludf.DUMMYFUNCTION("""COMPUTED_VALUE"""),"NOT_FOUND")</f>
        <v>NOT_FOUND</v>
      </c>
      <c r="C517" s="31" t="str">
        <f>IFERROR(__xludf.DUMMYFUNCTION("""COMPUTED_VALUE"""),"User not found")</f>
        <v>User not found</v>
      </c>
      <c r="D517" s="31" t="str">
        <f>IFERROR(__xludf.DUMMYFUNCTION("""COMPUTED_VALUE"""),"Revoked ")</f>
        <v>Revoked </v>
      </c>
      <c r="E517" s="31" t="str">
        <f>IFERROR(__xludf.DUMMYFUNCTION("""COMPUTED_VALUE"""),"techbackup@zupee.in")</f>
        <v>techbackup@zupee.in</v>
      </c>
      <c r="F517" s="31" t="str">
        <f>IFERROR(__xludf.DUMMYFUNCTION("""COMPUTED_VALUE"""),"Done")</f>
        <v>Done</v>
      </c>
      <c r="G517" s="31" t="str">
        <f>IFERROR(__xludf.DUMMYFUNCTION("""COMPUTED_VALUE"""),"No-Need")</f>
        <v>No-Need</v>
      </c>
      <c r="H517" s="31" t="str">
        <f>IFERROR(__xludf.DUMMYFUNCTION("""COMPUTED_VALUE"""),"No-Need")</f>
        <v>No-Need</v>
      </c>
      <c r="I517" s="31" t="str">
        <f>IFERROR(__xludf.DUMMYFUNCTION("""COMPUTED_VALUE"""),"Technology")</f>
        <v>Technology</v>
      </c>
      <c r="J517" s="103">
        <f>IFERROR(__xludf.DUMMYFUNCTION("""COMPUTED_VALUE"""),46072.0)</f>
        <v>46072</v>
      </c>
      <c r="K517" s="104" t="str">
        <f>IFERROR(__xludf.DUMMYFUNCTION("""COMPUTED_VALUE"""),"Conf By Naveen Kadyan")</f>
        <v>Conf By Naveen Kadyan</v>
      </c>
    </row>
    <row r="518">
      <c r="A518" s="31" t="str">
        <f>IFERROR(__xludf.DUMMYFUNCTION("""COMPUTED_VALUE"""),"saransh.bankiwal@zupee.in")</f>
        <v>saransh.bankiwal@zupee.in</v>
      </c>
      <c r="B518" s="31" t="str">
        <f>IFERROR(__xludf.DUMMYFUNCTION("""COMPUTED_VALUE"""),"NOT_FOUND")</f>
        <v>NOT_FOUND</v>
      </c>
      <c r="C518" s="31" t="str">
        <f>IFERROR(__xludf.DUMMYFUNCTION("""COMPUTED_VALUE"""),"User not found")</f>
        <v>User not found</v>
      </c>
      <c r="D518" s="31" t="str">
        <f>IFERROR(__xludf.DUMMYFUNCTION("""COMPUTED_VALUE"""),"Revoked ")</f>
        <v>Revoked </v>
      </c>
      <c r="E518" s="31" t="str">
        <f>IFERROR(__xludf.DUMMYFUNCTION("""COMPUTED_VALUE"""),"techbackup@zupee.in")</f>
        <v>techbackup@zupee.in</v>
      </c>
      <c r="F518" s="31" t="str">
        <f>IFERROR(__xludf.DUMMYFUNCTION("""COMPUTED_VALUE"""),"Done")</f>
        <v>Done</v>
      </c>
      <c r="G518" s="31" t="str">
        <f>IFERROR(__xludf.DUMMYFUNCTION("""COMPUTED_VALUE"""),"No-Need")</f>
        <v>No-Need</v>
      </c>
      <c r="H518" s="31" t="str">
        <f>IFERROR(__xludf.DUMMYFUNCTION("""COMPUTED_VALUE"""),"No-Need")</f>
        <v>No-Need</v>
      </c>
      <c r="I518" s="31" t="str">
        <f>IFERROR(__xludf.DUMMYFUNCTION("""COMPUTED_VALUE"""),"Technology")</f>
        <v>Technology</v>
      </c>
      <c r="J518" s="103">
        <f>IFERROR(__xludf.DUMMYFUNCTION("""COMPUTED_VALUE"""),46072.0)</f>
        <v>46072</v>
      </c>
      <c r="K518" s="104" t="str">
        <f>IFERROR(__xludf.DUMMYFUNCTION("""COMPUTED_VALUE"""),"Conf By Naveen Kadyan")</f>
        <v>Conf By Naveen Kadyan</v>
      </c>
    </row>
    <row r="519">
      <c r="A519" s="31" t="str">
        <f>IFERROR(__xludf.DUMMYFUNCTION("""COMPUTED_VALUE"""),"shashwat.agarwal@zupee.in")</f>
        <v>shashwat.agarwal@zupee.in</v>
      </c>
      <c r="B519" s="31" t="str">
        <f>IFERROR(__xludf.DUMMYFUNCTION("""COMPUTED_VALUE"""),"NOT_FOUND")</f>
        <v>NOT_FOUND</v>
      </c>
      <c r="C519" s="31" t="str">
        <f>IFERROR(__xludf.DUMMYFUNCTION("""COMPUTED_VALUE"""),"User not found")</f>
        <v>User not found</v>
      </c>
      <c r="D519" s="31" t="str">
        <f>IFERROR(__xludf.DUMMYFUNCTION("""COMPUTED_VALUE"""),"Revoked ")</f>
        <v>Revoked </v>
      </c>
      <c r="E519" s="31" t="str">
        <f>IFERROR(__xludf.DUMMYFUNCTION("""COMPUTED_VALUE"""),"techbackup@zupee.in")</f>
        <v>techbackup@zupee.in</v>
      </c>
      <c r="F519" s="31" t="str">
        <f>IFERROR(__xludf.DUMMYFUNCTION("""COMPUTED_VALUE"""),"Done")</f>
        <v>Done</v>
      </c>
      <c r="G519" s="31" t="str">
        <f>IFERROR(__xludf.DUMMYFUNCTION("""COMPUTED_VALUE"""),"No-Need")</f>
        <v>No-Need</v>
      </c>
      <c r="H519" s="31" t="str">
        <f>IFERROR(__xludf.DUMMYFUNCTION("""COMPUTED_VALUE"""),"No-Need")</f>
        <v>No-Need</v>
      </c>
      <c r="I519" s="31" t="str">
        <f>IFERROR(__xludf.DUMMYFUNCTION("""COMPUTED_VALUE"""),"Technology")</f>
        <v>Technology</v>
      </c>
      <c r="J519" s="103">
        <f>IFERROR(__xludf.DUMMYFUNCTION("""COMPUTED_VALUE"""),46072.0)</f>
        <v>46072</v>
      </c>
      <c r="K519" s="31" t="str">
        <f>IFERROR(__xludf.DUMMYFUNCTION("""COMPUTED_VALUE"""),"Conf By Naveen Kadyan")</f>
        <v>Conf By Naveen Kadyan</v>
      </c>
    </row>
    <row r="520">
      <c r="A520" s="31" t="str">
        <f>IFERROR(__xludf.DUMMYFUNCTION("""COMPUTED_VALUE"""),"tarun.mangal@zupee.in")</f>
        <v>tarun.mangal@zupee.in</v>
      </c>
      <c r="B520" s="31" t="str">
        <f>IFERROR(__xludf.DUMMYFUNCTION("""COMPUTED_VALUE"""),"NOT_FOUND")</f>
        <v>NOT_FOUND</v>
      </c>
      <c r="C520" s="31" t="str">
        <f>IFERROR(__xludf.DUMMYFUNCTION("""COMPUTED_VALUE"""),"User not found")</f>
        <v>User not found</v>
      </c>
      <c r="D520" s="31" t="str">
        <f>IFERROR(__xludf.DUMMYFUNCTION("""COMPUTED_VALUE"""),"Revoked ")</f>
        <v>Revoked </v>
      </c>
      <c r="E520" s="31" t="str">
        <f>IFERROR(__xludf.DUMMYFUNCTION("""COMPUTED_VALUE"""),"techbackup@zupee.in")</f>
        <v>techbackup@zupee.in</v>
      </c>
      <c r="F520" s="31" t="str">
        <f>IFERROR(__xludf.DUMMYFUNCTION("""COMPUTED_VALUE"""),"Done")</f>
        <v>Done</v>
      </c>
      <c r="G520" s="31" t="str">
        <f>IFERROR(__xludf.DUMMYFUNCTION("""COMPUTED_VALUE"""),"No-Need")</f>
        <v>No-Need</v>
      </c>
      <c r="H520" s="31" t="str">
        <f>IFERROR(__xludf.DUMMYFUNCTION("""COMPUTED_VALUE"""),"No-Need")</f>
        <v>No-Need</v>
      </c>
      <c r="I520" s="31" t="str">
        <f>IFERROR(__xludf.DUMMYFUNCTION("""COMPUTED_VALUE"""),"Technology")</f>
        <v>Technology</v>
      </c>
      <c r="J520" s="103">
        <f>IFERROR(__xludf.DUMMYFUNCTION("""COMPUTED_VALUE"""),46072.0)</f>
        <v>46072</v>
      </c>
      <c r="K520" s="31" t="str">
        <f>IFERROR(__xludf.DUMMYFUNCTION("""COMPUTED_VALUE"""),"Conf By Naveen Kadyan")</f>
        <v>Conf By Naveen Kadyan</v>
      </c>
    </row>
    <row r="521">
      <c r="A521" s="31" t="str">
        <f>IFERROR(__xludf.DUMMYFUNCTION("""COMPUTED_VALUE"""),"tejveer.singh@zupee.in")</f>
        <v>tejveer.singh@zupee.in</v>
      </c>
      <c r="B521" s="31" t="str">
        <f>IFERROR(__xludf.DUMMYFUNCTION("""COMPUTED_VALUE"""),"NOT_FOUND")</f>
        <v>NOT_FOUND</v>
      </c>
      <c r="C521" s="31" t="str">
        <f>IFERROR(__xludf.DUMMYFUNCTION("""COMPUTED_VALUE"""),"User not found")</f>
        <v>User not found</v>
      </c>
      <c r="D521" s="31" t="str">
        <f>IFERROR(__xludf.DUMMYFUNCTION("""COMPUTED_VALUE"""),"Revoked ")</f>
        <v>Revoked </v>
      </c>
      <c r="E521" s="31" t="str">
        <f>IFERROR(__xludf.DUMMYFUNCTION("""COMPUTED_VALUE"""),"techbackup@zupee.in")</f>
        <v>techbackup@zupee.in</v>
      </c>
      <c r="F521" s="31" t="str">
        <f>IFERROR(__xludf.DUMMYFUNCTION("""COMPUTED_VALUE"""),"Done")</f>
        <v>Done</v>
      </c>
      <c r="G521" s="31" t="str">
        <f>IFERROR(__xludf.DUMMYFUNCTION("""COMPUTED_VALUE"""),"No-Need")</f>
        <v>No-Need</v>
      </c>
      <c r="H521" s="31" t="str">
        <f>IFERROR(__xludf.DUMMYFUNCTION("""COMPUTED_VALUE"""),"No-Need")</f>
        <v>No-Need</v>
      </c>
      <c r="I521" s="31" t="str">
        <f>IFERROR(__xludf.DUMMYFUNCTION("""COMPUTED_VALUE"""),"Technology")</f>
        <v>Technology</v>
      </c>
      <c r="J521" s="103">
        <f>IFERROR(__xludf.DUMMYFUNCTION("""COMPUTED_VALUE"""),46072.0)</f>
        <v>46072</v>
      </c>
      <c r="K521" s="31" t="str">
        <f>IFERROR(__xludf.DUMMYFUNCTION("""COMPUTED_VALUE"""),"Conf By Naveen Kadyan")</f>
        <v>Conf By Naveen Kadyan</v>
      </c>
    </row>
    <row r="522">
      <c r="A522" s="31" t="str">
        <f>IFERROR(__xludf.DUMMYFUNCTION("""COMPUTED_VALUE"""),"amit.singh@zupee.in")</f>
        <v>amit.singh@zupee.in</v>
      </c>
      <c r="B522" s="31" t="str">
        <f>IFERROR(__xludf.DUMMYFUNCTION("""COMPUTED_VALUE"""),"NOT_FOUND")</f>
        <v>NOT_FOUND</v>
      </c>
      <c r="C522" s="31" t="str">
        <f>IFERROR(__xludf.DUMMYFUNCTION("""COMPUTED_VALUE"""),"User not found")</f>
        <v>User not found</v>
      </c>
      <c r="D522" s="31" t="str">
        <f>IFERROR(__xludf.DUMMYFUNCTION("""COMPUTED_VALUE"""),"Ongoing")</f>
        <v>Ongoing</v>
      </c>
      <c r="E522" s="31" t="str">
        <f>IFERROR(__xludf.DUMMYFUNCTION("""COMPUTED_VALUE"""),"techbackup@zupee.in")</f>
        <v>techbackup@zupee.in</v>
      </c>
      <c r="F522" s="31" t="str">
        <f>IFERROR(__xludf.DUMMYFUNCTION("""COMPUTED_VALUE"""),"Done")</f>
        <v>Done</v>
      </c>
      <c r="G522" s="31" t="str">
        <f>IFERROR(__xludf.DUMMYFUNCTION("""COMPUTED_VALUE"""),"Done")</f>
        <v>Done</v>
      </c>
      <c r="H522" s="31" t="str">
        <f>IFERROR(__xludf.DUMMYFUNCTION("""COMPUTED_VALUE"""),"techbackup@zupee.in")</f>
        <v>techbackup@zupee.in</v>
      </c>
      <c r="I522" s="31" t="str">
        <f>IFERROR(__xludf.DUMMYFUNCTION("""COMPUTED_VALUE"""),"Technology")</f>
        <v>Technology</v>
      </c>
      <c r="J522" s="103">
        <f>IFERROR(__xludf.DUMMYFUNCTION("""COMPUTED_VALUE"""),46072.0)</f>
        <v>46072</v>
      </c>
      <c r="K522" s="31" t="str">
        <f>IFERROR(__xludf.DUMMYFUNCTION("""COMPUTED_VALUE"""),"Conf By Naveen Kadyan")</f>
        <v>Conf By Naveen Kadyan</v>
      </c>
    </row>
    <row r="523">
      <c r="A523" s="31" t="str">
        <f>IFERROR(__xludf.DUMMYFUNCTION("""COMPUTED_VALUE"""),"gurmeet.singh@zupee.in")</f>
        <v>gurmeet.singh@zupee.in</v>
      </c>
      <c r="B523" s="31" t="str">
        <f>IFERROR(__xludf.DUMMYFUNCTION("""COMPUTED_VALUE"""),"NOT_FOUND")</f>
        <v>NOT_FOUND</v>
      </c>
      <c r="C523" s="31" t="str">
        <f>IFERROR(__xludf.DUMMYFUNCTION("""COMPUTED_VALUE"""),"User not found")</f>
        <v>User not found</v>
      </c>
      <c r="D523" s="31" t="str">
        <f>IFERROR(__xludf.DUMMYFUNCTION("""COMPUTED_VALUE"""),"Revoked ")</f>
        <v>Revoked </v>
      </c>
      <c r="E523" s="31" t="str">
        <f>IFERROR(__xludf.DUMMYFUNCTION("""COMPUTED_VALUE"""),"aarti.luthra@zupee.in")</f>
        <v>aarti.luthra@zupee.in</v>
      </c>
      <c r="F523" s="31" t="str">
        <f>IFERROR(__xludf.DUMMYFUNCTION("""COMPUTED_VALUE"""),"Done")</f>
        <v>Done</v>
      </c>
      <c r="G523" s="31" t="str">
        <f>IFERROR(__xludf.DUMMYFUNCTION("""COMPUTED_VALUE"""),"No-Need")</f>
        <v>No-Need</v>
      </c>
      <c r="H523" s="31" t="str">
        <f>IFERROR(__xludf.DUMMYFUNCTION("""COMPUTED_VALUE"""),"No-Need")</f>
        <v>No-Need</v>
      </c>
      <c r="I523" s="31" t="str">
        <f>IFERROR(__xludf.DUMMYFUNCTION("""COMPUTED_VALUE"""),"Product Design")</f>
        <v>Product Design</v>
      </c>
      <c r="J523" s="103">
        <f>IFERROR(__xludf.DUMMYFUNCTION("""COMPUTED_VALUE"""),46072.0)</f>
        <v>46072</v>
      </c>
      <c r="K523" s="31" t="str">
        <f>IFERROR(__xludf.DUMMYFUNCTION("""COMPUTED_VALUE"""),"Conf By Aarti Luthra")</f>
        <v>Conf By Aarti Luthra</v>
      </c>
    </row>
    <row r="524">
      <c r="A524" s="31" t="str">
        <f>IFERROR(__xludf.DUMMYFUNCTION("""COMPUTED_VALUE"""),"pareena.singh@zupee.in")</f>
        <v>pareena.singh@zupee.in</v>
      </c>
      <c r="B524" s="31" t="str">
        <f>IFERROR(__xludf.DUMMYFUNCTION("""COMPUTED_VALUE"""),"NOT_FOUND")</f>
        <v>NOT_FOUND</v>
      </c>
      <c r="C524" s="31" t="str">
        <f>IFERROR(__xludf.DUMMYFUNCTION("""COMPUTED_VALUE"""),"User not found")</f>
        <v>User not found</v>
      </c>
      <c r="D524" s="31" t="str">
        <f>IFERROR(__xludf.DUMMYFUNCTION("""COMPUTED_VALUE"""),"Revoked ")</f>
        <v>Revoked </v>
      </c>
      <c r="E524" s="31" t="str">
        <f>IFERROR(__xludf.DUMMYFUNCTION("""COMPUTED_VALUE"""),"itservices@zupee.in ")</f>
        <v>itservices@zupee.in </v>
      </c>
      <c r="F524" s="31" t="str">
        <f>IFERROR(__xludf.DUMMYFUNCTION("""COMPUTED_VALUE"""),"Done")</f>
        <v>Done</v>
      </c>
      <c r="G524" s="31" t="str">
        <f>IFERROR(__xludf.DUMMYFUNCTION("""COMPUTED_VALUE"""),"Done")</f>
        <v>Done</v>
      </c>
      <c r="H524" s="31" t="str">
        <f>IFERROR(__xludf.DUMMYFUNCTION("""COMPUTED_VALUE"""),"techbackup@zupee.in")</f>
        <v>techbackup@zupee.in</v>
      </c>
      <c r="I524" s="31" t="str">
        <f>IFERROR(__xludf.DUMMYFUNCTION("""COMPUTED_VALUE"""),"Product")</f>
        <v>Product</v>
      </c>
      <c r="J524" s="103">
        <f>IFERROR(__xludf.DUMMYFUNCTION("""COMPUTED_VALUE"""),46072.0)</f>
        <v>46072</v>
      </c>
      <c r="K524" s="31" t="str">
        <f>IFERROR(__xludf.DUMMYFUNCTION("""COMPUTED_VALUE"""),"Conf By Naveen Kadyan")</f>
        <v>Conf By Naveen Kadyan</v>
      </c>
    </row>
    <row r="525">
      <c r="A525" s="31" t="str">
        <f>IFERROR(__xludf.DUMMYFUNCTION("""COMPUTED_VALUE"""),"harshita.sethi@zupee.in")</f>
        <v>harshita.sethi@zupee.in</v>
      </c>
      <c r="B525" s="31" t="str">
        <f>IFERROR(__xludf.DUMMYFUNCTION("""COMPUTED_VALUE"""),"NOT_FOUND")</f>
        <v>NOT_FOUND</v>
      </c>
      <c r="C525" s="31" t="str">
        <f>IFERROR(__xludf.DUMMYFUNCTION("""COMPUTED_VALUE"""),"User not found")</f>
        <v>User not found</v>
      </c>
      <c r="D525" s="31" t="str">
        <f>IFERROR(__xludf.DUMMYFUNCTION("""COMPUTED_VALUE"""),"Revoked ")</f>
        <v>Revoked </v>
      </c>
      <c r="E525" s="31" t="str">
        <f>IFERROR(__xludf.DUMMYFUNCTION("""COMPUTED_VALUE"""),"akshit.sharma@zupee.in")</f>
        <v>akshit.sharma@zupee.in</v>
      </c>
      <c r="F525" s="31" t="str">
        <f>IFERROR(__xludf.DUMMYFUNCTION("""COMPUTED_VALUE"""),"Done")</f>
        <v>Done</v>
      </c>
      <c r="G525" s="31" t="str">
        <f>IFERROR(__xludf.DUMMYFUNCTION("""COMPUTED_VALUE"""),"No-Need")</f>
        <v>No-Need</v>
      </c>
      <c r="H525" s="31" t="str">
        <f>IFERROR(__xludf.DUMMYFUNCTION("""COMPUTED_VALUE"""),"No-Need")</f>
        <v>No-Need</v>
      </c>
      <c r="I525" s="31" t="str">
        <f>IFERROR(__xludf.DUMMYFUNCTION("""COMPUTED_VALUE"""),"Product Design")</f>
        <v>Product Design</v>
      </c>
      <c r="J525" s="103">
        <f>IFERROR(__xludf.DUMMYFUNCTION("""COMPUTED_VALUE"""),46072.0)</f>
        <v>46072</v>
      </c>
      <c r="K525" s="31" t="str">
        <f>IFERROR(__xludf.DUMMYFUNCTION("""COMPUTED_VALUE"""),"Conf By Aarti Luthra")</f>
        <v>Conf By Aarti Luthra</v>
      </c>
    </row>
    <row r="526">
      <c r="A526" s="31" t="str">
        <f>IFERROR(__xludf.DUMMYFUNCTION("""COMPUTED_VALUE"""),"nimish.goyal@zupee.in")</f>
        <v>nimish.goyal@zupee.in</v>
      </c>
      <c r="B526" s="31" t="str">
        <f>IFERROR(__xludf.DUMMYFUNCTION("""COMPUTED_VALUE"""),"NOT_FOUND")</f>
        <v>NOT_FOUND</v>
      </c>
      <c r="C526" s="31" t="str">
        <f>IFERROR(__xludf.DUMMYFUNCTION("""COMPUTED_VALUE"""),"User not found")</f>
        <v>User not found</v>
      </c>
      <c r="D526" s="31" t="str">
        <f>IFERROR(__xludf.DUMMYFUNCTION("""COMPUTED_VALUE"""),"Revoked")</f>
        <v>Revoked</v>
      </c>
      <c r="E526" s="31" t="str">
        <f>IFERROR(__xludf.DUMMYFUNCTION("""COMPUTED_VALUE"""),"itservices@zupee.in ")</f>
        <v>itservices@zupee.in </v>
      </c>
      <c r="F526" s="31" t="str">
        <f>IFERROR(__xludf.DUMMYFUNCTION("""COMPUTED_VALUE"""),"Done")</f>
        <v>Done</v>
      </c>
      <c r="G526" s="31" t="str">
        <f>IFERROR(__xludf.DUMMYFUNCTION("""COMPUTED_VALUE"""),"No-Need")</f>
        <v>No-Need</v>
      </c>
      <c r="H526" s="31" t="str">
        <f>IFERROR(__xludf.DUMMYFUNCTION("""COMPUTED_VALUE"""),"No-Need")</f>
        <v>No-Need</v>
      </c>
      <c r="I526" s="31" t="str">
        <f>IFERROR(__xludf.DUMMYFUNCTION("""COMPUTED_VALUE"""),"Product")</f>
        <v>Product</v>
      </c>
      <c r="J526" s="103">
        <f>IFERROR(__xludf.DUMMYFUNCTION("""COMPUTED_VALUE"""),46072.0)</f>
        <v>46072</v>
      </c>
      <c r="K526" s="31" t="str">
        <f>IFERROR(__xludf.DUMMYFUNCTION("""COMPUTED_VALUE"""),"Conf By Naveen Kadyan")</f>
        <v>Conf By Naveen Kadyan</v>
      </c>
    </row>
    <row r="527">
      <c r="A527" s="31" t="str">
        <f>IFERROR(__xludf.DUMMYFUNCTION("""COMPUTED_VALUE"""),"pranav.arora@zupee.in")</f>
        <v>pranav.arora@zupee.in</v>
      </c>
      <c r="B527" s="31" t="str">
        <f>IFERROR(__xludf.DUMMYFUNCTION("""COMPUTED_VALUE"""),"NOT_FOUND")</f>
        <v>NOT_FOUND</v>
      </c>
      <c r="C527" s="31" t="str">
        <f>IFERROR(__xludf.DUMMYFUNCTION("""COMPUTED_VALUE"""),"User not found")</f>
        <v>User not found</v>
      </c>
      <c r="D527" s="31" t="str">
        <f>IFERROR(__xludf.DUMMYFUNCTION("""COMPUTED_VALUE"""),"Revoked")</f>
        <v>Revoked</v>
      </c>
      <c r="E527" s="31" t="str">
        <f>IFERROR(__xludf.DUMMYFUNCTION("""COMPUTED_VALUE"""),"itservices@zupee.in ")</f>
        <v>itservices@zupee.in </v>
      </c>
      <c r="F527" s="31" t="str">
        <f>IFERROR(__xludf.DUMMYFUNCTION("""COMPUTED_VALUE"""),"Done")</f>
        <v>Done</v>
      </c>
      <c r="G527" s="31" t="str">
        <f>IFERROR(__xludf.DUMMYFUNCTION("""COMPUTED_VALUE"""),"No-Need")</f>
        <v>No-Need</v>
      </c>
      <c r="H527" s="31" t="str">
        <f>IFERROR(__xludf.DUMMYFUNCTION("""COMPUTED_VALUE"""),"No-Need")</f>
        <v>No-Need</v>
      </c>
      <c r="I527" s="31" t="str">
        <f>IFERROR(__xludf.DUMMYFUNCTION("""COMPUTED_VALUE"""),"Product")</f>
        <v>Product</v>
      </c>
      <c r="J527" s="103">
        <f>IFERROR(__xludf.DUMMYFUNCTION("""COMPUTED_VALUE"""),46072.0)</f>
        <v>46072</v>
      </c>
      <c r="K527" s="31" t="str">
        <f>IFERROR(__xludf.DUMMYFUNCTION("""COMPUTED_VALUE"""),"Conf By Naveen Kadyan")</f>
        <v>Conf By Naveen Kadyan</v>
      </c>
    </row>
    <row r="528">
      <c r="A528" s="31" t="str">
        <f>IFERROR(__xludf.DUMMYFUNCTION("""COMPUTED_VALUE"""),"rochak.ritam@zupee.in")</f>
        <v>rochak.ritam@zupee.in</v>
      </c>
      <c r="B528" s="31" t="str">
        <f>IFERROR(__xludf.DUMMYFUNCTION("""COMPUTED_VALUE"""),"NOT_FOUND")</f>
        <v>NOT_FOUND</v>
      </c>
      <c r="C528" s="31" t="str">
        <f>IFERROR(__xludf.DUMMYFUNCTION("""COMPUTED_VALUE"""),"User not found")</f>
        <v>User not found</v>
      </c>
      <c r="D528" s="31" t="str">
        <f>IFERROR(__xludf.DUMMYFUNCTION("""COMPUTED_VALUE"""),"Revoked")</f>
        <v>Revoked</v>
      </c>
      <c r="E528" s="31" t="str">
        <f>IFERROR(__xludf.DUMMYFUNCTION("""COMPUTED_VALUE"""),"itservices@zupee.in ")</f>
        <v>itservices@zupee.in </v>
      </c>
      <c r="F528" s="31" t="str">
        <f>IFERROR(__xludf.DUMMYFUNCTION("""COMPUTED_VALUE"""),"Done")</f>
        <v>Done</v>
      </c>
      <c r="G528" s="31" t="str">
        <f>IFERROR(__xludf.DUMMYFUNCTION("""COMPUTED_VALUE"""),"No-Need")</f>
        <v>No-Need</v>
      </c>
      <c r="H528" s="31" t="str">
        <f>IFERROR(__xludf.DUMMYFUNCTION("""COMPUTED_VALUE"""),"No-Need")</f>
        <v>No-Need</v>
      </c>
      <c r="I528" s="31" t="str">
        <f>IFERROR(__xludf.DUMMYFUNCTION("""COMPUTED_VALUE"""),"Product")</f>
        <v>Product</v>
      </c>
      <c r="J528" s="103">
        <f>IFERROR(__xludf.DUMMYFUNCTION("""COMPUTED_VALUE"""),46072.0)</f>
        <v>46072</v>
      </c>
      <c r="K528" s="31" t="str">
        <f>IFERROR(__xludf.DUMMYFUNCTION("""COMPUTED_VALUE"""),"Conf By Naveen Kadyan")</f>
        <v>Conf By Naveen Kadyan</v>
      </c>
    </row>
    <row r="529">
      <c r="A529" s="31" t="str">
        <f>IFERROR(__xludf.DUMMYFUNCTION("""COMPUTED_VALUE"""),"shubham.agrawal@zupee.in")</f>
        <v>shubham.agrawal@zupee.in</v>
      </c>
      <c r="B529" s="31" t="str">
        <f>IFERROR(__xludf.DUMMYFUNCTION("""COMPUTED_VALUE"""),"NOT_FOUND")</f>
        <v>NOT_FOUND</v>
      </c>
      <c r="C529" s="31" t="str">
        <f>IFERROR(__xludf.DUMMYFUNCTION("""COMPUTED_VALUE"""),"User not found")</f>
        <v>User not found</v>
      </c>
      <c r="D529" s="31" t="str">
        <f>IFERROR(__xludf.DUMMYFUNCTION("""COMPUTED_VALUE"""),"Revoked")</f>
        <v>Revoked</v>
      </c>
      <c r="E529" s="31" t="str">
        <f>IFERROR(__xludf.DUMMYFUNCTION("""COMPUTED_VALUE"""),"itservices@zupee.in ")</f>
        <v>itservices@zupee.in </v>
      </c>
      <c r="F529" s="31" t="str">
        <f>IFERROR(__xludf.DUMMYFUNCTION("""COMPUTED_VALUE"""),"Done")</f>
        <v>Done</v>
      </c>
      <c r="G529" s="31" t="str">
        <f>IFERROR(__xludf.DUMMYFUNCTION("""COMPUTED_VALUE"""),"No-Need")</f>
        <v>No-Need</v>
      </c>
      <c r="H529" s="31" t="str">
        <f>IFERROR(__xludf.DUMMYFUNCTION("""COMPUTED_VALUE"""),"No-Need")</f>
        <v>No-Need</v>
      </c>
      <c r="I529" s="31" t="str">
        <f>IFERROR(__xludf.DUMMYFUNCTION("""COMPUTED_VALUE"""),"Product")</f>
        <v>Product</v>
      </c>
      <c r="J529" s="103">
        <f>IFERROR(__xludf.DUMMYFUNCTION("""COMPUTED_VALUE"""),46072.0)</f>
        <v>46072</v>
      </c>
      <c r="K529" s="31" t="str">
        <f>IFERROR(__xludf.DUMMYFUNCTION("""COMPUTED_VALUE"""),"Conf By Naveen Kadyan")</f>
        <v>Conf By Naveen Kadyan</v>
      </c>
    </row>
    <row r="530">
      <c r="A530" s="31" t="str">
        <f>IFERROR(__xludf.DUMMYFUNCTION("""COMPUTED_VALUE"""),"urvashi.matta@zupee.in")</f>
        <v>urvashi.matta@zupee.in</v>
      </c>
      <c r="B530" s="31" t="str">
        <f>IFERROR(__xludf.DUMMYFUNCTION("""COMPUTED_VALUE"""),"NOT_FOUND")</f>
        <v>NOT_FOUND</v>
      </c>
      <c r="C530" s="31" t="str">
        <f>IFERROR(__xludf.DUMMYFUNCTION("""COMPUTED_VALUE"""),"User not found")</f>
        <v>User not found</v>
      </c>
      <c r="D530" s="31" t="str">
        <f>IFERROR(__xludf.DUMMYFUNCTION("""COMPUTED_VALUE"""),"Revoked")</f>
        <v>Revoked</v>
      </c>
      <c r="E530" s="31" t="str">
        <f>IFERROR(__xludf.DUMMYFUNCTION("""COMPUTED_VALUE"""),"itservices@zupee.in ")</f>
        <v>itservices@zupee.in </v>
      </c>
      <c r="F530" s="31" t="str">
        <f>IFERROR(__xludf.DUMMYFUNCTION("""COMPUTED_VALUE"""),"Done")</f>
        <v>Done</v>
      </c>
      <c r="G530" s="31" t="str">
        <f>IFERROR(__xludf.DUMMYFUNCTION("""COMPUTED_VALUE"""),"No-Need")</f>
        <v>No-Need</v>
      </c>
      <c r="H530" s="31" t="str">
        <f>IFERROR(__xludf.DUMMYFUNCTION("""COMPUTED_VALUE"""),"No-Need")</f>
        <v>No-Need</v>
      </c>
      <c r="I530" s="31" t="str">
        <f>IFERROR(__xludf.DUMMYFUNCTION("""COMPUTED_VALUE"""),"Product")</f>
        <v>Product</v>
      </c>
      <c r="J530" s="103">
        <f>IFERROR(__xludf.DUMMYFUNCTION("""COMPUTED_VALUE"""),46072.0)</f>
        <v>46072</v>
      </c>
      <c r="K530" s="31" t="str">
        <f>IFERROR(__xludf.DUMMYFUNCTION("""COMPUTED_VALUE"""),"Conf By Naveen Kadyan")</f>
        <v>Conf By Naveen Kadyan</v>
      </c>
    </row>
    <row r="531">
      <c r="A531" s="31" t="str">
        <f>IFERROR(__xludf.DUMMYFUNCTION("""COMPUTED_VALUE"""),"vaibhav.binaykiya@zupee.in")</f>
        <v>vaibhav.binaykiya@zupee.in</v>
      </c>
      <c r="B531" s="31" t="str">
        <f>IFERROR(__xludf.DUMMYFUNCTION("""COMPUTED_VALUE"""),"NOT_FOUND")</f>
        <v>NOT_FOUND</v>
      </c>
      <c r="C531" s="31" t="str">
        <f>IFERROR(__xludf.DUMMYFUNCTION("""COMPUTED_VALUE"""),"User not found")</f>
        <v>User not found</v>
      </c>
      <c r="D531" s="31" t="str">
        <f>IFERROR(__xludf.DUMMYFUNCTION("""COMPUTED_VALUE"""),"Revoked")</f>
        <v>Revoked</v>
      </c>
      <c r="E531" s="31" t="str">
        <f>IFERROR(__xludf.DUMMYFUNCTION("""COMPUTED_VALUE"""),"itservices@zupee.in ")</f>
        <v>itservices@zupee.in </v>
      </c>
      <c r="F531" s="31" t="str">
        <f>IFERROR(__xludf.DUMMYFUNCTION("""COMPUTED_VALUE"""),"Done")</f>
        <v>Done</v>
      </c>
      <c r="G531" s="31" t="str">
        <f>IFERROR(__xludf.DUMMYFUNCTION("""COMPUTED_VALUE"""),"No-Need")</f>
        <v>No-Need</v>
      </c>
      <c r="H531" s="31" t="str">
        <f>IFERROR(__xludf.DUMMYFUNCTION("""COMPUTED_VALUE"""),"No-Need")</f>
        <v>No-Need</v>
      </c>
      <c r="I531" s="31" t="str">
        <f>IFERROR(__xludf.DUMMYFUNCTION("""COMPUTED_VALUE"""),"Product")</f>
        <v>Product</v>
      </c>
      <c r="J531" s="103">
        <f>IFERROR(__xludf.DUMMYFUNCTION("""COMPUTED_VALUE"""),46072.0)</f>
        <v>46072</v>
      </c>
      <c r="K531" s="31" t="str">
        <f>IFERROR(__xludf.DUMMYFUNCTION("""COMPUTED_VALUE"""),"Conf By Naveen Kadyan")</f>
        <v>Conf By Naveen Kadyan</v>
      </c>
    </row>
    <row r="532">
      <c r="A532" s="31" t="str">
        <f>IFERROR(__xludf.DUMMYFUNCTION("""COMPUTED_VALUE"""),"divyanshu.rastogi@zupee.in")</f>
        <v>divyanshu.rastogi@zupee.in</v>
      </c>
      <c r="B532" s="31" t="str">
        <f>IFERROR(__xludf.DUMMYFUNCTION("""COMPUTED_VALUE"""),"NOT_FOUND")</f>
        <v>NOT_FOUND</v>
      </c>
      <c r="C532" s="31" t="str">
        <f>IFERROR(__xludf.DUMMYFUNCTION("""COMPUTED_VALUE"""),"User not found")</f>
        <v>User not found</v>
      </c>
      <c r="D532" s="31" t="str">
        <f>IFERROR(__xludf.DUMMYFUNCTION("""COMPUTED_VALUE"""),"Revoked")</f>
        <v>Revoked</v>
      </c>
      <c r="E532" s="31" t="str">
        <f>IFERROR(__xludf.DUMMYFUNCTION("""COMPUTED_VALUE"""),"itservices@zupee.in ")</f>
        <v>itservices@zupee.in </v>
      </c>
      <c r="F532" s="31" t="str">
        <f>IFERROR(__xludf.DUMMYFUNCTION("""COMPUTED_VALUE"""),"Done")</f>
        <v>Done</v>
      </c>
      <c r="G532" s="31" t="str">
        <f>IFERROR(__xludf.DUMMYFUNCTION("""COMPUTED_VALUE"""),"No-Need")</f>
        <v>No-Need</v>
      </c>
      <c r="H532" s="31" t="str">
        <f>IFERROR(__xludf.DUMMYFUNCTION("""COMPUTED_VALUE"""),"No-Need")</f>
        <v>No-Need</v>
      </c>
      <c r="I532" s="31" t="str">
        <f>IFERROR(__xludf.DUMMYFUNCTION("""COMPUTED_VALUE"""),"Product")</f>
        <v>Product</v>
      </c>
      <c r="J532" s="103">
        <f>IFERROR(__xludf.DUMMYFUNCTION("""COMPUTED_VALUE"""),46072.0)</f>
        <v>46072</v>
      </c>
      <c r="K532" s="31" t="str">
        <f>IFERROR(__xludf.DUMMYFUNCTION("""COMPUTED_VALUE"""),"Conf By Naveen Kadyan")</f>
        <v>Conf By Naveen Kadyan</v>
      </c>
    </row>
    <row r="533">
      <c r="A533" s="31" t="str">
        <f>IFERROR(__xludf.DUMMYFUNCTION("""COMPUTED_VALUE"""),"ranu.gupta@zupee.in")</f>
        <v>ranu.gupta@zupee.in</v>
      </c>
      <c r="B533" s="31" t="str">
        <f>IFERROR(__xludf.DUMMYFUNCTION("""COMPUTED_VALUE"""),"NOT_FOUND")</f>
        <v>NOT_FOUND</v>
      </c>
      <c r="C533" s="31" t="str">
        <f>IFERROR(__xludf.DUMMYFUNCTION("""COMPUTED_VALUE"""),"User not found")</f>
        <v>User not found</v>
      </c>
      <c r="D533" s="31" t="str">
        <f>IFERROR(__xludf.DUMMYFUNCTION("""COMPUTED_VALUE"""),"Revoked")</f>
        <v>Revoked</v>
      </c>
      <c r="E533" s="31" t="str">
        <f>IFERROR(__xludf.DUMMYFUNCTION("""COMPUTED_VALUE"""),"akshay.gulati@zupee.in")</f>
        <v>akshay.gulati@zupee.in</v>
      </c>
      <c r="F533" s="31" t="str">
        <f>IFERROR(__xludf.DUMMYFUNCTION("""COMPUTED_VALUE"""),"Done")</f>
        <v>Done</v>
      </c>
      <c r="G533" s="31" t="str">
        <f>IFERROR(__xludf.DUMMYFUNCTION("""COMPUTED_VALUE"""),"No-Need")</f>
        <v>No-Need</v>
      </c>
      <c r="H533" s="31" t="str">
        <f>IFERROR(__xludf.DUMMYFUNCTION("""COMPUTED_VALUE"""),"No-Need")</f>
        <v>No-Need</v>
      </c>
      <c r="I533" s="31" t="str">
        <f>IFERROR(__xludf.DUMMYFUNCTION("""COMPUTED_VALUE"""),"Producd")</f>
        <v>Producd</v>
      </c>
      <c r="J533" s="103">
        <f>IFERROR(__xludf.DUMMYFUNCTION("""COMPUTED_VALUE"""),46072.0)</f>
        <v>46072</v>
      </c>
      <c r="K533" s="31" t="str">
        <f>IFERROR(__xludf.DUMMYFUNCTION("""COMPUTED_VALUE"""),"Conf By Naveen Kadyan")</f>
        <v>Conf By Naveen Kadyan</v>
      </c>
    </row>
    <row r="534">
      <c r="A534" s="31" t="str">
        <f>IFERROR(__xludf.DUMMYFUNCTION("""COMPUTED_VALUE"""),"abhishek.srivastava@zupee.in")</f>
        <v>abhishek.srivastava@zupee.in</v>
      </c>
      <c r="B534" s="31" t="str">
        <f>IFERROR(__xludf.DUMMYFUNCTION("""COMPUTED_VALUE"""),"NOT_FOUND")</f>
        <v>NOT_FOUND</v>
      </c>
      <c r="C534" s="31" t="str">
        <f>IFERROR(__xludf.DUMMYFUNCTION("""COMPUTED_VALUE"""),"User not found")</f>
        <v>User not found</v>
      </c>
      <c r="D534" s="31" t="str">
        <f>IFERROR(__xludf.DUMMYFUNCTION("""COMPUTED_VALUE"""),"Revoked")</f>
        <v>Revoked</v>
      </c>
      <c r="E534" s="31" t="str">
        <f>IFERROR(__xludf.DUMMYFUNCTION("""COMPUTED_VALUE"""),"aarti.luthra@zupee.in")</f>
        <v>aarti.luthra@zupee.in</v>
      </c>
      <c r="F534" s="31" t="str">
        <f>IFERROR(__xludf.DUMMYFUNCTION("""COMPUTED_VALUE"""),"Done")</f>
        <v>Done</v>
      </c>
      <c r="G534" s="31" t="str">
        <f>IFERROR(__xludf.DUMMYFUNCTION("""COMPUTED_VALUE"""),"No-Need")</f>
        <v>No-Need</v>
      </c>
      <c r="H534" s="31" t="str">
        <f>IFERROR(__xludf.DUMMYFUNCTION("""COMPUTED_VALUE"""),"No-Need")</f>
        <v>No-Need</v>
      </c>
      <c r="I534" s="31" t="str">
        <f>IFERROR(__xludf.DUMMYFUNCTION("""COMPUTED_VALUE"""),"Product Design")</f>
        <v>Product Design</v>
      </c>
      <c r="J534" s="103">
        <f>IFERROR(__xludf.DUMMYFUNCTION("""COMPUTED_VALUE"""),46072.0)</f>
        <v>46072</v>
      </c>
      <c r="K534" s="31" t="str">
        <f>IFERROR(__xludf.DUMMYFUNCTION("""COMPUTED_VALUE"""),"Conf By Aarti Luthra")</f>
        <v>Conf By Aarti Luthra</v>
      </c>
    </row>
    <row r="535">
      <c r="A535" s="31" t="str">
        <f>IFERROR(__xludf.DUMMYFUNCTION("""COMPUTED_VALUE"""),"amit.sutar@zupee.in")</f>
        <v>amit.sutar@zupee.in</v>
      </c>
      <c r="B535" s="31" t="str">
        <f>IFERROR(__xludf.DUMMYFUNCTION("""COMPUTED_VALUE"""),"NOT_FOUND")</f>
        <v>NOT_FOUND</v>
      </c>
      <c r="C535" s="31" t="str">
        <f>IFERROR(__xludf.DUMMYFUNCTION("""COMPUTED_VALUE"""),"User not found")</f>
        <v>User not found</v>
      </c>
      <c r="D535" s="31" t="str">
        <f>IFERROR(__xludf.DUMMYFUNCTION("""COMPUTED_VALUE"""),"Revoked")</f>
        <v>Revoked</v>
      </c>
      <c r="E535" s="31" t="str">
        <f>IFERROR(__xludf.DUMMYFUNCTION("""COMPUTED_VALUE"""),"ishu.sharma@zupee.in")</f>
        <v>ishu.sharma@zupee.in</v>
      </c>
      <c r="F535" s="31" t="str">
        <f>IFERROR(__xludf.DUMMYFUNCTION("""COMPUTED_VALUE"""),"Done")</f>
        <v>Done</v>
      </c>
      <c r="G535" s="31" t="str">
        <f>IFERROR(__xludf.DUMMYFUNCTION("""COMPUTED_VALUE"""),"No-Need")</f>
        <v>No-Need</v>
      </c>
      <c r="H535" s="31" t="str">
        <f>IFERROR(__xludf.DUMMYFUNCTION("""COMPUTED_VALUE"""),"No-Need")</f>
        <v>No-Need</v>
      </c>
      <c r="I535" s="31" t="str">
        <f>IFERROR(__xludf.DUMMYFUNCTION("""COMPUTED_VALUE"""),"Product Design")</f>
        <v>Product Design</v>
      </c>
      <c r="J535" s="103">
        <f>IFERROR(__xludf.DUMMYFUNCTION("""COMPUTED_VALUE"""),46072.0)</f>
        <v>46072</v>
      </c>
      <c r="K535" s="31" t="str">
        <f>IFERROR(__xludf.DUMMYFUNCTION("""COMPUTED_VALUE"""),"Conf By Aarti Luthra")</f>
        <v>Conf By Aarti Luthra</v>
      </c>
    </row>
    <row r="536">
      <c r="A536" s="31" t="str">
        <f>IFERROR(__xludf.DUMMYFUNCTION("""COMPUTED_VALUE"""),"kulvinder.singh@zupee.in")</f>
        <v>kulvinder.singh@zupee.in</v>
      </c>
      <c r="B536" s="31" t="str">
        <f>IFERROR(__xludf.DUMMYFUNCTION("""COMPUTED_VALUE"""),"NOT_FOUND")</f>
        <v>NOT_FOUND</v>
      </c>
      <c r="C536" s="31" t="str">
        <f>IFERROR(__xludf.DUMMYFUNCTION("""COMPUTED_VALUE"""),"User not found")</f>
        <v>User not found</v>
      </c>
      <c r="D536" s="31" t="str">
        <f>IFERROR(__xludf.DUMMYFUNCTION("""COMPUTED_VALUE"""),"Revoked")</f>
        <v>Revoked</v>
      </c>
      <c r="E536" s="31" t="str">
        <f>IFERROR(__xludf.DUMMYFUNCTION("""COMPUTED_VALUE"""),"itservices@zupee.in ")</f>
        <v>itservices@zupee.in </v>
      </c>
      <c r="F536" s="31" t="str">
        <f>IFERROR(__xludf.DUMMYFUNCTION("""COMPUTED_VALUE"""),"No-Need")</f>
        <v>No-Need</v>
      </c>
      <c r="G536" s="31" t="str">
        <f>IFERROR(__xludf.DUMMYFUNCTION("""COMPUTED_VALUE"""),"No-Need")</f>
        <v>No-Need</v>
      </c>
      <c r="H536" s="31" t="str">
        <f>IFERROR(__xludf.DUMMYFUNCTION("""COMPUTED_VALUE"""),"No-Need")</f>
        <v>No-Need</v>
      </c>
      <c r="I536" s="31" t="str">
        <f>IFERROR(__xludf.DUMMYFUNCTION("""COMPUTED_VALUE"""),"Product Design")</f>
        <v>Product Design</v>
      </c>
      <c r="J536" s="103">
        <f>IFERROR(__xludf.DUMMYFUNCTION("""COMPUTED_VALUE"""),46072.0)</f>
        <v>46072</v>
      </c>
      <c r="K536" s="31" t="str">
        <f>IFERROR(__xludf.DUMMYFUNCTION("""COMPUTED_VALUE"""),"Conf By Aarti Luthra")</f>
        <v>Conf By Aarti Luthra</v>
      </c>
    </row>
    <row r="537">
      <c r="A537" s="31" t="str">
        <f>IFERROR(__xludf.DUMMYFUNCTION("""COMPUTED_VALUE"""),"rajan.jayaswal@zupee.in")</f>
        <v>rajan.jayaswal@zupee.in</v>
      </c>
      <c r="B537" s="31" t="str">
        <f>IFERROR(__xludf.DUMMYFUNCTION("""COMPUTED_VALUE"""),"NOT_FOUND")</f>
        <v>NOT_FOUND</v>
      </c>
      <c r="C537" s="31" t="str">
        <f>IFERROR(__xludf.DUMMYFUNCTION("""COMPUTED_VALUE"""),"User not found")</f>
        <v>User not found</v>
      </c>
      <c r="D537" s="31" t="str">
        <f>IFERROR(__xludf.DUMMYFUNCTION("""COMPUTED_VALUE"""),"Revoked")</f>
        <v>Revoked</v>
      </c>
      <c r="E537" s="31" t="str">
        <f>IFERROR(__xludf.DUMMYFUNCTION("""COMPUTED_VALUE"""),"aarti.luthra@zupee.in")</f>
        <v>aarti.luthra@zupee.in</v>
      </c>
      <c r="F537" s="31" t="str">
        <f>IFERROR(__xludf.DUMMYFUNCTION("""COMPUTED_VALUE"""),"Done")</f>
        <v>Done</v>
      </c>
      <c r="G537" s="31" t="str">
        <f>IFERROR(__xludf.DUMMYFUNCTION("""COMPUTED_VALUE"""),"No-Need")</f>
        <v>No-Need</v>
      </c>
      <c r="H537" s="31" t="str">
        <f>IFERROR(__xludf.DUMMYFUNCTION("""COMPUTED_VALUE"""),"No-Need")</f>
        <v>No-Need</v>
      </c>
      <c r="I537" s="31" t="str">
        <f>IFERROR(__xludf.DUMMYFUNCTION("""COMPUTED_VALUE"""),"Product Design")</f>
        <v>Product Design</v>
      </c>
      <c r="J537" s="103">
        <f>IFERROR(__xludf.DUMMYFUNCTION("""COMPUTED_VALUE"""),46072.0)</f>
        <v>46072</v>
      </c>
      <c r="K537" s="31" t="str">
        <f>IFERROR(__xludf.DUMMYFUNCTION("""COMPUTED_VALUE"""),"Conf By Aarti Luthra")</f>
        <v>Conf By Aarti Luthra</v>
      </c>
    </row>
    <row r="538">
      <c r="A538" s="31" t="str">
        <f>IFERROR(__xludf.DUMMYFUNCTION("""COMPUTED_VALUE"""),"rishabhpratap.singh@zupee.in")</f>
        <v>rishabhpratap.singh@zupee.in</v>
      </c>
      <c r="B538" s="31" t="str">
        <f>IFERROR(__xludf.DUMMYFUNCTION("""COMPUTED_VALUE"""),"NOT_FOUND")</f>
        <v>NOT_FOUND</v>
      </c>
      <c r="C538" s="31" t="str">
        <f>IFERROR(__xludf.DUMMYFUNCTION("""COMPUTED_VALUE"""),"User not found")</f>
        <v>User not found</v>
      </c>
      <c r="D538" s="31" t="str">
        <f>IFERROR(__xludf.DUMMYFUNCTION("""COMPUTED_VALUE"""),"Revoked")</f>
        <v>Revoked</v>
      </c>
      <c r="E538" s="31" t="str">
        <f>IFERROR(__xludf.DUMMYFUNCTION("""COMPUTED_VALUE"""),"ishu.sharma@zupee.in")</f>
        <v>ishu.sharma@zupee.in</v>
      </c>
      <c r="F538" s="31" t="str">
        <f>IFERROR(__xludf.DUMMYFUNCTION("""COMPUTED_VALUE"""),"Done")</f>
        <v>Done</v>
      </c>
      <c r="G538" s="31" t="str">
        <f>IFERROR(__xludf.DUMMYFUNCTION("""COMPUTED_VALUE"""),"No-Need")</f>
        <v>No-Need</v>
      </c>
      <c r="H538" s="31" t="str">
        <f>IFERROR(__xludf.DUMMYFUNCTION("""COMPUTED_VALUE"""),"No-Need")</f>
        <v>No-Need</v>
      </c>
      <c r="I538" s="31" t="str">
        <f>IFERROR(__xludf.DUMMYFUNCTION("""COMPUTED_VALUE"""),"Product Design")</f>
        <v>Product Design</v>
      </c>
      <c r="J538" s="103">
        <f>IFERROR(__xludf.DUMMYFUNCTION("""COMPUTED_VALUE"""),46072.0)</f>
        <v>46072</v>
      </c>
      <c r="K538" s="31" t="str">
        <f>IFERROR(__xludf.DUMMYFUNCTION("""COMPUTED_VALUE"""),"Conf By Aarti Luthra")</f>
        <v>Conf By Aarti Luthra</v>
      </c>
    </row>
    <row r="539">
      <c r="A539" s="31" t="str">
        <f>IFERROR(__xludf.DUMMYFUNCTION("""COMPUTED_VALUE"""),"shreya.dwivedi@zupee.in")</f>
        <v>shreya.dwivedi@zupee.in</v>
      </c>
      <c r="B539" s="31" t="str">
        <f>IFERROR(__xludf.DUMMYFUNCTION("""COMPUTED_VALUE"""),"NOT_FOUND")</f>
        <v>NOT_FOUND</v>
      </c>
      <c r="C539" s="31" t="str">
        <f>IFERROR(__xludf.DUMMYFUNCTION("""COMPUTED_VALUE"""),"User not found")</f>
        <v>User not found</v>
      </c>
      <c r="D539" s="31" t="str">
        <f>IFERROR(__xludf.DUMMYFUNCTION("""COMPUTED_VALUE"""),"Revoked")</f>
        <v>Revoked</v>
      </c>
      <c r="E539" s="31" t="str">
        <f>IFERROR(__xludf.DUMMYFUNCTION("""COMPUTED_VALUE"""),"itservices@zupee.in ")</f>
        <v>itservices@zupee.in </v>
      </c>
      <c r="F539" s="31" t="str">
        <f>IFERROR(__xludf.DUMMYFUNCTION("""COMPUTED_VALUE"""),"No-Need")</f>
        <v>No-Need</v>
      </c>
      <c r="G539" s="31" t="str">
        <f>IFERROR(__xludf.DUMMYFUNCTION("""COMPUTED_VALUE"""),"No-Need")</f>
        <v>No-Need</v>
      </c>
      <c r="H539" s="31" t="str">
        <f>IFERROR(__xludf.DUMMYFUNCTION("""COMPUTED_VALUE"""),"No-Need")</f>
        <v>No-Need</v>
      </c>
      <c r="I539" s="31" t="str">
        <f>IFERROR(__xludf.DUMMYFUNCTION("""COMPUTED_VALUE"""),"Product Design")</f>
        <v>Product Design</v>
      </c>
      <c r="J539" s="103">
        <f>IFERROR(__xludf.DUMMYFUNCTION("""COMPUTED_VALUE"""),46072.0)</f>
        <v>46072</v>
      </c>
      <c r="K539" s="31" t="str">
        <f>IFERROR(__xludf.DUMMYFUNCTION("""COMPUTED_VALUE"""),"Conf By Aarti Luthra")</f>
        <v>Conf By Aarti Luthra</v>
      </c>
    </row>
    <row r="540">
      <c r="A540" s="31" t="str">
        <f>IFERROR(__xludf.DUMMYFUNCTION("""COMPUTED_VALUE"""),"vishnu.khowal@zupee.in")</f>
        <v>vishnu.khowal@zupee.in</v>
      </c>
      <c r="B540" s="31" t="str">
        <f>IFERROR(__xludf.DUMMYFUNCTION("""COMPUTED_VALUE"""),"NOT_FOUND")</f>
        <v>NOT_FOUND</v>
      </c>
      <c r="C540" s="31" t="str">
        <f>IFERROR(__xludf.DUMMYFUNCTION("""COMPUTED_VALUE"""),"User not found")</f>
        <v>User not found</v>
      </c>
      <c r="D540" s="31" t="str">
        <f>IFERROR(__xludf.DUMMYFUNCTION("""COMPUTED_VALUE"""),"Revoked")</f>
        <v>Revoked</v>
      </c>
      <c r="E540" s="31" t="str">
        <f>IFERROR(__xludf.DUMMYFUNCTION("""COMPUTED_VALUE"""),"aarti.luthra@zupee.in")</f>
        <v>aarti.luthra@zupee.in</v>
      </c>
      <c r="F540" s="31" t="str">
        <f>IFERROR(__xludf.DUMMYFUNCTION("""COMPUTED_VALUE"""),"Done")</f>
        <v>Done</v>
      </c>
      <c r="G540" s="31" t="str">
        <f>IFERROR(__xludf.DUMMYFUNCTION("""COMPUTED_VALUE"""),"No-Need")</f>
        <v>No-Need</v>
      </c>
      <c r="H540" s="31" t="str">
        <f>IFERROR(__xludf.DUMMYFUNCTION("""COMPUTED_VALUE"""),"No-Need")</f>
        <v>No-Need</v>
      </c>
      <c r="I540" s="31" t="str">
        <f>IFERROR(__xludf.DUMMYFUNCTION("""COMPUTED_VALUE"""),"Product Design")</f>
        <v>Product Design</v>
      </c>
      <c r="J540" s="103">
        <f>IFERROR(__xludf.DUMMYFUNCTION("""COMPUTED_VALUE"""),46072.0)</f>
        <v>46072</v>
      </c>
      <c r="K540" s="31" t="str">
        <f>IFERROR(__xludf.DUMMYFUNCTION("""COMPUTED_VALUE"""),"Conf By Aarti Luthra")</f>
        <v>Conf By Aarti Luthra</v>
      </c>
    </row>
    <row r="541">
      <c r="A541" s="31" t="str">
        <f>IFERROR(__xludf.DUMMYFUNCTION("""COMPUTED_VALUE"""),"a.reddy@zupee.in")</f>
        <v>a.reddy@zupee.in</v>
      </c>
      <c r="B541" s="31" t="str">
        <f>IFERROR(__xludf.DUMMYFUNCTION("""COMPUTED_VALUE"""),"NOT_FOUND")</f>
        <v>NOT_FOUND</v>
      </c>
      <c r="C541" s="31" t="str">
        <f>IFERROR(__xludf.DUMMYFUNCTION("""COMPUTED_VALUE"""),"User not found")</f>
        <v>User not found</v>
      </c>
      <c r="D541" s="31" t="str">
        <f>IFERROR(__xludf.DUMMYFUNCTION("""COMPUTED_VALUE"""),"Revoked")</f>
        <v>Revoked</v>
      </c>
      <c r="E541" s="31" t="str">
        <f>IFERROR(__xludf.DUMMYFUNCTION("""COMPUTED_VALUE"""),"itservices@zupee.in ")</f>
        <v>itservices@zupee.in </v>
      </c>
      <c r="F541" s="31" t="str">
        <f>IFERROR(__xludf.DUMMYFUNCTION("""COMPUTED_VALUE"""),"Done")</f>
        <v>Done</v>
      </c>
      <c r="G541" s="31" t="str">
        <f>IFERROR(__xludf.DUMMYFUNCTION("""COMPUTED_VALUE"""),"No-Need")</f>
        <v>No-Need</v>
      </c>
      <c r="H541" s="31" t="str">
        <f>IFERROR(__xludf.DUMMYFUNCTION("""COMPUTED_VALUE"""),"No-Need")</f>
        <v>No-Need</v>
      </c>
      <c r="I541" s="31" t="str">
        <f>IFERROR(__xludf.DUMMYFUNCTION("""COMPUTED_VALUE"""),"Data")</f>
        <v>Data</v>
      </c>
      <c r="J541" s="103">
        <f>IFERROR(__xludf.DUMMYFUNCTION("""COMPUTED_VALUE"""),46072.0)</f>
        <v>46072</v>
      </c>
      <c r="K541" s="31" t="str">
        <f>IFERROR(__xludf.DUMMYFUNCTION("""COMPUTED_VALUE"""),"Conf By Naveen Kadyan")</f>
        <v>Conf By Naveen Kadyan</v>
      </c>
    </row>
    <row r="542">
      <c r="A542" s="31" t="str">
        <f>IFERROR(__xludf.DUMMYFUNCTION("""COMPUTED_VALUE"""),"abhishek.bajiya@zupee.in")</f>
        <v>abhishek.bajiya@zupee.in</v>
      </c>
      <c r="B542" s="31" t="str">
        <f>IFERROR(__xludf.DUMMYFUNCTION("""COMPUTED_VALUE"""),"NOT_FOUND")</f>
        <v>NOT_FOUND</v>
      </c>
      <c r="C542" s="31" t="str">
        <f>IFERROR(__xludf.DUMMYFUNCTION("""COMPUTED_VALUE"""),"User not found")</f>
        <v>User not found</v>
      </c>
      <c r="D542" s="31" t="str">
        <f>IFERROR(__xludf.DUMMYFUNCTION("""COMPUTED_VALUE"""),"Revoked")</f>
        <v>Revoked</v>
      </c>
      <c r="E542" s="31" t="str">
        <f>IFERROR(__xludf.DUMMYFUNCTION("""COMPUTED_VALUE"""),"itservices@zupee.in ")</f>
        <v>itservices@zupee.in </v>
      </c>
      <c r="F542" s="31" t="str">
        <f>IFERROR(__xludf.DUMMYFUNCTION("""COMPUTED_VALUE"""),"Done")</f>
        <v>Done</v>
      </c>
      <c r="G542" s="31" t="str">
        <f>IFERROR(__xludf.DUMMYFUNCTION("""COMPUTED_VALUE"""),"No-Need")</f>
        <v>No-Need</v>
      </c>
      <c r="H542" s="31" t="str">
        <f>IFERROR(__xludf.DUMMYFUNCTION("""COMPUTED_VALUE"""),"No-Need")</f>
        <v>No-Need</v>
      </c>
      <c r="I542" s="31" t="str">
        <f>IFERROR(__xludf.DUMMYFUNCTION("""COMPUTED_VALUE"""),"Data")</f>
        <v>Data</v>
      </c>
      <c r="J542" s="103">
        <f>IFERROR(__xludf.DUMMYFUNCTION("""COMPUTED_VALUE"""),46072.0)</f>
        <v>46072</v>
      </c>
      <c r="K542" s="31" t="str">
        <f>IFERROR(__xludf.DUMMYFUNCTION("""COMPUTED_VALUE"""),"Conf By Naveen Kadyan")</f>
        <v>Conf By Naveen Kadyan</v>
      </c>
    </row>
    <row r="543">
      <c r="A543" s="31" t="str">
        <f>IFERROR(__xludf.DUMMYFUNCTION("""COMPUTED_VALUE"""),"aditya.tamta@zupee.in")</f>
        <v>aditya.tamta@zupee.in</v>
      </c>
      <c r="B543" s="31" t="str">
        <f>IFERROR(__xludf.DUMMYFUNCTION("""COMPUTED_VALUE"""),"NOT_FOUND")</f>
        <v>NOT_FOUND</v>
      </c>
      <c r="C543" s="31" t="str">
        <f>IFERROR(__xludf.DUMMYFUNCTION("""COMPUTED_VALUE"""),"User not found")</f>
        <v>User not found</v>
      </c>
      <c r="D543" s="31" t="str">
        <f>IFERROR(__xludf.DUMMYFUNCTION("""COMPUTED_VALUE"""),"Revoked")</f>
        <v>Revoked</v>
      </c>
      <c r="E543" s="31" t="str">
        <f>IFERROR(__xludf.DUMMYFUNCTION("""COMPUTED_VALUE"""),"itservices@zupee.in ")</f>
        <v>itservices@zupee.in </v>
      </c>
      <c r="F543" s="31" t="str">
        <f>IFERROR(__xludf.DUMMYFUNCTION("""COMPUTED_VALUE"""),"Done")</f>
        <v>Done</v>
      </c>
      <c r="G543" s="31" t="str">
        <f>IFERROR(__xludf.DUMMYFUNCTION("""COMPUTED_VALUE"""),"No-Need")</f>
        <v>No-Need</v>
      </c>
      <c r="H543" s="31" t="str">
        <f>IFERROR(__xludf.DUMMYFUNCTION("""COMPUTED_VALUE"""),"No-Need")</f>
        <v>No-Need</v>
      </c>
      <c r="I543" s="31" t="str">
        <f>IFERROR(__xludf.DUMMYFUNCTION("""COMPUTED_VALUE"""),"Data")</f>
        <v>Data</v>
      </c>
      <c r="J543" s="103">
        <f>IFERROR(__xludf.DUMMYFUNCTION("""COMPUTED_VALUE"""),46072.0)</f>
        <v>46072</v>
      </c>
      <c r="K543" s="31" t="str">
        <f>IFERROR(__xludf.DUMMYFUNCTION("""COMPUTED_VALUE"""),"Conf By Naveen Kadyan")</f>
        <v>Conf By Naveen Kadyan</v>
      </c>
    </row>
    <row r="544">
      <c r="A544" s="31" t="str">
        <f>IFERROR(__xludf.DUMMYFUNCTION("""COMPUTED_VALUE"""),"aman.maurya1@zupee.in")</f>
        <v>aman.maurya1@zupee.in</v>
      </c>
      <c r="B544" s="31" t="str">
        <f>IFERROR(__xludf.DUMMYFUNCTION("""COMPUTED_VALUE"""),"NOT_FOUND")</f>
        <v>NOT_FOUND</v>
      </c>
      <c r="C544" s="31" t="str">
        <f>IFERROR(__xludf.DUMMYFUNCTION("""COMPUTED_VALUE"""),"User not found")</f>
        <v>User not found</v>
      </c>
      <c r="D544" s="31" t="str">
        <f>IFERROR(__xludf.DUMMYFUNCTION("""COMPUTED_VALUE"""),"Revoked")</f>
        <v>Revoked</v>
      </c>
      <c r="E544" s="31" t="str">
        <f>IFERROR(__xludf.DUMMYFUNCTION("""COMPUTED_VALUE"""),"itservices@zupee.in ")</f>
        <v>itservices@zupee.in </v>
      </c>
      <c r="F544" s="31" t="str">
        <f>IFERROR(__xludf.DUMMYFUNCTION("""COMPUTED_VALUE"""),"Done")</f>
        <v>Done</v>
      </c>
      <c r="G544" s="31" t="str">
        <f>IFERROR(__xludf.DUMMYFUNCTION("""COMPUTED_VALUE"""),"No-Need")</f>
        <v>No-Need</v>
      </c>
      <c r="H544" s="31" t="str">
        <f>IFERROR(__xludf.DUMMYFUNCTION("""COMPUTED_VALUE"""),"No-Need")</f>
        <v>No-Need</v>
      </c>
      <c r="I544" s="31" t="str">
        <f>IFERROR(__xludf.DUMMYFUNCTION("""COMPUTED_VALUE"""),"Data")</f>
        <v>Data</v>
      </c>
      <c r="J544" s="103">
        <f>IFERROR(__xludf.DUMMYFUNCTION("""COMPUTED_VALUE"""),46072.0)</f>
        <v>46072</v>
      </c>
      <c r="K544" s="31" t="str">
        <f>IFERROR(__xludf.DUMMYFUNCTION("""COMPUTED_VALUE"""),"Conf By Naveen Kadyan")</f>
        <v>Conf By Naveen Kadyan</v>
      </c>
    </row>
    <row r="545">
      <c r="A545" s="31" t="str">
        <f>IFERROR(__xludf.DUMMYFUNCTION("""COMPUTED_VALUE"""),"ambika.g@zupee.in")</f>
        <v>ambika.g@zupee.in</v>
      </c>
      <c r="B545" s="31" t="str">
        <f>IFERROR(__xludf.DUMMYFUNCTION("""COMPUTED_VALUE"""),"NOT_FOUND")</f>
        <v>NOT_FOUND</v>
      </c>
      <c r="C545" s="31" t="str">
        <f>IFERROR(__xludf.DUMMYFUNCTION("""COMPUTED_VALUE"""),"User not found")</f>
        <v>User not found</v>
      </c>
      <c r="D545" s="31" t="str">
        <f>IFERROR(__xludf.DUMMYFUNCTION("""COMPUTED_VALUE"""),"Revoked")</f>
        <v>Revoked</v>
      </c>
      <c r="E545" s="31" t="str">
        <f>IFERROR(__xludf.DUMMYFUNCTION("""COMPUTED_VALUE"""),"itservices@zupee.in ")</f>
        <v>itservices@zupee.in </v>
      </c>
      <c r="F545" s="31" t="str">
        <f>IFERROR(__xludf.DUMMYFUNCTION("""COMPUTED_VALUE"""),"Done")</f>
        <v>Done</v>
      </c>
      <c r="G545" s="31" t="str">
        <f>IFERROR(__xludf.DUMMYFUNCTION("""COMPUTED_VALUE"""),"No-Need")</f>
        <v>No-Need</v>
      </c>
      <c r="H545" s="31" t="str">
        <f>IFERROR(__xludf.DUMMYFUNCTION("""COMPUTED_VALUE"""),"No-Need")</f>
        <v>No-Need</v>
      </c>
      <c r="I545" s="31" t="str">
        <f>IFERROR(__xludf.DUMMYFUNCTION("""COMPUTED_VALUE"""),"Data")</f>
        <v>Data</v>
      </c>
      <c r="J545" s="103">
        <f>IFERROR(__xludf.DUMMYFUNCTION("""COMPUTED_VALUE"""),46072.0)</f>
        <v>46072</v>
      </c>
      <c r="K545" s="31" t="str">
        <f>IFERROR(__xludf.DUMMYFUNCTION("""COMPUTED_VALUE"""),"Conf By Naveen Kadyan")</f>
        <v>Conf By Naveen Kadyan</v>
      </c>
    </row>
    <row r="546">
      <c r="A546" s="31" t="str">
        <f>IFERROR(__xludf.DUMMYFUNCTION("""COMPUTED_VALUE"""),"anand.keshav@zupee.in")</f>
        <v>anand.keshav@zupee.in</v>
      </c>
      <c r="B546" s="31" t="str">
        <f>IFERROR(__xludf.DUMMYFUNCTION("""COMPUTED_VALUE"""),"NOT_FOUND")</f>
        <v>NOT_FOUND</v>
      </c>
      <c r="C546" s="31" t="str">
        <f>IFERROR(__xludf.DUMMYFUNCTION("""COMPUTED_VALUE"""),"User not found")</f>
        <v>User not found</v>
      </c>
      <c r="D546" s="31" t="str">
        <f>IFERROR(__xludf.DUMMYFUNCTION("""COMPUTED_VALUE"""),"Revoked")</f>
        <v>Revoked</v>
      </c>
      <c r="E546" s="31" t="str">
        <f>IFERROR(__xludf.DUMMYFUNCTION("""COMPUTED_VALUE"""),"itservices@zupee.in ")</f>
        <v>itservices@zupee.in </v>
      </c>
      <c r="F546" s="31" t="str">
        <f>IFERROR(__xludf.DUMMYFUNCTION("""COMPUTED_VALUE"""),"Done")</f>
        <v>Done</v>
      </c>
      <c r="G546" s="31" t="str">
        <f>IFERROR(__xludf.DUMMYFUNCTION("""COMPUTED_VALUE"""),"No-Need")</f>
        <v>No-Need</v>
      </c>
      <c r="H546" s="31" t="str">
        <f>IFERROR(__xludf.DUMMYFUNCTION("""COMPUTED_VALUE"""),"No-Need")</f>
        <v>No-Need</v>
      </c>
      <c r="I546" s="31" t="str">
        <f>IFERROR(__xludf.DUMMYFUNCTION("""COMPUTED_VALUE"""),"Data")</f>
        <v>Data</v>
      </c>
      <c r="J546" s="103">
        <f>IFERROR(__xludf.DUMMYFUNCTION("""COMPUTED_VALUE"""),46072.0)</f>
        <v>46072</v>
      </c>
      <c r="K546" s="31" t="str">
        <f>IFERROR(__xludf.DUMMYFUNCTION("""COMPUTED_VALUE"""),"Conf By Naveen Kadyan")</f>
        <v>Conf By Naveen Kadyan</v>
      </c>
    </row>
    <row r="547">
      <c r="A547" s="31" t="str">
        <f>IFERROR(__xludf.DUMMYFUNCTION("""COMPUTED_VALUE"""),"ananya.apurva@zupee.in")</f>
        <v>ananya.apurva@zupee.in</v>
      </c>
      <c r="B547" s="31" t="str">
        <f>IFERROR(__xludf.DUMMYFUNCTION("""COMPUTED_VALUE"""),"NOT_FOUND")</f>
        <v>NOT_FOUND</v>
      </c>
      <c r="C547" s="31" t="str">
        <f>IFERROR(__xludf.DUMMYFUNCTION("""COMPUTED_VALUE"""),"User not found")</f>
        <v>User not found</v>
      </c>
      <c r="D547" s="31" t="str">
        <f>IFERROR(__xludf.DUMMYFUNCTION("""COMPUTED_VALUE"""),"Revoked")</f>
        <v>Revoked</v>
      </c>
      <c r="E547" s="31" t="str">
        <f>IFERROR(__xludf.DUMMYFUNCTION("""COMPUTED_VALUE"""),"itservices@zupee.in ")</f>
        <v>itservices@zupee.in </v>
      </c>
      <c r="F547" s="31" t="str">
        <f>IFERROR(__xludf.DUMMYFUNCTION("""COMPUTED_VALUE"""),"Done")</f>
        <v>Done</v>
      </c>
      <c r="G547" s="31" t="str">
        <f>IFERROR(__xludf.DUMMYFUNCTION("""COMPUTED_VALUE"""),"No-Need")</f>
        <v>No-Need</v>
      </c>
      <c r="H547" s="31" t="str">
        <f>IFERROR(__xludf.DUMMYFUNCTION("""COMPUTED_VALUE"""),"No-Need")</f>
        <v>No-Need</v>
      </c>
      <c r="I547" s="31" t="str">
        <f>IFERROR(__xludf.DUMMYFUNCTION("""COMPUTED_VALUE"""),"Data")</f>
        <v>Data</v>
      </c>
      <c r="J547" s="103">
        <f>IFERROR(__xludf.DUMMYFUNCTION("""COMPUTED_VALUE"""),46072.0)</f>
        <v>46072</v>
      </c>
      <c r="K547" s="31" t="str">
        <f>IFERROR(__xludf.DUMMYFUNCTION("""COMPUTED_VALUE"""),"Conf By Naveen Kadyan")</f>
        <v>Conf By Naveen Kadyan</v>
      </c>
    </row>
    <row r="548">
      <c r="A548" s="31" t="str">
        <f>IFERROR(__xludf.DUMMYFUNCTION("""COMPUTED_VALUE"""),"chakravarthy.thalluri@zupee.in")</f>
        <v>chakravarthy.thalluri@zupee.in</v>
      </c>
      <c r="B548" s="31" t="str">
        <f>IFERROR(__xludf.DUMMYFUNCTION("""COMPUTED_VALUE"""),"NOT_FOUND")</f>
        <v>NOT_FOUND</v>
      </c>
      <c r="C548" s="31" t="str">
        <f>IFERROR(__xludf.DUMMYFUNCTION("""COMPUTED_VALUE"""),"User not found")</f>
        <v>User not found</v>
      </c>
      <c r="D548" s="31" t="str">
        <f>IFERROR(__xludf.DUMMYFUNCTION("""COMPUTED_VALUE"""),"Revoked")</f>
        <v>Revoked</v>
      </c>
      <c r="E548" s="31" t="str">
        <f>IFERROR(__xludf.DUMMYFUNCTION("""COMPUTED_VALUE"""),"itservices@zupee.in ")</f>
        <v>itservices@zupee.in </v>
      </c>
      <c r="F548" s="31" t="str">
        <f>IFERROR(__xludf.DUMMYFUNCTION("""COMPUTED_VALUE"""),"Done")</f>
        <v>Done</v>
      </c>
      <c r="G548" s="31" t="str">
        <f>IFERROR(__xludf.DUMMYFUNCTION("""COMPUTED_VALUE"""),"No-Need")</f>
        <v>No-Need</v>
      </c>
      <c r="H548" s="31" t="str">
        <f>IFERROR(__xludf.DUMMYFUNCTION("""COMPUTED_VALUE"""),"No-Need")</f>
        <v>No-Need</v>
      </c>
      <c r="I548" s="31" t="str">
        <f>IFERROR(__xludf.DUMMYFUNCTION("""COMPUTED_VALUE"""),"Data")</f>
        <v>Data</v>
      </c>
      <c r="J548" s="103">
        <f>IFERROR(__xludf.DUMMYFUNCTION("""COMPUTED_VALUE"""),46072.0)</f>
        <v>46072</v>
      </c>
      <c r="K548" s="31" t="str">
        <f>IFERROR(__xludf.DUMMYFUNCTION("""COMPUTED_VALUE"""),"Conf By Naveen Kadyan")</f>
        <v>Conf By Naveen Kadyan</v>
      </c>
    </row>
    <row r="549">
      <c r="A549" s="31" t="str">
        <f>IFERROR(__xludf.DUMMYFUNCTION("""COMPUTED_VALUE"""),"divakar.garg@zupee.in")</f>
        <v>divakar.garg@zupee.in</v>
      </c>
      <c r="B549" s="31" t="str">
        <f>IFERROR(__xludf.DUMMYFUNCTION("""COMPUTED_VALUE"""),"NOT_FOUND")</f>
        <v>NOT_FOUND</v>
      </c>
      <c r="C549" s="31" t="str">
        <f>IFERROR(__xludf.DUMMYFUNCTION("""COMPUTED_VALUE"""),"User not found")</f>
        <v>User not found</v>
      </c>
      <c r="D549" s="31" t="str">
        <f>IFERROR(__xludf.DUMMYFUNCTION("""COMPUTED_VALUE"""),"Revoked")</f>
        <v>Revoked</v>
      </c>
      <c r="E549" s="31" t="str">
        <f>IFERROR(__xludf.DUMMYFUNCTION("""COMPUTED_VALUE"""),"itservices@zupee.in ")</f>
        <v>itservices@zupee.in </v>
      </c>
      <c r="F549" s="31" t="str">
        <f>IFERROR(__xludf.DUMMYFUNCTION("""COMPUTED_VALUE"""),"Done")</f>
        <v>Done</v>
      </c>
      <c r="G549" s="31" t="str">
        <f>IFERROR(__xludf.DUMMYFUNCTION("""COMPUTED_VALUE"""),"No-Need")</f>
        <v>No-Need</v>
      </c>
      <c r="H549" s="31" t="str">
        <f>IFERROR(__xludf.DUMMYFUNCTION("""COMPUTED_VALUE"""),"No-Need")</f>
        <v>No-Need</v>
      </c>
      <c r="I549" s="31" t="str">
        <f>IFERROR(__xludf.DUMMYFUNCTION("""COMPUTED_VALUE"""),"Data")</f>
        <v>Data</v>
      </c>
      <c r="J549" s="103">
        <f>IFERROR(__xludf.DUMMYFUNCTION("""COMPUTED_VALUE"""),46072.0)</f>
        <v>46072</v>
      </c>
      <c r="K549" s="31" t="str">
        <f>IFERROR(__xludf.DUMMYFUNCTION("""COMPUTED_VALUE"""),"Conf By Naveen Kadyan")</f>
        <v>Conf By Naveen Kadyan</v>
      </c>
    </row>
    <row r="550">
      <c r="A550" s="31" t="str">
        <f>IFERROR(__xludf.DUMMYFUNCTION("""COMPUTED_VALUE"""),"harsh.dubey@zupee.in")</f>
        <v>harsh.dubey@zupee.in</v>
      </c>
      <c r="B550" s="31" t="str">
        <f>IFERROR(__xludf.DUMMYFUNCTION("""COMPUTED_VALUE"""),"NOT_FOUND")</f>
        <v>NOT_FOUND</v>
      </c>
      <c r="C550" s="31" t="str">
        <f>IFERROR(__xludf.DUMMYFUNCTION("""COMPUTED_VALUE"""),"User not found")</f>
        <v>User not found</v>
      </c>
      <c r="D550" s="31" t="str">
        <f>IFERROR(__xludf.DUMMYFUNCTION("""COMPUTED_VALUE"""),"Revoked")</f>
        <v>Revoked</v>
      </c>
      <c r="E550" s="31" t="str">
        <f>IFERROR(__xludf.DUMMYFUNCTION("""COMPUTED_VALUE"""),"itservices@zupee.in ")</f>
        <v>itservices@zupee.in </v>
      </c>
      <c r="F550" s="31" t="str">
        <f>IFERROR(__xludf.DUMMYFUNCTION("""COMPUTED_VALUE"""),"Done")</f>
        <v>Done</v>
      </c>
      <c r="G550" s="31" t="str">
        <f>IFERROR(__xludf.DUMMYFUNCTION("""COMPUTED_VALUE"""),"No-Need")</f>
        <v>No-Need</v>
      </c>
      <c r="H550" s="31" t="str">
        <f>IFERROR(__xludf.DUMMYFUNCTION("""COMPUTED_VALUE"""),"No-Need")</f>
        <v>No-Need</v>
      </c>
      <c r="I550" s="31" t="str">
        <f>IFERROR(__xludf.DUMMYFUNCTION("""COMPUTED_VALUE"""),"Data")</f>
        <v>Data</v>
      </c>
      <c r="J550" s="103">
        <f>IFERROR(__xludf.DUMMYFUNCTION("""COMPUTED_VALUE"""),46072.0)</f>
        <v>46072</v>
      </c>
      <c r="K550" s="31" t="str">
        <f>IFERROR(__xludf.DUMMYFUNCTION("""COMPUTED_VALUE"""),"Conf By Naveen Kadyan")</f>
        <v>Conf By Naveen Kadyan</v>
      </c>
    </row>
    <row r="551">
      <c r="A551" s="31" t="str">
        <f>IFERROR(__xludf.DUMMYFUNCTION("""COMPUTED_VALUE"""),"harshit.singh@zupee.in")</f>
        <v>harshit.singh@zupee.in</v>
      </c>
      <c r="B551" s="31" t="str">
        <f>IFERROR(__xludf.DUMMYFUNCTION("""COMPUTED_VALUE"""),"ACTIVE")</f>
        <v>ACTIVE</v>
      </c>
      <c r="C551" s="31" t="str">
        <f>IFERROR(__xludf.DUMMYFUNCTION("""COMPUTED_VALUE"""),"User is ACTIVE")</f>
        <v>User is ACTIVE</v>
      </c>
      <c r="D551" s="31" t="str">
        <f>IFERROR(__xludf.DUMMYFUNCTION("""COMPUTED_VALUE"""),"Revoked")</f>
        <v>Revoked</v>
      </c>
      <c r="E551" s="31" t="str">
        <f>IFERROR(__xludf.DUMMYFUNCTION("""COMPUTED_VALUE"""),"itservices@zupee.in ")</f>
        <v>itservices@zupee.in </v>
      </c>
      <c r="F551" s="31" t="str">
        <f>IFERROR(__xludf.DUMMYFUNCTION("""COMPUTED_VALUE"""),"Done")</f>
        <v>Done</v>
      </c>
      <c r="G551" s="31" t="str">
        <f>IFERROR(__xludf.DUMMYFUNCTION("""COMPUTED_VALUE"""),"No-Need")</f>
        <v>No-Need</v>
      </c>
      <c r="H551" s="31" t="str">
        <f>IFERROR(__xludf.DUMMYFUNCTION("""COMPUTED_VALUE"""),"No-Need")</f>
        <v>No-Need</v>
      </c>
      <c r="I551" s="31" t="str">
        <f>IFERROR(__xludf.DUMMYFUNCTION("""COMPUTED_VALUE"""),"Data")</f>
        <v>Data</v>
      </c>
      <c r="J551" s="103">
        <f>IFERROR(__xludf.DUMMYFUNCTION("""COMPUTED_VALUE"""),46072.0)</f>
        <v>46072</v>
      </c>
      <c r="K551" s="31" t="str">
        <f>IFERROR(__xludf.DUMMYFUNCTION("""COMPUTED_VALUE"""),"Conf By Naveen Kadyan")</f>
        <v>Conf By Naveen Kadyan</v>
      </c>
    </row>
    <row r="552">
      <c r="A552" s="31" t="str">
        <f>IFERROR(__xludf.DUMMYFUNCTION("""COMPUTED_VALUE"""),"himanshu.mittal@zupee.in")</f>
        <v>himanshu.mittal@zupee.in</v>
      </c>
      <c r="B552" s="31" t="str">
        <f>IFERROR(__xludf.DUMMYFUNCTION("""COMPUTED_VALUE"""),"NOT_FOUND")</f>
        <v>NOT_FOUND</v>
      </c>
      <c r="C552" s="31" t="str">
        <f>IFERROR(__xludf.DUMMYFUNCTION("""COMPUTED_VALUE"""),"User not found")</f>
        <v>User not found</v>
      </c>
      <c r="D552" s="31" t="str">
        <f>IFERROR(__xludf.DUMMYFUNCTION("""COMPUTED_VALUE"""),"Revoked")</f>
        <v>Revoked</v>
      </c>
      <c r="E552" s="31" t="str">
        <f>IFERROR(__xludf.DUMMYFUNCTION("""COMPUTED_VALUE"""),"itservices@zupee.in ")</f>
        <v>itservices@zupee.in </v>
      </c>
      <c r="F552" s="31" t="str">
        <f>IFERROR(__xludf.DUMMYFUNCTION("""COMPUTED_VALUE"""),"Done")</f>
        <v>Done</v>
      </c>
      <c r="G552" s="31" t="str">
        <f>IFERROR(__xludf.DUMMYFUNCTION("""COMPUTED_VALUE"""),"No-Need")</f>
        <v>No-Need</v>
      </c>
      <c r="H552" s="31" t="str">
        <f>IFERROR(__xludf.DUMMYFUNCTION("""COMPUTED_VALUE"""),"No-Need")</f>
        <v>No-Need</v>
      </c>
      <c r="I552" s="31" t="str">
        <f>IFERROR(__xludf.DUMMYFUNCTION("""COMPUTED_VALUE"""),"Data")</f>
        <v>Data</v>
      </c>
      <c r="J552" s="103">
        <f>IFERROR(__xludf.DUMMYFUNCTION("""COMPUTED_VALUE"""),46072.0)</f>
        <v>46072</v>
      </c>
      <c r="K552" s="31" t="str">
        <f>IFERROR(__xludf.DUMMYFUNCTION("""COMPUTED_VALUE"""),"Conf By Naveen Kadyan")</f>
        <v>Conf By Naveen Kadyan</v>
      </c>
    </row>
    <row r="553">
      <c r="A553" s="31" t="str">
        <f>IFERROR(__xludf.DUMMYFUNCTION("""COMPUTED_VALUE"""),"ishant.wadhwa@zupee.in")</f>
        <v>ishant.wadhwa@zupee.in</v>
      </c>
      <c r="B553" s="31" t="str">
        <f>IFERROR(__xludf.DUMMYFUNCTION("""COMPUTED_VALUE"""),"NOT_FOUND")</f>
        <v>NOT_FOUND</v>
      </c>
      <c r="C553" s="31" t="str">
        <f>IFERROR(__xludf.DUMMYFUNCTION("""COMPUTED_VALUE"""),"User not found")</f>
        <v>User not found</v>
      </c>
      <c r="D553" s="31" t="str">
        <f>IFERROR(__xludf.DUMMYFUNCTION("""COMPUTED_VALUE"""),"Revoked")</f>
        <v>Revoked</v>
      </c>
      <c r="E553" s="31" t="str">
        <f>IFERROR(__xludf.DUMMYFUNCTION("""COMPUTED_VALUE"""),"itservices@zupee.in ")</f>
        <v>itservices@zupee.in </v>
      </c>
      <c r="F553" s="31" t="str">
        <f>IFERROR(__xludf.DUMMYFUNCTION("""COMPUTED_VALUE"""),"Done")</f>
        <v>Done</v>
      </c>
      <c r="G553" s="31" t="str">
        <f>IFERROR(__xludf.DUMMYFUNCTION("""COMPUTED_VALUE"""),"No-Need")</f>
        <v>No-Need</v>
      </c>
      <c r="H553" s="31" t="str">
        <f>IFERROR(__xludf.DUMMYFUNCTION("""COMPUTED_VALUE"""),"No-Need")</f>
        <v>No-Need</v>
      </c>
      <c r="I553" s="31" t="str">
        <f>IFERROR(__xludf.DUMMYFUNCTION("""COMPUTED_VALUE"""),"Data")</f>
        <v>Data</v>
      </c>
      <c r="J553" s="103">
        <f>IFERROR(__xludf.DUMMYFUNCTION("""COMPUTED_VALUE"""),46072.0)</f>
        <v>46072</v>
      </c>
      <c r="K553" s="31" t="str">
        <f>IFERROR(__xludf.DUMMYFUNCTION("""COMPUTED_VALUE"""),"Conf By Naveen Kadyan")</f>
        <v>Conf By Naveen Kadyan</v>
      </c>
    </row>
    <row r="554">
      <c r="A554" s="31" t="str">
        <f>IFERROR(__xludf.DUMMYFUNCTION("""COMPUTED_VALUE"""),"nikhil.j@zupee.in")</f>
        <v>nikhil.j@zupee.in</v>
      </c>
      <c r="B554" s="31" t="str">
        <f>IFERROR(__xludf.DUMMYFUNCTION("""COMPUTED_VALUE"""),"NOT_FOUND")</f>
        <v>NOT_FOUND</v>
      </c>
      <c r="C554" s="31" t="str">
        <f>IFERROR(__xludf.DUMMYFUNCTION("""COMPUTED_VALUE"""),"User not found")</f>
        <v>User not found</v>
      </c>
      <c r="D554" s="31" t="str">
        <f>IFERROR(__xludf.DUMMYFUNCTION("""COMPUTED_VALUE"""),"Revoked")</f>
        <v>Revoked</v>
      </c>
      <c r="E554" s="31" t="str">
        <f>IFERROR(__xludf.DUMMYFUNCTION("""COMPUTED_VALUE"""),"itservices@zupee.in ")</f>
        <v>itservices@zupee.in </v>
      </c>
      <c r="F554" s="31" t="str">
        <f>IFERROR(__xludf.DUMMYFUNCTION("""COMPUTED_VALUE"""),"Done")</f>
        <v>Done</v>
      </c>
      <c r="G554" s="31" t="str">
        <f>IFERROR(__xludf.DUMMYFUNCTION("""COMPUTED_VALUE"""),"No-Need")</f>
        <v>No-Need</v>
      </c>
      <c r="H554" s="31" t="str">
        <f>IFERROR(__xludf.DUMMYFUNCTION("""COMPUTED_VALUE"""),"No-Need")</f>
        <v>No-Need</v>
      </c>
      <c r="I554" s="31" t="str">
        <f>IFERROR(__xludf.DUMMYFUNCTION("""COMPUTED_VALUE"""),"Data")</f>
        <v>Data</v>
      </c>
      <c r="J554" s="103">
        <f>IFERROR(__xludf.DUMMYFUNCTION("""COMPUTED_VALUE"""),46072.0)</f>
        <v>46072</v>
      </c>
      <c r="K554" s="31" t="str">
        <f>IFERROR(__xludf.DUMMYFUNCTION("""COMPUTED_VALUE"""),"Conf By Naveen Kadyan")</f>
        <v>Conf By Naveen Kadyan</v>
      </c>
    </row>
    <row r="555">
      <c r="A555" s="31" t="str">
        <f>IFERROR(__xludf.DUMMYFUNCTION("""COMPUTED_VALUE"""),"nitesh.dagar@zupee.in")</f>
        <v>nitesh.dagar@zupee.in</v>
      </c>
      <c r="B555" s="31" t="str">
        <f>IFERROR(__xludf.DUMMYFUNCTION("""COMPUTED_VALUE"""),"NOT_FOUND")</f>
        <v>NOT_FOUND</v>
      </c>
      <c r="C555" s="31" t="str">
        <f>IFERROR(__xludf.DUMMYFUNCTION("""COMPUTED_VALUE"""),"User not found")</f>
        <v>User not found</v>
      </c>
      <c r="D555" s="31" t="str">
        <f>IFERROR(__xludf.DUMMYFUNCTION("""COMPUTED_VALUE"""),"Revoked")</f>
        <v>Revoked</v>
      </c>
      <c r="E555" s="31" t="str">
        <f>IFERROR(__xludf.DUMMYFUNCTION("""COMPUTED_VALUE"""),"itservices@zupee.in ")</f>
        <v>itservices@zupee.in </v>
      </c>
      <c r="F555" s="31" t="str">
        <f>IFERROR(__xludf.DUMMYFUNCTION("""COMPUTED_VALUE"""),"Done")</f>
        <v>Done</v>
      </c>
      <c r="G555" s="31" t="str">
        <f>IFERROR(__xludf.DUMMYFUNCTION("""COMPUTED_VALUE"""),"No-Need")</f>
        <v>No-Need</v>
      </c>
      <c r="H555" s="31" t="str">
        <f>IFERROR(__xludf.DUMMYFUNCTION("""COMPUTED_VALUE"""),"No-Need")</f>
        <v>No-Need</v>
      </c>
      <c r="I555" s="31" t="str">
        <f>IFERROR(__xludf.DUMMYFUNCTION("""COMPUTED_VALUE"""),"Data")</f>
        <v>Data</v>
      </c>
      <c r="J555" s="103">
        <f>IFERROR(__xludf.DUMMYFUNCTION("""COMPUTED_VALUE"""),46072.0)</f>
        <v>46072</v>
      </c>
      <c r="K555" s="31" t="str">
        <f>IFERROR(__xludf.DUMMYFUNCTION("""COMPUTED_VALUE"""),"Conf By Naveen Kadyan")</f>
        <v>Conf By Naveen Kadyan</v>
      </c>
    </row>
    <row r="556">
      <c r="A556" s="31" t="str">
        <f>IFERROR(__xludf.DUMMYFUNCTION("""COMPUTED_VALUE"""),"pranav.gautam@zupee.in")</f>
        <v>pranav.gautam@zupee.in</v>
      </c>
      <c r="B556" s="31" t="str">
        <f>IFERROR(__xludf.DUMMYFUNCTION("""COMPUTED_VALUE"""),"NOT_FOUND")</f>
        <v>NOT_FOUND</v>
      </c>
      <c r="C556" s="31" t="str">
        <f>IFERROR(__xludf.DUMMYFUNCTION("""COMPUTED_VALUE"""),"User not found")</f>
        <v>User not found</v>
      </c>
      <c r="D556" s="31" t="str">
        <f>IFERROR(__xludf.DUMMYFUNCTION("""COMPUTED_VALUE"""),"Revoked")</f>
        <v>Revoked</v>
      </c>
      <c r="E556" s="31" t="str">
        <f>IFERROR(__xludf.DUMMYFUNCTION("""COMPUTED_VALUE"""),"itservices@zupee.in ")</f>
        <v>itservices@zupee.in </v>
      </c>
      <c r="F556" s="31" t="str">
        <f>IFERROR(__xludf.DUMMYFUNCTION("""COMPUTED_VALUE"""),"Done")</f>
        <v>Done</v>
      </c>
      <c r="G556" s="31" t="str">
        <f>IFERROR(__xludf.DUMMYFUNCTION("""COMPUTED_VALUE"""),"No-Need")</f>
        <v>No-Need</v>
      </c>
      <c r="H556" s="31" t="str">
        <f>IFERROR(__xludf.DUMMYFUNCTION("""COMPUTED_VALUE"""),"No-Need")</f>
        <v>No-Need</v>
      </c>
      <c r="I556" s="31" t="str">
        <f>IFERROR(__xludf.DUMMYFUNCTION("""COMPUTED_VALUE"""),"Data")</f>
        <v>Data</v>
      </c>
      <c r="J556" s="103">
        <f>IFERROR(__xludf.DUMMYFUNCTION("""COMPUTED_VALUE"""),46072.0)</f>
        <v>46072</v>
      </c>
      <c r="K556" s="31" t="str">
        <f>IFERROR(__xludf.DUMMYFUNCTION("""COMPUTED_VALUE"""),"Conf By Naveen Kadyan")</f>
        <v>Conf By Naveen Kadyan</v>
      </c>
    </row>
    <row r="557">
      <c r="A557" s="31" t="str">
        <f>IFERROR(__xludf.DUMMYFUNCTION("""COMPUTED_VALUE"""),"prashant.kumar@zupee.in")</f>
        <v>prashant.kumar@zupee.in</v>
      </c>
      <c r="B557" s="31" t="str">
        <f>IFERROR(__xludf.DUMMYFUNCTION("""COMPUTED_VALUE"""),"NOT_FOUND")</f>
        <v>NOT_FOUND</v>
      </c>
      <c r="C557" s="31" t="str">
        <f>IFERROR(__xludf.DUMMYFUNCTION("""COMPUTED_VALUE"""),"User not found")</f>
        <v>User not found</v>
      </c>
      <c r="D557" s="31" t="str">
        <f>IFERROR(__xludf.DUMMYFUNCTION("""COMPUTED_VALUE"""),"Revoked")</f>
        <v>Revoked</v>
      </c>
      <c r="E557" s="31" t="str">
        <f>IFERROR(__xludf.DUMMYFUNCTION("""COMPUTED_VALUE"""),"itservices@zupee.in ")</f>
        <v>itservices@zupee.in </v>
      </c>
      <c r="F557" s="31" t="str">
        <f>IFERROR(__xludf.DUMMYFUNCTION("""COMPUTED_VALUE"""),"Done")</f>
        <v>Done</v>
      </c>
      <c r="G557" s="31" t="str">
        <f>IFERROR(__xludf.DUMMYFUNCTION("""COMPUTED_VALUE"""),"No-Need")</f>
        <v>No-Need</v>
      </c>
      <c r="H557" s="31" t="str">
        <f>IFERROR(__xludf.DUMMYFUNCTION("""COMPUTED_VALUE"""),"No-Need")</f>
        <v>No-Need</v>
      </c>
      <c r="I557" s="31" t="str">
        <f>IFERROR(__xludf.DUMMYFUNCTION("""COMPUTED_VALUE"""),"Data")</f>
        <v>Data</v>
      </c>
      <c r="J557" s="103">
        <f>IFERROR(__xludf.DUMMYFUNCTION("""COMPUTED_VALUE"""),46072.0)</f>
        <v>46072</v>
      </c>
      <c r="K557" s="31" t="str">
        <f>IFERROR(__xludf.DUMMYFUNCTION("""COMPUTED_VALUE"""),"Conf By Naveen Kadyan")</f>
        <v>Conf By Naveen Kadyan</v>
      </c>
    </row>
    <row r="558">
      <c r="A558" s="31" t="str">
        <f>IFERROR(__xludf.DUMMYFUNCTION("""COMPUTED_VALUE"""),"priyanshu.agrawal@zupee.in")</f>
        <v>priyanshu.agrawal@zupee.in</v>
      </c>
      <c r="B558" s="31" t="str">
        <f>IFERROR(__xludf.DUMMYFUNCTION("""COMPUTED_VALUE"""),"NOT_FOUND")</f>
        <v>NOT_FOUND</v>
      </c>
      <c r="C558" s="31" t="str">
        <f>IFERROR(__xludf.DUMMYFUNCTION("""COMPUTED_VALUE"""),"User not found")</f>
        <v>User not found</v>
      </c>
      <c r="D558" s="31" t="str">
        <f>IFERROR(__xludf.DUMMYFUNCTION("""COMPUTED_VALUE"""),"Revoked")</f>
        <v>Revoked</v>
      </c>
      <c r="E558" s="31" t="str">
        <f>IFERROR(__xludf.DUMMYFUNCTION("""COMPUTED_VALUE"""),"itservices@zupee.in ")</f>
        <v>itservices@zupee.in </v>
      </c>
      <c r="F558" s="31" t="str">
        <f>IFERROR(__xludf.DUMMYFUNCTION("""COMPUTED_VALUE"""),"Done")</f>
        <v>Done</v>
      </c>
      <c r="G558" s="31" t="str">
        <f>IFERROR(__xludf.DUMMYFUNCTION("""COMPUTED_VALUE"""),"No-Need")</f>
        <v>No-Need</v>
      </c>
      <c r="H558" s="31" t="str">
        <f>IFERROR(__xludf.DUMMYFUNCTION("""COMPUTED_VALUE"""),"No-Need")</f>
        <v>No-Need</v>
      </c>
      <c r="I558" s="31" t="str">
        <f>IFERROR(__xludf.DUMMYFUNCTION("""COMPUTED_VALUE"""),"Data")</f>
        <v>Data</v>
      </c>
      <c r="J558" s="103">
        <f>IFERROR(__xludf.DUMMYFUNCTION("""COMPUTED_VALUE"""),46072.0)</f>
        <v>46072</v>
      </c>
      <c r="K558" s="31" t="str">
        <f>IFERROR(__xludf.DUMMYFUNCTION("""COMPUTED_VALUE"""),"Conf By Naveen Kadyan")</f>
        <v>Conf By Naveen Kadyan</v>
      </c>
    </row>
    <row r="559">
      <c r="A559" s="31" t="str">
        <f>IFERROR(__xludf.DUMMYFUNCTION("""COMPUTED_VALUE"""),"rachit.sharma@zupee.in")</f>
        <v>rachit.sharma@zupee.in</v>
      </c>
      <c r="B559" s="31" t="str">
        <f>IFERROR(__xludf.DUMMYFUNCTION("""COMPUTED_VALUE"""),"NOT_FOUND")</f>
        <v>NOT_FOUND</v>
      </c>
      <c r="C559" s="31" t="str">
        <f>IFERROR(__xludf.DUMMYFUNCTION("""COMPUTED_VALUE"""),"User not found")</f>
        <v>User not found</v>
      </c>
      <c r="D559" s="31" t="str">
        <f>IFERROR(__xludf.DUMMYFUNCTION("""COMPUTED_VALUE"""),"Revoked")</f>
        <v>Revoked</v>
      </c>
      <c r="E559" s="31" t="str">
        <f>IFERROR(__xludf.DUMMYFUNCTION("""COMPUTED_VALUE"""),"itservices@zupee.in ")</f>
        <v>itservices@zupee.in </v>
      </c>
      <c r="F559" s="31" t="str">
        <f>IFERROR(__xludf.DUMMYFUNCTION("""COMPUTED_VALUE"""),"Done")</f>
        <v>Done</v>
      </c>
      <c r="G559" s="31" t="str">
        <f>IFERROR(__xludf.DUMMYFUNCTION("""COMPUTED_VALUE"""),"No-Need")</f>
        <v>No-Need</v>
      </c>
      <c r="H559" s="31" t="str">
        <f>IFERROR(__xludf.DUMMYFUNCTION("""COMPUTED_VALUE"""),"No-Need")</f>
        <v>No-Need</v>
      </c>
      <c r="I559" s="31" t="str">
        <f>IFERROR(__xludf.DUMMYFUNCTION("""COMPUTED_VALUE"""),"Data")</f>
        <v>Data</v>
      </c>
      <c r="J559" s="103">
        <f>IFERROR(__xludf.DUMMYFUNCTION("""COMPUTED_VALUE"""),46072.0)</f>
        <v>46072</v>
      </c>
      <c r="K559" s="31" t="str">
        <f>IFERROR(__xludf.DUMMYFUNCTION("""COMPUTED_VALUE"""),"Conf By Naveen Kadyan")</f>
        <v>Conf By Naveen Kadyan</v>
      </c>
    </row>
    <row r="560">
      <c r="A560" s="31" t="str">
        <f>IFERROR(__xludf.DUMMYFUNCTION("""COMPUTED_VALUE"""),"rajat.saurav@zupee.in")</f>
        <v>rajat.saurav@zupee.in</v>
      </c>
      <c r="B560" s="31" t="str">
        <f>IFERROR(__xludf.DUMMYFUNCTION("""COMPUTED_VALUE"""),"NOT_FOUND")</f>
        <v>NOT_FOUND</v>
      </c>
      <c r="C560" s="31" t="str">
        <f>IFERROR(__xludf.DUMMYFUNCTION("""COMPUTED_VALUE"""),"User not found")</f>
        <v>User not found</v>
      </c>
      <c r="D560" s="31" t="str">
        <f>IFERROR(__xludf.DUMMYFUNCTION("""COMPUTED_VALUE"""),"Revoked")</f>
        <v>Revoked</v>
      </c>
      <c r="E560" s="31" t="str">
        <f>IFERROR(__xludf.DUMMYFUNCTION("""COMPUTED_VALUE"""),"itservices@zupee.in ")</f>
        <v>itservices@zupee.in </v>
      </c>
      <c r="F560" s="31" t="str">
        <f>IFERROR(__xludf.DUMMYFUNCTION("""COMPUTED_VALUE"""),"Done")</f>
        <v>Done</v>
      </c>
      <c r="G560" s="31" t="str">
        <f>IFERROR(__xludf.DUMMYFUNCTION("""COMPUTED_VALUE"""),"No-Need")</f>
        <v>No-Need</v>
      </c>
      <c r="H560" s="31" t="str">
        <f>IFERROR(__xludf.DUMMYFUNCTION("""COMPUTED_VALUE"""),"No-Need")</f>
        <v>No-Need</v>
      </c>
      <c r="I560" s="31" t="str">
        <f>IFERROR(__xludf.DUMMYFUNCTION("""COMPUTED_VALUE"""),"Data")</f>
        <v>Data</v>
      </c>
      <c r="J560" s="103">
        <f>IFERROR(__xludf.DUMMYFUNCTION("""COMPUTED_VALUE"""),46072.0)</f>
        <v>46072</v>
      </c>
      <c r="K560" s="31" t="str">
        <f>IFERROR(__xludf.DUMMYFUNCTION("""COMPUTED_VALUE"""),"Conf By Naveen Kadyan")</f>
        <v>Conf By Naveen Kadyan</v>
      </c>
    </row>
    <row r="561">
      <c r="A561" s="31" t="str">
        <f>IFERROR(__xludf.DUMMYFUNCTION("""COMPUTED_VALUE"""),"rishabh.sharma@zupee.in")</f>
        <v>rishabh.sharma@zupee.in</v>
      </c>
      <c r="B561" s="31" t="str">
        <f>IFERROR(__xludf.DUMMYFUNCTION("""COMPUTED_VALUE"""),"NOT_FOUND")</f>
        <v>NOT_FOUND</v>
      </c>
      <c r="C561" s="31" t="str">
        <f>IFERROR(__xludf.DUMMYFUNCTION("""COMPUTED_VALUE"""),"User not found")</f>
        <v>User not found</v>
      </c>
      <c r="D561" s="31" t="str">
        <f>IFERROR(__xludf.DUMMYFUNCTION("""COMPUTED_VALUE"""),"Revoked")</f>
        <v>Revoked</v>
      </c>
      <c r="E561" s="31" t="str">
        <f>IFERROR(__xludf.DUMMYFUNCTION("""COMPUTED_VALUE"""),"itservices@zupee.in ")</f>
        <v>itservices@zupee.in </v>
      </c>
      <c r="F561" s="31" t="str">
        <f>IFERROR(__xludf.DUMMYFUNCTION("""COMPUTED_VALUE"""),"Done")</f>
        <v>Done</v>
      </c>
      <c r="G561" s="31" t="str">
        <f>IFERROR(__xludf.DUMMYFUNCTION("""COMPUTED_VALUE"""),"No-Need")</f>
        <v>No-Need</v>
      </c>
      <c r="H561" s="31" t="str">
        <f>IFERROR(__xludf.DUMMYFUNCTION("""COMPUTED_VALUE"""),"No-Need")</f>
        <v>No-Need</v>
      </c>
      <c r="I561" s="31" t="str">
        <f>IFERROR(__xludf.DUMMYFUNCTION("""COMPUTED_VALUE"""),"Data")</f>
        <v>Data</v>
      </c>
      <c r="J561" s="103">
        <f>IFERROR(__xludf.DUMMYFUNCTION("""COMPUTED_VALUE"""),46072.0)</f>
        <v>46072</v>
      </c>
      <c r="K561" s="31" t="str">
        <f>IFERROR(__xludf.DUMMYFUNCTION("""COMPUTED_VALUE"""),"Conf By Naveen Kadyan")</f>
        <v>Conf By Naveen Kadyan</v>
      </c>
    </row>
    <row r="562">
      <c r="A562" s="31" t="str">
        <f>IFERROR(__xludf.DUMMYFUNCTION("""COMPUTED_VALUE"""),"rohan.negi@zupee.in")</f>
        <v>rohan.negi@zupee.in</v>
      </c>
      <c r="B562" s="31" t="str">
        <f>IFERROR(__xludf.DUMMYFUNCTION("""COMPUTED_VALUE"""),"NOT_FOUND")</f>
        <v>NOT_FOUND</v>
      </c>
      <c r="C562" s="31" t="str">
        <f>IFERROR(__xludf.DUMMYFUNCTION("""COMPUTED_VALUE"""),"User not found")</f>
        <v>User not found</v>
      </c>
      <c r="D562" s="31" t="str">
        <f>IFERROR(__xludf.DUMMYFUNCTION("""COMPUTED_VALUE"""),"Revoked")</f>
        <v>Revoked</v>
      </c>
      <c r="E562" s="31" t="str">
        <f>IFERROR(__xludf.DUMMYFUNCTION("""COMPUTED_VALUE"""),"itservices@zupee.in ")</f>
        <v>itservices@zupee.in </v>
      </c>
      <c r="F562" s="31" t="str">
        <f>IFERROR(__xludf.DUMMYFUNCTION("""COMPUTED_VALUE"""),"Done")</f>
        <v>Done</v>
      </c>
      <c r="G562" s="31" t="str">
        <f>IFERROR(__xludf.DUMMYFUNCTION("""COMPUTED_VALUE"""),"No-Need")</f>
        <v>No-Need</v>
      </c>
      <c r="H562" s="31" t="str">
        <f>IFERROR(__xludf.DUMMYFUNCTION("""COMPUTED_VALUE"""),"No-Need")</f>
        <v>No-Need</v>
      </c>
      <c r="I562" s="31" t="str">
        <f>IFERROR(__xludf.DUMMYFUNCTION("""COMPUTED_VALUE"""),"Data")</f>
        <v>Data</v>
      </c>
      <c r="J562" s="103">
        <f>IFERROR(__xludf.DUMMYFUNCTION("""COMPUTED_VALUE"""),46072.0)</f>
        <v>46072</v>
      </c>
      <c r="K562" s="31" t="str">
        <f>IFERROR(__xludf.DUMMYFUNCTION("""COMPUTED_VALUE"""),"Conf By Naveen Kadyan")</f>
        <v>Conf By Naveen Kadyan</v>
      </c>
    </row>
    <row r="563">
      <c r="A563" s="31" t="str">
        <f>IFERROR(__xludf.DUMMYFUNCTION("""COMPUTED_VALUE"""),"shrasti.tomar@zupee.in")</f>
        <v>shrasti.tomar@zupee.in</v>
      </c>
      <c r="B563" s="31" t="str">
        <f>IFERROR(__xludf.DUMMYFUNCTION("""COMPUTED_VALUE"""),"NOT_FOUND")</f>
        <v>NOT_FOUND</v>
      </c>
      <c r="C563" s="31" t="str">
        <f>IFERROR(__xludf.DUMMYFUNCTION("""COMPUTED_VALUE"""),"User not found")</f>
        <v>User not found</v>
      </c>
      <c r="D563" s="31" t="str">
        <f>IFERROR(__xludf.DUMMYFUNCTION("""COMPUTED_VALUE"""),"Revoked")</f>
        <v>Revoked</v>
      </c>
      <c r="E563" s="31" t="str">
        <f>IFERROR(__xludf.DUMMYFUNCTION("""COMPUTED_VALUE"""),"itservices@zupee.in ")</f>
        <v>itservices@zupee.in </v>
      </c>
      <c r="F563" s="31" t="str">
        <f>IFERROR(__xludf.DUMMYFUNCTION("""COMPUTED_VALUE"""),"Done")</f>
        <v>Done</v>
      </c>
      <c r="G563" s="31" t="str">
        <f>IFERROR(__xludf.DUMMYFUNCTION("""COMPUTED_VALUE"""),"No-Need")</f>
        <v>No-Need</v>
      </c>
      <c r="H563" s="31" t="str">
        <f>IFERROR(__xludf.DUMMYFUNCTION("""COMPUTED_VALUE"""),"No-Need")</f>
        <v>No-Need</v>
      </c>
      <c r="I563" s="31" t="str">
        <f>IFERROR(__xludf.DUMMYFUNCTION("""COMPUTED_VALUE"""),"Data")</f>
        <v>Data</v>
      </c>
      <c r="J563" s="103">
        <f>IFERROR(__xludf.DUMMYFUNCTION("""COMPUTED_VALUE"""),46072.0)</f>
        <v>46072</v>
      </c>
      <c r="K563" s="31" t="str">
        <f>IFERROR(__xludf.DUMMYFUNCTION("""COMPUTED_VALUE"""),"Conf By Naveen Kadyan")</f>
        <v>Conf By Naveen Kadyan</v>
      </c>
    </row>
    <row r="564">
      <c r="A564" s="31" t="str">
        <f>IFERROR(__xludf.DUMMYFUNCTION("""COMPUTED_VALUE"""),"suryanshu.shekhar@zupee.in")</f>
        <v>suryanshu.shekhar@zupee.in</v>
      </c>
      <c r="B564" s="31" t="str">
        <f>IFERROR(__xludf.DUMMYFUNCTION("""COMPUTED_VALUE"""),"NOT_FOUND")</f>
        <v>NOT_FOUND</v>
      </c>
      <c r="C564" s="31" t="str">
        <f>IFERROR(__xludf.DUMMYFUNCTION("""COMPUTED_VALUE"""),"User not found")</f>
        <v>User not found</v>
      </c>
      <c r="D564" s="31" t="str">
        <f>IFERROR(__xludf.DUMMYFUNCTION("""COMPUTED_VALUE"""),"Revoked")</f>
        <v>Revoked</v>
      </c>
      <c r="E564" s="31" t="str">
        <f>IFERROR(__xludf.DUMMYFUNCTION("""COMPUTED_VALUE"""),"itservices@zupee.in ")</f>
        <v>itservices@zupee.in </v>
      </c>
      <c r="F564" s="31" t="str">
        <f>IFERROR(__xludf.DUMMYFUNCTION("""COMPUTED_VALUE"""),"Done")</f>
        <v>Done</v>
      </c>
      <c r="G564" s="31" t="str">
        <f>IFERROR(__xludf.DUMMYFUNCTION("""COMPUTED_VALUE"""),"No-Need")</f>
        <v>No-Need</v>
      </c>
      <c r="H564" s="31" t="str">
        <f>IFERROR(__xludf.DUMMYFUNCTION("""COMPUTED_VALUE"""),"No-Need")</f>
        <v>No-Need</v>
      </c>
      <c r="I564" s="31" t="str">
        <f>IFERROR(__xludf.DUMMYFUNCTION("""COMPUTED_VALUE"""),"Data")</f>
        <v>Data</v>
      </c>
      <c r="J564" s="103">
        <f>IFERROR(__xludf.DUMMYFUNCTION("""COMPUTED_VALUE"""),46072.0)</f>
        <v>46072</v>
      </c>
      <c r="K564" s="31" t="str">
        <f>IFERROR(__xludf.DUMMYFUNCTION("""COMPUTED_VALUE"""),"Conf By Naveen Kadyan")</f>
        <v>Conf By Naveen Kadyan</v>
      </c>
    </row>
    <row r="565">
      <c r="A565" s="31" t="str">
        <f>IFERROR(__xludf.DUMMYFUNCTION("""COMPUTED_VALUE"""),"ujwal.tandon@zupee.in")</f>
        <v>ujwal.tandon@zupee.in</v>
      </c>
      <c r="B565" s="31" t="str">
        <f>IFERROR(__xludf.DUMMYFUNCTION("""COMPUTED_VALUE"""),"NOT_FOUND")</f>
        <v>NOT_FOUND</v>
      </c>
      <c r="C565" s="31" t="str">
        <f>IFERROR(__xludf.DUMMYFUNCTION("""COMPUTED_VALUE"""),"User not found")</f>
        <v>User not found</v>
      </c>
      <c r="D565" s="31" t="str">
        <f>IFERROR(__xludf.DUMMYFUNCTION("""COMPUTED_VALUE"""),"Revoked")</f>
        <v>Revoked</v>
      </c>
      <c r="E565" s="31" t="str">
        <f>IFERROR(__xludf.DUMMYFUNCTION("""COMPUTED_VALUE"""),"itservices@zupee.in ")</f>
        <v>itservices@zupee.in </v>
      </c>
      <c r="F565" s="31" t="str">
        <f>IFERROR(__xludf.DUMMYFUNCTION("""COMPUTED_VALUE"""),"Done")</f>
        <v>Done</v>
      </c>
      <c r="G565" s="31" t="str">
        <f>IFERROR(__xludf.DUMMYFUNCTION("""COMPUTED_VALUE"""),"No-Need")</f>
        <v>No-Need</v>
      </c>
      <c r="H565" s="31" t="str">
        <f>IFERROR(__xludf.DUMMYFUNCTION("""COMPUTED_VALUE"""),"No-Need")</f>
        <v>No-Need</v>
      </c>
      <c r="I565" s="31" t="str">
        <f>IFERROR(__xludf.DUMMYFUNCTION("""COMPUTED_VALUE"""),"Data")</f>
        <v>Data</v>
      </c>
      <c r="J565" s="103">
        <f>IFERROR(__xludf.DUMMYFUNCTION("""COMPUTED_VALUE"""),46072.0)</f>
        <v>46072</v>
      </c>
      <c r="K565" s="31" t="str">
        <f>IFERROR(__xludf.DUMMYFUNCTION("""COMPUTED_VALUE"""),"Conf By Naveen Kadyan")</f>
        <v>Conf By Naveen Kadyan</v>
      </c>
    </row>
    <row r="566">
      <c r="A566" s="31" t="str">
        <f>IFERROR(__xludf.DUMMYFUNCTION("""COMPUTED_VALUE"""),"umang.chhabra@zupee.in")</f>
        <v>umang.chhabra@zupee.in</v>
      </c>
      <c r="B566" s="31" t="str">
        <f>IFERROR(__xludf.DUMMYFUNCTION("""COMPUTED_VALUE"""),"NOT_FOUND")</f>
        <v>NOT_FOUND</v>
      </c>
      <c r="C566" s="31" t="str">
        <f>IFERROR(__xludf.DUMMYFUNCTION("""COMPUTED_VALUE"""),"User not found")</f>
        <v>User not found</v>
      </c>
      <c r="D566" s="31" t="str">
        <f>IFERROR(__xludf.DUMMYFUNCTION("""COMPUTED_VALUE"""),"Revoked")</f>
        <v>Revoked</v>
      </c>
      <c r="E566" s="31" t="str">
        <f>IFERROR(__xludf.DUMMYFUNCTION("""COMPUTED_VALUE"""),"itservices@zupee.in ")</f>
        <v>itservices@zupee.in </v>
      </c>
      <c r="F566" s="31" t="str">
        <f>IFERROR(__xludf.DUMMYFUNCTION("""COMPUTED_VALUE"""),"Done")</f>
        <v>Done</v>
      </c>
      <c r="G566" s="31" t="str">
        <f>IFERROR(__xludf.DUMMYFUNCTION("""COMPUTED_VALUE"""),"No-Need")</f>
        <v>No-Need</v>
      </c>
      <c r="H566" s="31" t="str">
        <f>IFERROR(__xludf.DUMMYFUNCTION("""COMPUTED_VALUE"""),"No-Need")</f>
        <v>No-Need</v>
      </c>
      <c r="I566" s="31" t="str">
        <f>IFERROR(__xludf.DUMMYFUNCTION("""COMPUTED_VALUE"""),"Data")</f>
        <v>Data</v>
      </c>
      <c r="J566" s="103">
        <f>IFERROR(__xludf.DUMMYFUNCTION("""COMPUTED_VALUE"""),46072.0)</f>
        <v>46072</v>
      </c>
      <c r="K566" s="31" t="str">
        <f>IFERROR(__xludf.DUMMYFUNCTION("""COMPUTED_VALUE"""),"Conf By Naveen Kadyan")</f>
        <v>Conf By Naveen Kadyan</v>
      </c>
    </row>
    <row r="567">
      <c r="A567" s="31" t="str">
        <f>IFERROR(__xludf.DUMMYFUNCTION("""COMPUTED_VALUE"""),"yash.satwani@zupee.in")</f>
        <v>yash.satwani@zupee.in</v>
      </c>
      <c r="B567" s="31" t="str">
        <f>IFERROR(__xludf.DUMMYFUNCTION("""COMPUTED_VALUE"""),"NOT_FOUND")</f>
        <v>NOT_FOUND</v>
      </c>
      <c r="C567" s="31" t="str">
        <f>IFERROR(__xludf.DUMMYFUNCTION("""COMPUTED_VALUE"""),"User not found")</f>
        <v>User not found</v>
      </c>
      <c r="D567" s="31" t="str">
        <f>IFERROR(__xludf.DUMMYFUNCTION("""COMPUTED_VALUE"""),"Revoked")</f>
        <v>Revoked</v>
      </c>
      <c r="E567" s="31" t="str">
        <f>IFERROR(__xludf.DUMMYFUNCTION("""COMPUTED_VALUE"""),"itservices@zupee.in ")</f>
        <v>itservices@zupee.in </v>
      </c>
      <c r="F567" s="31" t="str">
        <f>IFERROR(__xludf.DUMMYFUNCTION("""COMPUTED_VALUE"""),"Done")</f>
        <v>Done</v>
      </c>
      <c r="G567" s="31" t="str">
        <f>IFERROR(__xludf.DUMMYFUNCTION("""COMPUTED_VALUE"""),"No-Need")</f>
        <v>No-Need</v>
      </c>
      <c r="H567" s="31" t="str">
        <f>IFERROR(__xludf.DUMMYFUNCTION("""COMPUTED_VALUE"""),"No-Need")</f>
        <v>No-Need</v>
      </c>
      <c r="I567" s="31" t="str">
        <f>IFERROR(__xludf.DUMMYFUNCTION("""COMPUTED_VALUE"""),"Data")</f>
        <v>Data</v>
      </c>
      <c r="J567" s="103">
        <f>IFERROR(__xludf.DUMMYFUNCTION("""COMPUTED_VALUE"""),46072.0)</f>
        <v>46072</v>
      </c>
      <c r="K567" s="31" t="str">
        <f>IFERROR(__xludf.DUMMYFUNCTION("""COMPUTED_VALUE"""),"Conf By Naveen Kadyan")</f>
        <v>Conf By Naveen Kadyan</v>
      </c>
    </row>
    <row r="568">
      <c r="A568" s="31" t="str">
        <f>IFERROR(__xludf.DUMMYFUNCTION("""COMPUTED_VALUE"""),"amarjeet.singh@zupee.in")</f>
        <v>amarjeet.singh@zupee.in</v>
      </c>
      <c r="B568" s="31" t="str">
        <f>IFERROR(__xludf.DUMMYFUNCTION("""COMPUTED_VALUE"""),"NOT_FOUND")</f>
        <v>NOT_FOUND</v>
      </c>
      <c r="C568" s="31" t="str">
        <f>IFERROR(__xludf.DUMMYFUNCTION("""COMPUTED_VALUE"""),"User not found")</f>
        <v>User not found</v>
      </c>
      <c r="D568" s="31" t="str">
        <f>IFERROR(__xludf.DUMMYFUNCTION("""COMPUTED_VALUE"""),"Revoked")</f>
        <v>Revoked</v>
      </c>
      <c r="E568" s="31" t="str">
        <f>IFERROR(__xludf.DUMMYFUNCTION("""COMPUTED_VALUE"""),"rahul.sharma1@zupee.in")</f>
        <v>rahul.sharma1@zupee.in</v>
      </c>
      <c r="F568" s="31" t="str">
        <f>IFERROR(__xludf.DUMMYFUNCTION("""COMPUTED_VALUE"""),"Done")</f>
        <v>Done</v>
      </c>
      <c r="G568" s="31" t="str">
        <f>IFERROR(__xludf.DUMMYFUNCTION("""COMPUTED_VALUE"""),"No-Need")</f>
        <v>No-Need</v>
      </c>
      <c r="H568" s="31" t="str">
        <f>IFERROR(__xludf.DUMMYFUNCTION("""COMPUTED_VALUE"""),"No-Need")</f>
        <v>No-Need</v>
      </c>
      <c r="I568" s="31" t="str">
        <f>IFERROR(__xludf.DUMMYFUNCTION("""COMPUTED_VALUE"""),"Data")</f>
        <v>Data</v>
      </c>
      <c r="J568" s="103">
        <f>IFERROR(__xludf.DUMMYFUNCTION("""COMPUTED_VALUE"""),46072.0)</f>
        <v>46072</v>
      </c>
      <c r="K568" s="31" t="str">
        <f>IFERROR(__xludf.DUMMYFUNCTION("""COMPUTED_VALUE"""),"Conf By Naveen Kadyan")</f>
        <v>Conf By Naveen Kadyan</v>
      </c>
    </row>
    <row r="569">
      <c r="A569" s="31" t="str">
        <f>IFERROR(__xludf.DUMMYFUNCTION("""COMPUTED_VALUE"""),"kinjal.sharma@moneyearningsways.com")</f>
        <v>kinjal.sharma@moneyearningsways.com</v>
      </c>
      <c r="B569" s="31" t="str">
        <f>IFERROR(__xludf.DUMMYFUNCTION("""COMPUTED_VALUE"""),"NOT_FOUND")</f>
        <v>NOT_FOUND</v>
      </c>
      <c r="C569" s="31" t="str">
        <f>IFERROR(__xludf.DUMMYFUNCTION("""COMPUTED_VALUE"""),"User not found")</f>
        <v>User not found</v>
      </c>
      <c r="D569" s="31" t="str">
        <f>IFERROR(__xludf.DUMMYFUNCTION("""COMPUTED_VALUE"""),"Revoked")</f>
        <v>Revoked</v>
      </c>
      <c r="E569" s="31" t="str">
        <f>IFERROR(__xludf.DUMMYFUNCTION("""COMPUTED_VALUE"""),"nishant.jaiswal@zupee.in")</f>
        <v>nishant.jaiswal@zupee.in</v>
      </c>
      <c r="F569" s="31" t="str">
        <f>IFERROR(__xludf.DUMMYFUNCTION("""COMPUTED_VALUE"""),"Done")</f>
        <v>Done</v>
      </c>
      <c r="G569" s="31" t="str">
        <f>IFERROR(__xludf.DUMMYFUNCTION("""COMPUTED_VALUE"""),"No-Need")</f>
        <v>No-Need</v>
      </c>
      <c r="H569" s="31" t="str">
        <f>IFERROR(__xludf.DUMMYFUNCTION("""COMPUTED_VALUE"""),"No-Need")</f>
        <v>No-Need</v>
      </c>
      <c r="I569" s="31" t="str">
        <f>IFERROR(__xludf.DUMMYFUNCTION("""COMPUTED_VALUE"""),"Digital Marketing")</f>
        <v>Digital Marketing</v>
      </c>
      <c r="J569" s="103">
        <f>IFERROR(__xludf.DUMMYFUNCTION("""COMPUTED_VALUE"""),46072.0)</f>
        <v>46072</v>
      </c>
      <c r="K569" s="31" t="str">
        <f>IFERROR(__xludf.DUMMYFUNCTION("""COMPUTED_VALUE"""),"Conf By Nishant Jaiswal")</f>
        <v>Conf By Nishant Jaiswal</v>
      </c>
    </row>
    <row r="570">
      <c r="A570" s="31" t="str">
        <f>IFERROR(__xludf.DUMMYFUNCTION("""COMPUTED_VALUE"""),"kinjal.sharma@zupee.in")</f>
        <v>kinjal.sharma@zupee.in</v>
      </c>
      <c r="B570" s="31" t="str">
        <f>IFERROR(__xludf.DUMMYFUNCTION("""COMPUTED_VALUE"""),"NOT_FOUND")</f>
        <v>NOT_FOUND</v>
      </c>
      <c r="C570" s="31" t="str">
        <f>IFERROR(__xludf.DUMMYFUNCTION("""COMPUTED_VALUE"""),"User not found")</f>
        <v>User not found</v>
      </c>
      <c r="D570" s="31" t="str">
        <f>IFERROR(__xludf.DUMMYFUNCTION("""COMPUTED_VALUE"""),"Revoked")</f>
        <v>Revoked</v>
      </c>
      <c r="E570" s="31" t="str">
        <f>IFERROR(__xludf.DUMMYFUNCTION("""COMPUTED_VALUE"""),"nishant.jaiswal@zupee.in")</f>
        <v>nishant.jaiswal@zupee.in</v>
      </c>
      <c r="F570" s="31" t="str">
        <f>IFERROR(__xludf.DUMMYFUNCTION("""COMPUTED_VALUE"""),"Done")</f>
        <v>Done</v>
      </c>
      <c r="G570" s="31" t="str">
        <f>IFERROR(__xludf.DUMMYFUNCTION("""COMPUTED_VALUE"""),"No-Need")</f>
        <v>No-Need</v>
      </c>
      <c r="H570" s="31" t="str">
        <f>IFERROR(__xludf.DUMMYFUNCTION("""COMPUTED_VALUE"""),"No-Need")</f>
        <v>No-Need</v>
      </c>
      <c r="I570" s="31" t="str">
        <f>IFERROR(__xludf.DUMMYFUNCTION("""COMPUTED_VALUE"""),"Digital Marketing")</f>
        <v>Digital Marketing</v>
      </c>
      <c r="J570" s="103">
        <f>IFERROR(__xludf.DUMMYFUNCTION("""COMPUTED_VALUE"""),46072.0)</f>
        <v>46072</v>
      </c>
      <c r="K570" s="31" t="str">
        <f>IFERROR(__xludf.DUMMYFUNCTION("""COMPUTED_VALUE"""),"Conf By Nishant Jaiswal")</f>
        <v>Conf By Nishant Jaiswal</v>
      </c>
    </row>
    <row r="571">
      <c r="A571" s="31" t="str">
        <f>IFERROR(__xludf.DUMMYFUNCTION("""COMPUTED_VALUE"""),"lekhika.dhariyal@zupee.in")</f>
        <v>lekhika.dhariyal@zupee.in</v>
      </c>
      <c r="B571" s="31" t="str">
        <f>IFERROR(__xludf.DUMMYFUNCTION("""COMPUTED_VALUE"""),"NOT_FOUND")</f>
        <v>NOT_FOUND</v>
      </c>
      <c r="C571" s="31" t="str">
        <f>IFERROR(__xludf.DUMMYFUNCTION("""COMPUTED_VALUE"""),"User not found")</f>
        <v>User not found</v>
      </c>
      <c r="D571" s="31" t="str">
        <f>IFERROR(__xludf.DUMMYFUNCTION("""COMPUTED_VALUE"""),"Revoked")</f>
        <v>Revoked</v>
      </c>
      <c r="E571" s="31" t="str">
        <f>IFERROR(__xludf.DUMMYFUNCTION("""COMPUTED_VALUE"""),"nishant.jaiswal@zupee.in")</f>
        <v>nishant.jaiswal@zupee.in</v>
      </c>
      <c r="F571" s="31" t="str">
        <f>IFERROR(__xludf.DUMMYFUNCTION("""COMPUTED_VALUE"""),"Done")</f>
        <v>Done</v>
      </c>
      <c r="G571" s="31" t="str">
        <f>IFERROR(__xludf.DUMMYFUNCTION("""COMPUTED_VALUE"""),"No-Need")</f>
        <v>No-Need</v>
      </c>
      <c r="H571" s="31" t="str">
        <f>IFERROR(__xludf.DUMMYFUNCTION("""COMPUTED_VALUE"""),"No-Need")</f>
        <v>No-Need</v>
      </c>
      <c r="I571" s="31" t="str">
        <f>IFERROR(__xludf.DUMMYFUNCTION("""COMPUTED_VALUE"""),"Digital Marketing")</f>
        <v>Digital Marketing</v>
      </c>
      <c r="J571" s="103">
        <f>IFERROR(__xludf.DUMMYFUNCTION("""COMPUTED_VALUE"""),46072.0)</f>
        <v>46072</v>
      </c>
      <c r="K571" s="31" t="str">
        <f>IFERROR(__xludf.DUMMYFUNCTION("""COMPUTED_VALUE"""),"Conf By Nishant Jaiswal")</f>
        <v>Conf By Nishant Jaiswal</v>
      </c>
    </row>
    <row r="572">
      <c r="A572" s="31" t="str">
        <f>IFERROR(__xludf.DUMMYFUNCTION("""COMPUTED_VALUE"""),"satyam.singh@zupee.in")</f>
        <v>satyam.singh@zupee.in</v>
      </c>
      <c r="B572" s="31" t="str">
        <f>IFERROR(__xludf.DUMMYFUNCTION("""COMPUTED_VALUE"""),"NOT_FOUND")</f>
        <v>NOT_FOUND</v>
      </c>
      <c r="C572" s="31" t="str">
        <f>IFERROR(__xludf.DUMMYFUNCTION("""COMPUTED_VALUE"""),"User not found")</f>
        <v>User not found</v>
      </c>
      <c r="D572" s="31" t="str">
        <f>IFERROR(__xludf.DUMMYFUNCTION("""COMPUTED_VALUE"""),"Revoked")</f>
        <v>Revoked</v>
      </c>
      <c r="E572" s="31" t="str">
        <f>IFERROR(__xludf.DUMMYFUNCTION("""COMPUTED_VALUE"""),"nishant.jaiswal@zupee.in")</f>
        <v>nishant.jaiswal@zupee.in</v>
      </c>
      <c r="F572" s="31" t="str">
        <f>IFERROR(__xludf.DUMMYFUNCTION("""COMPUTED_VALUE"""),"Done")</f>
        <v>Done</v>
      </c>
      <c r="G572" s="31" t="str">
        <f>IFERROR(__xludf.DUMMYFUNCTION("""COMPUTED_VALUE"""),"No-Need")</f>
        <v>No-Need</v>
      </c>
      <c r="H572" s="31" t="str">
        <f>IFERROR(__xludf.DUMMYFUNCTION("""COMPUTED_VALUE"""),"No-Need")</f>
        <v>No-Need</v>
      </c>
      <c r="I572" s="31" t="str">
        <f>IFERROR(__xludf.DUMMYFUNCTION("""COMPUTED_VALUE"""),"Digital Marketing")</f>
        <v>Digital Marketing</v>
      </c>
      <c r="J572" s="103">
        <f>IFERROR(__xludf.DUMMYFUNCTION("""COMPUTED_VALUE"""),46072.0)</f>
        <v>46072</v>
      </c>
      <c r="K572" s="31" t="str">
        <f>IFERROR(__xludf.DUMMYFUNCTION("""COMPUTED_VALUE"""),"Conf By Nishant Jaiswal")</f>
        <v>Conf By Nishant Jaiswal</v>
      </c>
    </row>
    <row r="573">
      <c r="A573" s="31" t="str">
        <f>IFERROR(__xludf.DUMMYFUNCTION("""COMPUTED_VALUE"""),"saurabh.s@zupee.in")</f>
        <v>saurabh.s@zupee.in</v>
      </c>
      <c r="B573" s="31" t="str">
        <f>IFERROR(__xludf.DUMMYFUNCTION("""COMPUTED_VALUE"""),"NOT_FOUND")</f>
        <v>NOT_FOUND</v>
      </c>
      <c r="C573" s="31" t="str">
        <f>IFERROR(__xludf.DUMMYFUNCTION("""COMPUTED_VALUE"""),"User not found")</f>
        <v>User not found</v>
      </c>
      <c r="D573" s="31" t="str">
        <f>IFERROR(__xludf.DUMMYFUNCTION("""COMPUTED_VALUE"""),"Revoked")</f>
        <v>Revoked</v>
      </c>
      <c r="E573" s="31" t="str">
        <f>IFERROR(__xludf.DUMMYFUNCTION("""COMPUTED_VALUE"""),"nishant.jaiswal@zupee.in")</f>
        <v>nishant.jaiswal@zupee.in</v>
      </c>
      <c r="F573" s="31" t="str">
        <f>IFERROR(__xludf.DUMMYFUNCTION("""COMPUTED_VALUE"""),"Done")</f>
        <v>Done</v>
      </c>
      <c r="G573" s="31" t="str">
        <f>IFERROR(__xludf.DUMMYFUNCTION("""COMPUTED_VALUE"""),"No-Need")</f>
        <v>No-Need</v>
      </c>
      <c r="H573" s="31" t="str">
        <f>IFERROR(__xludf.DUMMYFUNCTION("""COMPUTED_VALUE"""),"No-Need")</f>
        <v>No-Need</v>
      </c>
      <c r="I573" s="31" t="str">
        <f>IFERROR(__xludf.DUMMYFUNCTION("""COMPUTED_VALUE"""),"Digital Marketing")</f>
        <v>Digital Marketing</v>
      </c>
      <c r="J573" s="103">
        <f>IFERROR(__xludf.DUMMYFUNCTION("""COMPUTED_VALUE"""),46072.0)</f>
        <v>46072</v>
      </c>
      <c r="K573" s="31" t="str">
        <f>IFERROR(__xludf.DUMMYFUNCTION("""COMPUTED_VALUE"""),"Conf By Nishant Jaiswal")</f>
        <v>Conf By Nishant Jaiswal</v>
      </c>
    </row>
    <row r="574">
      <c r="A574" s="31" t="str">
        <f>IFERROR(__xludf.DUMMYFUNCTION("""COMPUTED_VALUE"""),"shivam.pandita@zupee.in")</f>
        <v>shivam.pandita@zupee.in</v>
      </c>
      <c r="B574" s="31" t="str">
        <f>IFERROR(__xludf.DUMMYFUNCTION("""COMPUTED_VALUE"""),"NOT_FOUND")</f>
        <v>NOT_FOUND</v>
      </c>
      <c r="C574" s="31" t="str">
        <f>IFERROR(__xludf.DUMMYFUNCTION("""COMPUTED_VALUE"""),"User not found")</f>
        <v>User not found</v>
      </c>
      <c r="D574" s="31" t="str">
        <f>IFERROR(__xludf.DUMMYFUNCTION("""COMPUTED_VALUE"""),"Revoked")</f>
        <v>Revoked</v>
      </c>
      <c r="E574" s="31" t="str">
        <f>IFERROR(__xludf.DUMMYFUNCTION("""COMPUTED_VALUE"""),"nishant.jaiswal@zupee.in")</f>
        <v>nishant.jaiswal@zupee.in</v>
      </c>
      <c r="F574" s="31" t="str">
        <f>IFERROR(__xludf.DUMMYFUNCTION("""COMPUTED_VALUE"""),"Done")</f>
        <v>Done</v>
      </c>
      <c r="G574" s="31" t="str">
        <f>IFERROR(__xludf.DUMMYFUNCTION("""COMPUTED_VALUE"""),"No-Need")</f>
        <v>No-Need</v>
      </c>
      <c r="H574" s="31" t="str">
        <f>IFERROR(__xludf.DUMMYFUNCTION("""COMPUTED_VALUE"""),"No-Need")</f>
        <v>No-Need</v>
      </c>
      <c r="I574" s="31" t="str">
        <f>IFERROR(__xludf.DUMMYFUNCTION("""COMPUTED_VALUE"""),"Digital Marketing")</f>
        <v>Digital Marketing</v>
      </c>
      <c r="J574" s="103">
        <f>IFERROR(__xludf.DUMMYFUNCTION("""COMPUTED_VALUE"""),46072.0)</f>
        <v>46072</v>
      </c>
      <c r="K574" s="31" t="str">
        <f>IFERROR(__xludf.DUMMYFUNCTION("""COMPUTED_VALUE"""),"Conf By Nishant Jaiswal")</f>
        <v>Conf By Nishant Jaiswal</v>
      </c>
    </row>
    <row r="575">
      <c r="A575" s="31" t="str">
        <f>IFERROR(__xludf.DUMMYFUNCTION("""COMPUTED_VALUE"""),"utkarsh.sharma@moneyearningsways.com")</f>
        <v>utkarsh.sharma@moneyearningsways.com</v>
      </c>
      <c r="B575" s="31" t="str">
        <f>IFERROR(__xludf.DUMMYFUNCTION("""COMPUTED_VALUE"""),"NOT_FOUND")</f>
        <v>NOT_FOUND</v>
      </c>
      <c r="C575" s="31" t="str">
        <f>IFERROR(__xludf.DUMMYFUNCTION("""COMPUTED_VALUE"""),"User not found")</f>
        <v>User not found</v>
      </c>
      <c r="D575" s="31" t="str">
        <f>IFERROR(__xludf.DUMMYFUNCTION("""COMPUTED_VALUE"""),"Revoked")</f>
        <v>Revoked</v>
      </c>
      <c r="E575" s="31" t="str">
        <f>IFERROR(__xludf.DUMMYFUNCTION("""COMPUTED_VALUE"""),"nishant.jaiswal@zupee.in")</f>
        <v>nishant.jaiswal@zupee.in</v>
      </c>
      <c r="F575" s="31" t="str">
        <f>IFERROR(__xludf.DUMMYFUNCTION("""COMPUTED_VALUE"""),"Done")</f>
        <v>Done</v>
      </c>
      <c r="G575" s="31" t="str">
        <f>IFERROR(__xludf.DUMMYFUNCTION("""COMPUTED_VALUE"""),"No-Need")</f>
        <v>No-Need</v>
      </c>
      <c r="H575" s="31" t="str">
        <f>IFERROR(__xludf.DUMMYFUNCTION("""COMPUTED_VALUE"""),"No-Need")</f>
        <v>No-Need</v>
      </c>
      <c r="I575" s="31" t="str">
        <f>IFERROR(__xludf.DUMMYFUNCTION("""COMPUTED_VALUE"""),"Digital Marketing")</f>
        <v>Digital Marketing</v>
      </c>
      <c r="J575" s="103">
        <f>IFERROR(__xludf.DUMMYFUNCTION("""COMPUTED_VALUE"""),46072.0)</f>
        <v>46072</v>
      </c>
      <c r="K575" s="31" t="str">
        <f>IFERROR(__xludf.DUMMYFUNCTION("""COMPUTED_VALUE"""),"Conf By Nishant Jaiswal")</f>
        <v>Conf By Nishant Jaiswal</v>
      </c>
    </row>
    <row r="576">
      <c r="A576" s="31" t="str">
        <f>IFERROR(__xludf.DUMMYFUNCTION("""COMPUTED_VALUE"""),"abhinav.pant@zupee.in")</f>
        <v>abhinav.pant@zupee.in</v>
      </c>
      <c r="B576" s="31" t="str">
        <f>IFERROR(__xludf.DUMMYFUNCTION("""COMPUTED_VALUE"""),"NON-ARCHIVED")</f>
        <v>NON-ARCHIVED</v>
      </c>
      <c r="C576" s="31" t="str">
        <f>IFERROR(__xludf.DUMMYFUNCTION("""COMPUTED_VALUE"""),"User is ACTIVE (SUSPENDED)")</f>
        <v>User is ACTIVE (SUSPENDED)</v>
      </c>
      <c r="D576" s="31" t="str">
        <f>IFERROR(__xludf.DUMMYFUNCTION("""COMPUTED_VALUE"""),"Impacted+Keep")</f>
        <v>Impacted+Keep</v>
      </c>
      <c r="E576" s="31"/>
      <c r="F576" s="31"/>
      <c r="G576" s="31" t="str">
        <f>IFERROR(__xludf.DUMMYFUNCTION("""COMPUTED_VALUE"""),"Impacted+Keep")</f>
        <v>Impacted+Keep</v>
      </c>
      <c r="H576" s="31" t="str">
        <f>IFERROR(__xludf.DUMMYFUNCTION("""COMPUTED_VALUE"""),"Impacted+Keep")</f>
        <v>Impacted+Keep</v>
      </c>
      <c r="I576" s="31"/>
      <c r="J576" s="31"/>
      <c r="K576" s="31"/>
    </row>
    <row r="577">
      <c r="A577" s="31" t="str">
        <f>IFERROR(__xludf.DUMMYFUNCTION("""COMPUTED_VALUE"""),"aman.kumar@zupee.in")</f>
        <v>aman.kumar@zupee.in</v>
      </c>
      <c r="B577" s="31" t="str">
        <f>IFERROR(__xludf.DUMMYFUNCTION("""COMPUTED_VALUE"""),"ACTIVE")</f>
        <v>ACTIVE</v>
      </c>
      <c r="C577" s="31" t="str">
        <f>IFERROR(__xludf.DUMMYFUNCTION("""COMPUTED_VALUE"""),"User is ACTIVE")</f>
        <v>User is ACTIVE</v>
      </c>
      <c r="D577" s="31" t="str">
        <f>IFERROR(__xludf.DUMMYFUNCTION("""COMPUTED_VALUE"""),"Impacted+Keep")</f>
        <v>Impacted+Keep</v>
      </c>
      <c r="E577" s="31" t="str">
        <f>IFERROR(__xludf.DUMMYFUNCTION("""COMPUTED_VALUE"""),"rahul.sharma1@zupee.in")</f>
        <v>rahul.sharma1@zupee.in</v>
      </c>
      <c r="F577" s="31" t="str">
        <f>IFERROR(__xludf.DUMMYFUNCTION("""COMPUTED_VALUE"""),"Done")</f>
        <v>Done</v>
      </c>
      <c r="G577" s="31" t="str">
        <f>IFERROR(__xludf.DUMMYFUNCTION("""COMPUTED_VALUE"""),"Impacted+Keep")</f>
        <v>Impacted+Keep</v>
      </c>
      <c r="H577" s="31" t="str">
        <f>IFERROR(__xludf.DUMMYFUNCTION("""COMPUTED_VALUE"""),"Impacted+Keep")</f>
        <v>Impacted+Keep</v>
      </c>
      <c r="I577" s="31" t="str">
        <f>IFERROR(__xludf.DUMMYFUNCTION("""COMPUTED_VALUE"""),"Technology")</f>
        <v>Technology</v>
      </c>
      <c r="J577" s="103">
        <f>IFERROR(__xludf.DUMMYFUNCTION("""COMPUTED_VALUE"""),46056.0)</f>
        <v>46056</v>
      </c>
      <c r="K577" s="104" t="str">
        <f>IFERROR(__xludf.DUMMYFUNCTION("""COMPUTED_VALUE"""),"Conf By Naveen Kadyan")</f>
        <v>Conf By Naveen Kadyan</v>
      </c>
    </row>
    <row r="578">
      <c r="A578" s="31" t="str">
        <f>IFERROR(__xludf.DUMMYFUNCTION("""COMPUTED_VALUE"""),"aman.g@zupee.in")</f>
        <v>aman.g@zupee.in</v>
      </c>
      <c r="B578" s="31" t="str">
        <f>IFERROR(__xludf.DUMMYFUNCTION("""COMPUTED_VALUE"""),"NON-ARCHIVED")</f>
        <v>NON-ARCHIVED</v>
      </c>
      <c r="C578" s="31" t="str">
        <f>IFERROR(__xludf.DUMMYFUNCTION("""COMPUTED_VALUE"""),"User is ACTIVE (SUSPENDED)")</f>
        <v>User is ACTIVE (SUSPENDED)</v>
      </c>
      <c r="D578" s="31" t="str">
        <f>IFERROR(__xludf.DUMMYFUNCTION("""COMPUTED_VALUE"""),"Impacted+Keep")</f>
        <v>Impacted+Keep</v>
      </c>
      <c r="E578" s="31"/>
      <c r="F578" s="31"/>
      <c r="G578" s="31" t="str">
        <f>IFERROR(__xludf.DUMMYFUNCTION("""COMPUTED_VALUE"""),"Impacted+Keep")</f>
        <v>Impacted+Keep</v>
      </c>
      <c r="H578" s="31" t="str">
        <f>IFERROR(__xludf.DUMMYFUNCTION("""COMPUTED_VALUE"""),"Impacted+Keep")</f>
        <v>Impacted+Keep</v>
      </c>
      <c r="I578" s="31"/>
      <c r="J578" s="31"/>
      <c r="K578" s="31"/>
    </row>
    <row r="579">
      <c r="A579" s="31" t="str">
        <f>IFERROR(__xludf.DUMMYFUNCTION("""COMPUTED_VALUE"""),"ankit.madan@zupee.in")</f>
        <v>ankit.madan@zupee.in</v>
      </c>
      <c r="B579" s="31" t="str">
        <f>IFERROR(__xludf.DUMMYFUNCTION("""COMPUTED_VALUE"""),"ACTIVE")</f>
        <v>ACTIVE</v>
      </c>
      <c r="C579" s="31" t="str">
        <f>IFERROR(__xludf.DUMMYFUNCTION("""COMPUTED_VALUE"""),"User is ACTIVE")</f>
        <v>User is ACTIVE</v>
      </c>
      <c r="D579" s="31" t="str">
        <f>IFERROR(__xludf.DUMMYFUNCTION("""COMPUTED_VALUE"""),"Impacted+Keep")</f>
        <v>Impacted+Keep</v>
      </c>
      <c r="E579" s="31"/>
      <c r="F579" s="31"/>
      <c r="G579" s="31" t="str">
        <f>IFERROR(__xludf.DUMMYFUNCTION("""COMPUTED_VALUE"""),"Impacted+Keep")</f>
        <v>Impacted+Keep</v>
      </c>
      <c r="H579" s="31" t="str">
        <f>IFERROR(__xludf.DUMMYFUNCTION("""COMPUTED_VALUE"""),"Impacted+Keep")</f>
        <v>Impacted+Keep</v>
      </c>
      <c r="I579" s="31"/>
      <c r="J579" s="31"/>
      <c r="K579" s="31"/>
    </row>
    <row r="580">
      <c r="A580" s="31" t="str">
        <f>IFERROR(__xludf.DUMMYFUNCTION("""COMPUTED_VALUE"""),"annu.nirmal@zupee.in")</f>
        <v>annu.nirmal@zupee.in</v>
      </c>
      <c r="B580" s="31" t="str">
        <f>IFERROR(__xludf.DUMMYFUNCTION("""COMPUTED_VALUE"""),"NON-ARCHIVED")</f>
        <v>NON-ARCHIVED</v>
      </c>
      <c r="C580" s="31" t="str">
        <f>IFERROR(__xludf.DUMMYFUNCTION("""COMPUTED_VALUE"""),"User is ACTIVE (SUSPENDED)")</f>
        <v>User is ACTIVE (SUSPENDED)</v>
      </c>
      <c r="D580" s="31" t="str">
        <f>IFERROR(__xludf.DUMMYFUNCTION("""COMPUTED_VALUE"""),"Impacted+Keep")</f>
        <v>Impacted+Keep</v>
      </c>
      <c r="E580" s="31"/>
      <c r="F580" s="31"/>
      <c r="G580" s="31" t="str">
        <f>IFERROR(__xludf.DUMMYFUNCTION("""COMPUTED_VALUE"""),"Impacted+Keep")</f>
        <v>Impacted+Keep</v>
      </c>
      <c r="H580" s="31" t="str">
        <f>IFERROR(__xludf.DUMMYFUNCTION("""COMPUTED_VALUE"""),"Impacted+Keep")</f>
        <v>Impacted+Keep</v>
      </c>
      <c r="I580" s="31"/>
      <c r="J580" s="31"/>
      <c r="K580" s="31"/>
    </row>
    <row r="581">
      <c r="A581" s="31" t="str">
        <f>IFERROR(__xludf.DUMMYFUNCTION("""COMPUTED_VALUE"""),"anshul.mittal@zupee.in")</f>
        <v>anshul.mittal@zupee.in</v>
      </c>
      <c r="B581" s="31" t="str">
        <f>IFERROR(__xludf.DUMMYFUNCTION("""COMPUTED_VALUE"""),"ACTIVE")</f>
        <v>ACTIVE</v>
      </c>
      <c r="C581" s="31" t="str">
        <f>IFERROR(__xludf.DUMMYFUNCTION("""COMPUTED_VALUE"""),"User is ACTIVE")</f>
        <v>User is ACTIVE</v>
      </c>
      <c r="D581" s="31" t="str">
        <f>IFERROR(__xludf.DUMMYFUNCTION("""COMPUTED_VALUE"""),"Impacted+Keep")</f>
        <v>Impacted+Keep</v>
      </c>
      <c r="E581" s="31"/>
      <c r="F581" s="31"/>
      <c r="G581" s="31" t="str">
        <f>IFERROR(__xludf.DUMMYFUNCTION("""COMPUTED_VALUE"""),"Impacted+Keep")</f>
        <v>Impacted+Keep</v>
      </c>
      <c r="H581" s="31" t="str">
        <f>IFERROR(__xludf.DUMMYFUNCTION("""COMPUTED_VALUE"""),"Impacted+Keep")</f>
        <v>Impacted+Keep</v>
      </c>
      <c r="I581" s="31"/>
      <c r="J581" s="31"/>
      <c r="K581" s="31"/>
    </row>
    <row r="582">
      <c r="A582" s="31" t="str">
        <f>IFERROR(__xludf.DUMMYFUNCTION("""COMPUTED_VALUE"""),"chirag.sabhadiya@zupee.in")</f>
        <v>chirag.sabhadiya@zupee.in</v>
      </c>
      <c r="B582" s="31" t="str">
        <f>IFERROR(__xludf.DUMMYFUNCTION("""COMPUTED_VALUE"""),"ACTIVE")</f>
        <v>ACTIVE</v>
      </c>
      <c r="C582" s="31" t="str">
        <f>IFERROR(__xludf.DUMMYFUNCTION("""COMPUTED_VALUE"""),"User is ACTIVE")</f>
        <v>User is ACTIVE</v>
      </c>
      <c r="D582" s="31" t="str">
        <f>IFERROR(__xludf.DUMMYFUNCTION("""COMPUTED_VALUE"""),"Impacted+Keep")</f>
        <v>Impacted+Keep</v>
      </c>
      <c r="E582" s="31"/>
      <c r="F582" s="31"/>
      <c r="G582" s="31" t="str">
        <f>IFERROR(__xludf.DUMMYFUNCTION("""COMPUTED_VALUE"""),"Impacted+Keep")</f>
        <v>Impacted+Keep</v>
      </c>
      <c r="H582" s="31" t="str">
        <f>IFERROR(__xludf.DUMMYFUNCTION("""COMPUTED_VALUE"""),"Impacted+Keep")</f>
        <v>Impacted+Keep</v>
      </c>
      <c r="I582" s="31"/>
      <c r="J582" s="31"/>
      <c r="K582" s="31"/>
    </row>
    <row r="583">
      <c r="A583" s="31" t="str">
        <f>IFERROR(__xludf.DUMMYFUNCTION("""COMPUTED_VALUE"""),"ishank.mehta@zupee.in")</f>
        <v>ishank.mehta@zupee.in</v>
      </c>
      <c r="B583" s="31" t="str">
        <f>IFERROR(__xludf.DUMMYFUNCTION("""COMPUTED_VALUE"""),"ACTIVE")</f>
        <v>ACTIVE</v>
      </c>
      <c r="C583" s="31" t="str">
        <f>IFERROR(__xludf.DUMMYFUNCTION("""COMPUTED_VALUE"""),"User is ACTIVE")</f>
        <v>User is ACTIVE</v>
      </c>
      <c r="D583" s="31" t="str">
        <f>IFERROR(__xludf.DUMMYFUNCTION("""COMPUTED_VALUE"""),"Impacted+Keep")</f>
        <v>Impacted+Keep</v>
      </c>
      <c r="E583" s="31"/>
      <c r="F583" s="31"/>
      <c r="G583" s="31" t="str">
        <f>IFERROR(__xludf.DUMMYFUNCTION("""COMPUTED_VALUE"""),"Impacted+Keep")</f>
        <v>Impacted+Keep</v>
      </c>
      <c r="H583" s="31" t="str">
        <f>IFERROR(__xludf.DUMMYFUNCTION("""COMPUTED_VALUE"""),"Impacted+Keep")</f>
        <v>Impacted+Keep</v>
      </c>
      <c r="I583" s="31"/>
      <c r="J583" s="31"/>
      <c r="K583" s="31"/>
    </row>
    <row r="584">
      <c r="A584" s="31" t="str">
        <f>IFERROR(__xludf.DUMMYFUNCTION("""COMPUTED_VALUE"""),"katha.tara@zupee.in")</f>
        <v>katha.tara@zupee.in</v>
      </c>
      <c r="B584" s="31" t="str">
        <f>IFERROR(__xludf.DUMMYFUNCTION("""COMPUTED_VALUE"""),"ACTIVE")</f>
        <v>ACTIVE</v>
      </c>
      <c r="C584" s="31" t="str">
        <f>IFERROR(__xludf.DUMMYFUNCTION("""COMPUTED_VALUE"""),"User is ACTIVE")</f>
        <v>User is ACTIVE</v>
      </c>
      <c r="D584" s="31" t="str">
        <f>IFERROR(__xludf.DUMMYFUNCTION("""COMPUTED_VALUE"""),"Impacted+Keep")</f>
        <v>Impacted+Keep</v>
      </c>
      <c r="E584" s="31"/>
      <c r="F584" s="31"/>
      <c r="G584" s="31" t="str">
        <f>IFERROR(__xludf.DUMMYFUNCTION("""COMPUTED_VALUE"""),"Impacted+Keep")</f>
        <v>Impacted+Keep</v>
      </c>
      <c r="H584" s="31" t="str">
        <f>IFERROR(__xludf.DUMMYFUNCTION("""COMPUTED_VALUE"""),"Impacted+Keep")</f>
        <v>Impacted+Keep</v>
      </c>
      <c r="I584" s="31"/>
      <c r="J584" s="31"/>
      <c r="K584" s="31"/>
    </row>
    <row r="585">
      <c r="A585" s="31" t="str">
        <f>IFERROR(__xludf.DUMMYFUNCTION("""COMPUTED_VALUE"""),"mohit.garg@zupee.in")</f>
        <v>mohit.garg@zupee.in</v>
      </c>
      <c r="B585" s="31" t="str">
        <f>IFERROR(__xludf.DUMMYFUNCTION("""COMPUTED_VALUE"""),"ACTIVE")</f>
        <v>ACTIVE</v>
      </c>
      <c r="C585" s="31" t="str">
        <f>IFERROR(__xludf.DUMMYFUNCTION("""COMPUTED_VALUE"""),"User is ACTIVE")</f>
        <v>User is ACTIVE</v>
      </c>
      <c r="D585" s="31" t="str">
        <f>IFERROR(__xludf.DUMMYFUNCTION("""COMPUTED_VALUE"""),"Impacted+Keep")</f>
        <v>Impacted+Keep</v>
      </c>
      <c r="E585" s="31"/>
      <c r="F585" s="31"/>
      <c r="G585" s="31" t="str">
        <f>IFERROR(__xludf.DUMMYFUNCTION("""COMPUTED_VALUE"""),"Impacted+Keep")</f>
        <v>Impacted+Keep</v>
      </c>
      <c r="H585" s="31" t="str">
        <f>IFERROR(__xludf.DUMMYFUNCTION("""COMPUTED_VALUE"""),"Impacted+Keep")</f>
        <v>Impacted+Keep</v>
      </c>
      <c r="I585" s="31"/>
      <c r="J585" s="31"/>
      <c r="K585" s="31"/>
    </row>
    <row r="586">
      <c r="A586" s="31" t="str">
        <f>IFERROR(__xludf.DUMMYFUNCTION("""COMPUTED_VALUE"""),"piyush.patel@zupee.in")</f>
        <v>piyush.patel@zupee.in</v>
      </c>
      <c r="B586" s="31" t="str">
        <f>IFERROR(__xludf.DUMMYFUNCTION("""COMPUTED_VALUE"""),"NON-ARCHIVED")</f>
        <v>NON-ARCHIVED</v>
      </c>
      <c r="C586" s="31" t="str">
        <f>IFERROR(__xludf.DUMMYFUNCTION("""COMPUTED_VALUE"""),"User is ACTIVE (SUSPENDED)")</f>
        <v>User is ACTIVE (SUSPENDED)</v>
      </c>
      <c r="D586" s="31" t="str">
        <f>IFERROR(__xludf.DUMMYFUNCTION("""COMPUTED_VALUE"""),"Impacted+Keep")</f>
        <v>Impacted+Keep</v>
      </c>
      <c r="E586" s="31"/>
      <c r="F586" s="31"/>
      <c r="G586" s="31" t="str">
        <f>IFERROR(__xludf.DUMMYFUNCTION("""COMPUTED_VALUE"""),"Impacted+Keep")</f>
        <v>Impacted+Keep</v>
      </c>
      <c r="H586" s="31" t="str">
        <f>IFERROR(__xludf.DUMMYFUNCTION("""COMPUTED_VALUE"""),"Impacted+Keep")</f>
        <v>Impacted+Keep</v>
      </c>
      <c r="I586" s="31"/>
      <c r="J586" s="31"/>
      <c r="K586" s="31"/>
    </row>
    <row r="587">
      <c r="A587" s="31" t="str">
        <f>IFERROR(__xludf.DUMMYFUNCTION("""COMPUTED_VALUE"""),"rahul.sharma@zupee.in")</f>
        <v>rahul.sharma@zupee.in</v>
      </c>
      <c r="B587" s="31" t="str">
        <f>IFERROR(__xludf.DUMMYFUNCTION("""COMPUTED_VALUE"""),"ACTIVE")</f>
        <v>ACTIVE</v>
      </c>
      <c r="C587" s="31" t="str">
        <f>IFERROR(__xludf.DUMMYFUNCTION("""COMPUTED_VALUE"""),"User is ACTIVE")</f>
        <v>User is ACTIVE</v>
      </c>
      <c r="D587" s="31" t="str">
        <f>IFERROR(__xludf.DUMMYFUNCTION("""COMPUTED_VALUE"""),"Impacted+Keep")</f>
        <v>Impacted+Keep</v>
      </c>
      <c r="E587" s="31"/>
      <c r="F587" s="31"/>
      <c r="G587" s="31" t="str">
        <f>IFERROR(__xludf.DUMMYFUNCTION("""COMPUTED_VALUE"""),"Impacted+Keep")</f>
        <v>Impacted+Keep</v>
      </c>
      <c r="H587" s="31" t="str">
        <f>IFERROR(__xludf.DUMMYFUNCTION("""COMPUTED_VALUE"""),"Impacted+Keep")</f>
        <v>Impacted+Keep</v>
      </c>
      <c r="I587" s="31"/>
      <c r="J587" s="31"/>
      <c r="K587" s="31"/>
    </row>
    <row r="588">
      <c r="A588" s="31" t="str">
        <f>IFERROR(__xludf.DUMMYFUNCTION("""COMPUTED_VALUE"""),"sairam.mushyam@zupee.in")</f>
        <v>sairam.mushyam@zupee.in</v>
      </c>
      <c r="B588" s="31" t="str">
        <f>IFERROR(__xludf.DUMMYFUNCTION("""COMPUTED_VALUE"""),"ACTIVE")</f>
        <v>ACTIVE</v>
      </c>
      <c r="C588" s="31" t="str">
        <f>IFERROR(__xludf.DUMMYFUNCTION("""COMPUTED_VALUE"""),"User is ACTIVE")</f>
        <v>User is ACTIVE</v>
      </c>
      <c r="D588" s="31" t="str">
        <f>IFERROR(__xludf.DUMMYFUNCTION("""COMPUTED_VALUE"""),"Impacted+Keep")</f>
        <v>Impacted+Keep</v>
      </c>
      <c r="E588" s="31"/>
      <c r="F588" s="31"/>
      <c r="G588" s="31" t="str">
        <f>IFERROR(__xludf.DUMMYFUNCTION("""COMPUTED_VALUE"""),"Impacted+Keep")</f>
        <v>Impacted+Keep</v>
      </c>
      <c r="H588" s="31" t="str">
        <f>IFERROR(__xludf.DUMMYFUNCTION("""COMPUTED_VALUE"""),"Impacted+Keep")</f>
        <v>Impacted+Keep</v>
      </c>
      <c r="I588" s="31"/>
      <c r="J588" s="31"/>
      <c r="K588" s="31"/>
    </row>
    <row r="589">
      <c r="A589" s="31" t="str">
        <f>IFERROR(__xludf.DUMMYFUNCTION("""COMPUTED_VALUE"""),"saumitra.raj@zupee.in")</f>
        <v>saumitra.raj@zupee.in</v>
      </c>
      <c r="B589" s="31" t="str">
        <f>IFERROR(__xludf.DUMMYFUNCTION("""COMPUTED_VALUE"""),"ACTIVE")</f>
        <v>ACTIVE</v>
      </c>
      <c r="C589" s="31" t="str">
        <f>IFERROR(__xludf.DUMMYFUNCTION("""COMPUTED_VALUE"""),"User is ACTIVE")</f>
        <v>User is ACTIVE</v>
      </c>
      <c r="D589" s="31" t="str">
        <f>IFERROR(__xludf.DUMMYFUNCTION("""COMPUTED_VALUE"""),"Impacted+keep")</f>
        <v>Impacted+keep</v>
      </c>
      <c r="E589" s="31"/>
      <c r="F589" s="31"/>
      <c r="G589" s="31" t="str">
        <f>IFERROR(__xludf.DUMMYFUNCTION("""COMPUTED_VALUE"""),"Impacted+keep")</f>
        <v>Impacted+keep</v>
      </c>
      <c r="H589" s="31" t="str">
        <f>IFERROR(__xludf.DUMMYFUNCTION("""COMPUTED_VALUE"""),"Impacted+keep")</f>
        <v>Impacted+keep</v>
      </c>
      <c r="I589" s="31"/>
      <c r="J589" s="31"/>
      <c r="K589" s="31"/>
    </row>
    <row r="590">
      <c r="A590" s="31" t="str">
        <f>IFERROR(__xludf.DUMMYFUNCTION("""COMPUTED_VALUE"""),"shobhit.nanda@zupee.in")</f>
        <v>shobhit.nanda@zupee.in</v>
      </c>
      <c r="B590" s="31" t="str">
        <f>IFERROR(__xludf.DUMMYFUNCTION("""COMPUTED_VALUE"""),"NON-ARCHIVED")</f>
        <v>NON-ARCHIVED</v>
      </c>
      <c r="C590" s="31" t="str">
        <f>IFERROR(__xludf.DUMMYFUNCTION("""COMPUTED_VALUE"""),"User is ACTIVE (SUSPENDED)")</f>
        <v>User is ACTIVE (SUSPENDED)</v>
      </c>
      <c r="D590" s="31" t="str">
        <f>IFERROR(__xludf.DUMMYFUNCTION("""COMPUTED_VALUE"""),"Impacted+Keep")</f>
        <v>Impacted+Keep</v>
      </c>
      <c r="E590" s="31"/>
      <c r="F590" s="31"/>
      <c r="G590" s="31" t="str">
        <f>IFERROR(__xludf.DUMMYFUNCTION("""COMPUTED_VALUE"""),"Impacted+Keep")</f>
        <v>Impacted+Keep</v>
      </c>
      <c r="H590" s="31" t="str">
        <f>IFERROR(__xludf.DUMMYFUNCTION("""COMPUTED_VALUE"""),"Impacted+Keep")</f>
        <v>Impacted+Keep</v>
      </c>
      <c r="I590" s="31"/>
      <c r="J590" s="31"/>
      <c r="K590" s="31"/>
    </row>
    <row r="591">
      <c r="A591" s="31" t="str">
        <f>IFERROR(__xludf.DUMMYFUNCTION("""COMPUTED_VALUE"""),"vishal.agarwal@zupee.in")</f>
        <v>vishal.agarwal@zupee.in</v>
      </c>
      <c r="B591" s="31" t="str">
        <f>IFERROR(__xludf.DUMMYFUNCTION("""COMPUTED_VALUE"""),"NON-ARCHIVED")</f>
        <v>NON-ARCHIVED</v>
      </c>
      <c r="C591" s="31" t="str">
        <f>IFERROR(__xludf.DUMMYFUNCTION("""COMPUTED_VALUE"""),"User is ACTIVE (SUSPENDED)")</f>
        <v>User is ACTIVE (SUSPENDED)</v>
      </c>
      <c r="D591" s="31" t="str">
        <f>IFERROR(__xludf.DUMMYFUNCTION("""COMPUTED_VALUE"""),"Impacted+Keep")</f>
        <v>Impacted+Keep</v>
      </c>
      <c r="E591" s="31"/>
      <c r="F591" s="31"/>
      <c r="G591" s="31" t="str">
        <f>IFERROR(__xludf.DUMMYFUNCTION("""COMPUTED_VALUE"""),"Impacted+Keep")</f>
        <v>Impacted+Keep</v>
      </c>
      <c r="H591" s="31" t="str">
        <f>IFERROR(__xludf.DUMMYFUNCTION("""COMPUTED_VALUE"""),"Impacted+Keep")</f>
        <v>Impacted+Keep</v>
      </c>
      <c r="I591" s="31"/>
      <c r="J591" s="31"/>
      <c r="K591" s="31"/>
    </row>
    <row r="592">
      <c r="A592" s="31" t="str">
        <f>IFERROR(__xludf.DUMMYFUNCTION("""COMPUTED_VALUE"""),"sparsh.agarwal@zupee.in")</f>
        <v>sparsh.agarwal@zupee.in</v>
      </c>
      <c r="B592" s="31" t="str">
        <f>IFERROR(__xludf.DUMMYFUNCTION("""COMPUTED_VALUE"""),"NON-ARCHIVED")</f>
        <v>NON-ARCHIVED</v>
      </c>
      <c r="C592" s="31" t="str">
        <f>IFERROR(__xludf.DUMMYFUNCTION("""COMPUTED_VALUE"""),"User is ACTIVE (SUSPENDED)")</f>
        <v>User is ACTIVE (SUSPENDED)</v>
      </c>
      <c r="D592" s="31" t="str">
        <f>IFERROR(__xludf.DUMMYFUNCTION("""COMPUTED_VALUE"""),"No-Dues")</f>
        <v>No-Dues</v>
      </c>
      <c r="E592" s="31" t="str">
        <f>IFERROR(__xludf.DUMMYFUNCTION("""COMPUTED_VALUE"""),"punit.sharma@zupee.in")</f>
        <v>punit.sharma@zupee.in</v>
      </c>
      <c r="F592" s="31" t="str">
        <f>IFERROR(__xludf.DUMMYFUNCTION("""COMPUTED_VALUE"""),"Done")</f>
        <v>Done</v>
      </c>
      <c r="G592" s="31" t="str">
        <f>IFERROR(__xludf.DUMMYFUNCTION("""COMPUTED_VALUE"""),"No-Dues")</f>
        <v>No-Dues</v>
      </c>
      <c r="H592" s="31" t="str">
        <f>IFERROR(__xludf.DUMMYFUNCTION("""COMPUTED_VALUE"""),"No-Dues")</f>
        <v>No-Dues</v>
      </c>
      <c r="I592" s="31" t="str">
        <f>IFERROR(__xludf.DUMMYFUNCTION("""COMPUTED_VALUE"""),"Finance")</f>
        <v>Finance</v>
      </c>
      <c r="J592" s="103">
        <f>IFERROR(__xludf.DUMMYFUNCTION("""COMPUTED_VALUE"""),46073.0)</f>
        <v>46073</v>
      </c>
      <c r="K592" s="31" t="str">
        <f>IFERROR(__xludf.DUMMYFUNCTION("""COMPUTED_VALUE"""),"Rqst By Punit Sharma Apprv By Shashank Gupta")</f>
        <v>Rqst By Punit Sharma Apprv By Shashank Gupta</v>
      </c>
    </row>
    <row r="593">
      <c r="A593" s="31" t="str">
        <f>IFERROR(__xludf.DUMMYFUNCTION("""COMPUTED_VALUE"""),"rajneesh.yadav@zupee.in")</f>
        <v>rajneesh.yadav@zupee.in</v>
      </c>
      <c r="B593" s="31" t="str">
        <f>IFERROR(__xludf.DUMMYFUNCTION("""COMPUTED_VALUE"""),"NON-ARCHIVED")</f>
        <v>NON-ARCHIVED</v>
      </c>
      <c r="C593" s="31" t="str">
        <f>IFERROR(__xludf.DUMMYFUNCTION("""COMPUTED_VALUE"""),"User is ACTIVE (SUSPENDED)")</f>
        <v>User is ACTIVE (SUSPENDED)</v>
      </c>
      <c r="D593" s="31" t="str">
        <f>IFERROR(__xludf.DUMMYFUNCTION("""COMPUTED_VALUE"""),"No-Dues")</f>
        <v>No-Dues</v>
      </c>
      <c r="E593" s="31" t="str">
        <f>IFERROR(__xludf.DUMMYFUNCTION("""COMPUTED_VALUE"""),"m.sangeetha@zupee.in")</f>
        <v>m.sangeetha@zupee.in</v>
      </c>
      <c r="F593" s="31" t="str">
        <f>IFERROR(__xludf.DUMMYFUNCTION("""COMPUTED_VALUE"""),"Done")</f>
        <v>Done</v>
      </c>
      <c r="G593" s="31" t="str">
        <f>IFERROR(__xludf.DUMMYFUNCTION("""COMPUTED_VALUE"""),"No-Need")</f>
        <v>No-Need</v>
      </c>
      <c r="H593" s="31" t="str">
        <f>IFERROR(__xludf.DUMMYFUNCTION("""COMPUTED_VALUE"""),"No-Need")</f>
        <v>No-Need</v>
      </c>
      <c r="I593" s="31" t="str">
        <f>IFERROR(__xludf.DUMMYFUNCTION("""COMPUTED_VALUE"""),"HR")</f>
        <v>HR</v>
      </c>
      <c r="J593" s="31"/>
      <c r="K593" s="31"/>
    </row>
    <row r="594">
      <c r="A594" s="31" t="str">
        <f>IFERROR(__xludf.DUMMYFUNCTION("""COMPUTED_VALUE"""),"naina.sharma@zupee.in")</f>
        <v>naina.sharma@zupee.in</v>
      </c>
      <c r="B594" s="31" t="str">
        <f>IFERROR(__xludf.DUMMYFUNCTION("""COMPUTED_VALUE"""),"NON-ARCHIVED")</f>
        <v>NON-ARCHIVED</v>
      </c>
      <c r="C594" s="31" t="str">
        <f>IFERROR(__xludf.DUMMYFUNCTION("""COMPUTED_VALUE"""),"User is ACTIVE (SUSPENDED)")</f>
        <v>User is ACTIVE (SUSPENDED)</v>
      </c>
      <c r="D594" s="31" t="str">
        <f>IFERROR(__xludf.DUMMYFUNCTION("""COMPUTED_VALUE"""),"No-Dues")</f>
        <v>No-Dues</v>
      </c>
      <c r="E594" s="31" t="str">
        <f>IFERROR(__xludf.DUMMYFUNCTION("""COMPUTED_VALUE"""),"m.sangeetha@zupee.in")</f>
        <v>m.sangeetha@zupee.in</v>
      </c>
      <c r="F594" s="31" t="str">
        <f>IFERROR(__xludf.DUMMYFUNCTION("""COMPUTED_VALUE"""),"Done")</f>
        <v>Done</v>
      </c>
      <c r="G594" s="31" t="str">
        <f>IFERROR(__xludf.DUMMYFUNCTION("""COMPUTED_VALUE"""),"No-Need")</f>
        <v>No-Need</v>
      </c>
      <c r="H594" s="31" t="str">
        <f>IFERROR(__xludf.DUMMYFUNCTION("""COMPUTED_VALUE"""),"No-Need")</f>
        <v>No-Need</v>
      </c>
      <c r="I594" s="31" t="str">
        <f>IFERROR(__xludf.DUMMYFUNCTION("""COMPUTED_VALUE"""),"HR")</f>
        <v>HR</v>
      </c>
      <c r="J594" s="31"/>
      <c r="K594" s="31"/>
    </row>
    <row r="595">
      <c r="A595" s="31" t="str">
        <f>IFERROR(__xludf.DUMMYFUNCTION("""COMPUTED_VALUE"""),"rad@zupee.in")</f>
        <v>rad@zupee.in</v>
      </c>
      <c r="B595" s="31" t="str">
        <f>IFERROR(__xludf.DUMMYFUNCTION("""COMPUTED_VALUE"""),"ACTIVE")</f>
        <v>ACTIVE</v>
      </c>
      <c r="C595" s="31" t="str">
        <f>IFERROR(__xludf.DUMMYFUNCTION("""COMPUTED_VALUE"""),"User is ACTIVE")</f>
        <v>User is ACTIVE</v>
      </c>
      <c r="D595" s="31" t="str">
        <f>IFERROR(__xludf.DUMMYFUNCTION("""COMPUTED_VALUE"""),"No-Dues")</f>
        <v>No-Dues</v>
      </c>
      <c r="E595" s="31" t="str">
        <f>IFERROR(__xludf.DUMMYFUNCTION("""COMPUTED_VALUE"""),"financebackup@zupee.in")</f>
        <v>financebackup@zupee.in</v>
      </c>
      <c r="F595" s="31" t="str">
        <f>IFERROR(__xludf.DUMMYFUNCTION("""COMPUTED_VALUE"""),"Done")</f>
        <v>Done</v>
      </c>
      <c r="G595" s="31" t="str">
        <f>IFERROR(__xludf.DUMMYFUNCTION("""COMPUTED_VALUE"""),"Done")</f>
        <v>Done</v>
      </c>
      <c r="H595" s="31" t="str">
        <f>IFERROR(__xludf.DUMMYFUNCTION("""COMPUTED_VALUE"""),"financebackup@zupee.in")</f>
        <v>financebackup@zupee.in</v>
      </c>
      <c r="I595" s="31" t="str">
        <f>IFERROR(__xludf.DUMMYFUNCTION("""COMPUTED_VALUE"""),"Founder")</f>
        <v>Founder</v>
      </c>
      <c r="J595" s="31"/>
      <c r="K595" s="31" t="str">
        <f>IFERROR(__xludf.DUMMYFUNCTION("""COMPUTED_VALUE"""),"Rqst By 	Ankit Maheshwari")</f>
        <v>Rqst By 	Ankit Maheshwari</v>
      </c>
    </row>
    <row r="596">
      <c r="A596" s="31" t="str">
        <f>IFERROR(__xludf.DUMMYFUNCTION("""COMPUTED_VALUE"""),"gaurav.khanna@zupee.in")</f>
        <v>gaurav.khanna@zupee.in</v>
      </c>
      <c r="B596" s="31" t="str">
        <f>IFERROR(__xludf.DUMMYFUNCTION("""COMPUTED_VALUE"""),"NON-ARCHIVED")</f>
        <v>NON-ARCHIVED</v>
      </c>
      <c r="C596" s="31" t="str">
        <f>IFERROR(__xludf.DUMMYFUNCTION("""COMPUTED_VALUE"""),"User is ACTIVE (SUSPENDED)")</f>
        <v>User is ACTIVE (SUSPENDED)</v>
      </c>
      <c r="D596" s="31" t="str">
        <f>IFERROR(__xludf.DUMMYFUNCTION("""COMPUTED_VALUE"""),"No-Dues")</f>
        <v>No-Dues</v>
      </c>
      <c r="E596" s="31" t="str">
        <f>IFERROR(__xludf.DUMMYFUNCTION("""COMPUTED_VALUE"""),"vijay.singh@zupee.in")</f>
        <v>vijay.singh@zupee.in</v>
      </c>
      <c r="F596" s="31" t="str">
        <f>IFERROR(__xludf.DUMMYFUNCTION("""COMPUTED_VALUE"""),"Ongoing")</f>
        <v>Ongoing</v>
      </c>
      <c r="G596" s="31"/>
      <c r="H596" s="31"/>
      <c r="I596" s="31"/>
      <c r="J596" s="31"/>
      <c r="K596" s="31" t="str">
        <f>IFERROR(__xludf.DUMMYFUNCTION("""COMPUTED_VALUE"""),"Rqst By Vijay Singh")</f>
        <v>Rqst By Vijay Singh</v>
      </c>
    </row>
    <row r="597">
      <c r="A597" s="31" t="str">
        <f>IFERROR(__xludf.DUMMYFUNCTION("""COMPUTED_VALUE"""),"shyam.verma@zupee.in")</f>
        <v>shyam.verma@zupee.in</v>
      </c>
      <c r="B597" s="31" t="str">
        <f>IFERROR(__xludf.DUMMYFUNCTION("""COMPUTED_VALUE"""),"NON-ARCHIVED")</f>
        <v>NON-ARCHIVED</v>
      </c>
      <c r="C597" s="31" t="str">
        <f>IFERROR(__xludf.DUMMYFUNCTION("""COMPUTED_VALUE"""),"User is ACTIVE (SUSPENDED)")</f>
        <v>User is ACTIVE (SUSPENDED)</v>
      </c>
      <c r="D597" s="31" t="str">
        <f>IFERROR(__xludf.DUMMYFUNCTION("""COMPUTED_VALUE"""),"No-Dues")</f>
        <v>No-Dues</v>
      </c>
      <c r="E597" s="31" t="str">
        <f>IFERROR(__xludf.DUMMYFUNCTION("""COMPUTED_VALUE"""),"vijay.singh@zupee.in")</f>
        <v>vijay.singh@zupee.in</v>
      </c>
      <c r="F597" s="31" t="str">
        <f>IFERROR(__xludf.DUMMYFUNCTION("""COMPUTED_VALUE"""),"Ongoing")</f>
        <v>Ongoing</v>
      </c>
      <c r="G597" s="31"/>
      <c r="H597" s="31"/>
      <c r="I597" s="31"/>
      <c r="J597" s="31"/>
      <c r="K597" s="31" t="str">
        <f>IFERROR(__xludf.DUMMYFUNCTION("""COMPUTED_VALUE"""),"Rqst By Vijay Singh")</f>
        <v>Rqst By Vijay Singh</v>
      </c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</row>
  </sheetData>
  <conditionalFormatting sqref="B2:B1001">
    <cfRule type="containsText" dxfId="12" priority="1" operator="containsText" text="NOT_FOUND">
      <formula>NOT(ISERROR(SEARCH(("NOT_FOUND"),(B2))))</formula>
    </cfRule>
  </conditionalFormatting>
  <conditionalFormatting sqref="B2:B1001">
    <cfRule type="containsText" dxfId="13" priority="2" operator="containsText" text="NON-ARCHIVED">
      <formula>NOT(ISERROR(SEARCH(("NON-ARCHIVED"),(B2))))</formula>
    </cfRule>
  </conditionalFormatting>
  <conditionalFormatting sqref="B2:B1001">
    <cfRule type="containsText" dxfId="13" priority="3" operator="containsText" text="NON-ARCHIVED">
      <formula>NOT(ISERROR(SEARCH(("NON-ARCHIVED"),(B2))))</formula>
    </cfRule>
  </conditionalFormatting>
  <conditionalFormatting sqref="B2:B1001">
    <cfRule type="containsText" dxfId="14" priority="4" operator="containsText" text="ACTIVE">
      <formula>NOT(ISERROR(SEARCH(("ACTIVE"),(B2))))</formula>
    </cfRule>
  </conditionalFormatting>
  <conditionalFormatting sqref="A1:K1001">
    <cfRule type="containsText" dxfId="15" priority="5" operator="containsText" text="No-Need">
      <formula>NOT(ISERROR(SEARCH(("No-Need"),(A1))))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13.5"/>
    <col customWidth="1" min="7" max="7" width="13.13"/>
    <col customWidth="1" min="8" max="8" width="19.75"/>
    <col customWidth="1" min="9" max="10" width="23.38"/>
  </cols>
  <sheetData>
    <row r="1">
      <c r="A1" s="21" t="s">
        <v>57</v>
      </c>
      <c r="B1" s="21" t="s">
        <v>58</v>
      </c>
      <c r="C1" s="21" t="s">
        <v>4042</v>
      </c>
      <c r="D1" s="22" t="s">
        <v>4043</v>
      </c>
      <c r="E1" s="22" t="s">
        <v>60</v>
      </c>
      <c r="F1" s="22" t="s">
        <v>4044</v>
      </c>
      <c r="G1" s="22" t="s">
        <v>4045</v>
      </c>
      <c r="H1" s="21" t="s">
        <v>4046</v>
      </c>
      <c r="I1" s="21" t="s">
        <v>4047</v>
      </c>
      <c r="J1" s="24" t="s">
        <v>67</v>
      </c>
    </row>
    <row r="2">
      <c r="A2" s="105">
        <v>45965.0</v>
      </c>
      <c r="B2" s="106" t="s">
        <v>4048</v>
      </c>
      <c r="C2" s="107" t="s">
        <v>4049</v>
      </c>
      <c r="D2" s="108" t="s">
        <v>4050</v>
      </c>
      <c r="E2" s="108" t="s">
        <v>14</v>
      </c>
      <c r="F2" s="109" t="s">
        <v>4051</v>
      </c>
      <c r="G2" s="109" t="s">
        <v>4052</v>
      </c>
      <c r="H2" s="110" t="s">
        <v>4053</v>
      </c>
      <c r="I2" s="110" t="s">
        <v>4054</v>
      </c>
      <c r="J2" s="111"/>
    </row>
    <row r="3">
      <c r="A3" s="105">
        <v>45993.0</v>
      </c>
      <c r="B3" s="106" t="s">
        <v>4055</v>
      </c>
      <c r="C3" s="106" t="s">
        <v>4056</v>
      </c>
      <c r="D3" s="108" t="s">
        <v>4050</v>
      </c>
      <c r="E3" s="108" t="s">
        <v>14</v>
      </c>
      <c r="F3" s="109" t="s">
        <v>4051</v>
      </c>
      <c r="G3" s="109" t="s">
        <v>4052</v>
      </c>
      <c r="H3" s="110" t="s">
        <v>2243</v>
      </c>
      <c r="I3" s="111"/>
      <c r="J3" s="111"/>
    </row>
    <row r="4">
      <c r="A4" s="105">
        <v>46055.0</v>
      </c>
      <c r="B4" s="106" t="s">
        <v>4057</v>
      </c>
      <c r="C4" s="106" t="s">
        <v>4058</v>
      </c>
      <c r="D4" s="108" t="s">
        <v>4059</v>
      </c>
      <c r="E4" s="108" t="s">
        <v>4060</v>
      </c>
      <c r="F4" s="108" t="s">
        <v>4051</v>
      </c>
      <c r="G4" s="109" t="s">
        <v>4052</v>
      </c>
      <c r="H4" s="106" t="s">
        <v>4061</v>
      </c>
      <c r="I4" s="111"/>
      <c r="J4" s="111"/>
    </row>
    <row r="5">
      <c r="A5" s="105">
        <v>46070.0</v>
      </c>
      <c r="B5" s="106" t="s">
        <v>4062</v>
      </c>
      <c r="C5" s="106" t="s">
        <v>4063</v>
      </c>
      <c r="D5" s="108" t="s">
        <v>4064</v>
      </c>
      <c r="E5" s="108" t="s">
        <v>30</v>
      </c>
      <c r="F5" s="108" t="s">
        <v>4051</v>
      </c>
      <c r="G5" s="109" t="s">
        <v>4052</v>
      </c>
      <c r="H5" s="110" t="s">
        <v>2732</v>
      </c>
      <c r="I5" s="110" t="s">
        <v>4054</v>
      </c>
      <c r="J5" s="111"/>
    </row>
    <row r="6">
      <c r="A6" s="112"/>
    </row>
    <row r="7">
      <c r="A7" s="112"/>
    </row>
    <row r="8">
      <c r="A8" s="112"/>
    </row>
    <row r="9">
      <c r="A9" s="112"/>
    </row>
    <row r="10">
      <c r="A10" s="112"/>
    </row>
    <row r="11">
      <c r="A11" s="112"/>
    </row>
    <row r="12">
      <c r="A12" s="112"/>
    </row>
    <row r="13">
      <c r="A13" s="112"/>
    </row>
    <row r="14">
      <c r="A14" s="112"/>
    </row>
    <row r="15">
      <c r="A15" s="112"/>
    </row>
    <row r="16">
      <c r="A16" s="112"/>
    </row>
    <row r="17">
      <c r="A17" s="112"/>
    </row>
    <row r="18">
      <c r="A18" s="112"/>
    </row>
    <row r="19">
      <c r="A19" s="112"/>
    </row>
    <row r="20">
      <c r="A20" s="112"/>
    </row>
  </sheetData>
  <conditionalFormatting sqref="A1:J1">
    <cfRule type="expression" dxfId="4" priority="1">
      <formula>#REF!="No-Dues"</formula>
    </cfRule>
  </conditionalFormatting>
  <dataValidations>
    <dataValidation type="custom" allowBlank="1" showDropDown="1" sqref="A2:A20">
      <formula1>OR(NOT(ISERROR(DATEVALUE(A2))), AND(ISNUMBER(A2), LEFT(CELL("format", A2))="D"))</formula1>
    </dataValidation>
  </dataValidations>
  <hyperlinks>
    <hyperlink r:id="rId1" ref="H2"/>
    <hyperlink r:id="rId2" ref="I2"/>
    <hyperlink r:id="rId3" ref="H3"/>
    <hyperlink r:id="rId4" ref="H5"/>
    <hyperlink r:id="rId5" ref="I5"/>
  </hyperlinks>
  <drawing r:id="rId6"/>
  <tableParts count="1">
    <tablePart r:id="rId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31.63"/>
    <col customWidth="1" min="3" max="3" width="4.75"/>
    <col customWidth="1" min="4" max="4" width="35.25"/>
    <col customWidth="1" min="5" max="5" width="21.13"/>
    <col customWidth="1" min="6" max="6" width="34.5"/>
    <col customWidth="1" min="10" max="10" width="35.25"/>
    <col customWidth="1" min="11" max="11" width="14.25"/>
    <col customWidth="1" min="12" max="12" width="24.25"/>
    <col customWidth="1" min="13" max="13" width="15.25"/>
    <col customWidth="1" min="15" max="15" width="35.25"/>
    <col customWidth="1" min="16" max="16" width="14.25"/>
  </cols>
  <sheetData>
    <row r="1">
      <c r="D1" s="114" t="s">
        <v>4066</v>
      </c>
      <c r="E1" s="115" t="s">
        <v>4067</v>
      </c>
      <c r="F1" s="115" t="s">
        <v>4068</v>
      </c>
      <c r="G1" s="61"/>
      <c r="J1" s="116" t="s">
        <v>4069</v>
      </c>
      <c r="K1" s="116" t="s">
        <v>4070</v>
      </c>
      <c r="L1" s="117" t="s">
        <v>4071</v>
      </c>
      <c r="M1" s="117" t="s">
        <v>4072</v>
      </c>
      <c r="O1" s="113" t="e">
        <v>#REF!</v>
      </c>
    </row>
    <row r="2">
      <c r="D2" s="114" t="s">
        <v>12</v>
      </c>
      <c r="E2" s="115" t="s">
        <v>4073</v>
      </c>
      <c r="F2" s="115" t="s">
        <v>4074</v>
      </c>
      <c r="G2" s="61" t="s">
        <v>4075</v>
      </c>
      <c r="J2" s="116"/>
      <c r="K2" s="116">
        <v>1.0</v>
      </c>
      <c r="L2" s="116"/>
      <c r="M2" s="116"/>
    </row>
    <row r="3">
      <c r="D3" s="114" t="s">
        <v>4076</v>
      </c>
      <c r="E3" s="115" t="s">
        <v>4077</v>
      </c>
      <c r="F3" s="115"/>
      <c r="G3" s="61"/>
      <c r="J3" s="116" t="s">
        <v>12</v>
      </c>
      <c r="K3" s="116">
        <v>3.0</v>
      </c>
      <c r="L3" s="116" t="str">
        <f t="shared" ref="L3:L18" si="1">XLOOKUP(J3,O:O,P:P)</f>
        <v>#N/A</v>
      </c>
      <c r="M3" s="116" t="str">
        <f t="shared" ref="M3:M18" si="2">L3=K3</f>
        <v>#N/A</v>
      </c>
    </row>
    <row r="4">
      <c r="D4" s="114" t="s">
        <v>49</v>
      </c>
      <c r="E4" s="115" t="s">
        <v>4078</v>
      </c>
      <c r="F4" s="115" t="s">
        <v>4079</v>
      </c>
      <c r="G4" s="61"/>
      <c r="J4" s="116" t="s">
        <v>16</v>
      </c>
      <c r="K4" s="116">
        <v>24.0</v>
      </c>
      <c r="L4" s="116" t="str">
        <f t="shared" si="1"/>
        <v>#N/A</v>
      </c>
      <c r="M4" s="116" t="str">
        <f t="shared" si="2"/>
        <v>#N/A</v>
      </c>
    </row>
    <row r="5">
      <c r="D5" s="114" t="s">
        <v>4080</v>
      </c>
      <c r="E5" s="115" t="s">
        <v>4081</v>
      </c>
      <c r="F5" s="115" t="s">
        <v>4082</v>
      </c>
      <c r="G5" s="61"/>
      <c r="J5" s="116" t="s">
        <v>21</v>
      </c>
      <c r="K5" s="116">
        <v>71.0</v>
      </c>
      <c r="L5" s="116" t="str">
        <f t="shared" si="1"/>
        <v>#N/A</v>
      </c>
      <c r="M5" s="116" t="str">
        <f t="shared" si="2"/>
        <v>#N/A</v>
      </c>
    </row>
    <row r="6">
      <c r="D6" s="114" t="s">
        <v>4083</v>
      </c>
      <c r="E6" s="115" t="s">
        <v>4084</v>
      </c>
      <c r="F6" s="115"/>
      <c r="G6" s="61"/>
      <c r="J6" s="116" t="s">
        <v>22</v>
      </c>
      <c r="K6" s="116">
        <v>73.0</v>
      </c>
      <c r="L6" s="116" t="str">
        <f t="shared" si="1"/>
        <v>#N/A</v>
      </c>
      <c r="M6" s="116" t="str">
        <f t="shared" si="2"/>
        <v>#N/A</v>
      </c>
    </row>
    <row r="7">
      <c r="D7" s="114" t="s">
        <v>16</v>
      </c>
      <c r="E7" s="115" t="s">
        <v>4073</v>
      </c>
      <c r="F7" s="115" t="s">
        <v>4074</v>
      </c>
      <c r="G7" s="61" t="s">
        <v>4075</v>
      </c>
      <c r="J7" s="116" t="s">
        <v>30</v>
      </c>
      <c r="K7" s="116">
        <v>20.0</v>
      </c>
      <c r="L7" s="116" t="str">
        <f t="shared" si="1"/>
        <v>#N/A</v>
      </c>
      <c r="M7" s="116" t="str">
        <f t="shared" si="2"/>
        <v>#N/A</v>
      </c>
    </row>
    <row r="8">
      <c r="D8" s="114" t="s">
        <v>4085</v>
      </c>
      <c r="E8" s="115" t="s">
        <v>4084</v>
      </c>
      <c r="F8" s="115"/>
      <c r="G8" s="61"/>
      <c r="J8" s="116" t="s">
        <v>33</v>
      </c>
      <c r="K8" s="116">
        <v>35.0</v>
      </c>
      <c r="L8" s="116" t="str">
        <f t="shared" si="1"/>
        <v>#N/A</v>
      </c>
      <c r="M8" s="116" t="str">
        <f t="shared" si="2"/>
        <v>#N/A</v>
      </c>
    </row>
    <row r="9">
      <c r="D9" s="114" t="s">
        <v>4086</v>
      </c>
      <c r="E9" s="115" t="s">
        <v>4084</v>
      </c>
      <c r="F9" s="115"/>
      <c r="G9" s="61"/>
      <c r="J9" s="116" t="s">
        <v>25</v>
      </c>
      <c r="K9" s="116">
        <v>16.0</v>
      </c>
      <c r="L9" s="116" t="str">
        <f t="shared" si="1"/>
        <v>#N/A</v>
      </c>
      <c r="M9" s="116" t="str">
        <f t="shared" si="2"/>
        <v>#N/A</v>
      </c>
    </row>
    <row r="10">
      <c r="D10" s="114" t="s">
        <v>4087</v>
      </c>
      <c r="E10" s="115" t="s">
        <v>4081</v>
      </c>
      <c r="F10" s="115" t="s">
        <v>4082</v>
      </c>
      <c r="G10" s="61"/>
      <c r="J10" s="116" t="s">
        <v>36</v>
      </c>
      <c r="K10" s="116">
        <v>9.0</v>
      </c>
      <c r="L10" s="116" t="str">
        <f t="shared" si="1"/>
        <v>#N/A</v>
      </c>
      <c r="M10" s="116" t="str">
        <f t="shared" si="2"/>
        <v>#N/A</v>
      </c>
    </row>
    <row r="11">
      <c r="D11" s="114" t="s">
        <v>21</v>
      </c>
      <c r="E11" s="115" t="s">
        <v>4073</v>
      </c>
      <c r="F11" s="115" t="s">
        <v>4074</v>
      </c>
      <c r="G11" s="61" t="s">
        <v>4075</v>
      </c>
      <c r="J11" s="116" t="s">
        <v>39</v>
      </c>
      <c r="K11" s="116">
        <v>5.0</v>
      </c>
      <c r="L11" s="116" t="str">
        <f t="shared" si="1"/>
        <v>#N/A</v>
      </c>
      <c r="M11" s="116" t="str">
        <f t="shared" si="2"/>
        <v>#N/A</v>
      </c>
    </row>
    <row r="12">
      <c r="D12" s="114" t="s">
        <v>22</v>
      </c>
      <c r="E12" s="115" t="s">
        <v>4073</v>
      </c>
      <c r="F12" s="115" t="s">
        <v>4074</v>
      </c>
      <c r="G12" s="61" t="s">
        <v>4075</v>
      </c>
      <c r="J12" s="116" t="s">
        <v>10</v>
      </c>
      <c r="K12" s="116">
        <v>7.0</v>
      </c>
      <c r="L12" s="116" t="str">
        <f t="shared" si="1"/>
        <v>#N/A</v>
      </c>
      <c r="M12" s="116" t="str">
        <f t="shared" si="2"/>
        <v>#N/A</v>
      </c>
    </row>
    <row r="13">
      <c r="D13" s="114" t="s">
        <v>4088</v>
      </c>
      <c r="E13" s="115" t="s">
        <v>4081</v>
      </c>
      <c r="F13" s="115" t="s">
        <v>4082</v>
      </c>
      <c r="G13" s="61"/>
      <c r="J13" s="116" t="s">
        <v>47</v>
      </c>
      <c r="K13" s="116">
        <v>19.0</v>
      </c>
      <c r="L13" s="116" t="str">
        <f t="shared" si="1"/>
        <v>#N/A</v>
      </c>
      <c r="M13" s="116" t="str">
        <f t="shared" si="2"/>
        <v>#N/A</v>
      </c>
    </row>
    <row r="14">
      <c r="D14" s="114" t="s">
        <v>4089</v>
      </c>
      <c r="E14" s="115" t="s">
        <v>4081</v>
      </c>
      <c r="F14" s="115" t="s">
        <v>4082</v>
      </c>
      <c r="G14" s="61"/>
      <c r="J14" s="116" t="s">
        <v>17</v>
      </c>
      <c r="K14" s="116">
        <v>22.0</v>
      </c>
      <c r="L14" s="116" t="str">
        <f t="shared" si="1"/>
        <v>#N/A</v>
      </c>
      <c r="M14" s="116" t="str">
        <f t="shared" si="2"/>
        <v>#N/A</v>
      </c>
    </row>
    <row r="15">
      <c r="D15" s="114" t="s">
        <v>30</v>
      </c>
      <c r="E15" s="115" t="s">
        <v>4073</v>
      </c>
      <c r="F15" s="115" t="s">
        <v>4074</v>
      </c>
      <c r="G15" s="61" t="s">
        <v>4075</v>
      </c>
      <c r="J15" s="116" t="s">
        <v>4090</v>
      </c>
      <c r="K15" s="116">
        <v>3.0</v>
      </c>
      <c r="L15" s="116" t="str">
        <f t="shared" si="1"/>
        <v>#N/A</v>
      </c>
      <c r="M15" s="116" t="str">
        <f t="shared" si="2"/>
        <v>#N/A</v>
      </c>
    </row>
    <row r="16">
      <c r="D16" s="114" t="s">
        <v>4091</v>
      </c>
      <c r="E16" s="115" t="s">
        <v>4084</v>
      </c>
      <c r="F16" s="115"/>
      <c r="G16" s="61"/>
      <c r="J16" s="116" t="s">
        <v>44</v>
      </c>
      <c r="K16" s="116">
        <v>4.0</v>
      </c>
      <c r="L16" s="116" t="str">
        <f t="shared" si="1"/>
        <v>#N/A</v>
      </c>
      <c r="M16" s="116" t="str">
        <f t="shared" si="2"/>
        <v>#N/A</v>
      </c>
    </row>
    <row r="17">
      <c r="D17" s="114" t="s">
        <v>33</v>
      </c>
      <c r="E17" s="115" t="s">
        <v>4073</v>
      </c>
      <c r="F17" s="115" t="s">
        <v>4074</v>
      </c>
      <c r="G17" s="61" t="s">
        <v>4075</v>
      </c>
      <c r="J17" s="116" t="s">
        <v>28</v>
      </c>
      <c r="K17" s="116">
        <v>15.0</v>
      </c>
      <c r="L17" s="116" t="str">
        <f t="shared" si="1"/>
        <v>#N/A</v>
      </c>
      <c r="M17" s="116" t="str">
        <f t="shared" si="2"/>
        <v>#N/A</v>
      </c>
    </row>
    <row r="18">
      <c r="D18" s="114" t="s">
        <v>35</v>
      </c>
      <c r="E18" s="115" t="s">
        <v>4081</v>
      </c>
      <c r="F18" s="115" t="s">
        <v>4082</v>
      </c>
      <c r="G18" s="61"/>
      <c r="J18" s="116" t="s">
        <v>14</v>
      </c>
      <c r="K18" s="116">
        <v>229.0</v>
      </c>
      <c r="L18" s="116" t="str">
        <f t="shared" si="1"/>
        <v>#N/A</v>
      </c>
      <c r="M18" s="116" t="str">
        <f t="shared" si="2"/>
        <v>#N/A</v>
      </c>
    </row>
    <row r="19">
      <c r="D19" s="114" t="s">
        <v>4092</v>
      </c>
      <c r="E19" s="115" t="s">
        <v>4081</v>
      </c>
      <c r="F19" s="115" t="s">
        <v>4082</v>
      </c>
      <c r="G19" s="61"/>
      <c r="J19" s="116" t="s">
        <v>4093</v>
      </c>
      <c r="K19" s="116">
        <v>556.0</v>
      </c>
      <c r="L19" s="116"/>
      <c r="M19" s="116"/>
    </row>
    <row r="20">
      <c r="D20" s="114" t="s">
        <v>4094</v>
      </c>
      <c r="E20" s="115" t="s">
        <v>4095</v>
      </c>
      <c r="F20" s="115"/>
      <c r="G20" s="61"/>
    </row>
    <row r="21">
      <c r="D21" s="114" t="s">
        <v>4096</v>
      </c>
      <c r="E21" s="115" t="s">
        <v>4097</v>
      </c>
      <c r="F21" s="115" t="s">
        <v>4097</v>
      </c>
      <c r="G21" s="61"/>
    </row>
    <row r="22">
      <c r="D22" s="114" t="s">
        <v>25</v>
      </c>
      <c r="E22" s="115" t="s">
        <v>4073</v>
      </c>
      <c r="F22" s="115" t="s">
        <v>4074</v>
      </c>
      <c r="G22" s="61" t="s">
        <v>4075</v>
      </c>
    </row>
    <row r="23">
      <c r="D23" s="114" t="s">
        <v>36</v>
      </c>
      <c r="E23" s="115" t="s">
        <v>4073</v>
      </c>
      <c r="F23" s="115" t="s">
        <v>4074</v>
      </c>
      <c r="G23" s="61" t="s">
        <v>4075</v>
      </c>
    </row>
    <row r="24">
      <c r="D24" s="114" t="s">
        <v>4098</v>
      </c>
      <c r="E24" s="115" t="s">
        <v>4084</v>
      </c>
      <c r="F24" s="115"/>
      <c r="G24" s="61"/>
    </row>
    <row r="25">
      <c r="D25" s="114" t="s">
        <v>4099</v>
      </c>
      <c r="E25" s="115" t="s">
        <v>4084</v>
      </c>
      <c r="F25" s="115"/>
      <c r="G25" s="61"/>
    </row>
    <row r="26">
      <c r="D26" s="114" t="s">
        <v>4100</v>
      </c>
      <c r="E26" s="115" t="s">
        <v>4084</v>
      </c>
      <c r="F26" s="115"/>
      <c r="G26" s="61"/>
    </row>
    <row r="27">
      <c r="D27" s="114" t="s">
        <v>4101</v>
      </c>
      <c r="E27" s="115" t="s">
        <v>4084</v>
      </c>
      <c r="F27" s="115"/>
      <c r="G27" s="61"/>
    </row>
    <row r="28">
      <c r="D28" s="114" t="s">
        <v>4102</v>
      </c>
      <c r="E28" s="115" t="s">
        <v>4084</v>
      </c>
      <c r="F28" s="115"/>
      <c r="G28" s="61"/>
    </row>
    <row r="29">
      <c r="D29" s="114" t="s">
        <v>4103</v>
      </c>
      <c r="E29" s="115" t="s">
        <v>4084</v>
      </c>
      <c r="F29" s="115"/>
      <c r="G29" s="61"/>
    </row>
    <row r="30">
      <c r="D30" s="114" t="s">
        <v>4104</v>
      </c>
      <c r="E30" s="115" t="s">
        <v>4084</v>
      </c>
      <c r="F30" s="115"/>
      <c r="G30" s="61"/>
    </row>
    <row r="31">
      <c r="D31" s="114" t="s">
        <v>4105</v>
      </c>
      <c r="E31" s="115" t="s">
        <v>4106</v>
      </c>
      <c r="F31" s="115"/>
      <c r="G31" s="61"/>
    </row>
    <row r="32">
      <c r="D32" s="114" t="s">
        <v>39</v>
      </c>
      <c r="E32" s="115" t="s">
        <v>4073</v>
      </c>
      <c r="F32" s="115" t="s">
        <v>4074</v>
      </c>
      <c r="G32" s="61" t="s">
        <v>4075</v>
      </c>
    </row>
    <row r="33">
      <c r="D33" s="114" t="s">
        <v>4107</v>
      </c>
      <c r="E33" s="115" t="s">
        <v>4077</v>
      </c>
      <c r="F33" s="115"/>
      <c r="G33" s="61"/>
    </row>
    <row r="34">
      <c r="D34" s="114" t="s">
        <v>4108</v>
      </c>
      <c r="E34" s="115" t="s">
        <v>4081</v>
      </c>
      <c r="F34" s="115" t="s">
        <v>4082</v>
      </c>
      <c r="G34" s="61"/>
    </row>
    <row r="35">
      <c r="D35" s="114" t="s">
        <v>4109</v>
      </c>
      <c r="E35" s="115" t="s">
        <v>4084</v>
      </c>
      <c r="F35" s="115"/>
      <c r="G35" s="61"/>
    </row>
    <row r="36">
      <c r="D36" s="114" t="s">
        <v>10</v>
      </c>
      <c r="E36" s="115" t="s">
        <v>4073</v>
      </c>
      <c r="F36" s="115" t="s">
        <v>4074</v>
      </c>
      <c r="G36" s="61" t="s">
        <v>4110</v>
      </c>
    </row>
    <row r="37">
      <c r="D37" s="114" t="s">
        <v>4111</v>
      </c>
      <c r="E37" s="115" t="s">
        <v>4112</v>
      </c>
      <c r="F37" s="115"/>
      <c r="G37" s="61"/>
    </row>
    <row r="38">
      <c r="D38" s="114" t="s">
        <v>47</v>
      </c>
      <c r="E38" s="115" t="s">
        <v>4073</v>
      </c>
      <c r="F38" s="115" t="s">
        <v>4074</v>
      </c>
      <c r="G38" s="61" t="s">
        <v>4075</v>
      </c>
    </row>
    <row r="39">
      <c r="D39" s="114" t="s">
        <v>17</v>
      </c>
      <c r="E39" s="115" t="s">
        <v>4073</v>
      </c>
      <c r="F39" s="115" t="s">
        <v>4074</v>
      </c>
      <c r="G39" s="61" t="s">
        <v>4075</v>
      </c>
    </row>
    <row r="40">
      <c r="D40" s="114" t="s">
        <v>4090</v>
      </c>
      <c r="E40" s="115" t="s">
        <v>4073</v>
      </c>
      <c r="F40" s="115" t="s">
        <v>4074</v>
      </c>
      <c r="G40" s="61" t="s">
        <v>4075</v>
      </c>
    </row>
    <row r="41">
      <c r="D41" s="114" t="s">
        <v>44</v>
      </c>
      <c r="E41" s="115" t="s">
        <v>4073</v>
      </c>
      <c r="F41" s="115" t="s">
        <v>4074</v>
      </c>
      <c r="G41" s="61" t="s">
        <v>4075</v>
      </c>
    </row>
    <row r="42">
      <c r="D42" s="114" t="s">
        <v>4113</v>
      </c>
      <c r="E42" s="115" t="s">
        <v>4084</v>
      </c>
      <c r="F42" s="115"/>
      <c r="G42" s="61"/>
    </row>
    <row r="43">
      <c r="D43" s="114" t="s">
        <v>28</v>
      </c>
      <c r="E43" s="115" t="s">
        <v>4073</v>
      </c>
      <c r="F43" s="115" t="s">
        <v>4074</v>
      </c>
      <c r="G43" s="61" t="s">
        <v>4075</v>
      </c>
    </row>
    <row r="44">
      <c r="D44" s="114" t="s">
        <v>4114</v>
      </c>
      <c r="E44" s="115" t="s">
        <v>4084</v>
      </c>
      <c r="F44" s="115"/>
      <c r="G44" s="61"/>
    </row>
    <row r="45">
      <c r="D45" s="114" t="s">
        <v>4115</v>
      </c>
      <c r="E45" s="115" t="s">
        <v>4084</v>
      </c>
      <c r="F45" s="115"/>
      <c r="G45" s="61"/>
    </row>
    <row r="46">
      <c r="D46" s="114" t="s">
        <v>4116</v>
      </c>
      <c r="E46" s="115" t="s">
        <v>4117</v>
      </c>
      <c r="F46" s="115"/>
      <c r="G46" s="61"/>
    </row>
    <row r="47">
      <c r="D47" s="114" t="s">
        <v>14</v>
      </c>
      <c r="E47" s="115" t="s">
        <v>4073</v>
      </c>
      <c r="F47" s="115" t="s">
        <v>4074</v>
      </c>
      <c r="G47" s="61" t="s">
        <v>4075</v>
      </c>
    </row>
    <row r="48">
      <c r="D48" s="119" t="s">
        <v>4118</v>
      </c>
      <c r="E48" s="115" t="s">
        <v>4117</v>
      </c>
      <c r="F48" s="115" t="s">
        <v>4082</v>
      </c>
      <c r="G48" s="61"/>
    </row>
    <row r="49">
      <c r="D49" s="114" t="s">
        <v>4119</v>
      </c>
      <c r="E49" s="115" t="s">
        <v>4077</v>
      </c>
      <c r="F49" s="115"/>
      <c r="G49" s="61"/>
    </row>
  </sheetData>
  <autoFilter ref="$A$1:$AC$998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4069</v>
      </c>
      <c r="B1" s="61" t="s">
        <v>4120</v>
      </c>
      <c r="C1" s="61" t="s">
        <v>4121</v>
      </c>
      <c r="D1" s="61" t="s">
        <v>4122</v>
      </c>
      <c r="E1" s="61" t="s">
        <v>4123</v>
      </c>
      <c r="F1" s="61" t="s">
        <v>4124</v>
      </c>
      <c r="G1" s="61" t="s">
        <v>4125</v>
      </c>
      <c r="H1" s="61" t="s">
        <v>4126</v>
      </c>
    </row>
    <row r="2">
      <c r="A2" s="61" t="s">
        <v>36</v>
      </c>
      <c r="B2" s="61" t="s">
        <v>1491</v>
      </c>
      <c r="C2" s="61" t="s">
        <v>72</v>
      </c>
      <c r="D2" s="61" t="s">
        <v>4127</v>
      </c>
      <c r="E2" s="61" t="s">
        <v>2274</v>
      </c>
      <c r="F2" s="61" t="s">
        <v>4128</v>
      </c>
      <c r="G2" s="61" t="s">
        <v>4129</v>
      </c>
      <c r="H2" s="61" t="s">
        <v>4130</v>
      </c>
    </row>
    <row r="3">
      <c r="A3" s="61" t="s">
        <v>36</v>
      </c>
      <c r="B3" s="61" t="s">
        <v>2242</v>
      </c>
      <c r="C3" s="61" t="s">
        <v>72</v>
      </c>
      <c r="D3" s="61" t="s">
        <v>4131</v>
      </c>
      <c r="E3" s="61" t="s">
        <v>2160</v>
      </c>
      <c r="F3" s="61" t="s">
        <v>4132</v>
      </c>
      <c r="G3" s="61" t="s">
        <v>4131</v>
      </c>
      <c r="H3" s="61" t="s">
        <v>4133</v>
      </c>
    </row>
    <row r="4">
      <c r="A4" s="61" t="s">
        <v>36</v>
      </c>
      <c r="B4" s="61" t="s">
        <v>1488</v>
      </c>
      <c r="C4" s="61" t="s">
        <v>72</v>
      </c>
      <c r="D4" s="61" t="s">
        <v>4134</v>
      </c>
      <c r="E4" s="61" t="s">
        <v>1490</v>
      </c>
      <c r="F4" s="61" t="s">
        <v>4132</v>
      </c>
      <c r="G4" s="61" t="s">
        <v>4134</v>
      </c>
      <c r="H4" s="61" t="s">
        <v>4135</v>
      </c>
    </row>
    <row r="5">
      <c r="A5" s="61" t="s">
        <v>36</v>
      </c>
      <c r="B5" s="61" t="s">
        <v>2313</v>
      </c>
      <c r="C5" s="61" t="s">
        <v>72</v>
      </c>
      <c r="D5" s="61" t="s">
        <v>4136</v>
      </c>
      <c r="E5" s="61" t="s">
        <v>2314</v>
      </c>
      <c r="F5" s="61" t="s">
        <v>4137</v>
      </c>
      <c r="G5" s="61" t="s">
        <v>4138</v>
      </c>
      <c r="H5" s="61" t="s">
        <v>4139</v>
      </c>
    </row>
    <row r="6">
      <c r="A6" s="61" t="s">
        <v>14</v>
      </c>
      <c r="B6" s="61" t="s">
        <v>1023</v>
      </c>
      <c r="C6" s="61" t="s">
        <v>72</v>
      </c>
      <c r="D6" s="61" t="s">
        <v>4140</v>
      </c>
      <c r="E6" s="61" t="s">
        <v>1025</v>
      </c>
      <c r="F6" s="61" t="s">
        <v>4141</v>
      </c>
      <c r="G6" s="61" t="s">
        <v>4140</v>
      </c>
      <c r="H6" s="61" t="s">
        <v>4142</v>
      </c>
    </row>
    <row r="7">
      <c r="A7" s="61" t="s">
        <v>36</v>
      </c>
      <c r="B7" s="61" t="s">
        <v>1582</v>
      </c>
      <c r="C7" s="61" t="s">
        <v>72</v>
      </c>
      <c r="D7" s="61" t="s">
        <v>4143</v>
      </c>
      <c r="E7" s="61" t="s">
        <v>1583</v>
      </c>
      <c r="F7" s="61" t="s">
        <v>4144</v>
      </c>
      <c r="G7" s="61" t="s">
        <v>4145</v>
      </c>
      <c r="H7" s="61" t="s">
        <v>4146</v>
      </c>
    </row>
    <row r="8">
      <c r="A8" s="61" t="s">
        <v>17</v>
      </c>
      <c r="B8" s="61" t="s">
        <v>1125</v>
      </c>
      <c r="C8" s="61" t="s">
        <v>72</v>
      </c>
      <c r="D8" s="61" t="s">
        <v>4147</v>
      </c>
      <c r="E8" s="61" t="s">
        <v>2577</v>
      </c>
      <c r="F8" s="61" t="s">
        <v>4148</v>
      </c>
      <c r="G8" s="61" t="s">
        <v>4149</v>
      </c>
      <c r="H8" s="61" t="s">
        <v>4150</v>
      </c>
    </row>
    <row r="9">
      <c r="A9" s="61" t="s">
        <v>21</v>
      </c>
      <c r="B9" s="61" t="s">
        <v>1168</v>
      </c>
      <c r="C9" s="61" t="s">
        <v>72</v>
      </c>
      <c r="D9" s="61" t="s">
        <v>4151</v>
      </c>
      <c r="E9" s="61" t="s">
        <v>2584</v>
      </c>
      <c r="F9" s="61" t="s">
        <v>4152</v>
      </c>
      <c r="G9" s="61" t="s">
        <v>4153</v>
      </c>
      <c r="H9" s="61" t="s">
        <v>4154</v>
      </c>
    </row>
    <row r="10">
      <c r="A10" s="61" t="s">
        <v>22</v>
      </c>
      <c r="B10" s="61" t="s">
        <v>2579</v>
      </c>
      <c r="C10" s="61" t="s">
        <v>72</v>
      </c>
      <c r="D10" s="61" t="s">
        <v>4143</v>
      </c>
      <c r="E10" s="61" t="s">
        <v>2581</v>
      </c>
      <c r="F10" s="61" t="s">
        <v>4155</v>
      </c>
      <c r="H10" s="61" t="s">
        <v>4156</v>
      </c>
    </row>
    <row r="11">
      <c r="B11" s="61" t="s">
        <v>4157</v>
      </c>
      <c r="D11" s="61" t="s">
        <v>4158</v>
      </c>
      <c r="F11" s="61" t="s">
        <v>4159</v>
      </c>
      <c r="H11" s="61" t="s">
        <v>4160</v>
      </c>
    </row>
    <row r="12">
      <c r="A12" s="61" t="s">
        <v>12</v>
      </c>
      <c r="B12" s="61" t="s">
        <v>1964</v>
      </c>
      <c r="C12" s="61" t="s">
        <v>72</v>
      </c>
      <c r="D12" s="61" t="s">
        <v>4161</v>
      </c>
      <c r="E12" s="61" t="s">
        <v>1966</v>
      </c>
      <c r="F12" s="61" t="s">
        <v>4162</v>
      </c>
      <c r="G12" s="61" t="s">
        <v>4163</v>
      </c>
      <c r="H12" s="61" t="s">
        <v>4164</v>
      </c>
    </row>
    <row r="13">
      <c r="A13" s="61" t="s">
        <v>25</v>
      </c>
      <c r="B13" s="61" t="s">
        <v>2413</v>
      </c>
      <c r="C13" s="61" t="s">
        <v>72</v>
      </c>
      <c r="D13" s="61" t="s">
        <v>4165</v>
      </c>
      <c r="E13" s="61" t="s">
        <v>2414</v>
      </c>
      <c r="F13" s="61" t="s">
        <v>4166</v>
      </c>
      <c r="G13" s="61" t="s">
        <v>4165</v>
      </c>
      <c r="H13" s="61" t="s">
        <v>4167</v>
      </c>
    </row>
    <row r="14">
      <c r="A14" s="61" t="s">
        <v>25</v>
      </c>
      <c r="B14" s="61" t="s">
        <v>2363</v>
      </c>
      <c r="C14" s="61" t="s">
        <v>72</v>
      </c>
      <c r="D14" s="61" t="s">
        <v>4168</v>
      </c>
      <c r="E14" s="61" t="s">
        <v>2365</v>
      </c>
      <c r="F14" s="61" t="s">
        <v>4162</v>
      </c>
      <c r="G14" s="61" t="s">
        <v>4169</v>
      </c>
      <c r="H14" s="61" t="s">
        <v>4170</v>
      </c>
    </row>
    <row r="15">
      <c r="A15" s="61" t="s">
        <v>22</v>
      </c>
      <c r="B15" s="61" t="s">
        <v>2307</v>
      </c>
      <c r="C15" s="61" t="s">
        <v>72</v>
      </c>
      <c r="D15" s="61" t="s">
        <v>4171</v>
      </c>
      <c r="E15" s="61" t="s">
        <v>1301</v>
      </c>
      <c r="F15" s="61" t="s">
        <v>4172</v>
      </c>
      <c r="G15" s="61" t="s">
        <v>4173</v>
      </c>
      <c r="H15" s="61" t="s">
        <v>4174</v>
      </c>
    </row>
    <row r="16">
      <c r="A16" s="61" t="s">
        <v>14</v>
      </c>
      <c r="B16" s="61" t="s">
        <v>2551</v>
      </c>
      <c r="C16" s="61" t="s">
        <v>72</v>
      </c>
      <c r="D16" s="61" t="s">
        <v>4175</v>
      </c>
      <c r="E16" s="61" t="s">
        <v>2552</v>
      </c>
      <c r="F16" s="61" t="s">
        <v>4176</v>
      </c>
      <c r="G16" s="61" t="s">
        <v>4177</v>
      </c>
      <c r="H16" s="61" t="s">
        <v>4178</v>
      </c>
    </row>
    <row r="17">
      <c r="A17" s="61" t="s">
        <v>21</v>
      </c>
      <c r="B17" s="61" t="s">
        <v>1164</v>
      </c>
      <c r="C17" s="61" t="s">
        <v>72</v>
      </c>
      <c r="D17" s="61" t="s">
        <v>4179</v>
      </c>
      <c r="E17" s="61" t="s">
        <v>2356</v>
      </c>
      <c r="F17" s="61" t="s">
        <v>4132</v>
      </c>
      <c r="G17" s="61" t="s">
        <v>4179</v>
      </c>
      <c r="H17" s="61" t="s">
        <v>4180</v>
      </c>
    </row>
    <row r="18">
      <c r="A18" s="61" t="s">
        <v>21</v>
      </c>
      <c r="B18" s="61" t="s">
        <v>1192</v>
      </c>
      <c r="C18" s="61" t="s">
        <v>72</v>
      </c>
      <c r="D18" s="61" t="s">
        <v>4181</v>
      </c>
      <c r="E18" s="61" t="s">
        <v>1450</v>
      </c>
      <c r="F18" s="61" t="s">
        <v>4182</v>
      </c>
      <c r="G18" s="61" t="s">
        <v>4183</v>
      </c>
      <c r="H18" s="61" t="s">
        <v>4184</v>
      </c>
    </row>
    <row r="19">
      <c r="A19" s="61" t="s">
        <v>33</v>
      </c>
      <c r="B19" s="61" t="s">
        <v>1783</v>
      </c>
      <c r="C19" s="61" t="s">
        <v>72</v>
      </c>
      <c r="D19" s="61" t="s">
        <v>4185</v>
      </c>
      <c r="E19" s="61" t="s">
        <v>1497</v>
      </c>
      <c r="F19" s="61" t="s">
        <v>4162</v>
      </c>
      <c r="G19" s="61" t="s">
        <v>4186</v>
      </c>
      <c r="H19" s="61" t="s">
        <v>4187</v>
      </c>
    </row>
    <row r="20">
      <c r="A20" s="61" t="s">
        <v>12</v>
      </c>
      <c r="B20" s="61" t="s">
        <v>1967</v>
      </c>
      <c r="C20" s="61" t="s">
        <v>72</v>
      </c>
      <c r="D20" s="61" t="s">
        <v>4004</v>
      </c>
      <c r="E20" s="61" t="s">
        <v>2220</v>
      </c>
      <c r="F20" s="61" t="s">
        <v>4188</v>
      </c>
      <c r="G20" s="61" t="s">
        <v>4189</v>
      </c>
      <c r="H20" s="61" t="s">
        <v>4190</v>
      </c>
    </row>
    <row r="21">
      <c r="A21" s="61" t="s">
        <v>33</v>
      </c>
      <c r="B21" s="61" t="s">
        <v>1363</v>
      </c>
      <c r="C21" s="61" t="s">
        <v>72</v>
      </c>
      <c r="D21" s="61" t="s">
        <v>3982</v>
      </c>
      <c r="E21" s="61" t="s">
        <v>1364</v>
      </c>
      <c r="F21" s="61" t="s">
        <v>4191</v>
      </c>
      <c r="G21" s="61" t="s">
        <v>4192</v>
      </c>
      <c r="H21" s="61" t="s">
        <v>4193</v>
      </c>
    </row>
    <row r="22">
      <c r="A22" s="61" t="s">
        <v>33</v>
      </c>
      <c r="B22" s="61" t="s">
        <v>2458</v>
      </c>
      <c r="C22" s="61" t="s">
        <v>72</v>
      </c>
      <c r="D22" s="61" t="s">
        <v>4194</v>
      </c>
      <c r="E22" s="61" t="s">
        <v>2459</v>
      </c>
      <c r="F22" s="61" t="s">
        <v>4195</v>
      </c>
      <c r="G22" s="61" t="s">
        <v>4196</v>
      </c>
      <c r="H22" s="61" t="s">
        <v>4197</v>
      </c>
    </row>
    <row r="23">
      <c r="A23" s="61" t="s">
        <v>10</v>
      </c>
      <c r="B23" s="61" t="s">
        <v>2405</v>
      </c>
      <c r="C23" s="61" t="s">
        <v>72</v>
      </c>
      <c r="D23" s="61" t="s">
        <v>4198</v>
      </c>
      <c r="E23" s="61" t="s">
        <v>2407</v>
      </c>
      <c r="F23" s="61" t="s">
        <v>4199</v>
      </c>
      <c r="G23" s="61" t="s">
        <v>4200</v>
      </c>
      <c r="H23" s="61" t="s">
        <v>4201</v>
      </c>
    </row>
    <row r="24">
      <c r="A24" s="61" t="s">
        <v>12</v>
      </c>
      <c r="B24" s="61" t="s">
        <v>2117</v>
      </c>
      <c r="C24" s="61" t="s">
        <v>72</v>
      </c>
      <c r="D24" s="61" t="s">
        <v>4202</v>
      </c>
      <c r="E24" s="61" t="s">
        <v>2118</v>
      </c>
      <c r="F24" s="61" t="s">
        <v>4128</v>
      </c>
      <c r="G24" s="61" t="s">
        <v>4203</v>
      </c>
      <c r="H24" s="61" t="s">
        <v>4204</v>
      </c>
    </row>
    <row r="25">
      <c r="A25" s="61" t="s">
        <v>33</v>
      </c>
      <c r="B25" s="61" t="s">
        <v>2248</v>
      </c>
      <c r="C25" s="61" t="s">
        <v>72</v>
      </c>
      <c r="D25" s="61" t="s">
        <v>4205</v>
      </c>
      <c r="E25" s="61" t="s">
        <v>1497</v>
      </c>
      <c r="F25" s="61" t="s">
        <v>4206</v>
      </c>
      <c r="G25" s="61" t="s">
        <v>4207</v>
      </c>
      <c r="H25" s="61" t="s">
        <v>4208</v>
      </c>
    </row>
    <row r="26">
      <c r="A26" s="61" t="s">
        <v>33</v>
      </c>
      <c r="B26" s="61" t="s">
        <v>1722</v>
      </c>
      <c r="C26" s="61" t="s">
        <v>72</v>
      </c>
      <c r="D26" s="61" t="s">
        <v>4209</v>
      </c>
      <c r="E26" s="61" t="s">
        <v>1509</v>
      </c>
      <c r="F26" s="61" t="s">
        <v>4210</v>
      </c>
      <c r="G26" s="61" t="s">
        <v>4209</v>
      </c>
      <c r="H26" s="61" t="s">
        <v>4211</v>
      </c>
    </row>
    <row r="27">
      <c r="A27" s="61" t="s">
        <v>33</v>
      </c>
      <c r="B27" s="61" t="s">
        <v>2219</v>
      </c>
      <c r="C27" s="61" t="s">
        <v>72</v>
      </c>
      <c r="D27" s="61" t="s">
        <v>4212</v>
      </c>
      <c r="E27" s="61" t="s">
        <v>2220</v>
      </c>
      <c r="F27" s="61" t="s">
        <v>4213</v>
      </c>
      <c r="G27" s="61" t="s">
        <v>4214</v>
      </c>
      <c r="H27" s="61" t="s">
        <v>4215</v>
      </c>
    </row>
    <row r="28">
      <c r="A28" s="61" t="s">
        <v>22</v>
      </c>
      <c r="B28" s="61" t="s">
        <v>2586</v>
      </c>
      <c r="C28" s="61" t="s">
        <v>72</v>
      </c>
      <c r="D28" s="61" t="s">
        <v>4216</v>
      </c>
      <c r="E28" s="61" t="s">
        <v>1234</v>
      </c>
      <c r="F28" s="61" t="s">
        <v>4217</v>
      </c>
      <c r="H28" s="61" t="s">
        <v>4218</v>
      </c>
    </row>
    <row r="29">
      <c r="A29" s="61" t="s">
        <v>22</v>
      </c>
      <c r="B29" s="61" t="s">
        <v>2588</v>
      </c>
      <c r="C29" s="61" t="s">
        <v>2590</v>
      </c>
      <c r="D29" s="61" t="s">
        <v>4219</v>
      </c>
      <c r="E29" s="61" t="s">
        <v>2171</v>
      </c>
      <c r="F29" s="61" t="s">
        <v>4220</v>
      </c>
      <c r="H29" s="61" t="s">
        <v>4221</v>
      </c>
    </row>
    <row r="30">
      <c r="A30" s="61" t="s">
        <v>33</v>
      </c>
      <c r="B30" s="61" t="s">
        <v>1553</v>
      </c>
      <c r="C30" s="61" t="s">
        <v>72</v>
      </c>
      <c r="D30" s="61" t="s">
        <v>4222</v>
      </c>
      <c r="E30" s="61" t="s">
        <v>2480</v>
      </c>
      <c r="F30" s="61" t="s">
        <v>4223</v>
      </c>
      <c r="G30" s="61" t="s">
        <v>4224</v>
      </c>
      <c r="H30" s="61" t="s">
        <v>4225</v>
      </c>
    </row>
    <row r="31">
      <c r="A31" s="61" t="s">
        <v>14</v>
      </c>
      <c r="B31" s="61" t="s">
        <v>1686</v>
      </c>
      <c r="C31" s="61" t="s">
        <v>1043</v>
      </c>
      <c r="D31" s="61" t="s">
        <v>4226</v>
      </c>
      <c r="E31" s="61" t="s">
        <v>1156</v>
      </c>
      <c r="F31" s="61" t="s">
        <v>4227</v>
      </c>
      <c r="G31" s="61" t="s">
        <v>4226</v>
      </c>
      <c r="H31" s="61" t="s">
        <v>4228</v>
      </c>
    </row>
    <row r="32">
      <c r="A32" s="61" t="s">
        <v>22</v>
      </c>
      <c r="B32" s="61" t="s">
        <v>1121</v>
      </c>
      <c r="C32" s="61" t="s">
        <v>72</v>
      </c>
      <c r="D32" s="61" t="s">
        <v>4229</v>
      </c>
      <c r="E32" s="61" t="s">
        <v>2593</v>
      </c>
      <c r="F32" s="61" t="s">
        <v>4230</v>
      </c>
      <c r="H32" s="61" t="s">
        <v>4231</v>
      </c>
    </row>
    <row r="33">
      <c r="A33" s="61" t="s">
        <v>14</v>
      </c>
      <c r="B33" s="61" t="s">
        <v>1720</v>
      </c>
      <c r="C33" s="61" t="s">
        <v>1043</v>
      </c>
      <c r="D33" s="61" t="s">
        <v>4209</v>
      </c>
      <c r="E33" s="61" t="s">
        <v>1093</v>
      </c>
      <c r="F33" s="61" t="s">
        <v>4232</v>
      </c>
      <c r="G33" s="61" t="s">
        <v>4233</v>
      </c>
      <c r="H33" s="61" t="s">
        <v>4234</v>
      </c>
    </row>
    <row r="34">
      <c r="A34" s="61" t="s">
        <v>14</v>
      </c>
      <c r="B34" s="61" t="s">
        <v>2369</v>
      </c>
      <c r="C34" s="61" t="s">
        <v>1043</v>
      </c>
      <c r="D34" s="61" t="s">
        <v>4235</v>
      </c>
      <c r="E34" s="61" t="s">
        <v>1156</v>
      </c>
      <c r="F34" s="61" t="s">
        <v>4236</v>
      </c>
      <c r="G34" s="61" t="s">
        <v>4235</v>
      </c>
      <c r="H34" s="61" t="s">
        <v>4237</v>
      </c>
    </row>
    <row r="35">
      <c r="A35" s="61" t="s">
        <v>14</v>
      </c>
      <c r="B35" s="61" t="s">
        <v>2532</v>
      </c>
      <c r="C35" s="61" t="s">
        <v>72</v>
      </c>
      <c r="D35" s="61" t="s">
        <v>4238</v>
      </c>
      <c r="E35" s="61" t="s">
        <v>1047</v>
      </c>
      <c r="F35" s="61" t="s">
        <v>4239</v>
      </c>
      <c r="G35" s="61" t="s">
        <v>4240</v>
      </c>
      <c r="H35" s="61" t="s">
        <v>4241</v>
      </c>
    </row>
    <row r="36">
      <c r="A36" s="61" t="s">
        <v>22</v>
      </c>
      <c r="B36" s="61" t="s">
        <v>2470</v>
      </c>
      <c r="C36" s="61" t="s">
        <v>72</v>
      </c>
      <c r="D36" s="61" t="s">
        <v>4242</v>
      </c>
      <c r="E36" s="61" t="s">
        <v>2471</v>
      </c>
      <c r="F36" s="61" t="s">
        <v>4128</v>
      </c>
      <c r="G36" s="61" t="s">
        <v>4243</v>
      </c>
      <c r="H36" s="61" t="s">
        <v>4244</v>
      </c>
    </row>
    <row r="37">
      <c r="A37" s="61" t="s">
        <v>22</v>
      </c>
      <c r="B37" s="61" t="s">
        <v>2570</v>
      </c>
      <c r="C37" s="61" t="s">
        <v>72</v>
      </c>
      <c r="D37" s="61" t="s">
        <v>4245</v>
      </c>
      <c r="E37" s="61" t="s">
        <v>1120</v>
      </c>
      <c r="F37" s="61" t="s">
        <v>3943</v>
      </c>
      <c r="G37" s="61" t="s">
        <v>4246</v>
      </c>
      <c r="H37" s="61" t="s">
        <v>4247</v>
      </c>
    </row>
    <row r="38">
      <c r="A38" s="61" t="s">
        <v>28</v>
      </c>
      <c r="B38" s="61" t="s">
        <v>2250</v>
      </c>
      <c r="C38" s="61" t="s">
        <v>72</v>
      </c>
      <c r="D38" s="61" t="s">
        <v>4248</v>
      </c>
      <c r="E38" s="61" t="s">
        <v>2251</v>
      </c>
      <c r="F38" s="61" t="s">
        <v>4249</v>
      </c>
      <c r="G38" s="61" t="s">
        <v>4250</v>
      </c>
      <c r="H38" s="61" t="s">
        <v>4251</v>
      </c>
    </row>
    <row r="39">
      <c r="A39" s="61" t="s">
        <v>14</v>
      </c>
      <c r="B39" s="61" t="s">
        <v>2058</v>
      </c>
      <c r="C39" s="61" t="s">
        <v>72</v>
      </c>
      <c r="D39" s="61" t="s">
        <v>4252</v>
      </c>
      <c r="E39" s="61" t="s">
        <v>1020</v>
      </c>
      <c r="F39" s="61" t="s">
        <v>4253</v>
      </c>
      <c r="G39" s="61" t="s">
        <v>4254</v>
      </c>
      <c r="H39" s="61" t="s">
        <v>4255</v>
      </c>
    </row>
    <row r="40">
      <c r="A40" s="61" t="s">
        <v>28</v>
      </c>
      <c r="B40" s="61" t="s">
        <v>1131</v>
      </c>
      <c r="C40" s="61" t="s">
        <v>72</v>
      </c>
      <c r="D40" s="61" t="s">
        <v>4256</v>
      </c>
      <c r="E40" s="61" t="s">
        <v>1132</v>
      </c>
      <c r="F40" s="61" t="s">
        <v>4257</v>
      </c>
      <c r="G40" s="61" t="s">
        <v>4256</v>
      </c>
      <c r="H40" s="61" t="s">
        <v>4258</v>
      </c>
    </row>
    <row r="41">
      <c r="A41" s="61" t="s">
        <v>22</v>
      </c>
      <c r="B41" s="61" t="s">
        <v>1224</v>
      </c>
      <c r="C41" s="61" t="s">
        <v>72</v>
      </c>
      <c r="D41" s="61" t="s">
        <v>4259</v>
      </c>
      <c r="E41" s="61" t="s">
        <v>1225</v>
      </c>
      <c r="F41" s="61" t="s">
        <v>4260</v>
      </c>
      <c r="G41" s="61" t="s">
        <v>4261</v>
      </c>
      <c r="H41" s="61" t="s">
        <v>4262</v>
      </c>
    </row>
    <row r="42">
      <c r="A42" s="61" t="s">
        <v>28</v>
      </c>
      <c r="B42" s="61" t="s">
        <v>2214</v>
      </c>
      <c r="C42" s="61" t="s">
        <v>72</v>
      </c>
      <c r="D42" s="61" t="s">
        <v>4209</v>
      </c>
      <c r="E42" s="61" t="s">
        <v>2215</v>
      </c>
      <c r="F42" s="61" t="s">
        <v>4128</v>
      </c>
      <c r="G42" s="61" t="s">
        <v>4263</v>
      </c>
      <c r="H42" s="61" t="s">
        <v>4264</v>
      </c>
    </row>
    <row r="43">
      <c r="A43" s="61" t="s">
        <v>22</v>
      </c>
      <c r="B43" s="61" t="s">
        <v>1233</v>
      </c>
      <c r="C43" s="61" t="s">
        <v>72</v>
      </c>
      <c r="D43" s="61" t="s">
        <v>4265</v>
      </c>
      <c r="E43" s="61" t="s">
        <v>1234</v>
      </c>
      <c r="F43" s="61" t="s">
        <v>4266</v>
      </c>
      <c r="G43" s="61" t="s">
        <v>4267</v>
      </c>
      <c r="H43" s="61" t="s">
        <v>4268</v>
      </c>
    </row>
    <row r="44">
      <c r="A44" s="61" t="s">
        <v>14</v>
      </c>
      <c r="B44" s="61" t="s">
        <v>2258</v>
      </c>
      <c r="C44" s="61" t="s">
        <v>72</v>
      </c>
      <c r="D44" s="61" t="s">
        <v>4269</v>
      </c>
      <c r="E44" s="61" t="s">
        <v>1196</v>
      </c>
      <c r="F44" s="61" t="s">
        <v>4270</v>
      </c>
      <c r="G44" s="61" t="s">
        <v>4269</v>
      </c>
      <c r="H44" s="61" t="s">
        <v>4271</v>
      </c>
    </row>
    <row r="45">
      <c r="A45" s="61" t="s">
        <v>14</v>
      </c>
      <c r="B45" s="61" t="s">
        <v>1222</v>
      </c>
      <c r="C45" s="61" t="s">
        <v>1043</v>
      </c>
      <c r="D45" s="61" t="s">
        <v>4272</v>
      </c>
      <c r="E45" s="61" t="s">
        <v>1093</v>
      </c>
      <c r="F45" s="61" t="s">
        <v>4273</v>
      </c>
      <c r="G45" s="61" t="s">
        <v>4274</v>
      </c>
      <c r="H45" s="61" t="s">
        <v>4275</v>
      </c>
    </row>
    <row r="46">
      <c r="A46" s="61" t="s">
        <v>14</v>
      </c>
      <c r="B46" s="61" t="s">
        <v>2519</v>
      </c>
      <c r="C46" s="61" t="s">
        <v>1043</v>
      </c>
      <c r="D46" s="61" t="s">
        <v>4276</v>
      </c>
      <c r="E46" s="61" t="s">
        <v>1156</v>
      </c>
      <c r="F46" s="61" t="s">
        <v>4277</v>
      </c>
      <c r="G46" s="61" t="s">
        <v>4276</v>
      </c>
      <c r="H46" s="61" t="s">
        <v>4278</v>
      </c>
    </row>
    <row r="47">
      <c r="A47" s="61" t="s">
        <v>21</v>
      </c>
      <c r="B47" s="61" t="s">
        <v>1769</v>
      </c>
      <c r="C47" s="61" t="s">
        <v>72</v>
      </c>
      <c r="D47" s="61" t="s">
        <v>4279</v>
      </c>
      <c r="E47" s="61" t="s">
        <v>1775</v>
      </c>
      <c r="F47" s="61" t="s">
        <v>4162</v>
      </c>
      <c r="H47" s="61" t="s">
        <v>4280</v>
      </c>
    </row>
    <row r="48">
      <c r="A48" s="61" t="s">
        <v>21</v>
      </c>
      <c r="B48" s="61" t="s">
        <v>2597</v>
      </c>
      <c r="C48" s="61" t="s">
        <v>72</v>
      </c>
      <c r="D48" s="61" t="s">
        <v>4281</v>
      </c>
      <c r="E48" s="61" t="s">
        <v>1186</v>
      </c>
      <c r="F48" s="61" t="s">
        <v>4128</v>
      </c>
      <c r="H48" s="61" t="s">
        <v>4282</v>
      </c>
    </row>
    <row r="49">
      <c r="A49" s="61" t="s">
        <v>22</v>
      </c>
      <c r="B49" s="61" t="s">
        <v>1796</v>
      </c>
      <c r="C49" s="61" t="s">
        <v>72</v>
      </c>
      <c r="D49" s="61" t="s">
        <v>4283</v>
      </c>
      <c r="E49" s="61" t="s">
        <v>1120</v>
      </c>
      <c r="F49" s="61" t="s">
        <v>4284</v>
      </c>
      <c r="G49" s="61" t="s">
        <v>4285</v>
      </c>
      <c r="H49" s="61" t="s">
        <v>4286</v>
      </c>
    </row>
    <row r="50">
      <c r="A50" s="61" t="s">
        <v>14</v>
      </c>
      <c r="B50" s="61" t="s">
        <v>1046</v>
      </c>
      <c r="C50" s="61" t="s">
        <v>72</v>
      </c>
      <c r="D50" s="61" t="s">
        <v>4147</v>
      </c>
      <c r="E50" s="61" t="s">
        <v>1047</v>
      </c>
      <c r="F50" s="61" t="s">
        <v>4287</v>
      </c>
      <c r="G50" s="61" t="s">
        <v>4288</v>
      </c>
      <c r="H50" s="61" t="s">
        <v>4289</v>
      </c>
    </row>
    <row r="51">
      <c r="A51" s="61" t="s">
        <v>14</v>
      </c>
      <c r="B51" s="61" t="s">
        <v>1436</v>
      </c>
      <c r="C51" s="61" t="s">
        <v>1043</v>
      </c>
      <c r="D51" s="61" t="s">
        <v>4165</v>
      </c>
      <c r="E51" s="61" t="s">
        <v>1050</v>
      </c>
      <c r="F51" s="61" t="s">
        <v>4290</v>
      </c>
      <c r="H51" s="61" t="s">
        <v>4291</v>
      </c>
    </row>
    <row r="52">
      <c r="A52" s="61" t="s">
        <v>14</v>
      </c>
      <c r="B52" s="61" t="s">
        <v>2595</v>
      </c>
      <c r="C52" s="61" t="s">
        <v>1043</v>
      </c>
      <c r="D52" s="61" t="s">
        <v>4292</v>
      </c>
      <c r="E52" s="61" t="s">
        <v>1050</v>
      </c>
      <c r="F52" s="61" t="s">
        <v>4293</v>
      </c>
      <c r="H52" s="61" t="s">
        <v>4294</v>
      </c>
    </row>
    <row r="53">
      <c r="A53" s="61" t="s">
        <v>33</v>
      </c>
      <c r="B53" s="61" t="s">
        <v>1786</v>
      </c>
      <c r="C53" s="61" t="s">
        <v>72</v>
      </c>
      <c r="D53" s="61" t="s">
        <v>4295</v>
      </c>
      <c r="E53" s="61" t="s">
        <v>1787</v>
      </c>
      <c r="F53" s="61" t="s">
        <v>4296</v>
      </c>
      <c r="G53" s="61" t="s">
        <v>4297</v>
      </c>
      <c r="H53" s="61" t="s">
        <v>4298</v>
      </c>
    </row>
    <row r="54">
      <c r="A54" s="61" t="s">
        <v>14</v>
      </c>
      <c r="B54" s="61" t="s">
        <v>1704</v>
      </c>
      <c r="C54" s="61" t="s">
        <v>72</v>
      </c>
      <c r="D54" s="61" t="s">
        <v>3986</v>
      </c>
      <c r="E54" s="61" t="s">
        <v>1020</v>
      </c>
      <c r="F54" s="61" t="s">
        <v>4299</v>
      </c>
      <c r="G54" s="61" t="s">
        <v>3986</v>
      </c>
      <c r="H54" s="61" t="s">
        <v>4300</v>
      </c>
    </row>
    <row r="55">
      <c r="A55" s="61" t="s">
        <v>21</v>
      </c>
      <c r="B55" s="61" t="s">
        <v>1066</v>
      </c>
      <c r="C55" s="61" t="s">
        <v>72</v>
      </c>
      <c r="D55" s="61" t="s">
        <v>4301</v>
      </c>
      <c r="E55" s="61" t="s">
        <v>1102</v>
      </c>
      <c r="F55" s="61" t="s">
        <v>4302</v>
      </c>
      <c r="G55" s="61" t="s">
        <v>4303</v>
      </c>
      <c r="H55" s="61" t="s">
        <v>4304</v>
      </c>
    </row>
    <row r="56">
      <c r="A56" s="61" t="s">
        <v>33</v>
      </c>
      <c r="B56" s="61" t="s">
        <v>1356</v>
      </c>
      <c r="C56" s="61" t="s">
        <v>72</v>
      </c>
      <c r="D56" s="61" t="s">
        <v>4143</v>
      </c>
      <c r="E56" s="61" t="s">
        <v>2344</v>
      </c>
      <c r="F56" s="61" t="s">
        <v>4305</v>
      </c>
      <c r="G56" s="61" t="s">
        <v>4306</v>
      </c>
      <c r="H56" s="61" t="s">
        <v>4307</v>
      </c>
    </row>
    <row r="57">
      <c r="A57" s="61" t="s">
        <v>16</v>
      </c>
      <c r="B57" s="61" t="s">
        <v>1808</v>
      </c>
      <c r="C57" s="61" t="s">
        <v>72</v>
      </c>
      <c r="D57" s="61" t="s">
        <v>4308</v>
      </c>
      <c r="E57" s="61" t="s">
        <v>1460</v>
      </c>
      <c r="F57" s="61" t="s">
        <v>4162</v>
      </c>
      <c r="G57" s="61" t="s">
        <v>4309</v>
      </c>
      <c r="H57" s="61" t="s">
        <v>4310</v>
      </c>
    </row>
    <row r="58">
      <c r="A58" s="61" t="s">
        <v>14</v>
      </c>
      <c r="B58" s="61" t="s">
        <v>1431</v>
      </c>
      <c r="C58" s="61" t="s">
        <v>1043</v>
      </c>
      <c r="D58" s="61" t="s">
        <v>4311</v>
      </c>
      <c r="E58" s="61" t="s">
        <v>1156</v>
      </c>
      <c r="F58" s="61" t="s">
        <v>4312</v>
      </c>
      <c r="G58" s="61" t="s">
        <v>4313</v>
      </c>
      <c r="H58" s="61" t="s">
        <v>4314</v>
      </c>
    </row>
    <row r="59">
      <c r="A59" s="61" t="s">
        <v>21</v>
      </c>
      <c r="B59" s="61" t="s">
        <v>1837</v>
      </c>
      <c r="C59" s="61" t="s">
        <v>72</v>
      </c>
      <c r="D59" s="61" t="s">
        <v>4315</v>
      </c>
      <c r="E59" s="61" t="s">
        <v>1670</v>
      </c>
      <c r="F59" s="61" t="s">
        <v>4316</v>
      </c>
      <c r="G59" s="61" t="s">
        <v>4315</v>
      </c>
      <c r="H59" s="61" t="s">
        <v>4317</v>
      </c>
    </row>
    <row r="60">
      <c r="A60" s="61" t="s">
        <v>14</v>
      </c>
      <c r="B60" s="61" t="s">
        <v>1846</v>
      </c>
      <c r="C60" s="61" t="s">
        <v>1043</v>
      </c>
      <c r="D60" s="61" t="s">
        <v>4318</v>
      </c>
      <c r="E60" s="61" t="s">
        <v>1156</v>
      </c>
      <c r="F60" s="61" t="s">
        <v>4319</v>
      </c>
      <c r="G60" s="61" t="s">
        <v>4320</v>
      </c>
      <c r="H60" s="61" t="s">
        <v>4321</v>
      </c>
    </row>
    <row r="61">
      <c r="A61" s="61" t="s">
        <v>21</v>
      </c>
      <c r="B61" s="61" t="s">
        <v>1187</v>
      </c>
      <c r="C61" s="61" t="s">
        <v>72</v>
      </c>
      <c r="D61" s="61" t="s">
        <v>3986</v>
      </c>
      <c r="E61" s="61" t="s">
        <v>1673</v>
      </c>
      <c r="F61" s="61" t="s">
        <v>4322</v>
      </c>
      <c r="G61" s="61" t="s">
        <v>4323</v>
      </c>
      <c r="H61" s="61" t="s">
        <v>4324</v>
      </c>
    </row>
    <row r="62">
      <c r="A62" s="61" t="s">
        <v>14</v>
      </c>
      <c r="B62" s="61" t="s">
        <v>1749</v>
      </c>
      <c r="C62" s="61" t="s">
        <v>72</v>
      </c>
      <c r="D62" s="61" t="s">
        <v>4325</v>
      </c>
      <c r="E62" s="61" t="s">
        <v>1107</v>
      </c>
      <c r="F62" s="61" t="s">
        <v>4326</v>
      </c>
      <c r="G62" s="61" t="s">
        <v>4325</v>
      </c>
      <c r="H62" s="61" t="s">
        <v>4327</v>
      </c>
    </row>
    <row r="63">
      <c r="A63" s="61" t="s">
        <v>14</v>
      </c>
      <c r="B63" s="61" t="s">
        <v>2455</v>
      </c>
      <c r="C63" s="61" t="s">
        <v>1043</v>
      </c>
      <c r="D63" s="61" t="s">
        <v>4328</v>
      </c>
      <c r="E63" s="61" t="s">
        <v>1156</v>
      </c>
      <c r="F63" s="61" t="s">
        <v>4299</v>
      </c>
      <c r="G63" s="61" t="s">
        <v>4329</v>
      </c>
      <c r="H63" s="61" t="s">
        <v>4330</v>
      </c>
    </row>
    <row r="64">
      <c r="A64" s="61" t="s">
        <v>22</v>
      </c>
      <c r="B64" s="61" t="s">
        <v>2309</v>
      </c>
      <c r="C64" s="61" t="s">
        <v>72</v>
      </c>
      <c r="D64" s="61" t="s">
        <v>4245</v>
      </c>
      <c r="E64" s="61" t="s">
        <v>1234</v>
      </c>
      <c r="F64" s="61" t="s">
        <v>4331</v>
      </c>
      <c r="G64" s="61" t="s">
        <v>4332</v>
      </c>
      <c r="H64" s="61" t="s">
        <v>4333</v>
      </c>
    </row>
    <row r="65">
      <c r="A65" s="61" t="s">
        <v>14</v>
      </c>
      <c r="B65" s="61" t="s">
        <v>1283</v>
      </c>
      <c r="C65" s="61" t="s">
        <v>1043</v>
      </c>
      <c r="D65" s="61" t="s">
        <v>4334</v>
      </c>
      <c r="E65" s="61" t="s">
        <v>1093</v>
      </c>
      <c r="F65" s="61" t="s">
        <v>4335</v>
      </c>
      <c r="G65" s="61" t="s">
        <v>4334</v>
      </c>
      <c r="H65" s="61" t="s">
        <v>4336</v>
      </c>
    </row>
    <row r="66">
      <c r="A66" s="61" t="s">
        <v>14</v>
      </c>
      <c r="B66" s="61" t="s">
        <v>2545</v>
      </c>
      <c r="C66" s="61" t="s">
        <v>72</v>
      </c>
      <c r="D66" s="61" t="s">
        <v>4337</v>
      </c>
      <c r="E66" s="61" t="s">
        <v>1020</v>
      </c>
      <c r="F66" s="61" t="s">
        <v>4128</v>
      </c>
      <c r="G66" s="61" t="s">
        <v>4338</v>
      </c>
      <c r="H66" s="61" t="s">
        <v>4339</v>
      </c>
    </row>
    <row r="67">
      <c r="A67" s="61" t="s">
        <v>14</v>
      </c>
      <c r="B67" s="61" t="s">
        <v>2524</v>
      </c>
      <c r="C67" s="61" t="s">
        <v>72</v>
      </c>
      <c r="D67" s="61" t="s">
        <v>3986</v>
      </c>
      <c r="E67" s="61" t="s">
        <v>1425</v>
      </c>
      <c r="F67" s="61" t="s">
        <v>4162</v>
      </c>
      <c r="G67" s="61" t="s">
        <v>4340</v>
      </c>
      <c r="H67" s="61" t="s">
        <v>4341</v>
      </c>
    </row>
    <row r="68">
      <c r="A68" s="61" t="s">
        <v>33</v>
      </c>
      <c r="B68" s="61" t="s">
        <v>2390</v>
      </c>
      <c r="C68" s="61" t="s">
        <v>72</v>
      </c>
      <c r="D68" s="61" t="s">
        <v>4342</v>
      </c>
      <c r="E68" s="61" t="s">
        <v>2391</v>
      </c>
      <c r="F68" s="61" t="s">
        <v>4162</v>
      </c>
      <c r="G68" s="61" t="s">
        <v>4343</v>
      </c>
      <c r="H68" s="61" t="s">
        <v>4344</v>
      </c>
    </row>
    <row r="69">
      <c r="A69" s="61" t="s">
        <v>14</v>
      </c>
      <c r="B69" s="61" t="s">
        <v>1600</v>
      </c>
      <c r="C69" s="61" t="s">
        <v>1043</v>
      </c>
      <c r="D69" s="61" t="s">
        <v>4345</v>
      </c>
      <c r="E69" s="61" t="s">
        <v>1093</v>
      </c>
      <c r="F69" s="61" t="s">
        <v>4299</v>
      </c>
      <c r="G69" s="61" t="s">
        <v>4346</v>
      </c>
      <c r="H69" s="61" t="s">
        <v>4347</v>
      </c>
    </row>
    <row r="70">
      <c r="A70" s="61" t="s">
        <v>21</v>
      </c>
      <c r="B70" s="61" t="s">
        <v>1400</v>
      </c>
      <c r="C70" s="61" t="s">
        <v>72</v>
      </c>
      <c r="D70" s="61" t="s">
        <v>4348</v>
      </c>
      <c r="E70" s="61" t="s">
        <v>1670</v>
      </c>
      <c r="F70" s="61" t="s">
        <v>4132</v>
      </c>
      <c r="G70" s="61" t="s">
        <v>4349</v>
      </c>
      <c r="H70" s="61" t="s">
        <v>4350</v>
      </c>
    </row>
    <row r="71">
      <c r="A71" s="61" t="s">
        <v>14</v>
      </c>
      <c r="B71" s="61" t="s">
        <v>2556</v>
      </c>
      <c r="C71" s="61" t="s">
        <v>2417</v>
      </c>
      <c r="D71" s="61" t="s">
        <v>4351</v>
      </c>
      <c r="E71" s="61" t="s">
        <v>1428</v>
      </c>
      <c r="F71" s="61" t="s">
        <v>4148</v>
      </c>
      <c r="G71" s="61" t="s">
        <v>4352</v>
      </c>
      <c r="H71" s="61" t="s">
        <v>4353</v>
      </c>
    </row>
    <row r="72">
      <c r="A72" s="61" t="s">
        <v>14</v>
      </c>
      <c r="B72" s="61" t="s">
        <v>2409</v>
      </c>
      <c r="C72" s="61" t="s">
        <v>1043</v>
      </c>
      <c r="D72" s="61" t="s">
        <v>3975</v>
      </c>
      <c r="E72" s="61" t="s">
        <v>1093</v>
      </c>
      <c r="F72" s="61" t="s">
        <v>4354</v>
      </c>
      <c r="G72" s="61" t="s">
        <v>4355</v>
      </c>
      <c r="H72" s="61" t="s">
        <v>4356</v>
      </c>
    </row>
    <row r="73">
      <c r="A73" s="61" t="s">
        <v>17</v>
      </c>
      <c r="B73" s="61" t="s">
        <v>1317</v>
      </c>
      <c r="C73" s="61" t="s">
        <v>72</v>
      </c>
      <c r="D73" s="61" t="s">
        <v>4357</v>
      </c>
      <c r="E73" s="61" t="s">
        <v>1319</v>
      </c>
      <c r="F73" s="61" t="s">
        <v>4358</v>
      </c>
      <c r="G73" s="61" t="s">
        <v>4359</v>
      </c>
      <c r="H73" s="61" t="s">
        <v>4360</v>
      </c>
    </row>
    <row r="74">
      <c r="A74" s="61" t="s">
        <v>22</v>
      </c>
      <c r="B74" s="61" t="s">
        <v>2170</v>
      </c>
      <c r="C74" s="61" t="s">
        <v>72</v>
      </c>
      <c r="D74" s="61" t="s">
        <v>4269</v>
      </c>
      <c r="E74" s="61" t="s">
        <v>2171</v>
      </c>
      <c r="F74" s="61" t="s">
        <v>4361</v>
      </c>
      <c r="G74" s="61" t="s">
        <v>4362</v>
      </c>
      <c r="H74" s="61" t="s">
        <v>4363</v>
      </c>
    </row>
    <row r="75">
      <c r="A75" s="61" t="s">
        <v>14</v>
      </c>
      <c r="B75" s="61" t="s">
        <v>1747</v>
      </c>
      <c r="C75" s="61" t="s">
        <v>72</v>
      </c>
      <c r="D75" s="61" t="s">
        <v>4364</v>
      </c>
      <c r="E75" s="61" t="s">
        <v>1060</v>
      </c>
      <c r="F75" s="61" t="s">
        <v>4365</v>
      </c>
      <c r="H75" s="61" t="s">
        <v>4366</v>
      </c>
    </row>
    <row r="76">
      <c r="A76" s="61" t="s">
        <v>22</v>
      </c>
      <c r="B76" s="61" t="s">
        <v>2108</v>
      </c>
      <c r="C76" s="61" t="s">
        <v>72</v>
      </c>
      <c r="D76" s="61" t="s">
        <v>4367</v>
      </c>
      <c r="E76" s="61" t="s">
        <v>1120</v>
      </c>
      <c r="F76" s="61" t="s">
        <v>4132</v>
      </c>
      <c r="G76" s="61" t="s">
        <v>4368</v>
      </c>
      <c r="H76" s="61" t="s">
        <v>4369</v>
      </c>
    </row>
    <row r="77">
      <c r="A77" s="61" t="s">
        <v>14</v>
      </c>
      <c r="B77" s="61" t="s">
        <v>1493</v>
      </c>
      <c r="C77" s="61" t="s">
        <v>1043</v>
      </c>
      <c r="D77" s="61" t="s">
        <v>537</v>
      </c>
      <c r="E77" s="61" t="s">
        <v>1448</v>
      </c>
      <c r="F77" s="61" t="s">
        <v>4162</v>
      </c>
      <c r="H77" s="61" t="s">
        <v>4370</v>
      </c>
    </row>
    <row r="78">
      <c r="A78" s="61" t="s">
        <v>14</v>
      </c>
      <c r="B78" s="61" t="s">
        <v>1713</v>
      </c>
      <c r="C78" s="61" t="s">
        <v>1043</v>
      </c>
      <c r="D78" s="61" t="s">
        <v>4155</v>
      </c>
      <c r="E78" s="61" t="s">
        <v>1093</v>
      </c>
      <c r="F78" s="61" t="s">
        <v>4371</v>
      </c>
      <c r="G78" s="61" t="s">
        <v>4372</v>
      </c>
      <c r="H78" s="61" t="s">
        <v>4373</v>
      </c>
    </row>
    <row r="79">
      <c r="A79" s="61" t="s">
        <v>22</v>
      </c>
      <c r="B79" s="61" t="s">
        <v>1481</v>
      </c>
      <c r="C79" s="61" t="s">
        <v>72</v>
      </c>
      <c r="D79" s="61" t="s">
        <v>4134</v>
      </c>
      <c r="E79" s="61" t="s">
        <v>1120</v>
      </c>
      <c r="F79" s="61" t="s">
        <v>4299</v>
      </c>
      <c r="H79" s="61" t="s">
        <v>4374</v>
      </c>
    </row>
    <row r="80">
      <c r="A80" s="61" t="s">
        <v>14</v>
      </c>
      <c r="B80" s="61" t="s">
        <v>2388</v>
      </c>
      <c r="C80" s="61" t="s">
        <v>72</v>
      </c>
      <c r="D80" s="61" t="s">
        <v>4375</v>
      </c>
      <c r="E80" s="61" t="s">
        <v>1020</v>
      </c>
      <c r="F80" s="61" t="s">
        <v>1191</v>
      </c>
      <c r="G80" s="61" t="s">
        <v>4376</v>
      </c>
      <c r="H80" s="61" t="s">
        <v>4377</v>
      </c>
    </row>
    <row r="81">
      <c r="A81" s="61" t="s">
        <v>21</v>
      </c>
      <c r="B81" s="61" t="s">
        <v>2601</v>
      </c>
      <c r="C81" s="61" t="s">
        <v>72</v>
      </c>
      <c r="D81" s="61" t="s">
        <v>4378</v>
      </c>
      <c r="E81" s="61" t="s">
        <v>1186</v>
      </c>
      <c r="F81" s="61" t="s">
        <v>4299</v>
      </c>
      <c r="H81" s="61" t="s">
        <v>4379</v>
      </c>
    </row>
    <row r="82">
      <c r="A82" s="61" t="s">
        <v>16</v>
      </c>
      <c r="B82" s="61" t="s">
        <v>2534</v>
      </c>
      <c r="C82" s="61" t="s">
        <v>72</v>
      </c>
      <c r="D82" s="61" t="s">
        <v>4380</v>
      </c>
      <c r="E82" s="61" t="s">
        <v>2298</v>
      </c>
      <c r="F82" s="61" t="s">
        <v>4381</v>
      </c>
      <c r="G82" s="61" t="s">
        <v>4382</v>
      </c>
      <c r="H82" s="61" t="s">
        <v>4383</v>
      </c>
    </row>
    <row r="83">
      <c r="A83" s="61" t="s">
        <v>14</v>
      </c>
      <c r="B83" s="61" t="s">
        <v>1835</v>
      </c>
      <c r="C83" s="61" t="s">
        <v>1043</v>
      </c>
      <c r="D83" s="61" t="s">
        <v>4315</v>
      </c>
      <c r="E83" s="61" t="s">
        <v>1156</v>
      </c>
      <c r="F83" s="61" t="s">
        <v>4384</v>
      </c>
      <c r="G83" s="61" t="s">
        <v>4385</v>
      </c>
      <c r="H83" s="61" t="s">
        <v>4386</v>
      </c>
    </row>
    <row r="84">
      <c r="A84" s="61" t="s">
        <v>16</v>
      </c>
      <c r="B84" s="61" t="s">
        <v>1973</v>
      </c>
      <c r="C84" s="61" t="s">
        <v>72</v>
      </c>
      <c r="D84" s="61" t="s">
        <v>4387</v>
      </c>
      <c r="E84" s="61" t="s">
        <v>1957</v>
      </c>
      <c r="F84" s="61" t="s">
        <v>4388</v>
      </c>
      <c r="G84" s="61" t="s">
        <v>4389</v>
      </c>
      <c r="H84" s="61" t="s">
        <v>4390</v>
      </c>
    </row>
    <row r="85">
      <c r="A85" s="61" t="s">
        <v>16</v>
      </c>
      <c r="B85" s="61" t="s">
        <v>2297</v>
      </c>
      <c r="C85" s="61" t="s">
        <v>72</v>
      </c>
      <c r="D85" s="61" t="s">
        <v>4281</v>
      </c>
      <c r="E85" s="61" t="s">
        <v>2298</v>
      </c>
      <c r="F85" s="61" t="s">
        <v>4391</v>
      </c>
      <c r="G85" s="61" t="s">
        <v>4392</v>
      </c>
      <c r="H85" s="61" t="s">
        <v>4393</v>
      </c>
    </row>
    <row r="86">
      <c r="A86" s="61" t="s">
        <v>14</v>
      </c>
      <c r="B86" s="61" t="s">
        <v>2416</v>
      </c>
      <c r="C86" s="61" t="s">
        <v>2417</v>
      </c>
      <c r="D86" s="61" t="s">
        <v>4394</v>
      </c>
      <c r="E86" s="61" t="s">
        <v>1428</v>
      </c>
      <c r="F86" s="61" t="s">
        <v>4395</v>
      </c>
      <c r="G86" s="61" t="s">
        <v>4396</v>
      </c>
      <c r="H86" s="61" t="s">
        <v>4397</v>
      </c>
    </row>
    <row r="87">
      <c r="A87" s="61" t="s">
        <v>44</v>
      </c>
      <c r="B87" s="61" t="s">
        <v>1534</v>
      </c>
      <c r="C87" s="61" t="s">
        <v>72</v>
      </c>
      <c r="D87" s="61" t="s">
        <v>4398</v>
      </c>
      <c r="E87" s="61" t="s">
        <v>2439</v>
      </c>
      <c r="F87" s="61" t="s">
        <v>4171</v>
      </c>
      <c r="G87" s="61" t="s">
        <v>4399</v>
      </c>
      <c r="H87" s="61" t="s">
        <v>4400</v>
      </c>
    </row>
    <row r="88">
      <c r="A88" s="61" t="s">
        <v>14</v>
      </c>
      <c r="B88" s="61" t="s">
        <v>2382</v>
      </c>
      <c r="C88" s="61" t="s">
        <v>72</v>
      </c>
      <c r="D88" s="61" t="s">
        <v>4394</v>
      </c>
      <c r="E88" s="61" t="s">
        <v>1020</v>
      </c>
      <c r="F88" s="61" t="s">
        <v>4290</v>
      </c>
      <c r="G88" s="61" t="s">
        <v>4401</v>
      </c>
      <c r="H88" s="61" t="s">
        <v>4402</v>
      </c>
    </row>
    <row r="89">
      <c r="A89" s="61" t="s">
        <v>33</v>
      </c>
      <c r="B89" s="61" t="s">
        <v>1135</v>
      </c>
      <c r="D89" s="61" t="s">
        <v>4222</v>
      </c>
      <c r="F89" s="61" t="s">
        <v>4403</v>
      </c>
      <c r="H89" s="61" t="s">
        <v>4404</v>
      </c>
    </row>
    <row r="90">
      <c r="A90" s="61" t="s">
        <v>14</v>
      </c>
      <c r="B90" s="61" t="s">
        <v>2367</v>
      </c>
      <c r="C90" s="61" t="s">
        <v>1043</v>
      </c>
      <c r="D90" s="61" t="s">
        <v>4405</v>
      </c>
      <c r="E90" s="61" t="s">
        <v>1093</v>
      </c>
      <c r="F90" s="61" t="s">
        <v>4406</v>
      </c>
      <c r="G90" s="61" t="s">
        <v>4407</v>
      </c>
      <c r="H90" s="61" t="s">
        <v>4408</v>
      </c>
    </row>
    <row r="91">
      <c r="A91" s="61" t="s">
        <v>30</v>
      </c>
      <c r="B91" s="61" t="s">
        <v>2379</v>
      </c>
      <c r="C91" s="61" t="s">
        <v>72</v>
      </c>
      <c r="D91" s="61" t="s">
        <v>4409</v>
      </c>
      <c r="E91" s="61" t="s">
        <v>2381</v>
      </c>
      <c r="F91" s="61" t="s">
        <v>4410</v>
      </c>
      <c r="G91" s="61" t="s">
        <v>4411</v>
      </c>
      <c r="H91" s="61" t="s">
        <v>4412</v>
      </c>
    </row>
    <row r="92">
      <c r="A92" s="61" t="s">
        <v>30</v>
      </c>
      <c r="B92" s="61" t="s">
        <v>1040</v>
      </c>
      <c r="C92" s="61" t="s">
        <v>72</v>
      </c>
      <c r="D92" s="61" t="s">
        <v>4413</v>
      </c>
      <c r="E92" s="61" t="s">
        <v>1634</v>
      </c>
      <c r="F92" s="61" t="s">
        <v>4414</v>
      </c>
      <c r="G92" s="61" t="s">
        <v>4415</v>
      </c>
      <c r="H92" s="61" t="s">
        <v>4416</v>
      </c>
    </row>
    <row r="93">
      <c r="A93" s="61" t="s">
        <v>14</v>
      </c>
      <c r="B93" s="61" t="s">
        <v>1147</v>
      </c>
      <c r="C93" s="61" t="s">
        <v>72</v>
      </c>
      <c r="D93" s="61" t="s">
        <v>4417</v>
      </c>
      <c r="E93" s="61" t="s">
        <v>1881</v>
      </c>
      <c r="F93" s="61" t="s">
        <v>4418</v>
      </c>
      <c r="G93" s="61" t="s">
        <v>4419</v>
      </c>
      <c r="H93" s="61" t="s">
        <v>4420</v>
      </c>
    </row>
    <row r="94">
      <c r="A94" s="61" t="s">
        <v>28</v>
      </c>
      <c r="B94" s="61" t="s">
        <v>1075</v>
      </c>
      <c r="C94" s="61" t="s">
        <v>72</v>
      </c>
      <c r="D94" s="61" t="s">
        <v>3975</v>
      </c>
      <c r="E94" s="61" t="s">
        <v>1076</v>
      </c>
      <c r="F94" s="61" t="s">
        <v>4195</v>
      </c>
      <c r="G94" s="61" t="s">
        <v>4421</v>
      </c>
      <c r="H94" s="61" t="s">
        <v>4422</v>
      </c>
    </row>
    <row r="95">
      <c r="A95" s="61" t="s">
        <v>28</v>
      </c>
      <c r="B95" s="61" t="s">
        <v>1672</v>
      </c>
      <c r="C95" s="61" t="s">
        <v>72</v>
      </c>
      <c r="D95" s="61" t="s">
        <v>4423</v>
      </c>
      <c r="E95" s="61" t="s">
        <v>1673</v>
      </c>
      <c r="F95" s="61" t="s">
        <v>4424</v>
      </c>
      <c r="G95" s="61" t="s">
        <v>4425</v>
      </c>
      <c r="H95" s="61" t="s">
        <v>4426</v>
      </c>
    </row>
    <row r="96">
      <c r="A96" s="61" t="s">
        <v>33</v>
      </c>
      <c r="B96" s="61" t="s">
        <v>1697</v>
      </c>
      <c r="C96" s="61" t="s">
        <v>72</v>
      </c>
      <c r="D96" s="61" t="s">
        <v>4427</v>
      </c>
      <c r="E96" s="61" t="s">
        <v>1699</v>
      </c>
      <c r="F96" s="61" t="s">
        <v>4428</v>
      </c>
      <c r="G96" s="61" t="s">
        <v>4429</v>
      </c>
      <c r="H96" s="61" t="s">
        <v>4430</v>
      </c>
    </row>
    <row r="97">
      <c r="A97" s="61" t="s">
        <v>14</v>
      </c>
      <c r="B97" s="61" t="s">
        <v>2572</v>
      </c>
      <c r="C97" s="61" t="s">
        <v>72</v>
      </c>
      <c r="D97" s="61" t="s">
        <v>4431</v>
      </c>
      <c r="E97" s="61" t="s">
        <v>2573</v>
      </c>
      <c r="F97" s="61" t="s">
        <v>4432</v>
      </c>
      <c r="G97" s="61" t="s">
        <v>4433</v>
      </c>
      <c r="H97" s="61" t="s">
        <v>4434</v>
      </c>
    </row>
    <row r="98">
      <c r="A98" s="61" t="s">
        <v>14</v>
      </c>
      <c r="B98" s="61" t="s">
        <v>2502</v>
      </c>
      <c r="C98" s="61" t="s">
        <v>72</v>
      </c>
      <c r="D98" s="61" t="s">
        <v>4435</v>
      </c>
      <c r="E98" s="61" t="s">
        <v>1107</v>
      </c>
      <c r="F98" s="61" t="s">
        <v>4299</v>
      </c>
      <c r="G98" s="61" t="s">
        <v>4436</v>
      </c>
      <c r="H98" s="61" t="s">
        <v>4437</v>
      </c>
    </row>
    <row r="99">
      <c r="A99" s="61" t="s">
        <v>14</v>
      </c>
      <c r="B99" s="61" t="s">
        <v>1613</v>
      </c>
      <c r="C99" s="61" t="s">
        <v>72</v>
      </c>
      <c r="D99" s="61" t="s">
        <v>4438</v>
      </c>
      <c r="E99" s="61" t="s">
        <v>1020</v>
      </c>
      <c r="F99" s="61" t="s">
        <v>4132</v>
      </c>
      <c r="G99" s="61" t="s">
        <v>4439</v>
      </c>
      <c r="H99" s="61" t="s">
        <v>4440</v>
      </c>
    </row>
    <row r="100">
      <c r="A100" s="61" t="s">
        <v>47</v>
      </c>
      <c r="B100" s="61" t="s">
        <v>1649</v>
      </c>
      <c r="C100" s="61" t="s">
        <v>72</v>
      </c>
      <c r="D100" s="61" t="s">
        <v>4441</v>
      </c>
      <c r="E100" s="61" t="s">
        <v>1650</v>
      </c>
      <c r="F100" s="61" t="s">
        <v>4442</v>
      </c>
      <c r="G100" s="61" t="s">
        <v>4443</v>
      </c>
      <c r="H100" s="61" t="s">
        <v>4444</v>
      </c>
    </row>
    <row r="101">
      <c r="A101" s="61" t="s">
        <v>33</v>
      </c>
      <c r="B101" s="61" t="s">
        <v>1129</v>
      </c>
      <c r="C101" s="61" t="s">
        <v>72</v>
      </c>
      <c r="D101" s="61" t="s">
        <v>4445</v>
      </c>
      <c r="E101" s="61" t="s">
        <v>1128</v>
      </c>
      <c r="F101" s="61" t="s">
        <v>4446</v>
      </c>
      <c r="G101" s="61" t="s">
        <v>4445</v>
      </c>
      <c r="H101" s="61" t="s">
        <v>4447</v>
      </c>
    </row>
    <row r="102">
      <c r="A102" s="61" t="s">
        <v>16</v>
      </c>
      <c r="B102" s="61" t="s">
        <v>1415</v>
      </c>
      <c r="C102" s="61" t="s">
        <v>72</v>
      </c>
      <c r="D102" s="61" t="s">
        <v>4448</v>
      </c>
      <c r="E102" s="61" t="s">
        <v>1416</v>
      </c>
      <c r="F102" s="61" t="s">
        <v>4449</v>
      </c>
      <c r="G102" s="61" t="s">
        <v>4450</v>
      </c>
      <c r="H102" s="61" t="s">
        <v>4451</v>
      </c>
    </row>
    <row r="103">
      <c r="A103" s="61" t="s">
        <v>47</v>
      </c>
      <c r="B103" s="61" t="s">
        <v>1675</v>
      </c>
      <c r="C103" s="61" t="s">
        <v>72</v>
      </c>
      <c r="D103" s="61" t="s">
        <v>4452</v>
      </c>
      <c r="E103" s="61" t="s">
        <v>1676</v>
      </c>
      <c r="F103" s="61" t="s">
        <v>4132</v>
      </c>
      <c r="G103" s="61" t="s">
        <v>4453</v>
      </c>
      <c r="H103" s="61" t="s">
        <v>4454</v>
      </c>
    </row>
    <row r="104">
      <c r="A104" s="61" t="s">
        <v>22</v>
      </c>
      <c r="B104" s="61" t="s">
        <v>1443</v>
      </c>
      <c r="C104" s="61" t="s">
        <v>72</v>
      </c>
      <c r="D104" s="61" t="s">
        <v>4455</v>
      </c>
      <c r="E104" s="61" t="s">
        <v>1444</v>
      </c>
      <c r="F104" s="61" t="s">
        <v>4456</v>
      </c>
      <c r="G104" s="61" t="s">
        <v>4457</v>
      </c>
      <c r="H104" s="61" t="s">
        <v>4458</v>
      </c>
    </row>
    <row r="105">
      <c r="A105" s="61" t="s">
        <v>14</v>
      </c>
      <c r="B105" s="61" t="s">
        <v>1269</v>
      </c>
      <c r="C105" s="61" t="s">
        <v>72</v>
      </c>
      <c r="D105" s="61" t="s">
        <v>4459</v>
      </c>
      <c r="E105" s="61" t="s">
        <v>1270</v>
      </c>
      <c r="F105" s="61" t="s">
        <v>4128</v>
      </c>
      <c r="H105" s="61" t="s">
        <v>4460</v>
      </c>
    </row>
    <row r="106">
      <c r="A106" s="61" t="s">
        <v>14</v>
      </c>
      <c r="B106" s="61" t="s">
        <v>1959</v>
      </c>
      <c r="C106" s="61" t="s">
        <v>72</v>
      </c>
      <c r="D106" s="61" t="s">
        <v>4461</v>
      </c>
      <c r="E106" s="61" t="s">
        <v>1425</v>
      </c>
      <c r="F106" s="61" t="s">
        <v>4462</v>
      </c>
      <c r="G106" s="61" t="s">
        <v>4463</v>
      </c>
      <c r="H106" s="61" t="s">
        <v>4464</v>
      </c>
    </row>
    <row r="107">
      <c r="A107" s="61" t="s">
        <v>33</v>
      </c>
      <c r="B107" s="61" t="s">
        <v>2009</v>
      </c>
      <c r="C107" s="61" t="s">
        <v>72</v>
      </c>
      <c r="D107" s="61" t="s">
        <v>3994</v>
      </c>
      <c r="E107" s="61" t="s">
        <v>1128</v>
      </c>
      <c r="F107" s="61" t="s">
        <v>4428</v>
      </c>
      <c r="G107" s="61" t="s">
        <v>3994</v>
      </c>
      <c r="H107" s="61" t="s">
        <v>4465</v>
      </c>
    </row>
    <row r="108">
      <c r="A108" s="61" t="s">
        <v>16</v>
      </c>
      <c r="B108" s="61" t="s">
        <v>1464</v>
      </c>
      <c r="C108" s="61" t="s">
        <v>72</v>
      </c>
      <c r="D108" s="61" t="s">
        <v>4466</v>
      </c>
      <c r="E108" s="61" t="s">
        <v>1465</v>
      </c>
      <c r="F108" s="61" t="s">
        <v>4467</v>
      </c>
      <c r="G108" s="61" t="s">
        <v>4468</v>
      </c>
      <c r="H108" s="61" t="s">
        <v>4469</v>
      </c>
    </row>
    <row r="109">
      <c r="A109" s="61" t="s">
        <v>17</v>
      </c>
      <c r="B109" s="61" t="s">
        <v>2434</v>
      </c>
      <c r="C109" s="61" t="s">
        <v>72</v>
      </c>
      <c r="D109" s="61" t="s">
        <v>4470</v>
      </c>
      <c r="E109" s="61" t="s">
        <v>2436</v>
      </c>
      <c r="F109" s="61" t="s">
        <v>4471</v>
      </c>
      <c r="G109" s="61" t="s">
        <v>4472</v>
      </c>
      <c r="H109" s="61" t="s">
        <v>4473</v>
      </c>
    </row>
    <row r="110">
      <c r="A110" s="61" t="s">
        <v>33</v>
      </c>
      <c r="B110" s="61" t="s">
        <v>1133</v>
      </c>
      <c r="C110" s="61" t="s">
        <v>72</v>
      </c>
      <c r="D110" s="61" t="s">
        <v>4276</v>
      </c>
      <c r="E110" s="61" t="s">
        <v>1134</v>
      </c>
      <c r="F110" s="61" t="s">
        <v>4474</v>
      </c>
      <c r="G110" s="61" t="s">
        <v>4475</v>
      </c>
      <c r="H110" s="61" t="s">
        <v>4476</v>
      </c>
    </row>
    <row r="111">
      <c r="A111" s="61" t="s">
        <v>16</v>
      </c>
      <c r="B111" s="61" t="s">
        <v>2162</v>
      </c>
      <c r="C111" s="61" t="s">
        <v>72</v>
      </c>
      <c r="D111" s="61" t="s">
        <v>4477</v>
      </c>
      <c r="E111" s="61" t="s">
        <v>2164</v>
      </c>
      <c r="F111" s="61" t="s">
        <v>4478</v>
      </c>
      <c r="G111" s="61" t="s">
        <v>4479</v>
      </c>
      <c r="H111" s="61" t="s">
        <v>4480</v>
      </c>
    </row>
    <row r="112">
      <c r="A112" s="61" t="s">
        <v>25</v>
      </c>
      <c r="B112" s="61" t="s">
        <v>2510</v>
      </c>
      <c r="C112" s="61" t="s">
        <v>72</v>
      </c>
      <c r="D112" s="61" t="s">
        <v>4481</v>
      </c>
      <c r="E112" s="61" t="s">
        <v>2511</v>
      </c>
      <c r="F112" s="61" t="s">
        <v>4132</v>
      </c>
      <c r="G112" s="61" t="s">
        <v>4482</v>
      </c>
      <c r="H112" s="61" t="s">
        <v>4483</v>
      </c>
    </row>
    <row r="113">
      <c r="A113" s="61" t="s">
        <v>44</v>
      </c>
      <c r="B113" s="61" t="s">
        <v>1843</v>
      </c>
      <c r="C113" s="61" t="s">
        <v>72</v>
      </c>
      <c r="D113" s="61" t="s">
        <v>4484</v>
      </c>
      <c r="E113" s="61" t="s">
        <v>1844</v>
      </c>
      <c r="F113" s="61" t="s">
        <v>4485</v>
      </c>
      <c r="G113" s="61" t="s">
        <v>4486</v>
      </c>
      <c r="H113" s="61" t="s">
        <v>4487</v>
      </c>
    </row>
    <row r="114">
      <c r="A114" s="61" t="s">
        <v>25</v>
      </c>
      <c r="B114" s="61" t="s">
        <v>2402</v>
      </c>
      <c r="C114" s="61" t="s">
        <v>72</v>
      </c>
      <c r="D114" s="61" t="s">
        <v>3986</v>
      </c>
      <c r="E114" s="61" t="s">
        <v>2403</v>
      </c>
      <c r="F114" s="61" t="s">
        <v>4162</v>
      </c>
      <c r="G114" s="61" t="s">
        <v>4488</v>
      </c>
      <c r="H114" s="61" t="s">
        <v>4489</v>
      </c>
    </row>
    <row r="115">
      <c r="A115" s="61" t="s">
        <v>14</v>
      </c>
      <c r="B115" s="61" t="s">
        <v>1692</v>
      </c>
      <c r="C115" s="61" t="s">
        <v>72</v>
      </c>
      <c r="D115" s="61" t="s">
        <v>4490</v>
      </c>
      <c r="E115" s="61" t="s">
        <v>1020</v>
      </c>
      <c r="F115" s="61" t="s">
        <v>4302</v>
      </c>
      <c r="G115" s="61" t="s">
        <v>4491</v>
      </c>
      <c r="H115" s="61" t="s">
        <v>4492</v>
      </c>
    </row>
    <row r="116">
      <c r="A116" s="61" t="s">
        <v>10</v>
      </c>
      <c r="B116" s="61" t="s">
        <v>2371</v>
      </c>
      <c r="C116" s="61" t="s">
        <v>72</v>
      </c>
      <c r="D116" s="61" t="s">
        <v>4493</v>
      </c>
      <c r="E116" s="61" t="s">
        <v>2373</v>
      </c>
      <c r="F116" s="61" t="s">
        <v>4188</v>
      </c>
      <c r="G116" s="61" t="s">
        <v>4494</v>
      </c>
      <c r="H116" s="61" t="s">
        <v>4495</v>
      </c>
    </row>
    <row r="117">
      <c r="A117" s="61" t="s">
        <v>28</v>
      </c>
      <c r="B117" s="61" t="s">
        <v>1077</v>
      </c>
      <c r="C117" s="61" t="s">
        <v>72</v>
      </c>
      <c r="D117" s="61" t="s">
        <v>4496</v>
      </c>
      <c r="E117" s="61" t="s">
        <v>2014</v>
      </c>
      <c r="F117" s="61" t="s">
        <v>4497</v>
      </c>
      <c r="G117" s="61" t="s">
        <v>4498</v>
      </c>
      <c r="H117" s="61" t="s">
        <v>4499</v>
      </c>
    </row>
    <row r="118">
      <c r="A118" s="61" t="s">
        <v>22</v>
      </c>
      <c r="B118" s="61" t="s">
        <v>2548</v>
      </c>
      <c r="C118" s="61" t="s">
        <v>2417</v>
      </c>
      <c r="D118" s="61" t="s">
        <v>4417</v>
      </c>
      <c r="E118" s="61" t="s">
        <v>2549</v>
      </c>
      <c r="F118" s="61" t="s">
        <v>4230</v>
      </c>
      <c r="G118" s="61" t="s">
        <v>4500</v>
      </c>
      <c r="H118" s="61" t="s">
        <v>4501</v>
      </c>
    </row>
    <row r="119">
      <c r="A119" s="61" t="s">
        <v>33</v>
      </c>
      <c r="B119" s="61" t="s">
        <v>1287</v>
      </c>
      <c r="C119" s="61" t="s">
        <v>72</v>
      </c>
      <c r="D119" s="61" t="s">
        <v>4502</v>
      </c>
      <c r="E119" s="61" t="s">
        <v>1737</v>
      </c>
      <c r="F119" s="61" t="s">
        <v>4503</v>
      </c>
      <c r="G119" s="61" t="s">
        <v>4504</v>
      </c>
      <c r="H119" s="61" t="s">
        <v>4505</v>
      </c>
    </row>
    <row r="120">
      <c r="A120" s="61" t="s">
        <v>25</v>
      </c>
      <c r="B120" s="61" t="s">
        <v>1411</v>
      </c>
      <c r="C120" s="61" t="s">
        <v>72</v>
      </c>
      <c r="D120" s="61" t="s">
        <v>4506</v>
      </c>
      <c r="E120" s="61" t="s">
        <v>1673</v>
      </c>
      <c r="F120" s="61" t="s">
        <v>4299</v>
      </c>
      <c r="G120" s="61" t="s">
        <v>4507</v>
      </c>
      <c r="H120" s="61" t="s">
        <v>4508</v>
      </c>
    </row>
    <row r="121">
      <c r="A121" s="61" t="s">
        <v>25</v>
      </c>
      <c r="B121" s="61" t="s">
        <v>2031</v>
      </c>
      <c r="C121" s="61" t="s">
        <v>72</v>
      </c>
      <c r="D121" s="61" t="s">
        <v>4509</v>
      </c>
      <c r="E121" s="61" t="s">
        <v>1410</v>
      </c>
      <c r="F121" s="61" t="s">
        <v>4162</v>
      </c>
      <c r="G121" s="61" t="s">
        <v>4509</v>
      </c>
      <c r="H121" s="61" t="s">
        <v>4510</v>
      </c>
    </row>
    <row r="122">
      <c r="A122" s="61" t="s">
        <v>33</v>
      </c>
      <c r="B122" s="61" t="s">
        <v>1784</v>
      </c>
      <c r="C122" s="61" t="s">
        <v>72</v>
      </c>
      <c r="D122" s="61" t="s">
        <v>4301</v>
      </c>
      <c r="E122" s="61" t="s">
        <v>2508</v>
      </c>
      <c r="F122" s="61" t="s">
        <v>4511</v>
      </c>
      <c r="G122" s="61" t="s">
        <v>4512</v>
      </c>
      <c r="H122" s="61" t="s">
        <v>4513</v>
      </c>
    </row>
    <row r="123">
      <c r="A123" s="61" t="s">
        <v>22</v>
      </c>
      <c r="B123" s="61" t="s">
        <v>1518</v>
      </c>
      <c r="C123" s="61" t="s">
        <v>72</v>
      </c>
      <c r="D123" s="61" t="s">
        <v>4229</v>
      </c>
      <c r="E123" s="61" t="s">
        <v>1120</v>
      </c>
      <c r="F123" s="61" t="s">
        <v>4331</v>
      </c>
      <c r="G123" s="61" t="s">
        <v>4514</v>
      </c>
      <c r="H123" s="61" t="s">
        <v>4515</v>
      </c>
    </row>
    <row r="124">
      <c r="A124" s="61" t="s">
        <v>33</v>
      </c>
      <c r="B124" s="61" t="s">
        <v>1175</v>
      </c>
      <c r="C124" s="61" t="s">
        <v>72</v>
      </c>
      <c r="D124" s="61" t="s">
        <v>4516</v>
      </c>
      <c r="E124" s="61" t="s">
        <v>2426</v>
      </c>
      <c r="F124" s="61" t="s">
        <v>4290</v>
      </c>
      <c r="G124" s="61" t="s">
        <v>4517</v>
      </c>
      <c r="H124" s="61" t="s">
        <v>4518</v>
      </c>
    </row>
    <row r="125">
      <c r="A125" s="61" t="s">
        <v>16</v>
      </c>
      <c r="B125" s="61" t="s">
        <v>2111</v>
      </c>
      <c r="C125" s="61" t="s">
        <v>72</v>
      </c>
      <c r="D125" s="61" t="s">
        <v>4519</v>
      </c>
      <c r="E125" s="61" t="s">
        <v>2042</v>
      </c>
      <c r="F125" s="61" t="s">
        <v>4520</v>
      </c>
      <c r="G125" s="61" t="s">
        <v>4519</v>
      </c>
      <c r="H125" s="61" t="s">
        <v>4521</v>
      </c>
    </row>
    <row r="126">
      <c r="A126" s="61" t="s">
        <v>25</v>
      </c>
      <c r="B126" s="61" t="s">
        <v>1833</v>
      </c>
      <c r="C126" s="61" t="s">
        <v>72</v>
      </c>
      <c r="D126" s="61" t="s">
        <v>4522</v>
      </c>
      <c r="E126" s="61" t="s">
        <v>2559</v>
      </c>
      <c r="F126" s="61" t="s">
        <v>4410</v>
      </c>
      <c r="G126" s="61" t="s">
        <v>4523</v>
      </c>
      <c r="H126" s="61" t="s">
        <v>4524</v>
      </c>
    </row>
    <row r="127">
      <c r="A127" s="61" t="s">
        <v>21</v>
      </c>
      <c r="B127" s="61" t="s">
        <v>1153</v>
      </c>
      <c r="C127" s="61" t="s">
        <v>72</v>
      </c>
      <c r="D127" s="61" t="s">
        <v>4525</v>
      </c>
      <c r="E127" s="61" t="s">
        <v>1065</v>
      </c>
      <c r="F127" s="61" t="s">
        <v>4526</v>
      </c>
      <c r="G127" s="61" t="s">
        <v>4527</v>
      </c>
      <c r="H127" s="61" t="s">
        <v>4528</v>
      </c>
    </row>
    <row r="128">
      <c r="A128" s="61" t="s">
        <v>21</v>
      </c>
      <c r="B128" s="61" t="s">
        <v>2540</v>
      </c>
      <c r="C128" s="61" t="s">
        <v>72</v>
      </c>
      <c r="D128" s="61" t="s">
        <v>4529</v>
      </c>
      <c r="E128" s="61" t="s">
        <v>1183</v>
      </c>
      <c r="F128" s="61" t="s">
        <v>4530</v>
      </c>
      <c r="G128" s="61" t="s">
        <v>4531</v>
      </c>
      <c r="H128" s="61" t="s">
        <v>4532</v>
      </c>
    </row>
    <row r="129">
      <c r="A129" s="61" t="s">
        <v>22</v>
      </c>
      <c r="B129" s="61" t="s">
        <v>1138</v>
      </c>
      <c r="C129" s="61" t="s">
        <v>72</v>
      </c>
      <c r="D129" s="61" t="s">
        <v>4533</v>
      </c>
      <c r="E129" s="61" t="s">
        <v>2444</v>
      </c>
      <c r="F129" s="61" t="s">
        <v>4534</v>
      </c>
      <c r="G129" s="61" t="s">
        <v>4535</v>
      </c>
      <c r="H129" s="61" t="s">
        <v>4536</v>
      </c>
    </row>
    <row r="130">
      <c r="A130" s="61" t="s">
        <v>21</v>
      </c>
      <c r="B130" s="61" t="s">
        <v>1140</v>
      </c>
      <c r="C130" s="61" t="s">
        <v>72</v>
      </c>
      <c r="D130" s="61" t="s">
        <v>4537</v>
      </c>
      <c r="E130" s="61" t="s">
        <v>1142</v>
      </c>
      <c r="F130" s="61" t="s">
        <v>4538</v>
      </c>
      <c r="G130" s="61" t="s">
        <v>4539</v>
      </c>
      <c r="H130" s="61" t="s">
        <v>4540</v>
      </c>
    </row>
    <row r="131">
      <c r="A131" s="61" t="s">
        <v>21</v>
      </c>
      <c r="B131" s="61" t="s">
        <v>1063</v>
      </c>
      <c r="C131" s="61" t="s">
        <v>72</v>
      </c>
      <c r="D131" s="61" t="s">
        <v>3975</v>
      </c>
      <c r="E131" s="61" t="s">
        <v>1065</v>
      </c>
      <c r="F131" s="61" t="s">
        <v>501</v>
      </c>
      <c r="G131" s="61" t="s">
        <v>4541</v>
      </c>
      <c r="H131" s="61" t="s">
        <v>4542</v>
      </c>
    </row>
    <row r="132">
      <c r="A132" s="61" t="s">
        <v>21</v>
      </c>
      <c r="B132" s="61" t="s">
        <v>1182</v>
      </c>
      <c r="C132" s="61" t="s">
        <v>72</v>
      </c>
      <c r="D132" s="61" t="s">
        <v>4543</v>
      </c>
      <c r="E132" s="61" t="s">
        <v>1183</v>
      </c>
      <c r="F132" s="61" t="s">
        <v>4544</v>
      </c>
      <c r="G132" s="61" t="s">
        <v>4545</v>
      </c>
      <c r="H132" s="61" t="s">
        <v>4546</v>
      </c>
    </row>
    <row r="133">
      <c r="A133" s="61" t="s">
        <v>14</v>
      </c>
      <c r="B133" s="61" t="s">
        <v>2311</v>
      </c>
      <c r="C133" s="61" t="s">
        <v>72</v>
      </c>
      <c r="D133" s="61" t="s">
        <v>4301</v>
      </c>
      <c r="E133" s="61" t="s">
        <v>2266</v>
      </c>
      <c r="F133" s="61" t="s">
        <v>4547</v>
      </c>
      <c r="G133" s="61" t="s">
        <v>4548</v>
      </c>
      <c r="H133" s="61" t="s">
        <v>4549</v>
      </c>
    </row>
    <row r="134">
      <c r="A134" s="61" t="s">
        <v>21</v>
      </c>
      <c r="B134" s="61" t="s">
        <v>2375</v>
      </c>
      <c r="C134" s="61" t="s">
        <v>72</v>
      </c>
      <c r="D134" s="61" t="s">
        <v>4147</v>
      </c>
      <c r="E134" s="61" t="s">
        <v>2377</v>
      </c>
      <c r="F134" s="61" t="s">
        <v>4550</v>
      </c>
      <c r="H134" s="61" t="s">
        <v>4551</v>
      </c>
    </row>
    <row r="135">
      <c r="A135" s="61" t="s">
        <v>14</v>
      </c>
      <c r="B135" s="61" t="s">
        <v>1802</v>
      </c>
      <c r="C135" s="61" t="s">
        <v>72</v>
      </c>
      <c r="D135" s="61" t="s">
        <v>4552</v>
      </c>
      <c r="E135" s="61" t="s">
        <v>1107</v>
      </c>
      <c r="F135" s="61" t="s">
        <v>4553</v>
      </c>
      <c r="G135" s="61" t="s">
        <v>4554</v>
      </c>
      <c r="H135" s="61" t="s">
        <v>4555</v>
      </c>
    </row>
    <row r="136">
      <c r="A136" s="61" t="s">
        <v>17</v>
      </c>
      <c r="B136" s="61" t="s">
        <v>1813</v>
      </c>
      <c r="C136" s="61" t="s">
        <v>72</v>
      </c>
      <c r="D136" s="61" t="s">
        <v>4556</v>
      </c>
      <c r="E136" s="61" t="s">
        <v>2178</v>
      </c>
      <c r="F136" s="61" t="s">
        <v>4557</v>
      </c>
      <c r="G136" s="61" t="s">
        <v>4558</v>
      </c>
      <c r="H136" s="61" t="s">
        <v>4559</v>
      </c>
    </row>
    <row r="137">
      <c r="A137" s="61" t="s">
        <v>14</v>
      </c>
      <c r="B137" s="61" t="s">
        <v>1467</v>
      </c>
      <c r="C137" s="61" t="s">
        <v>72</v>
      </c>
      <c r="D137" s="61" t="s">
        <v>4560</v>
      </c>
      <c r="E137" s="61" t="s">
        <v>1468</v>
      </c>
      <c r="F137" s="61" t="s">
        <v>4132</v>
      </c>
      <c r="G137" s="61" t="s">
        <v>4561</v>
      </c>
      <c r="H137" s="61" t="s">
        <v>4562</v>
      </c>
    </row>
    <row r="138">
      <c r="A138" s="61" t="s">
        <v>16</v>
      </c>
      <c r="B138" s="61" t="s">
        <v>1956</v>
      </c>
      <c r="C138" s="61" t="s">
        <v>72</v>
      </c>
      <c r="D138" s="61" t="s">
        <v>4563</v>
      </c>
      <c r="E138" s="61" t="s">
        <v>1957</v>
      </c>
      <c r="F138" s="61" t="s">
        <v>4162</v>
      </c>
      <c r="G138" s="61" t="s">
        <v>4564</v>
      </c>
      <c r="H138" s="61" t="s">
        <v>4565</v>
      </c>
    </row>
    <row r="139">
      <c r="A139" s="61" t="s">
        <v>16</v>
      </c>
      <c r="B139" s="61" t="s">
        <v>2041</v>
      </c>
      <c r="C139" s="61" t="s">
        <v>72</v>
      </c>
      <c r="D139" s="61" t="s">
        <v>4566</v>
      </c>
      <c r="E139" s="61" t="s">
        <v>2042</v>
      </c>
      <c r="F139" s="61" t="s">
        <v>4567</v>
      </c>
      <c r="G139" s="61" t="s">
        <v>4568</v>
      </c>
      <c r="H139" s="61" t="s">
        <v>4569</v>
      </c>
    </row>
    <row r="140">
      <c r="A140" s="61" t="s">
        <v>30</v>
      </c>
      <c r="B140" s="61" t="s">
        <v>2335</v>
      </c>
      <c r="C140" s="61" t="s">
        <v>72</v>
      </c>
      <c r="D140" s="61" t="s">
        <v>4269</v>
      </c>
      <c r="E140" s="61" t="s">
        <v>2337</v>
      </c>
      <c r="F140" s="61" t="s">
        <v>4128</v>
      </c>
      <c r="G140" s="61" t="s">
        <v>4570</v>
      </c>
      <c r="H140" s="61" t="s">
        <v>4571</v>
      </c>
    </row>
    <row r="141">
      <c r="A141" s="61" t="s">
        <v>14</v>
      </c>
      <c r="B141" s="61" t="s">
        <v>1114</v>
      </c>
      <c r="C141" s="61" t="s">
        <v>72</v>
      </c>
      <c r="D141" s="61" t="s">
        <v>4572</v>
      </c>
      <c r="E141" s="61" t="s">
        <v>1115</v>
      </c>
      <c r="F141" s="61" t="s">
        <v>4573</v>
      </c>
      <c r="G141" s="61" t="s">
        <v>4574</v>
      </c>
      <c r="H141" s="61" t="s">
        <v>4575</v>
      </c>
    </row>
    <row r="142">
      <c r="A142" s="61" t="s">
        <v>14</v>
      </c>
      <c r="B142" s="61" t="s">
        <v>1971</v>
      </c>
      <c r="C142" s="61" t="s">
        <v>72</v>
      </c>
      <c r="D142" s="61" t="s">
        <v>4576</v>
      </c>
      <c r="E142" s="61" t="s">
        <v>1107</v>
      </c>
      <c r="F142" s="61" t="s">
        <v>4424</v>
      </c>
      <c r="G142" s="61" t="s">
        <v>4577</v>
      </c>
      <c r="H142" s="61" t="s">
        <v>4578</v>
      </c>
    </row>
    <row r="143">
      <c r="A143" s="61" t="s">
        <v>17</v>
      </c>
      <c r="B143" s="61" t="s">
        <v>2122</v>
      </c>
      <c r="C143" s="61" t="s">
        <v>72</v>
      </c>
      <c r="D143" s="61" t="s">
        <v>4579</v>
      </c>
      <c r="E143" s="61" t="s">
        <v>2123</v>
      </c>
      <c r="F143" s="61" t="s">
        <v>4526</v>
      </c>
      <c r="G143" s="61" t="s">
        <v>4579</v>
      </c>
      <c r="H143" s="61" t="s">
        <v>4580</v>
      </c>
    </row>
    <row r="144">
      <c r="A144" s="61" t="s">
        <v>14</v>
      </c>
      <c r="B144" s="61" t="s">
        <v>1765</v>
      </c>
      <c r="C144" s="61" t="s">
        <v>1043</v>
      </c>
      <c r="D144" s="61" t="s">
        <v>4581</v>
      </c>
      <c r="E144" s="61" t="s">
        <v>1156</v>
      </c>
      <c r="F144" s="61" t="s">
        <v>4582</v>
      </c>
      <c r="G144" s="61" t="s">
        <v>4583</v>
      </c>
      <c r="H144" s="61" t="s">
        <v>4584</v>
      </c>
    </row>
    <row r="145">
      <c r="A145" s="61" t="s">
        <v>14</v>
      </c>
      <c r="B145" s="61" t="s">
        <v>1044</v>
      </c>
      <c r="C145" s="61" t="s">
        <v>72</v>
      </c>
      <c r="D145" s="61" t="s">
        <v>4284</v>
      </c>
      <c r="E145" s="61" t="s">
        <v>1929</v>
      </c>
      <c r="F145" s="61" t="s">
        <v>4474</v>
      </c>
      <c r="G145" s="61" t="s">
        <v>4585</v>
      </c>
      <c r="H145" s="61" t="s">
        <v>4586</v>
      </c>
    </row>
    <row r="146">
      <c r="A146" s="61" t="s">
        <v>14</v>
      </c>
      <c r="B146" s="61" t="s">
        <v>2419</v>
      </c>
      <c r="C146" s="61" t="s">
        <v>72</v>
      </c>
      <c r="D146" s="61" t="s">
        <v>4315</v>
      </c>
      <c r="E146" s="61" t="s">
        <v>2293</v>
      </c>
      <c r="F146" s="61" t="s">
        <v>4587</v>
      </c>
      <c r="G146" s="61" t="s">
        <v>4588</v>
      </c>
      <c r="H146" s="61" t="s">
        <v>4589</v>
      </c>
    </row>
    <row r="147">
      <c r="A147" s="61" t="s">
        <v>17</v>
      </c>
      <c r="B147" s="61" t="s">
        <v>1328</v>
      </c>
      <c r="C147" s="61" t="s">
        <v>72</v>
      </c>
      <c r="D147" s="61" t="s">
        <v>4590</v>
      </c>
      <c r="E147" s="61" t="s">
        <v>1902</v>
      </c>
      <c r="F147" s="61" t="s">
        <v>4162</v>
      </c>
      <c r="G147" s="61" t="s">
        <v>4591</v>
      </c>
      <c r="H147" s="61" t="s">
        <v>4592</v>
      </c>
    </row>
    <row r="148">
      <c r="A148" s="61" t="s">
        <v>14</v>
      </c>
      <c r="B148" s="61" t="s">
        <v>1516</v>
      </c>
      <c r="C148" s="61" t="s">
        <v>1043</v>
      </c>
      <c r="D148" s="61" t="s">
        <v>4229</v>
      </c>
      <c r="E148" s="61" t="s">
        <v>1043</v>
      </c>
      <c r="F148" s="61" t="s">
        <v>4593</v>
      </c>
      <c r="G148" s="61" t="s">
        <v>4594</v>
      </c>
      <c r="H148" s="61" t="s">
        <v>4595</v>
      </c>
    </row>
    <row r="149">
      <c r="A149" s="61" t="s">
        <v>17</v>
      </c>
      <c r="B149" s="61" t="s">
        <v>2093</v>
      </c>
      <c r="C149" s="61" t="s">
        <v>72</v>
      </c>
      <c r="D149" s="61" t="s">
        <v>4596</v>
      </c>
      <c r="E149" s="61" t="s">
        <v>2085</v>
      </c>
      <c r="F149" s="61" t="s">
        <v>4162</v>
      </c>
      <c r="H149" s="61" t="s">
        <v>4597</v>
      </c>
    </row>
    <row r="150">
      <c r="A150" s="61" t="s">
        <v>47</v>
      </c>
      <c r="B150" s="61" t="s">
        <v>2290</v>
      </c>
      <c r="C150" s="61" t="s">
        <v>72</v>
      </c>
      <c r="D150" s="61" t="s">
        <v>4598</v>
      </c>
      <c r="E150" s="61" t="s">
        <v>1209</v>
      </c>
      <c r="F150" s="61" t="s">
        <v>4599</v>
      </c>
      <c r="G150" s="61" t="s">
        <v>4600</v>
      </c>
      <c r="H150" s="61" t="s">
        <v>4601</v>
      </c>
    </row>
    <row r="151">
      <c r="A151" s="61" t="s">
        <v>22</v>
      </c>
      <c r="B151" s="61" t="s">
        <v>2255</v>
      </c>
      <c r="C151" s="61" t="s">
        <v>72</v>
      </c>
      <c r="D151" s="61" t="s">
        <v>4602</v>
      </c>
      <c r="E151" s="61" t="s">
        <v>2256</v>
      </c>
      <c r="F151" s="61" t="s">
        <v>4603</v>
      </c>
      <c r="G151" s="61" t="s">
        <v>4604</v>
      </c>
      <c r="H151" s="61" t="s">
        <v>4605</v>
      </c>
    </row>
    <row r="152">
      <c r="A152" s="61" t="s">
        <v>21</v>
      </c>
      <c r="B152" s="61" t="s">
        <v>1053</v>
      </c>
      <c r="C152" s="61" t="s">
        <v>72</v>
      </c>
      <c r="D152" s="61" t="s">
        <v>4606</v>
      </c>
      <c r="E152" s="61" t="s">
        <v>1460</v>
      </c>
      <c r="F152" s="61" t="s">
        <v>4132</v>
      </c>
      <c r="G152" s="61" t="s">
        <v>4607</v>
      </c>
      <c r="H152" s="61" t="s">
        <v>4608</v>
      </c>
    </row>
    <row r="153">
      <c r="A153" s="61" t="s">
        <v>22</v>
      </c>
      <c r="B153" s="61" t="s">
        <v>2191</v>
      </c>
      <c r="C153" s="61" t="s">
        <v>72</v>
      </c>
      <c r="D153" s="61" t="s">
        <v>4609</v>
      </c>
      <c r="E153" s="61" t="s">
        <v>1290</v>
      </c>
      <c r="F153" s="61" t="s">
        <v>4273</v>
      </c>
      <c r="H153" s="61" t="s">
        <v>4610</v>
      </c>
    </row>
    <row r="154">
      <c r="A154" s="61" t="s">
        <v>14</v>
      </c>
      <c r="B154" s="61" t="s">
        <v>2621</v>
      </c>
      <c r="C154" s="61" t="s">
        <v>72</v>
      </c>
      <c r="D154" s="61" t="s">
        <v>4611</v>
      </c>
      <c r="E154" s="61" t="s">
        <v>1428</v>
      </c>
      <c r="F154" s="61" t="s">
        <v>4612</v>
      </c>
      <c r="H154" s="61" t="s">
        <v>4613</v>
      </c>
    </row>
    <row r="155">
      <c r="A155" s="61" t="s">
        <v>39</v>
      </c>
      <c r="B155" s="61" t="s">
        <v>1236</v>
      </c>
      <c r="C155" s="61" t="s">
        <v>72</v>
      </c>
      <c r="D155" s="61" t="s">
        <v>4614</v>
      </c>
      <c r="E155" s="61" t="s">
        <v>1237</v>
      </c>
      <c r="F155" s="61" t="s">
        <v>4615</v>
      </c>
      <c r="H155" s="61" t="s">
        <v>4616</v>
      </c>
    </row>
    <row r="156">
      <c r="A156" s="61" t="s">
        <v>14</v>
      </c>
      <c r="B156" s="61" t="s">
        <v>2046</v>
      </c>
      <c r="C156" s="61" t="s">
        <v>72</v>
      </c>
      <c r="D156" s="61" t="s">
        <v>4209</v>
      </c>
      <c r="E156" s="61" t="s">
        <v>1256</v>
      </c>
      <c r="F156" s="61" t="s">
        <v>4617</v>
      </c>
      <c r="H156" s="61" t="s">
        <v>4618</v>
      </c>
    </row>
    <row r="157">
      <c r="A157" s="61" t="s">
        <v>14</v>
      </c>
      <c r="B157" s="61" t="s">
        <v>1732</v>
      </c>
      <c r="C157" s="61" t="s">
        <v>72</v>
      </c>
      <c r="D157" s="61" t="s">
        <v>4209</v>
      </c>
      <c r="E157" s="61" t="s">
        <v>1428</v>
      </c>
      <c r="F157" s="61" t="s">
        <v>4617</v>
      </c>
      <c r="H157" s="61" t="s">
        <v>4619</v>
      </c>
    </row>
    <row r="158">
      <c r="A158" s="61" t="s">
        <v>14</v>
      </c>
      <c r="B158" s="61" t="s">
        <v>2612</v>
      </c>
      <c r="C158" s="61" t="s">
        <v>72</v>
      </c>
      <c r="D158" s="61" t="s">
        <v>4431</v>
      </c>
      <c r="E158" s="61" t="s">
        <v>1428</v>
      </c>
      <c r="F158" s="61" t="s">
        <v>4620</v>
      </c>
      <c r="H158" s="61" t="s">
        <v>4621</v>
      </c>
    </row>
    <row r="159">
      <c r="A159" s="61" t="s">
        <v>14</v>
      </c>
      <c r="B159" s="61" t="s">
        <v>2619</v>
      </c>
      <c r="C159" s="61" t="s">
        <v>72</v>
      </c>
      <c r="D159" s="61" t="s">
        <v>4622</v>
      </c>
      <c r="E159" s="61" t="s">
        <v>1428</v>
      </c>
      <c r="F159" s="61" t="s">
        <v>4290</v>
      </c>
      <c r="H159" s="61" t="s">
        <v>4623</v>
      </c>
    </row>
    <row r="160">
      <c r="A160" s="61" t="s">
        <v>14</v>
      </c>
      <c r="B160" s="61" t="s">
        <v>2605</v>
      </c>
      <c r="C160" s="61" t="s">
        <v>72</v>
      </c>
      <c r="D160" s="61" t="s">
        <v>3975</v>
      </c>
      <c r="E160" s="61" t="s">
        <v>1428</v>
      </c>
      <c r="F160" s="61" t="s">
        <v>4624</v>
      </c>
      <c r="H160" s="61" t="s">
        <v>4625</v>
      </c>
    </row>
    <row r="161">
      <c r="A161" s="61" t="s">
        <v>14</v>
      </c>
      <c r="B161" s="61" t="s">
        <v>2608</v>
      </c>
      <c r="D161" s="61" t="s">
        <v>4626</v>
      </c>
      <c r="F161" s="61" t="s">
        <v>4627</v>
      </c>
      <c r="H161" s="61" t="s">
        <v>4628</v>
      </c>
    </row>
    <row r="162">
      <c r="A162" s="61" t="s">
        <v>14</v>
      </c>
      <c r="B162" s="61" t="s">
        <v>2617</v>
      </c>
      <c r="C162" s="61" t="s">
        <v>72</v>
      </c>
      <c r="D162" s="61" t="s">
        <v>4629</v>
      </c>
      <c r="E162" s="61" t="s">
        <v>1428</v>
      </c>
      <c r="F162" s="61" t="s">
        <v>4162</v>
      </c>
      <c r="H162" s="61" t="s">
        <v>4630</v>
      </c>
    </row>
    <row r="163">
      <c r="A163" s="61" t="s">
        <v>14</v>
      </c>
      <c r="B163" s="61" t="s">
        <v>2603</v>
      </c>
      <c r="D163" s="61" t="s">
        <v>3975</v>
      </c>
      <c r="F163" s="61" t="s">
        <v>4631</v>
      </c>
      <c r="H163" s="61" t="s">
        <v>4632</v>
      </c>
    </row>
    <row r="164">
      <c r="A164" s="61" t="s">
        <v>47</v>
      </c>
      <c r="B164" s="61" t="s">
        <v>1368</v>
      </c>
      <c r="C164" s="61" t="s">
        <v>72</v>
      </c>
      <c r="D164" s="61" t="s">
        <v>4633</v>
      </c>
      <c r="E164" s="61" t="s">
        <v>2029</v>
      </c>
      <c r="F164" s="61" t="s">
        <v>4634</v>
      </c>
      <c r="G164" s="61" t="s">
        <v>4635</v>
      </c>
      <c r="H164" s="61" t="s">
        <v>4636</v>
      </c>
    </row>
    <row r="165">
      <c r="A165" s="61" t="s">
        <v>14</v>
      </c>
      <c r="B165" s="61" t="s">
        <v>2623</v>
      </c>
      <c r="C165" s="61" t="s">
        <v>72</v>
      </c>
      <c r="D165" s="61" t="s">
        <v>4637</v>
      </c>
      <c r="E165" s="61" t="s">
        <v>1428</v>
      </c>
      <c r="F165" s="61" t="s">
        <v>4638</v>
      </c>
      <c r="H165" s="61" t="s">
        <v>4639</v>
      </c>
    </row>
    <row r="166">
      <c r="A166" s="61" t="s">
        <v>14</v>
      </c>
      <c r="B166" s="61" t="s">
        <v>2615</v>
      </c>
      <c r="C166" s="61" t="s">
        <v>72</v>
      </c>
      <c r="D166" s="61" t="s">
        <v>4219</v>
      </c>
      <c r="E166" s="61" t="s">
        <v>1428</v>
      </c>
      <c r="F166" s="61" t="s">
        <v>4195</v>
      </c>
      <c r="H166" s="61" t="s">
        <v>4640</v>
      </c>
    </row>
    <row r="167">
      <c r="A167" s="61" t="s">
        <v>14</v>
      </c>
      <c r="B167" s="61" t="s">
        <v>1522</v>
      </c>
      <c r="C167" s="61" t="s">
        <v>72</v>
      </c>
      <c r="D167" s="61" t="s">
        <v>4409</v>
      </c>
      <c r="E167" s="61" t="s">
        <v>1428</v>
      </c>
      <c r="F167" s="61" t="s">
        <v>4132</v>
      </c>
      <c r="H167" s="61" t="s">
        <v>4641</v>
      </c>
    </row>
    <row r="168">
      <c r="A168" s="61" t="s">
        <v>14</v>
      </c>
      <c r="B168" s="61" t="s">
        <v>1346</v>
      </c>
      <c r="C168" s="61" t="s">
        <v>72</v>
      </c>
      <c r="D168" s="61" t="s">
        <v>4642</v>
      </c>
      <c r="E168" s="61" t="s">
        <v>1347</v>
      </c>
      <c r="F168" s="61" t="s">
        <v>4643</v>
      </c>
      <c r="G168" s="61" t="s">
        <v>4644</v>
      </c>
      <c r="H168" s="61" t="s">
        <v>4645</v>
      </c>
    </row>
    <row r="169">
      <c r="A169" s="61" t="s">
        <v>17</v>
      </c>
      <c r="B169" s="61" t="s">
        <v>1325</v>
      </c>
      <c r="C169" s="61" t="s">
        <v>72</v>
      </c>
      <c r="D169" s="61" t="s">
        <v>4380</v>
      </c>
      <c r="E169" s="61" t="s">
        <v>1327</v>
      </c>
      <c r="F169" s="61" t="s">
        <v>4162</v>
      </c>
      <c r="G169" s="61" t="s">
        <v>4380</v>
      </c>
      <c r="H169" s="61" t="s">
        <v>4646</v>
      </c>
    </row>
    <row r="170">
      <c r="A170" s="61" t="s">
        <v>14</v>
      </c>
      <c r="B170" s="61" t="s">
        <v>1297</v>
      </c>
      <c r="C170" s="61" t="s">
        <v>72</v>
      </c>
      <c r="D170" s="61" t="s">
        <v>4647</v>
      </c>
      <c r="E170" s="61" t="s">
        <v>1256</v>
      </c>
      <c r="F170" s="61" t="s">
        <v>4648</v>
      </c>
      <c r="G170" s="61" t="s">
        <v>4649</v>
      </c>
      <c r="H170" s="61" t="s">
        <v>4650</v>
      </c>
    </row>
    <row r="171">
      <c r="A171" s="61" t="s">
        <v>14</v>
      </c>
      <c r="B171" s="61" t="s">
        <v>2329</v>
      </c>
      <c r="C171" s="61" t="s">
        <v>72</v>
      </c>
      <c r="D171" s="61" t="s">
        <v>4651</v>
      </c>
      <c r="E171" s="61" t="s">
        <v>2327</v>
      </c>
      <c r="F171" s="61" t="s">
        <v>4617</v>
      </c>
      <c r="G171" s="61" t="s">
        <v>4652</v>
      </c>
      <c r="H171" s="61" t="s">
        <v>4653</v>
      </c>
    </row>
    <row r="172">
      <c r="A172" s="61" t="s">
        <v>16</v>
      </c>
      <c r="B172" s="61" t="s">
        <v>1382</v>
      </c>
      <c r="C172" s="61" t="s">
        <v>72</v>
      </c>
      <c r="D172" s="61" t="s">
        <v>4654</v>
      </c>
      <c r="E172" s="61" t="s">
        <v>1383</v>
      </c>
      <c r="F172" s="61" t="s">
        <v>4432</v>
      </c>
      <c r="G172" s="61" t="s">
        <v>4655</v>
      </c>
      <c r="H172" s="61" t="s">
        <v>4656</v>
      </c>
    </row>
    <row r="173">
      <c r="A173" s="61" t="s">
        <v>14</v>
      </c>
      <c r="B173" s="61" t="s">
        <v>1976</v>
      </c>
      <c r="C173" s="61" t="s">
        <v>72</v>
      </c>
      <c r="D173" s="61" t="s">
        <v>4004</v>
      </c>
      <c r="E173" s="61" t="s">
        <v>1347</v>
      </c>
      <c r="F173" s="61" t="s">
        <v>4162</v>
      </c>
      <c r="G173" s="61" t="s">
        <v>4657</v>
      </c>
      <c r="H173" s="61" t="s">
        <v>4658</v>
      </c>
    </row>
    <row r="174">
      <c r="A174" s="61" t="s">
        <v>22</v>
      </c>
      <c r="B174" s="61" t="s">
        <v>2625</v>
      </c>
      <c r="C174" s="61" t="s">
        <v>72</v>
      </c>
      <c r="D174" s="61" t="s">
        <v>4212</v>
      </c>
      <c r="E174" s="61" t="s">
        <v>2626</v>
      </c>
      <c r="F174" s="61" t="s">
        <v>4290</v>
      </c>
      <c r="H174" s="61" t="s">
        <v>4659</v>
      </c>
    </row>
    <row r="175">
      <c r="A175" s="61" t="s">
        <v>17</v>
      </c>
      <c r="B175" s="61" t="s">
        <v>2452</v>
      </c>
      <c r="C175" s="61" t="s">
        <v>72</v>
      </c>
      <c r="D175" s="61" t="s">
        <v>4378</v>
      </c>
      <c r="E175" s="61" t="s">
        <v>2453</v>
      </c>
      <c r="F175" s="61" t="s">
        <v>4428</v>
      </c>
      <c r="G175" s="61" t="s">
        <v>4660</v>
      </c>
      <c r="H175" s="61" t="s">
        <v>4661</v>
      </c>
    </row>
    <row r="176">
      <c r="A176" s="61" t="s">
        <v>10</v>
      </c>
      <c r="B176" s="61" t="s">
        <v>1508</v>
      </c>
      <c r="C176" s="61" t="s">
        <v>72</v>
      </c>
      <c r="D176" s="61" t="s">
        <v>4662</v>
      </c>
      <c r="E176" s="61" t="s">
        <v>1509</v>
      </c>
      <c r="F176" s="61" t="s">
        <v>4663</v>
      </c>
      <c r="H176" s="61" t="s">
        <v>4664</v>
      </c>
    </row>
    <row r="177">
      <c r="A177" s="61" t="s">
        <v>14</v>
      </c>
      <c r="B177" s="61" t="s">
        <v>1116</v>
      </c>
      <c r="C177" s="61" t="s">
        <v>72</v>
      </c>
      <c r="D177" s="61" t="s">
        <v>4301</v>
      </c>
      <c r="E177" s="61" t="s">
        <v>1921</v>
      </c>
      <c r="F177" s="61" t="s">
        <v>4290</v>
      </c>
      <c r="G177" s="61" t="s">
        <v>4665</v>
      </c>
      <c r="H177" s="61" t="s">
        <v>4666</v>
      </c>
    </row>
    <row r="178">
      <c r="A178" s="61" t="s">
        <v>16</v>
      </c>
      <c r="B178" s="61" t="s">
        <v>1228</v>
      </c>
      <c r="C178" s="61" t="s">
        <v>72</v>
      </c>
      <c r="D178" s="61" t="s">
        <v>4667</v>
      </c>
      <c r="E178" s="61" t="s">
        <v>1230</v>
      </c>
      <c r="F178" s="61" t="s">
        <v>4668</v>
      </c>
      <c r="G178" s="61" t="s">
        <v>4669</v>
      </c>
      <c r="H178" s="61" t="s">
        <v>4670</v>
      </c>
    </row>
    <row r="179">
      <c r="A179" s="61" t="s">
        <v>33</v>
      </c>
      <c r="B179" s="61" t="s">
        <v>1552</v>
      </c>
      <c r="C179" s="61" t="s">
        <v>72</v>
      </c>
      <c r="D179" s="61" t="s">
        <v>4671</v>
      </c>
      <c r="E179" s="61" t="s">
        <v>1364</v>
      </c>
      <c r="F179" s="61" t="s">
        <v>4162</v>
      </c>
      <c r="G179" s="61" t="s">
        <v>4672</v>
      </c>
      <c r="H179" s="61" t="s">
        <v>4673</v>
      </c>
    </row>
    <row r="180">
      <c r="A180" s="61" t="s">
        <v>25</v>
      </c>
      <c r="B180" s="61" t="s">
        <v>1409</v>
      </c>
      <c r="C180" s="61" t="s">
        <v>72</v>
      </c>
      <c r="D180" s="61" t="s">
        <v>4674</v>
      </c>
      <c r="E180" s="61" t="s">
        <v>1410</v>
      </c>
      <c r="F180" s="61" t="s">
        <v>4538</v>
      </c>
      <c r="G180" s="61" t="s">
        <v>4675</v>
      </c>
      <c r="H180" s="61" t="s">
        <v>4676</v>
      </c>
    </row>
    <row r="181">
      <c r="A181" s="61" t="s">
        <v>25</v>
      </c>
      <c r="B181" s="61" t="s">
        <v>1496</v>
      </c>
      <c r="C181" s="61" t="s">
        <v>72</v>
      </c>
      <c r="D181" s="61" t="s">
        <v>4677</v>
      </c>
      <c r="E181" s="61" t="s">
        <v>1497</v>
      </c>
      <c r="F181" s="61" t="s">
        <v>4678</v>
      </c>
      <c r="G181" s="61" t="s">
        <v>4679</v>
      </c>
      <c r="H181" s="61" t="s">
        <v>4680</v>
      </c>
    </row>
    <row r="182">
      <c r="A182" s="61" t="s">
        <v>30</v>
      </c>
      <c r="B182" s="61" t="s">
        <v>3811</v>
      </c>
      <c r="C182" s="61" t="s">
        <v>72</v>
      </c>
      <c r="D182" s="61" t="s">
        <v>3994</v>
      </c>
      <c r="E182" s="61" t="s">
        <v>2285</v>
      </c>
      <c r="F182" s="61" t="s">
        <v>4128</v>
      </c>
      <c r="G182" s="61" t="s">
        <v>4681</v>
      </c>
      <c r="H182" s="61" t="s">
        <v>4682</v>
      </c>
    </row>
    <row r="183">
      <c r="A183" s="61" t="s">
        <v>14</v>
      </c>
      <c r="B183" s="61" t="s">
        <v>2630</v>
      </c>
      <c r="C183" s="61" t="s">
        <v>72</v>
      </c>
      <c r="D183" s="61" t="s">
        <v>4222</v>
      </c>
      <c r="E183" s="61" t="s">
        <v>1020</v>
      </c>
      <c r="F183" s="61" t="s">
        <v>4132</v>
      </c>
      <c r="H183" s="61" t="s">
        <v>4683</v>
      </c>
    </row>
    <row r="184">
      <c r="A184" s="61" t="s">
        <v>22</v>
      </c>
      <c r="B184" s="61" t="s">
        <v>1240</v>
      </c>
      <c r="C184" s="61" t="s">
        <v>72</v>
      </c>
      <c r="D184" s="61" t="s">
        <v>4684</v>
      </c>
      <c r="E184" s="61" t="s">
        <v>1242</v>
      </c>
      <c r="F184" s="61" t="s">
        <v>4526</v>
      </c>
      <c r="H184" s="61" t="s">
        <v>4685</v>
      </c>
    </row>
    <row r="185">
      <c r="A185" s="61" t="s">
        <v>14</v>
      </c>
      <c r="B185" s="61" t="s">
        <v>2244</v>
      </c>
      <c r="C185" s="61" t="s">
        <v>72</v>
      </c>
      <c r="D185" s="61" t="s">
        <v>4626</v>
      </c>
      <c r="E185" s="61" t="s">
        <v>2246</v>
      </c>
      <c r="F185" s="61" t="s">
        <v>4128</v>
      </c>
      <c r="G185" s="61" t="s">
        <v>4686</v>
      </c>
      <c r="H185" s="61" t="s">
        <v>4687</v>
      </c>
    </row>
    <row r="186">
      <c r="A186" s="61" t="s">
        <v>39</v>
      </c>
      <c r="B186" s="61" t="s">
        <v>2159</v>
      </c>
      <c r="C186" s="61" t="s">
        <v>72</v>
      </c>
      <c r="D186" s="61" t="s">
        <v>4688</v>
      </c>
      <c r="E186" s="61" t="s">
        <v>2160</v>
      </c>
      <c r="F186" s="61" t="s">
        <v>4689</v>
      </c>
      <c r="G186" s="61" t="s">
        <v>4688</v>
      </c>
      <c r="H186" s="61" t="s">
        <v>4690</v>
      </c>
    </row>
    <row r="187">
      <c r="A187" s="61" t="s">
        <v>22</v>
      </c>
      <c r="B187" s="61" t="s">
        <v>1454</v>
      </c>
      <c r="C187" s="61" t="s">
        <v>72</v>
      </c>
      <c r="D187" s="61" t="s">
        <v>3994</v>
      </c>
      <c r="E187" s="61" t="s">
        <v>1120</v>
      </c>
      <c r="F187" s="61" t="s">
        <v>4587</v>
      </c>
      <c r="G187" s="61" t="s">
        <v>4691</v>
      </c>
      <c r="H187" s="61" t="s">
        <v>4692</v>
      </c>
    </row>
    <row r="188">
      <c r="A188" s="61" t="s">
        <v>22</v>
      </c>
      <c r="B188" s="61" t="s">
        <v>1822</v>
      </c>
      <c r="C188" s="61" t="s">
        <v>72</v>
      </c>
      <c r="D188" s="61" t="s">
        <v>4693</v>
      </c>
      <c r="E188" s="61" t="s">
        <v>1234</v>
      </c>
      <c r="F188" s="61" t="s">
        <v>4277</v>
      </c>
      <c r="G188" s="61" t="s">
        <v>4694</v>
      </c>
      <c r="H188" s="61" t="s">
        <v>4695</v>
      </c>
    </row>
    <row r="189">
      <c r="A189" s="61" t="s">
        <v>30</v>
      </c>
      <c r="B189" s="61" t="s">
        <v>2341</v>
      </c>
      <c r="C189" s="61" t="s">
        <v>72</v>
      </c>
      <c r="D189" s="61" t="s">
        <v>4696</v>
      </c>
      <c r="E189" s="61" t="s">
        <v>2342</v>
      </c>
      <c r="F189" s="61" t="s">
        <v>4290</v>
      </c>
      <c r="G189" s="61" t="s">
        <v>4697</v>
      </c>
      <c r="H189" s="61" t="s">
        <v>4698</v>
      </c>
    </row>
    <row r="190">
      <c r="A190" s="61" t="s">
        <v>14</v>
      </c>
      <c r="B190" s="61" t="s">
        <v>2209</v>
      </c>
      <c r="C190" s="61" t="s">
        <v>72</v>
      </c>
      <c r="D190" s="61" t="s">
        <v>4699</v>
      </c>
      <c r="E190" s="61" t="s">
        <v>1256</v>
      </c>
      <c r="F190" s="61" t="s">
        <v>4700</v>
      </c>
      <c r="G190" s="61" t="s">
        <v>4701</v>
      </c>
      <c r="H190" s="61" t="s">
        <v>4702</v>
      </c>
    </row>
    <row r="191">
      <c r="A191" s="61" t="s">
        <v>30</v>
      </c>
      <c r="B191" s="61" t="s">
        <v>2091</v>
      </c>
      <c r="C191" s="61" t="s">
        <v>72</v>
      </c>
      <c r="D191" s="61" t="s">
        <v>4703</v>
      </c>
      <c r="E191" s="61" t="s">
        <v>1673</v>
      </c>
      <c r="F191" s="61" t="s">
        <v>4704</v>
      </c>
      <c r="G191" s="61" t="s">
        <v>4705</v>
      </c>
      <c r="H191" s="61" t="s">
        <v>4706</v>
      </c>
    </row>
    <row r="192">
      <c r="A192" s="61" t="s">
        <v>14</v>
      </c>
      <c r="B192" s="61" t="s">
        <v>1739</v>
      </c>
      <c r="C192" s="61" t="s">
        <v>72</v>
      </c>
      <c r="D192" s="61" t="s">
        <v>4707</v>
      </c>
      <c r="E192" s="61" t="s">
        <v>1020</v>
      </c>
      <c r="F192" s="61" t="s">
        <v>4708</v>
      </c>
      <c r="G192" s="61" t="s">
        <v>4709</v>
      </c>
      <c r="H192" s="61" t="s">
        <v>4710</v>
      </c>
    </row>
    <row r="193">
      <c r="A193" s="61" t="s">
        <v>17</v>
      </c>
      <c r="B193" s="61" t="s">
        <v>1123</v>
      </c>
      <c r="C193" s="61" t="s">
        <v>72</v>
      </c>
      <c r="D193" s="61" t="s">
        <v>4711</v>
      </c>
      <c r="E193" s="61" t="s">
        <v>1124</v>
      </c>
      <c r="F193" s="61" t="s">
        <v>4712</v>
      </c>
      <c r="G193" s="61" t="s">
        <v>4713</v>
      </c>
      <c r="H193" s="61" t="s">
        <v>4714</v>
      </c>
    </row>
    <row r="194">
      <c r="A194" s="61" t="s">
        <v>14</v>
      </c>
      <c r="B194" s="61" t="s">
        <v>2087</v>
      </c>
      <c r="C194" s="61" t="s">
        <v>72</v>
      </c>
      <c r="D194" s="61" t="s">
        <v>4284</v>
      </c>
      <c r="E194" s="61" t="s">
        <v>2082</v>
      </c>
      <c r="F194" s="61" t="s">
        <v>4266</v>
      </c>
      <c r="G194" s="61" t="s">
        <v>4715</v>
      </c>
      <c r="H194" s="61" t="s">
        <v>4716</v>
      </c>
    </row>
    <row r="195">
      <c r="A195" s="61" t="s">
        <v>17</v>
      </c>
      <c r="B195" s="61" t="s">
        <v>2084</v>
      </c>
      <c r="C195" s="61" t="s">
        <v>72</v>
      </c>
      <c r="D195" s="61" t="s">
        <v>4626</v>
      </c>
      <c r="E195" s="61" t="s">
        <v>2085</v>
      </c>
      <c r="F195" s="61" t="s">
        <v>4717</v>
      </c>
      <c r="G195" s="61" t="s">
        <v>4718</v>
      </c>
      <c r="H195" s="61" t="s">
        <v>4719</v>
      </c>
    </row>
    <row r="196">
      <c r="A196" s="61" t="s">
        <v>14</v>
      </c>
      <c r="B196" s="61" t="s">
        <v>2166</v>
      </c>
      <c r="C196" s="61" t="s">
        <v>72</v>
      </c>
      <c r="D196" s="61" t="s">
        <v>4367</v>
      </c>
      <c r="E196" s="61" t="s">
        <v>2168</v>
      </c>
      <c r="F196" s="61" t="s">
        <v>4299</v>
      </c>
      <c r="G196" s="61" t="s">
        <v>4367</v>
      </c>
      <c r="H196" s="61" t="s">
        <v>4720</v>
      </c>
    </row>
    <row r="197">
      <c r="A197" s="61" t="s">
        <v>14</v>
      </c>
      <c r="B197" s="61" t="s">
        <v>1579</v>
      </c>
      <c r="C197" s="61" t="s">
        <v>1043</v>
      </c>
      <c r="D197" s="61" t="s">
        <v>4143</v>
      </c>
      <c r="E197" s="61" t="s">
        <v>4721</v>
      </c>
      <c r="F197" s="61" t="s">
        <v>4299</v>
      </c>
      <c r="G197" s="61" t="s">
        <v>4722</v>
      </c>
      <c r="H197" s="61" t="s">
        <v>4723</v>
      </c>
    </row>
    <row r="198">
      <c r="A198" s="61" t="s">
        <v>22</v>
      </c>
      <c r="B198" s="61" t="s">
        <v>1840</v>
      </c>
      <c r="C198" s="61" t="s">
        <v>72</v>
      </c>
      <c r="D198" s="61" t="s">
        <v>4724</v>
      </c>
      <c r="E198" s="61" t="s">
        <v>1334</v>
      </c>
      <c r="F198" s="61" t="s">
        <v>4725</v>
      </c>
      <c r="G198" s="61" t="s">
        <v>4726</v>
      </c>
      <c r="H198" s="61" t="s">
        <v>4727</v>
      </c>
    </row>
    <row r="199">
      <c r="A199" s="61" t="s">
        <v>22</v>
      </c>
      <c r="B199" s="61" t="s">
        <v>2332</v>
      </c>
      <c r="C199" s="61" t="s">
        <v>72</v>
      </c>
      <c r="D199" s="61" t="s">
        <v>4728</v>
      </c>
      <c r="E199" s="61" t="s">
        <v>2333</v>
      </c>
      <c r="F199" s="61" t="s">
        <v>4162</v>
      </c>
      <c r="G199" s="61" t="s">
        <v>4729</v>
      </c>
      <c r="H199" s="61" t="s">
        <v>4730</v>
      </c>
    </row>
    <row r="200">
      <c r="A200" s="61" t="s">
        <v>16</v>
      </c>
      <c r="B200" s="61" t="s">
        <v>2186</v>
      </c>
      <c r="C200" s="61" t="s">
        <v>72</v>
      </c>
      <c r="D200" s="61" t="s">
        <v>4248</v>
      </c>
      <c r="E200" s="61" t="s">
        <v>2187</v>
      </c>
      <c r="F200" s="61" t="s">
        <v>4731</v>
      </c>
      <c r="G200" s="61" t="s">
        <v>4732</v>
      </c>
      <c r="H200" s="61" t="s">
        <v>4733</v>
      </c>
    </row>
    <row r="201">
      <c r="A201" s="61" t="s">
        <v>14</v>
      </c>
      <c r="B201" s="61" t="s">
        <v>2326</v>
      </c>
      <c r="C201" s="61" t="s">
        <v>72</v>
      </c>
      <c r="D201" s="61" t="s">
        <v>4409</v>
      </c>
      <c r="E201" s="61" t="s">
        <v>2327</v>
      </c>
      <c r="F201" s="61" t="s">
        <v>4734</v>
      </c>
      <c r="G201" s="61" t="s">
        <v>4735</v>
      </c>
      <c r="H201" s="61" t="s">
        <v>4736</v>
      </c>
    </row>
    <row r="202">
      <c r="A202" s="61" t="s">
        <v>16</v>
      </c>
      <c r="B202" s="61" t="s">
        <v>1015</v>
      </c>
      <c r="C202" s="61" t="s">
        <v>72</v>
      </c>
      <c r="D202" s="61" t="s">
        <v>4034</v>
      </c>
      <c r="E202" s="61" t="s">
        <v>1016</v>
      </c>
      <c r="F202" s="61" t="s">
        <v>4128</v>
      </c>
      <c r="H202" s="61" t="s">
        <v>4737</v>
      </c>
    </row>
    <row r="203">
      <c r="A203" s="61" t="s">
        <v>14</v>
      </c>
      <c r="B203" s="61" t="s">
        <v>1885</v>
      </c>
      <c r="C203" s="61" t="s">
        <v>72</v>
      </c>
      <c r="D203" s="61" t="s">
        <v>4738</v>
      </c>
      <c r="E203" s="61" t="s">
        <v>1904</v>
      </c>
      <c r="F203" s="61" t="s">
        <v>4132</v>
      </c>
      <c r="G203" s="61" t="s">
        <v>4739</v>
      </c>
      <c r="H203" s="61" t="s">
        <v>4740</v>
      </c>
    </row>
    <row r="204">
      <c r="A204" s="61" t="s">
        <v>22</v>
      </c>
      <c r="B204" s="61" t="s">
        <v>2253</v>
      </c>
      <c r="C204" s="61" t="s">
        <v>72</v>
      </c>
      <c r="D204" s="61" t="s">
        <v>4741</v>
      </c>
      <c r="E204" s="61" t="s">
        <v>1160</v>
      </c>
      <c r="F204" s="61" t="s">
        <v>4220</v>
      </c>
      <c r="G204" s="61" t="s">
        <v>4742</v>
      </c>
      <c r="H204" s="61" t="s">
        <v>4743</v>
      </c>
    </row>
    <row r="205">
      <c r="A205" s="61" t="s">
        <v>22</v>
      </c>
      <c r="B205" s="61" t="s">
        <v>2536</v>
      </c>
      <c r="C205" s="61" t="s">
        <v>72</v>
      </c>
      <c r="D205" s="61" t="s">
        <v>4744</v>
      </c>
      <c r="E205" s="61" t="s">
        <v>1120</v>
      </c>
      <c r="F205" s="61" t="s">
        <v>4745</v>
      </c>
      <c r="G205" s="61" t="s">
        <v>4746</v>
      </c>
      <c r="H205" s="61" t="s">
        <v>4747</v>
      </c>
    </row>
    <row r="206">
      <c r="A206" s="61" t="s">
        <v>17</v>
      </c>
      <c r="B206" s="61" t="s">
        <v>1896</v>
      </c>
      <c r="C206" s="61" t="s">
        <v>72</v>
      </c>
      <c r="D206" s="61" t="s">
        <v>4748</v>
      </c>
      <c r="E206" s="61" t="s">
        <v>1897</v>
      </c>
      <c r="F206" s="61" t="s">
        <v>4128</v>
      </c>
      <c r="G206" s="61" t="s">
        <v>4749</v>
      </c>
      <c r="H206" s="61" t="s">
        <v>4750</v>
      </c>
    </row>
    <row r="207">
      <c r="A207" s="61" t="s">
        <v>22</v>
      </c>
      <c r="B207" s="61" t="s">
        <v>2156</v>
      </c>
      <c r="C207" s="61" t="s">
        <v>72</v>
      </c>
      <c r="D207" s="61" t="s">
        <v>4751</v>
      </c>
      <c r="E207" s="61" t="s">
        <v>2157</v>
      </c>
      <c r="F207" s="61" t="s">
        <v>4752</v>
      </c>
      <c r="G207" s="61" t="s">
        <v>4753</v>
      </c>
      <c r="H207" s="61" t="s">
        <v>4754</v>
      </c>
    </row>
    <row r="208">
      <c r="A208" s="61" t="s">
        <v>14</v>
      </c>
      <c r="B208" s="61" t="s">
        <v>2268</v>
      </c>
      <c r="C208" s="61" t="s">
        <v>72</v>
      </c>
      <c r="D208" s="61" t="s">
        <v>3994</v>
      </c>
      <c r="E208" s="61" t="s">
        <v>1020</v>
      </c>
      <c r="F208" s="61" t="s">
        <v>4755</v>
      </c>
      <c r="G208" s="61" t="s">
        <v>4756</v>
      </c>
      <c r="H208" s="61" t="s">
        <v>4757</v>
      </c>
    </row>
    <row r="209">
      <c r="A209" s="61" t="s">
        <v>10</v>
      </c>
      <c r="B209" s="61" t="s">
        <v>2145</v>
      </c>
      <c r="C209" s="61" t="s">
        <v>54</v>
      </c>
      <c r="D209" s="61" t="s">
        <v>4758</v>
      </c>
      <c r="E209" s="61" t="s">
        <v>1870</v>
      </c>
      <c r="F209" s="61" t="s">
        <v>4759</v>
      </c>
      <c r="H209" s="61" t="s">
        <v>4760</v>
      </c>
    </row>
    <row r="210">
      <c r="A210" s="61" t="s">
        <v>14</v>
      </c>
      <c r="B210" s="61" t="s">
        <v>1155</v>
      </c>
      <c r="C210" s="61" t="s">
        <v>1043</v>
      </c>
      <c r="D210" s="61" t="s">
        <v>4761</v>
      </c>
      <c r="E210" s="61" t="s">
        <v>1156</v>
      </c>
      <c r="F210" s="61" t="s">
        <v>4762</v>
      </c>
      <c r="G210" s="61" t="s">
        <v>4763</v>
      </c>
      <c r="H210" s="61" t="s">
        <v>4764</v>
      </c>
    </row>
    <row r="211">
      <c r="A211" s="61" t="s">
        <v>39</v>
      </c>
      <c r="B211" s="61" t="s">
        <v>1238</v>
      </c>
      <c r="C211" s="61" t="s">
        <v>72</v>
      </c>
      <c r="D211" s="61" t="s">
        <v>4765</v>
      </c>
      <c r="E211" s="61" t="s">
        <v>2523</v>
      </c>
      <c r="F211" s="61" t="s">
        <v>4766</v>
      </c>
      <c r="G211" s="61" t="s">
        <v>4767</v>
      </c>
      <c r="H211" s="61" t="s">
        <v>4768</v>
      </c>
    </row>
    <row r="212">
      <c r="A212" s="61" t="s">
        <v>22</v>
      </c>
      <c r="B212" s="61" t="s">
        <v>2346</v>
      </c>
      <c r="C212" s="61" t="s">
        <v>72</v>
      </c>
      <c r="D212" s="61" t="s">
        <v>4609</v>
      </c>
      <c r="E212" s="61" t="s">
        <v>1120</v>
      </c>
      <c r="F212" s="61" t="s">
        <v>4424</v>
      </c>
      <c r="G212" s="61" t="s">
        <v>4769</v>
      </c>
      <c r="H212" s="61" t="s">
        <v>4770</v>
      </c>
    </row>
    <row r="213">
      <c r="A213" s="61" t="s">
        <v>22</v>
      </c>
      <c r="B213" s="61" t="s">
        <v>2228</v>
      </c>
      <c r="C213" s="61" t="s">
        <v>72</v>
      </c>
      <c r="D213" s="61" t="s">
        <v>4771</v>
      </c>
      <c r="E213" s="61" t="s">
        <v>2229</v>
      </c>
      <c r="F213" s="61" t="s">
        <v>4772</v>
      </c>
      <c r="G213" s="61" t="s">
        <v>4773</v>
      </c>
      <c r="H213" s="61" t="s">
        <v>4774</v>
      </c>
    </row>
    <row r="214">
      <c r="A214" s="61" t="s">
        <v>14</v>
      </c>
      <c r="B214" s="61" t="s">
        <v>2292</v>
      </c>
      <c r="C214" s="61" t="s">
        <v>72</v>
      </c>
      <c r="D214" s="61" t="s">
        <v>4185</v>
      </c>
      <c r="E214" s="61" t="s">
        <v>2293</v>
      </c>
      <c r="F214" s="61" t="s">
        <v>4497</v>
      </c>
      <c r="G214" s="61" t="s">
        <v>4775</v>
      </c>
      <c r="H214" s="61" t="s">
        <v>4776</v>
      </c>
    </row>
    <row r="215">
      <c r="A215" s="61" t="s">
        <v>22</v>
      </c>
      <c r="B215" s="61" t="s">
        <v>2181</v>
      </c>
      <c r="C215" s="61" t="s">
        <v>72</v>
      </c>
      <c r="D215" s="61" t="s">
        <v>4777</v>
      </c>
      <c r="E215" s="61" t="s">
        <v>2182</v>
      </c>
      <c r="F215" s="61" t="s">
        <v>4290</v>
      </c>
      <c r="G215" s="61" t="s">
        <v>4778</v>
      </c>
      <c r="H215" s="61" t="s">
        <v>4779</v>
      </c>
    </row>
    <row r="216">
      <c r="A216" s="61" t="s">
        <v>14</v>
      </c>
      <c r="B216" s="61" t="s">
        <v>1656</v>
      </c>
      <c r="C216" s="61" t="s">
        <v>1043</v>
      </c>
      <c r="D216" s="61" t="s">
        <v>4780</v>
      </c>
      <c r="E216" s="61" t="s">
        <v>1657</v>
      </c>
      <c r="F216" s="61" t="s">
        <v>4128</v>
      </c>
      <c r="G216" s="61" t="s">
        <v>4781</v>
      </c>
      <c r="H216" s="61" t="s">
        <v>4782</v>
      </c>
    </row>
    <row r="217">
      <c r="A217" s="61" t="s">
        <v>14</v>
      </c>
      <c r="B217" s="61" t="s">
        <v>1105</v>
      </c>
      <c r="C217" s="61" t="s">
        <v>72</v>
      </c>
      <c r="D217" s="61" t="s">
        <v>4783</v>
      </c>
      <c r="E217" s="61" t="s">
        <v>1107</v>
      </c>
      <c r="F217" s="61" t="s">
        <v>4299</v>
      </c>
      <c r="G217" s="61" t="s">
        <v>4784</v>
      </c>
      <c r="H217" s="61" t="s">
        <v>4785</v>
      </c>
    </row>
    <row r="218">
      <c r="A218" s="61" t="s">
        <v>22</v>
      </c>
      <c r="B218" s="61" t="s">
        <v>2262</v>
      </c>
      <c r="C218" s="61" t="s">
        <v>72</v>
      </c>
      <c r="D218" s="61" t="s">
        <v>4185</v>
      </c>
      <c r="E218" s="61" t="s">
        <v>2263</v>
      </c>
      <c r="F218" s="61" t="s">
        <v>4786</v>
      </c>
      <c r="G218" s="61" t="s">
        <v>4787</v>
      </c>
      <c r="H218" s="61" t="s">
        <v>4788</v>
      </c>
    </row>
    <row r="219">
      <c r="A219" s="61" t="s">
        <v>14</v>
      </c>
      <c r="B219" s="61" t="s">
        <v>2554</v>
      </c>
      <c r="C219" s="61" t="s">
        <v>2417</v>
      </c>
      <c r="D219" s="61" t="s">
        <v>4789</v>
      </c>
      <c r="E219" s="61" t="s">
        <v>1047</v>
      </c>
      <c r="F219" s="61" t="s">
        <v>4790</v>
      </c>
      <c r="G219" s="61" t="s">
        <v>4791</v>
      </c>
      <c r="H219" s="61" t="s">
        <v>4792</v>
      </c>
    </row>
    <row r="220">
      <c r="A220" s="61" t="s">
        <v>14</v>
      </c>
      <c r="B220" s="61" t="s">
        <v>1058</v>
      </c>
      <c r="C220" s="61" t="s">
        <v>72</v>
      </c>
      <c r="D220" s="61" t="s">
        <v>4793</v>
      </c>
      <c r="E220" s="61" t="s">
        <v>1060</v>
      </c>
      <c r="F220" s="61" t="s">
        <v>4132</v>
      </c>
      <c r="G220" s="61" t="s">
        <v>4794</v>
      </c>
      <c r="H220" s="61" t="s">
        <v>4795</v>
      </c>
    </row>
    <row r="221">
      <c r="A221" s="61" t="s">
        <v>25</v>
      </c>
      <c r="B221" s="61" t="s">
        <v>2358</v>
      </c>
      <c r="C221" s="61" t="s">
        <v>72</v>
      </c>
      <c r="D221" s="61" t="s">
        <v>4155</v>
      </c>
      <c r="E221" s="61" t="s">
        <v>2359</v>
      </c>
      <c r="F221" s="61" t="s">
        <v>4287</v>
      </c>
      <c r="H221" s="61" t="s">
        <v>4796</v>
      </c>
    </row>
    <row r="222">
      <c r="A222" s="61" t="s">
        <v>22</v>
      </c>
      <c r="B222" s="61" t="s">
        <v>1953</v>
      </c>
      <c r="C222" s="61" t="s">
        <v>72</v>
      </c>
      <c r="D222" s="61" t="s">
        <v>4797</v>
      </c>
      <c r="E222" s="61" t="s">
        <v>1954</v>
      </c>
      <c r="F222" s="61" t="s">
        <v>4798</v>
      </c>
      <c r="G222" s="61" t="s">
        <v>4799</v>
      </c>
      <c r="H222" s="61" t="s">
        <v>4800</v>
      </c>
    </row>
    <row r="223">
      <c r="A223" s="61" t="s">
        <v>28</v>
      </c>
      <c r="B223" s="61" t="s">
        <v>1073</v>
      </c>
      <c r="D223" s="61" t="s">
        <v>4801</v>
      </c>
      <c r="F223" s="61" t="s">
        <v>4802</v>
      </c>
      <c r="H223" s="61" t="s">
        <v>4803</v>
      </c>
    </row>
    <row r="224">
      <c r="A224" s="61" t="s">
        <v>14</v>
      </c>
      <c r="B224" s="61" t="s">
        <v>1484</v>
      </c>
      <c r="C224" s="61" t="s">
        <v>72</v>
      </c>
      <c r="D224" s="61" t="s">
        <v>4134</v>
      </c>
      <c r="E224" s="61" t="s">
        <v>1020</v>
      </c>
      <c r="F224" s="61" t="s">
        <v>4804</v>
      </c>
      <c r="H224" s="61" t="s">
        <v>4805</v>
      </c>
    </row>
    <row r="225">
      <c r="A225" s="61" t="s">
        <v>33</v>
      </c>
      <c r="B225" s="61" t="s">
        <v>1173</v>
      </c>
      <c r="C225" s="61" t="s">
        <v>72</v>
      </c>
      <c r="D225" s="61" t="s">
        <v>4806</v>
      </c>
      <c r="E225" s="61" t="s">
        <v>1174</v>
      </c>
      <c r="F225" s="61" t="s">
        <v>4511</v>
      </c>
      <c r="H225" s="61" t="s">
        <v>4807</v>
      </c>
    </row>
    <row r="226">
      <c r="A226" s="61" t="s">
        <v>33</v>
      </c>
      <c r="B226" s="61" t="s">
        <v>1815</v>
      </c>
      <c r="C226" s="61" t="s">
        <v>72</v>
      </c>
      <c r="D226" s="61" t="s">
        <v>4808</v>
      </c>
      <c r="E226" s="61" t="s">
        <v>1817</v>
      </c>
      <c r="F226" s="61" t="s">
        <v>4290</v>
      </c>
      <c r="H226" s="61" t="s">
        <v>4809</v>
      </c>
    </row>
    <row r="227">
      <c r="A227" s="61" t="s">
        <v>21</v>
      </c>
      <c r="B227" s="61" t="s">
        <v>1819</v>
      </c>
      <c r="C227" s="61" t="s">
        <v>72</v>
      </c>
      <c r="D227" s="61" t="s">
        <v>4808</v>
      </c>
      <c r="E227" s="61" t="s">
        <v>1730</v>
      </c>
      <c r="F227" s="61" t="s">
        <v>4810</v>
      </c>
      <c r="H227" s="61" t="s">
        <v>4811</v>
      </c>
    </row>
    <row r="228">
      <c r="A228" s="61" t="s">
        <v>14</v>
      </c>
      <c r="B228" s="61" t="s">
        <v>1033</v>
      </c>
      <c r="C228" s="61" t="s">
        <v>72</v>
      </c>
      <c r="D228" s="61" t="s">
        <v>4812</v>
      </c>
      <c r="E228" s="61" t="s">
        <v>1877</v>
      </c>
      <c r="F228" s="61" t="s">
        <v>4299</v>
      </c>
      <c r="G228" s="61" t="s">
        <v>4813</v>
      </c>
      <c r="H228" s="61" t="s">
        <v>4814</v>
      </c>
    </row>
    <row r="229">
      <c r="A229" s="61" t="s">
        <v>14</v>
      </c>
      <c r="B229" s="61" t="s">
        <v>2431</v>
      </c>
      <c r="C229" s="61" t="s">
        <v>72</v>
      </c>
      <c r="D229" s="61" t="s">
        <v>4815</v>
      </c>
      <c r="E229" s="61" t="s">
        <v>1107</v>
      </c>
      <c r="F229" s="61" t="s">
        <v>4816</v>
      </c>
      <c r="G229" s="61" t="s">
        <v>4817</v>
      </c>
      <c r="H229" s="61" t="s">
        <v>4818</v>
      </c>
    </row>
    <row r="230">
      <c r="A230" s="61" t="s">
        <v>47</v>
      </c>
      <c r="B230" s="61" t="s">
        <v>2028</v>
      </c>
      <c r="C230" s="61" t="s">
        <v>72</v>
      </c>
      <c r="D230" s="61" t="s">
        <v>4819</v>
      </c>
      <c r="E230" s="61" t="s">
        <v>2029</v>
      </c>
      <c r="F230" s="61" t="s">
        <v>4820</v>
      </c>
      <c r="G230" s="61" t="s">
        <v>4821</v>
      </c>
      <c r="H230" s="61" t="s">
        <v>4822</v>
      </c>
    </row>
    <row r="231">
      <c r="A231" s="61" t="s">
        <v>14</v>
      </c>
      <c r="B231" s="61" t="s">
        <v>1751</v>
      </c>
      <c r="C231" s="61" t="s">
        <v>72</v>
      </c>
      <c r="D231" s="61" t="s">
        <v>4823</v>
      </c>
      <c r="E231" s="61" t="s">
        <v>1020</v>
      </c>
      <c r="F231" s="61" t="s">
        <v>4132</v>
      </c>
      <c r="G231" s="61" t="s">
        <v>4824</v>
      </c>
      <c r="H231" s="61" t="s">
        <v>4825</v>
      </c>
    </row>
    <row r="232">
      <c r="A232" s="61" t="s">
        <v>14</v>
      </c>
      <c r="B232" s="61" t="s">
        <v>2265</v>
      </c>
      <c r="C232" s="61" t="s">
        <v>72</v>
      </c>
      <c r="D232" s="61" t="s">
        <v>4466</v>
      </c>
      <c r="E232" s="61" t="s">
        <v>2266</v>
      </c>
      <c r="F232" s="61" t="s">
        <v>4826</v>
      </c>
      <c r="G232" s="61" t="s">
        <v>4827</v>
      </c>
      <c r="H232" s="61" t="s">
        <v>4828</v>
      </c>
    </row>
    <row r="233">
      <c r="A233" s="61" t="s">
        <v>28</v>
      </c>
      <c r="B233" s="61" t="s">
        <v>1082</v>
      </c>
      <c r="C233" s="61" t="s">
        <v>72</v>
      </c>
      <c r="D233" s="61" t="s">
        <v>4147</v>
      </c>
      <c r="E233" s="61" t="s">
        <v>1673</v>
      </c>
      <c r="F233" s="61" t="s">
        <v>4829</v>
      </c>
      <c r="G233" s="61" t="s">
        <v>4830</v>
      </c>
      <c r="H233" s="61" t="s">
        <v>4831</v>
      </c>
    </row>
    <row r="234">
      <c r="A234" s="61" t="s">
        <v>22</v>
      </c>
      <c r="B234" s="61" t="s">
        <v>2499</v>
      </c>
      <c r="C234" s="61" t="s">
        <v>72</v>
      </c>
      <c r="D234" s="61" t="s">
        <v>4832</v>
      </c>
      <c r="E234" s="61" t="s">
        <v>1120</v>
      </c>
      <c r="F234" s="61" t="s">
        <v>4162</v>
      </c>
      <c r="G234" s="61" t="s">
        <v>4833</v>
      </c>
      <c r="H234" s="61" t="s">
        <v>4834</v>
      </c>
    </row>
    <row r="235">
      <c r="A235" s="61" t="s">
        <v>14</v>
      </c>
      <c r="B235" s="61" t="s">
        <v>2127</v>
      </c>
      <c r="C235" s="61" t="s">
        <v>72</v>
      </c>
      <c r="D235" s="61" t="s">
        <v>4380</v>
      </c>
      <c r="E235" s="61" t="s">
        <v>2128</v>
      </c>
      <c r="F235" s="61" t="s">
        <v>4835</v>
      </c>
      <c r="H235" s="61" t="s">
        <v>4836</v>
      </c>
    </row>
    <row r="236">
      <c r="A236" s="61" t="s">
        <v>14</v>
      </c>
      <c r="B236" s="61" t="s">
        <v>2276</v>
      </c>
      <c r="C236" s="61" t="s">
        <v>72</v>
      </c>
      <c r="D236" s="61" t="s">
        <v>4837</v>
      </c>
      <c r="E236" s="61" t="s">
        <v>2240</v>
      </c>
      <c r="F236" s="61" t="s">
        <v>4838</v>
      </c>
      <c r="H236" s="61" t="s">
        <v>4839</v>
      </c>
    </row>
    <row r="237">
      <c r="A237" s="61" t="s">
        <v>14</v>
      </c>
      <c r="B237" s="61" t="s">
        <v>1883</v>
      </c>
      <c r="C237" s="61" t="s">
        <v>72</v>
      </c>
      <c r="D237" s="61" t="s">
        <v>4840</v>
      </c>
      <c r="E237" s="61" t="s">
        <v>1884</v>
      </c>
      <c r="F237" s="61" t="s">
        <v>4841</v>
      </c>
      <c r="G237" s="61" t="s">
        <v>4842</v>
      </c>
      <c r="H237" s="61" t="s">
        <v>4843</v>
      </c>
    </row>
    <row r="238">
      <c r="A238" s="61" t="s">
        <v>14</v>
      </c>
      <c r="B238" s="61" t="s">
        <v>1200</v>
      </c>
      <c r="C238" s="61" t="s">
        <v>72</v>
      </c>
      <c r="D238" s="61" t="s">
        <v>3986</v>
      </c>
      <c r="E238" s="61" t="s">
        <v>1256</v>
      </c>
      <c r="F238" s="61" t="s">
        <v>4162</v>
      </c>
      <c r="G238" s="61" t="s">
        <v>4844</v>
      </c>
      <c r="H238" s="61" t="s">
        <v>4845</v>
      </c>
    </row>
    <row r="239">
      <c r="A239" s="61" t="s">
        <v>14</v>
      </c>
      <c r="B239" s="61" t="s">
        <v>1108</v>
      </c>
      <c r="C239" s="61" t="s">
        <v>72</v>
      </c>
      <c r="D239" s="61" t="s">
        <v>4002</v>
      </c>
      <c r="E239" s="61" t="s">
        <v>1107</v>
      </c>
      <c r="F239" s="61" t="s">
        <v>4846</v>
      </c>
      <c r="H239" s="61" t="s">
        <v>4847</v>
      </c>
    </row>
    <row r="240">
      <c r="A240" s="61" t="s">
        <v>14</v>
      </c>
      <c r="B240" s="61" t="s">
        <v>1602</v>
      </c>
      <c r="C240" s="61" t="s">
        <v>72</v>
      </c>
      <c r="D240" s="61" t="s">
        <v>4848</v>
      </c>
      <c r="E240" s="61" t="s">
        <v>1603</v>
      </c>
      <c r="F240" s="61" t="s">
        <v>4849</v>
      </c>
      <c r="G240" s="61" t="s">
        <v>4850</v>
      </c>
      <c r="H240" s="61" t="s">
        <v>4851</v>
      </c>
    </row>
    <row r="241">
      <c r="A241" s="61" t="s">
        <v>14</v>
      </c>
      <c r="B241" s="61" t="s">
        <v>1604</v>
      </c>
      <c r="C241" s="61" t="s">
        <v>72</v>
      </c>
      <c r="D241" s="61" t="s">
        <v>4301</v>
      </c>
      <c r="E241" s="61" t="s">
        <v>2007</v>
      </c>
      <c r="F241" s="61" t="s">
        <v>4290</v>
      </c>
      <c r="H241" s="61" t="s">
        <v>4852</v>
      </c>
    </row>
    <row r="242">
      <c r="A242" s="61" t="s">
        <v>14</v>
      </c>
      <c r="B242" s="61" t="s">
        <v>2051</v>
      </c>
      <c r="C242" s="61" t="s">
        <v>72</v>
      </c>
      <c r="D242" s="61" t="s">
        <v>4005</v>
      </c>
      <c r="E242" s="61" t="s">
        <v>1256</v>
      </c>
      <c r="F242" s="61" t="s">
        <v>4820</v>
      </c>
      <c r="G242" s="61" t="s">
        <v>4853</v>
      </c>
      <c r="H242" s="61" t="s">
        <v>4854</v>
      </c>
    </row>
    <row r="243">
      <c r="A243" s="61" t="s">
        <v>14</v>
      </c>
      <c r="B243" s="61" t="s">
        <v>1028</v>
      </c>
      <c r="C243" s="61" t="s">
        <v>72</v>
      </c>
      <c r="D243" s="61" t="s">
        <v>4855</v>
      </c>
      <c r="E243" s="61" t="s">
        <v>1020</v>
      </c>
      <c r="F243" s="61" t="s">
        <v>4856</v>
      </c>
      <c r="G243" s="61" t="s">
        <v>4857</v>
      </c>
      <c r="H243" s="61" t="s">
        <v>4858</v>
      </c>
    </row>
    <row r="244">
      <c r="A244" s="61" t="s">
        <v>14</v>
      </c>
      <c r="B244" s="61" t="s">
        <v>2129</v>
      </c>
      <c r="C244" s="61" t="s">
        <v>72</v>
      </c>
      <c r="D244" s="61" t="s">
        <v>4859</v>
      </c>
      <c r="E244" s="61" t="s">
        <v>2151</v>
      </c>
      <c r="F244" s="61" t="s">
        <v>4860</v>
      </c>
      <c r="G244" s="61" t="s">
        <v>4861</v>
      </c>
      <c r="H244" s="61" t="s">
        <v>4862</v>
      </c>
    </row>
    <row r="245">
      <c r="A245" s="61" t="s">
        <v>22</v>
      </c>
      <c r="B245" s="61" t="s">
        <v>1226</v>
      </c>
      <c r="C245" s="61" t="s">
        <v>72</v>
      </c>
      <c r="D245" s="61" t="s">
        <v>4848</v>
      </c>
      <c r="E245" s="61" t="s">
        <v>2002</v>
      </c>
      <c r="F245" s="61" t="s">
        <v>4863</v>
      </c>
      <c r="G245" s="61" t="s">
        <v>4864</v>
      </c>
      <c r="H245" s="61" t="s">
        <v>4865</v>
      </c>
    </row>
    <row r="246">
      <c r="A246" s="61" t="s">
        <v>14</v>
      </c>
      <c r="B246" s="61" t="s">
        <v>2114</v>
      </c>
      <c r="C246" s="61" t="s">
        <v>72</v>
      </c>
      <c r="D246" s="61" t="s">
        <v>4771</v>
      </c>
      <c r="E246" s="61" t="s">
        <v>1877</v>
      </c>
      <c r="F246" s="61" t="s">
        <v>4866</v>
      </c>
      <c r="H246" s="61" t="s">
        <v>4867</v>
      </c>
    </row>
    <row r="247">
      <c r="A247" s="61" t="s">
        <v>14</v>
      </c>
      <c r="B247" s="61" t="s">
        <v>2105</v>
      </c>
      <c r="C247" s="61" t="s">
        <v>72</v>
      </c>
      <c r="D247" s="61" t="s">
        <v>4609</v>
      </c>
      <c r="E247" s="61" t="s">
        <v>2106</v>
      </c>
      <c r="F247" s="61" t="s">
        <v>4868</v>
      </c>
      <c r="H247" s="61" t="s">
        <v>4869</v>
      </c>
    </row>
    <row r="248">
      <c r="A248" s="61" t="s">
        <v>14</v>
      </c>
      <c r="B248" s="61" t="s">
        <v>1094</v>
      </c>
      <c r="C248" s="61" t="s">
        <v>72</v>
      </c>
      <c r="D248" s="61" t="s">
        <v>4870</v>
      </c>
      <c r="E248" s="61" t="s">
        <v>2450</v>
      </c>
      <c r="F248" s="61" t="s">
        <v>4290</v>
      </c>
      <c r="G248" s="61" t="s">
        <v>4871</v>
      </c>
      <c r="H248" s="61" t="s">
        <v>4872</v>
      </c>
    </row>
    <row r="249">
      <c r="A249" s="61" t="s">
        <v>14</v>
      </c>
      <c r="B249" s="61" t="s">
        <v>1026</v>
      </c>
      <c r="C249" s="61" t="s">
        <v>72</v>
      </c>
      <c r="D249" s="61" t="s">
        <v>3943</v>
      </c>
      <c r="E249" s="61" t="s">
        <v>2078</v>
      </c>
      <c r="F249" s="61" t="s">
        <v>4299</v>
      </c>
      <c r="G249" s="61" t="s">
        <v>4873</v>
      </c>
      <c r="H249" s="61" t="s">
        <v>4874</v>
      </c>
    </row>
    <row r="250">
      <c r="A250" s="61" t="s">
        <v>14</v>
      </c>
      <c r="B250" s="61" t="s">
        <v>1695</v>
      </c>
      <c r="C250" s="61" t="s">
        <v>72</v>
      </c>
      <c r="D250" s="61" t="s">
        <v>4875</v>
      </c>
      <c r="E250" s="61" t="s">
        <v>1425</v>
      </c>
      <c r="F250" s="61" t="s">
        <v>4128</v>
      </c>
      <c r="G250" s="61" t="s">
        <v>4876</v>
      </c>
      <c r="H250" s="61" t="s">
        <v>4877</v>
      </c>
    </row>
    <row r="251">
      <c r="A251" s="61" t="s">
        <v>14</v>
      </c>
      <c r="B251" s="61" t="s">
        <v>2482</v>
      </c>
      <c r="C251" s="61" t="s">
        <v>72</v>
      </c>
      <c r="D251" s="61" t="s">
        <v>4878</v>
      </c>
      <c r="E251" s="61" t="s">
        <v>2483</v>
      </c>
      <c r="F251" s="61" t="s">
        <v>4538</v>
      </c>
      <c r="G251" s="61" t="s">
        <v>4879</v>
      </c>
      <c r="H251" s="61" t="s">
        <v>4880</v>
      </c>
    </row>
    <row r="252">
      <c r="A252" s="61" t="s">
        <v>14</v>
      </c>
      <c r="B252" s="61" t="s">
        <v>2339</v>
      </c>
      <c r="C252" s="61" t="s">
        <v>72</v>
      </c>
      <c r="D252" s="61" t="s">
        <v>4881</v>
      </c>
      <c r="E252" s="61" t="s">
        <v>2327</v>
      </c>
      <c r="F252" s="61" t="s">
        <v>4882</v>
      </c>
      <c r="G252" s="61" t="s">
        <v>4883</v>
      </c>
      <c r="H252" s="61" t="s">
        <v>4884</v>
      </c>
    </row>
    <row r="253">
      <c r="A253" s="61" t="s">
        <v>14</v>
      </c>
      <c r="B253" s="61" t="s">
        <v>1402</v>
      </c>
      <c r="C253" s="61" t="s">
        <v>72</v>
      </c>
      <c r="D253" s="61" t="s">
        <v>4885</v>
      </c>
      <c r="E253" s="61" t="s">
        <v>1047</v>
      </c>
      <c r="F253" s="61" t="s">
        <v>4886</v>
      </c>
      <c r="G253" s="61" t="s">
        <v>4887</v>
      </c>
      <c r="H253" s="61" t="s">
        <v>4888</v>
      </c>
    </row>
    <row r="254">
      <c r="A254" s="61" t="s">
        <v>14</v>
      </c>
      <c r="B254" s="61" t="s">
        <v>2477</v>
      </c>
      <c r="C254" s="61" t="s">
        <v>72</v>
      </c>
      <c r="D254" s="61" t="s">
        <v>4801</v>
      </c>
      <c r="E254" s="61" t="s">
        <v>1425</v>
      </c>
      <c r="F254" s="61" t="s">
        <v>4889</v>
      </c>
      <c r="G254" s="61" t="s">
        <v>4890</v>
      </c>
      <c r="H254" s="61" t="s">
        <v>4891</v>
      </c>
    </row>
    <row r="255">
      <c r="A255" s="61" t="s">
        <v>14</v>
      </c>
      <c r="B255" s="61" t="s">
        <v>1476</v>
      </c>
      <c r="C255" s="61" t="s">
        <v>72</v>
      </c>
      <c r="D255" s="61" t="s">
        <v>3538</v>
      </c>
      <c r="E255" s="61" t="s">
        <v>1256</v>
      </c>
      <c r="F255" s="61" t="s">
        <v>4892</v>
      </c>
      <c r="G255" s="61" t="s">
        <v>4893</v>
      </c>
      <c r="H255" s="61" t="s">
        <v>4894</v>
      </c>
    </row>
    <row r="256">
      <c r="A256" s="61" t="s">
        <v>14</v>
      </c>
      <c r="B256" s="61" t="s">
        <v>1197</v>
      </c>
      <c r="C256" s="61" t="s">
        <v>72</v>
      </c>
      <c r="D256" s="61" t="s">
        <v>3981</v>
      </c>
      <c r="E256" s="61" t="s">
        <v>1881</v>
      </c>
      <c r="F256" s="61" t="s">
        <v>4895</v>
      </c>
      <c r="G256" s="61" t="s">
        <v>4896</v>
      </c>
      <c r="H256" s="61" t="s">
        <v>4897</v>
      </c>
    </row>
    <row r="257">
      <c r="A257" s="61" t="s">
        <v>14</v>
      </c>
      <c r="B257" s="61" t="s">
        <v>1194</v>
      </c>
      <c r="C257" s="61" t="s">
        <v>72</v>
      </c>
      <c r="D257" s="61" t="s">
        <v>4394</v>
      </c>
      <c r="E257" s="61" t="s">
        <v>1196</v>
      </c>
      <c r="F257" s="61" t="s">
        <v>4898</v>
      </c>
      <c r="H257" s="61" t="s">
        <v>4899</v>
      </c>
    </row>
    <row r="258">
      <c r="A258" s="61" t="s">
        <v>14</v>
      </c>
      <c r="B258" s="61" t="s">
        <v>1995</v>
      </c>
      <c r="C258" s="61" t="s">
        <v>72</v>
      </c>
      <c r="D258" s="61" t="s">
        <v>4900</v>
      </c>
      <c r="E258" s="61" t="s">
        <v>1468</v>
      </c>
      <c r="F258" s="61" t="s">
        <v>4162</v>
      </c>
      <c r="G258" s="61" t="s">
        <v>4901</v>
      </c>
      <c r="H258" s="61" t="s">
        <v>4902</v>
      </c>
    </row>
    <row r="259">
      <c r="A259" s="61" t="s">
        <v>14</v>
      </c>
      <c r="B259" s="61" t="s">
        <v>1429</v>
      </c>
      <c r="C259" s="61" t="s">
        <v>72</v>
      </c>
      <c r="D259" s="61" t="s">
        <v>4903</v>
      </c>
      <c r="E259" s="61" t="s">
        <v>1425</v>
      </c>
      <c r="F259" s="61" t="s">
        <v>4615</v>
      </c>
      <c r="G259" s="61" t="s">
        <v>4904</v>
      </c>
      <c r="H259" s="61" t="s">
        <v>4905</v>
      </c>
    </row>
    <row r="260">
      <c r="A260" s="61" t="s">
        <v>14</v>
      </c>
      <c r="B260" s="61" t="s">
        <v>2201</v>
      </c>
      <c r="C260" s="61" t="s">
        <v>72</v>
      </c>
      <c r="D260" s="61" t="s">
        <v>4906</v>
      </c>
      <c r="E260" s="61" t="s">
        <v>2202</v>
      </c>
      <c r="F260" s="61" t="s">
        <v>4299</v>
      </c>
      <c r="H260" s="61" t="s">
        <v>4907</v>
      </c>
    </row>
    <row r="261">
      <c r="A261" s="61" t="s">
        <v>14</v>
      </c>
      <c r="B261" s="61" t="s">
        <v>1427</v>
      </c>
      <c r="C261" s="61" t="s">
        <v>72</v>
      </c>
      <c r="D261" s="61" t="s">
        <v>3968</v>
      </c>
      <c r="E261" s="61" t="s">
        <v>1428</v>
      </c>
      <c r="F261" s="61" t="s">
        <v>4908</v>
      </c>
      <c r="G261" s="61" t="s">
        <v>4909</v>
      </c>
      <c r="H261" s="61" t="s">
        <v>4910</v>
      </c>
    </row>
    <row r="262">
      <c r="A262" s="61" t="s">
        <v>14</v>
      </c>
      <c r="B262" s="61" t="s">
        <v>2023</v>
      </c>
      <c r="C262" s="61" t="s">
        <v>72</v>
      </c>
      <c r="D262" s="61" t="s">
        <v>4911</v>
      </c>
      <c r="E262" s="61" t="s">
        <v>1107</v>
      </c>
      <c r="F262" s="61" t="s">
        <v>4912</v>
      </c>
      <c r="G262" s="61" t="s">
        <v>4913</v>
      </c>
      <c r="H262" s="61" t="s">
        <v>4914</v>
      </c>
    </row>
    <row r="263">
      <c r="A263" s="61" t="s">
        <v>14</v>
      </c>
      <c r="B263" s="61" t="s">
        <v>1358</v>
      </c>
      <c r="C263" s="61" t="s">
        <v>72</v>
      </c>
      <c r="D263" s="61" t="s">
        <v>4915</v>
      </c>
      <c r="E263" s="61" t="s">
        <v>1146</v>
      </c>
      <c r="F263" s="61" t="s">
        <v>4128</v>
      </c>
      <c r="H263" s="61" t="s">
        <v>4916</v>
      </c>
    </row>
    <row r="264">
      <c r="A264" s="61" t="s">
        <v>14</v>
      </c>
      <c r="B264" s="61" t="s">
        <v>1771</v>
      </c>
      <c r="C264" s="61" t="s">
        <v>1043</v>
      </c>
      <c r="D264" s="61" t="s">
        <v>4917</v>
      </c>
      <c r="E264" s="61" t="s">
        <v>1043</v>
      </c>
      <c r="F264" s="61" t="s">
        <v>4918</v>
      </c>
      <c r="H264" s="61" t="s">
        <v>4919</v>
      </c>
    </row>
    <row r="265">
      <c r="A265" s="61" t="s">
        <v>14</v>
      </c>
      <c r="B265" s="61" t="s">
        <v>1688</v>
      </c>
      <c r="C265" s="61" t="s">
        <v>1043</v>
      </c>
      <c r="D265" s="61" t="s">
        <v>3943</v>
      </c>
      <c r="E265" s="61" t="s">
        <v>1043</v>
      </c>
      <c r="F265" s="61" t="s">
        <v>4331</v>
      </c>
      <c r="H265" s="61" t="s">
        <v>4920</v>
      </c>
    </row>
    <row r="266">
      <c r="A266" s="61" t="s">
        <v>14</v>
      </c>
      <c r="B266" s="61" t="s">
        <v>2100</v>
      </c>
      <c r="C266" s="61" t="s">
        <v>72</v>
      </c>
      <c r="D266" s="61" t="s">
        <v>4921</v>
      </c>
      <c r="E266" s="61" t="s">
        <v>1107</v>
      </c>
      <c r="F266" s="61" t="s">
        <v>4922</v>
      </c>
      <c r="H266" s="61" t="s">
        <v>4923</v>
      </c>
    </row>
    <row r="267">
      <c r="A267" s="61" t="s">
        <v>25</v>
      </c>
      <c r="B267" s="61" t="s">
        <v>1315</v>
      </c>
      <c r="C267" s="61" t="s">
        <v>72</v>
      </c>
      <c r="D267" s="61" t="s">
        <v>4924</v>
      </c>
      <c r="E267" s="61" t="s">
        <v>1919</v>
      </c>
      <c r="F267" s="61" t="s">
        <v>4925</v>
      </c>
      <c r="G267" s="61" t="s">
        <v>4926</v>
      </c>
      <c r="H267" s="61" t="s">
        <v>4927</v>
      </c>
    </row>
    <row r="268">
      <c r="A268" s="61" t="s">
        <v>17</v>
      </c>
      <c r="B268" s="61" t="s">
        <v>1944</v>
      </c>
      <c r="C268" s="61" t="s">
        <v>72</v>
      </c>
      <c r="D268" s="61" t="s">
        <v>4928</v>
      </c>
      <c r="E268" s="61" t="s">
        <v>1945</v>
      </c>
      <c r="F268" s="61" t="s">
        <v>4929</v>
      </c>
      <c r="G268" s="61" t="s">
        <v>4930</v>
      </c>
      <c r="H268" s="61" t="s">
        <v>4931</v>
      </c>
    </row>
    <row r="269">
      <c r="A269" s="61" t="s">
        <v>39</v>
      </c>
      <c r="B269" s="61" t="s">
        <v>1981</v>
      </c>
      <c r="C269" s="61" t="s">
        <v>72</v>
      </c>
      <c r="D269" s="61" t="s">
        <v>4932</v>
      </c>
      <c r="E269" s="61" t="s">
        <v>2195</v>
      </c>
      <c r="F269" s="61" t="s">
        <v>4933</v>
      </c>
      <c r="G269" s="61" t="s">
        <v>4932</v>
      </c>
      <c r="H269" s="61" t="s">
        <v>4934</v>
      </c>
    </row>
    <row r="270">
      <c r="A270" s="61" t="s">
        <v>10</v>
      </c>
      <c r="B270" s="61" t="s">
        <v>1549</v>
      </c>
      <c r="C270" s="61" t="s">
        <v>72</v>
      </c>
      <c r="D270" s="61" t="s">
        <v>4935</v>
      </c>
      <c r="E270" s="61" t="s">
        <v>1907</v>
      </c>
      <c r="F270" s="61" t="s">
        <v>4745</v>
      </c>
      <c r="G270" s="61" t="s">
        <v>4935</v>
      </c>
      <c r="H270" s="61" t="s">
        <v>4936</v>
      </c>
    </row>
    <row r="271">
      <c r="A271" s="61" t="s">
        <v>36</v>
      </c>
      <c r="B271" s="61" t="s">
        <v>2147</v>
      </c>
      <c r="C271" s="61" t="s">
        <v>54</v>
      </c>
      <c r="D271" s="61" t="s">
        <v>4937</v>
      </c>
      <c r="E271" s="61" t="s">
        <v>1870</v>
      </c>
      <c r="F271" s="61" t="s">
        <v>4938</v>
      </c>
      <c r="H271" s="61" t="s">
        <v>4939</v>
      </c>
    </row>
    <row r="272">
      <c r="A272" s="61" t="s">
        <v>22</v>
      </c>
      <c r="B272" s="61" t="s">
        <v>2204</v>
      </c>
      <c r="C272" s="61" t="s">
        <v>72</v>
      </c>
      <c r="D272" s="61" t="s">
        <v>4783</v>
      </c>
      <c r="E272" s="61" t="s">
        <v>2171</v>
      </c>
      <c r="F272" s="61" t="s">
        <v>4128</v>
      </c>
      <c r="H272" s="61" t="s">
        <v>4940</v>
      </c>
    </row>
    <row r="273">
      <c r="A273" s="61" t="s">
        <v>22</v>
      </c>
      <c r="B273" s="61" t="s">
        <v>2134</v>
      </c>
      <c r="C273" s="61" t="s">
        <v>72</v>
      </c>
      <c r="D273" s="61" t="s">
        <v>4941</v>
      </c>
      <c r="E273" s="61" t="s">
        <v>2136</v>
      </c>
      <c r="F273" s="61" t="s">
        <v>4942</v>
      </c>
      <c r="G273" s="61" t="s">
        <v>4943</v>
      </c>
      <c r="H273" s="61" t="s">
        <v>4944</v>
      </c>
    </row>
    <row r="274">
      <c r="A274" s="61" t="s">
        <v>17</v>
      </c>
      <c r="B274" s="61" t="s">
        <v>1112</v>
      </c>
      <c r="C274" s="61" t="s">
        <v>72</v>
      </c>
      <c r="D274" s="61" t="s">
        <v>4945</v>
      </c>
      <c r="E274" s="61" t="s">
        <v>1873</v>
      </c>
      <c r="F274" s="61" t="s">
        <v>4946</v>
      </c>
      <c r="G274" s="61" t="s">
        <v>4947</v>
      </c>
      <c r="H274" s="61" t="s">
        <v>4948</v>
      </c>
    </row>
    <row r="275">
      <c r="A275" s="61" t="s">
        <v>17</v>
      </c>
      <c r="B275" s="61" t="s">
        <v>2138</v>
      </c>
      <c r="C275" s="61" t="s">
        <v>72</v>
      </c>
      <c r="D275" s="61" t="s">
        <v>4949</v>
      </c>
      <c r="E275" s="61" t="s">
        <v>2139</v>
      </c>
      <c r="F275" s="61" t="s">
        <v>4162</v>
      </c>
      <c r="H275" s="61" t="s">
        <v>4950</v>
      </c>
    </row>
    <row r="276">
      <c r="A276" s="61" t="s">
        <v>33</v>
      </c>
      <c r="B276" s="61" t="s">
        <v>1380</v>
      </c>
      <c r="C276" s="61" t="s">
        <v>72</v>
      </c>
      <c r="D276" s="61" t="s">
        <v>4951</v>
      </c>
      <c r="E276" s="61" t="s">
        <v>2098</v>
      </c>
      <c r="F276" s="61" t="s">
        <v>4952</v>
      </c>
      <c r="H276" s="61" t="s">
        <v>4953</v>
      </c>
    </row>
    <row r="277">
      <c r="A277" s="61" t="s">
        <v>22</v>
      </c>
      <c r="B277" s="61" t="s">
        <v>1158</v>
      </c>
      <c r="C277" s="61" t="s">
        <v>72</v>
      </c>
      <c r="D277" s="61" t="s">
        <v>4954</v>
      </c>
      <c r="E277" s="61" t="s">
        <v>1160</v>
      </c>
      <c r="F277" s="61" t="s">
        <v>4955</v>
      </c>
      <c r="G277" s="61" t="s">
        <v>4956</v>
      </c>
      <c r="H277" s="61" t="s">
        <v>4957</v>
      </c>
    </row>
    <row r="278">
      <c r="A278" s="61" t="s">
        <v>14</v>
      </c>
      <c r="B278" s="61" t="s">
        <v>1479</v>
      </c>
      <c r="C278" s="61" t="s">
        <v>72</v>
      </c>
      <c r="D278" s="61" t="s">
        <v>4958</v>
      </c>
      <c r="E278" s="61" t="s">
        <v>2082</v>
      </c>
      <c r="F278" s="61" t="s">
        <v>4892</v>
      </c>
      <c r="G278" s="61" t="s">
        <v>4959</v>
      </c>
      <c r="H278" s="61" t="s">
        <v>4960</v>
      </c>
    </row>
    <row r="279">
      <c r="A279" s="61" t="s">
        <v>4090</v>
      </c>
      <c r="B279" s="61" t="s">
        <v>2361</v>
      </c>
      <c r="C279" s="61" t="s">
        <v>72</v>
      </c>
      <c r="D279" s="61" t="s">
        <v>4438</v>
      </c>
      <c r="E279" s="61" t="s">
        <v>2362</v>
      </c>
      <c r="F279" s="61" t="s">
        <v>4195</v>
      </c>
      <c r="G279" s="61" t="s">
        <v>4961</v>
      </c>
      <c r="H279" s="61" t="s">
        <v>4962</v>
      </c>
    </row>
    <row r="280">
      <c r="A280" s="61" t="s">
        <v>16</v>
      </c>
      <c r="B280" s="61" t="s">
        <v>1438</v>
      </c>
      <c r="C280" s="61" t="s">
        <v>72</v>
      </c>
      <c r="D280" s="61" t="s">
        <v>4963</v>
      </c>
      <c r="E280" s="61" t="s">
        <v>1439</v>
      </c>
      <c r="F280" s="61" t="s">
        <v>4964</v>
      </c>
      <c r="G280" s="61" t="s">
        <v>4965</v>
      </c>
      <c r="H280" s="61" t="s">
        <v>4966</v>
      </c>
    </row>
    <row r="281">
      <c r="A281" s="61" t="s">
        <v>14</v>
      </c>
      <c r="B281" s="61" t="s">
        <v>1264</v>
      </c>
      <c r="C281" s="61" t="s">
        <v>72</v>
      </c>
      <c r="D281" s="61" t="s">
        <v>4967</v>
      </c>
      <c r="E281" s="61" t="s">
        <v>1425</v>
      </c>
      <c r="F281" s="61" t="s">
        <v>4968</v>
      </c>
      <c r="H281" s="61" t="s">
        <v>4969</v>
      </c>
    </row>
    <row r="282">
      <c r="A282" s="61" t="s">
        <v>17</v>
      </c>
      <c r="B282" s="61" t="s">
        <v>1110</v>
      </c>
      <c r="C282" s="61" t="s">
        <v>72</v>
      </c>
      <c r="D282" s="61" t="s">
        <v>4626</v>
      </c>
      <c r="E282" s="61" t="s">
        <v>1111</v>
      </c>
      <c r="F282" s="61" t="s">
        <v>4970</v>
      </c>
      <c r="G282" s="61" t="s">
        <v>4971</v>
      </c>
      <c r="H282" s="61" t="s">
        <v>4972</v>
      </c>
    </row>
    <row r="283">
      <c r="A283" s="61" t="s">
        <v>14</v>
      </c>
      <c r="B283" s="61" t="s">
        <v>1991</v>
      </c>
      <c r="C283" s="61" t="s">
        <v>72</v>
      </c>
      <c r="D283" s="61" t="s">
        <v>2629</v>
      </c>
      <c r="E283" s="61" t="s">
        <v>1107</v>
      </c>
      <c r="F283" s="61" t="s">
        <v>4973</v>
      </c>
      <c r="H283" s="61" t="s">
        <v>4974</v>
      </c>
    </row>
    <row r="284">
      <c r="A284" s="61" t="s">
        <v>47</v>
      </c>
      <c r="B284" s="61" t="s">
        <v>1208</v>
      </c>
      <c r="C284" s="61" t="s">
        <v>72</v>
      </c>
      <c r="D284" s="61" t="s">
        <v>4975</v>
      </c>
      <c r="E284" s="61" t="s">
        <v>1209</v>
      </c>
      <c r="F284" s="61" t="s">
        <v>4976</v>
      </c>
      <c r="G284" s="61" t="s">
        <v>4977</v>
      </c>
      <c r="H284" s="61" t="s">
        <v>4978</v>
      </c>
    </row>
    <row r="285">
      <c r="A285" s="61" t="s">
        <v>14</v>
      </c>
      <c r="B285" s="61" t="s">
        <v>1875</v>
      </c>
      <c r="C285" s="61" t="s">
        <v>72</v>
      </c>
      <c r="D285" s="61" t="s">
        <v>4979</v>
      </c>
      <c r="E285" s="61" t="s">
        <v>1877</v>
      </c>
      <c r="F285" s="61" t="s">
        <v>4128</v>
      </c>
      <c r="H285" s="61" t="s">
        <v>4980</v>
      </c>
    </row>
    <row r="286">
      <c r="A286" s="61" t="s">
        <v>14</v>
      </c>
      <c r="B286" s="61" t="s">
        <v>2039</v>
      </c>
      <c r="C286" s="61" t="s">
        <v>72</v>
      </c>
      <c r="D286" s="61" t="s">
        <v>4981</v>
      </c>
      <c r="E286" s="61" t="s">
        <v>1425</v>
      </c>
      <c r="F286" s="61" t="s">
        <v>4982</v>
      </c>
      <c r="G286" s="61" t="s">
        <v>4983</v>
      </c>
      <c r="H286" s="61" t="s">
        <v>4984</v>
      </c>
    </row>
    <row r="287">
      <c r="A287" s="61" t="s">
        <v>22</v>
      </c>
      <c r="B287" s="61" t="s">
        <v>1085</v>
      </c>
      <c r="C287" s="61" t="s">
        <v>72</v>
      </c>
      <c r="D287" s="61" t="s">
        <v>4301</v>
      </c>
      <c r="E287" s="61" t="s">
        <v>1894</v>
      </c>
      <c r="F287" s="61" t="s">
        <v>4985</v>
      </c>
      <c r="G287" s="61" t="s">
        <v>4986</v>
      </c>
      <c r="H287" s="61" t="s">
        <v>4987</v>
      </c>
    </row>
    <row r="288">
      <c r="A288" s="61" t="s">
        <v>14</v>
      </c>
      <c r="B288" s="61" t="s">
        <v>1987</v>
      </c>
      <c r="C288" s="61" t="s">
        <v>72</v>
      </c>
      <c r="D288" s="61" t="s">
        <v>4875</v>
      </c>
      <c r="E288" s="61" t="s">
        <v>1107</v>
      </c>
      <c r="F288" s="61" t="s">
        <v>4988</v>
      </c>
      <c r="H288" s="61" t="s">
        <v>4989</v>
      </c>
    </row>
    <row r="289">
      <c r="A289" s="61" t="s">
        <v>14</v>
      </c>
      <c r="B289" s="61" t="s">
        <v>1202</v>
      </c>
      <c r="C289" s="61" t="s">
        <v>72</v>
      </c>
      <c r="D289" s="61" t="s">
        <v>4990</v>
      </c>
      <c r="E289" s="61" t="s">
        <v>1107</v>
      </c>
      <c r="F289" s="61" t="s">
        <v>4162</v>
      </c>
      <c r="H289" s="61" t="s">
        <v>4991</v>
      </c>
    </row>
    <row r="290">
      <c r="A290" s="61" t="s">
        <v>14</v>
      </c>
      <c r="B290" s="61" t="s">
        <v>2475</v>
      </c>
      <c r="C290" s="61" t="s">
        <v>72</v>
      </c>
      <c r="D290" s="61" t="s">
        <v>4992</v>
      </c>
      <c r="E290" s="61" t="s">
        <v>1020</v>
      </c>
      <c r="F290" s="61" t="s">
        <v>4993</v>
      </c>
      <c r="G290" s="61" t="s">
        <v>4994</v>
      </c>
      <c r="H290" s="61" t="s">
        <v>4995</v>
      </c>
    </row>
    <row r="291">
      <c r="A291" s="61" t="s">
        <v>14</v>
      </c>
      <c r="B291" s="61" t="s">
        <v>2070</v>
      </c>
      <c r="C291" s="61" t="s">
        <v>72</v>
      </c>
      <c r="D291" s="61" t="s">
        <v>4996</v>
      </c>
      <c r="E291" s="61" t="s">
        <v>1256</v>
      </c>
      <c r="F291" s="61" t="s">
        <v>4997</v>
      </c>
      <c r="G291" s="61" t="s">
        <v>4998</v>
      </c>
      <c r="H291" s="61" t="s">
        <v>4999</v>
      </c>
    </row>
    <row r="292">
      <c r="A292" s="61" t="s">
        <v>14</v>
      </c>
      <c r="B292" s="61" t="s">
        <v>1658</v>
      </c>
      <c r="C292" s="61" t="s">
        <v>72</v>
      </c>
      <c r="D292" s="61" t="s">
        <v>4301</v>
      </c>
      <c r="E292" s="61" t="s">
        <v>1256</v>
      </c>
      <c r="F292" s="61" t="s">
        <v>4132</v>
      </c>
      <c r="H292" s="61" t="s">
        <v>5000</v>
      </c>
    </row>
    <row r="293">
      <c r="A293" s="61" t="s">
        <v>14</v>
      </c>
      <c r="B293" s="61" t="s">
        <v>1206</v>
      </c>
      <c r="C293" s="61" t="s">
        <v>72</v>
      </c>
      <c r="D293" s="61" t="s">
        <v>5001</v>
      </c>
      <c r="E293" s="61" t="s">
        <v>2184</v>
      </c>
      <c r="F293" s="61" t="s">
        <v>4745</v>
      </c>
      <c r="G293" s="61" t="s">
        <v>5002</v>
      </c>
      <c r="H293" s="61" t="s">
        <v>5003</v>
      </c>
    </row>
    <row r="294">
      <c r="A294" s="61" t="s">
        <v>22</v>
      </c>
      <c r="B294" s="61" t="s">
        <v>1984</v>
      </c>
      <c r="C294" s="61" t="s">
        <v>72</v>
      </c>
      <c r="D294" s="61" t="s">
        <v>5004</v>
      </c>
      <c r="E294" s="61" t="s">
        <v>1290</v>
      </c>
      <c r="F294" s="61" t="s">
        <v>4223</v>
      </c>
      <c r="G294" s="61" t="s">
        <v>5005</v>
      </c>
      <c r="H294" s="61" t="s">
        <v>5006</v>
      </c>
    </row>
    <row r="295">
      <c r="A295" s="61" t="s">
        <v>47</v>
      </c>
      <c r="B295" s="61" t="s">
        <v>1397</v>
      </c>
      <c r="C295" s="61" t="s">
        <v>72</v>
      </c>
      <c r="D295" s="61" t="s">
        <v>5007</v>
      </c>
      <c r="E295" s="61" t="s">
        <v>1209</v>
      </c>
      <c r="F295" s="61" t="s">
        <v>4171</v>
      </c>
      <c r="G295" s="61" t="s">
        <v>5008</v>
      </c>
      <c r="H295" s="61" t="s">
        <v>5009</v>
      </c>
    </row>
    <row r="296">
      <c r="A296" s="61" t="s">
        <v>44</v>
      </c>
      <c r="B296" s="61" t="s">
        <v>1530</v>
      </c>
      <c r="C296" s="61" t="s">
        <v>72</v>
      </c>
      <c r="D296" s="61" t="s">
        <v>5010</v>
      </c>
      <c r="E296" s="61" t="s">
        <v>1533</v>
      </c>
      <c r="F296" s="61" t="s">
        <v>5011</v>
      </c>
      <c r="H296" s="61" t="s">
        <v>5012</v>
      </c>
    </row>
    <row r="297">
      <c r="A297" s="61" t="s">
        <v>14</v>
      </c>
      <c r="B297" s="61" t="s">
        <v>2649</v>
      </c>
      <c r="C297" s="61" t="s">
        <v>72</v>
      </c>
      <c r="D297" s="61" t="s">
        <v>5013</v>
      </c>
      <c r="E297" s="61" t="s">
        <v>2483</v>
      </c>
      <c r="F297" s="61" t="s">
        <v>4745</v>
      </c>
      <c r="H297" s="61" t="s">
        <v>5014</v>
      </c>
    </row>
    <row r="298">
      <c r="A298" s="61" t="s">
        <v>14</v>
      </c>
      <c r="B298" s="61" t="s">
        <v>2651</v>
      </c>
      <c r="C298" s="61" t="s">
        <v>1273</v>
      </c>
      <c r="D298" s="61" t="s">
        <v>4194</v>
      </c>
      <c r="E298" s="61" t="s">
        <v>1020</v>
      </c>
      <c r="F298" s="61" t="s">
        <v>5015</v>
      </c>
      <c r="H298" s="61" t="s">
        <v>5016</v>
      </c>
    </row>
    <row r="299">
      <c r="A299" s="61" t="s">
        <v>25</v>
      </c>
      <c r="B299" s="61" t="s">
        <v>1099</v>
      </c>
      <c r="C299" s="61" t="s">
        <v>1043</v>
      </c>
      <c r="D299" s="61" t="s">
        <v>4590</v>
      </c>
      <c r="E299" s="61" t="s">
        <v>1043</v>
      </c>
      <c r="F299" s="61" t="s">
        <v>5017</v>
      </c>
      <c r="H299" s="61" t="s">
        <v>5018</v>
      </c>
    </row>
    <row r="300">
      <c r="A300" s="61" t="s">
        <v>14</v>
      </c>
      <c r="B300" s="61" t="s">
        <v>2035</v>
      </c>
      <c r="C300" s="61" t="s">
        <v>72</v>
      </c>
      <c r="D300" s="61" t="s">
        <v>5019</v>
      </c>
      <c r="E300" s="61" t="s">
        <v>1256</v>
      </c>
      <c r="F300" s="61" t="s">
        <v>5020</v>
      </c>
      <c r="G300" s="61" t="s">
        <v>5021</v>
      </c>
      <c r="H300" s="61" t="s">
        <v>5022</v>
      </c>
    </row>
    <row r="301">
      <c r="A301" s="61" t="s">
        <v>16</v>
      </c>
      <c r="B301" s="61" t="s">
        <v>1177</v>
      </c>
      <c r="C301" s="61" t="s">
        <v>72</v>
      </c>
      <c r="D301" s="61" t="s">
        <v>5023</v>
      </c>
      <c r="E301" s="61" t="s">
        <v>1178</v>
      </c>
      <c r="F301" s="61" t="s">
        <v>4868</v>
      </c>
      <c r="H301" s="61" t="s">
        <v>5024</v>
      </c>
    </row>
    <row r="302">
      <c r="A302" s="61" t="s">
        <v>47</v>
      </c>
      <c r="B302" s="61" t="s">
        <v>2653</v>
      </c>
      <c r="C302" s="61" t="s">
        <v>72</v>
      </c>
      <c r="D302" s="61" t="s">
        <v>5025</v>
      </c>
      <c r="E302" s="61" t="s">
        <v>2654</v>
      </c>
      <c r="F302" s="61" t="s">
        <v>5026</v>
      </c>
      <c r="H302" s="61" t="s">
        <v>5027</v>
      </c>
    </row>
    <row r="303">
      <c r="A303" s="61" t="s">
        <v>28</v>
      </c>
      <c r="B303" s="61" t="s">
        <v>1905</v>
      </c>
      <c r="C303" s="61" t="s">
        <v>72</v>
      </c>
      <c r="D303" s="61" t="s">
        <v>5028</v>
      </c>
      <c r="E303" s="61" t="s">
        <v>1916</v>
      </c>
      <c r="F303" s="61" t="s">
        <v>5029</v>
      </c>
      <c r="G303" s="61" t="s">
        <v>5028</v>
      </c>
      <c r="H303" s="61" t="s">
        <v>5030</v>
      </c>
    </row>
    <row r="304">
      <c r="A304" s="61" t="s">
        <v>14</v>
      </c>
      <c r="B304" s="61" t="s">
        <v>1054</v>
      </c>
      <c r="C304" s="61" t="s">
        <v>72</v>
      </c>
      <c r="D304" s="61" t="s">
        <v>4147</v>
      </c>
      <c r="E304" s="61" t="s">
        <v>1055</v>
      </c>
      <c r="F304" s="61" t="s">
        <v>4290</v>
      </c>
      <c r="H304" s="61" t="s">
        <v>5031</v>
      </c>
    </row>
    <row r="305">
      <c r="A305" s="61" t="s">
        <v>47</v>
      </c>
      <c r="B305" s="61" t="s">
        <v>1210</v>
      </c>
      <c r="C305" s="61" t="s">
        <v>72</v>
      </c>
      <c r="D305" s="61" t="s">
        <v>4134</v>
      </c>
      <c r="E305" s="61" t="s">
        <v>1949</v>
      </c>
      <c r="F305" s="61" t="s">
        <v>5032</v>
      </c>
      <c r="G305" s="61" t="s">
        <v>5033</v>
      </c>
      <c r="H305" s="61" t="s">
        <v>5034</v>
      </c>
    </row>
    <row r="306">
      <c r="A306" s="61" t="s">
        <v>21</v>
      </c>
      <c r="B306" s="61" t="s">
        <v>1103</v>
      </c>
      <c r="C306" s="61" t="s">
        <v>72</v>
      </c>
      <c r="D306" s="61" t="s">
        <v>4875</v>
      </c>
      <c r="E306" s="61" t="s">
        <v>2305</v>
      </c>
      <c r="F306" s="61" t="s">
        <v>4299</v>
      </c>
      <c r="G306" s="61" t="s">
        <v>5035</v>
      </c>
      <c r="H306" s="61" t="s">
        <v>5036</v>
      </c>
    </row>
    <row r="307">
      <c r="A307" s="61" t="s">
        <v>22</v>
      </c>
      <c r="B307" s="61" t="s">
        <v>1243</v>
      </c>
      <c r="C307" s="61" t="s">
        <v>72</v>
      </c>
      <c r="D307" s="61" t="s">
        <v>5037</v>
      </c>
      <c r="E307" s="61" t="s">
        <v>1998</v>
      </c>
      <c r="F307" s="61" t="s">
        <v>5038</v>
      </c>
      <c r="H307" s="61" t="s">
        <v>5039</v>
      </c>
    </row>
    <row r="308">
      <c r="A308" s="61" t="s">
        <v>16</v>
      </c>
      <c r="B308" s="61" t="s">
        <v>1017</v>
      </c>
      <c r="C308" s="61" t="s">
        <v>72</v>
      </c>
      <c r="D308" s="61" t="s">
        <v>5040</v>
      </c>
      <c r="E308" s="61" t="s">
        <v>2054</v>
      </c>
      <c r="F308" s="61" t="s">
        <v>5041</v>
      </c>
      <c r="H308" s="61" t="s">
        <v>5042</v>
      </c>
    </row>
    <row r="309">
      <c r="A309" s="61" t="s">
        <v>30</v>
      </c>
      <c r="B309" s="61" t="s">
        <v>1351</v>
      </c>
      <c r="C309" s="61" t="s">
        <v>72</v>
      </c>
      <c r="D309" s="61" t="s">
        <v>4662</v>
      </c>
      <c r="E309" s="61" t="s">
        <v>1938</v>
      </c>
      <c r="F309" s="61" t="s">
        <v>4270</v>
      </c>
      <c r="G309" s="61" t="s">
        <v>5043</v>
      </c>
      <c r="H309" s="61" t="s">
        <v>5044</v>
      </c>
    </row>
    <row r="310">
      <c r="A310" s="61" t="s">
        <v>14</v>
      </c>
      <c r="B310" s="61" t="s">
        <v>2660</v>
      </c>
      <c r="C310" s="61" t="s">
        <v>1043</v>
      </c>
      <c r="D310" s="61" t="s">
        <v>5045</v>
      </c>
      <c r="E310" s="61" t="s">
        <v>1043</v>
      </c>
      <c r="F310" s="61" t="s">
        <v>4849</v>
      </c>
      <c r="H310" s="61" t="s">
        <v>5046</v>
      </c>
    </row>
    <row r="311">
      <c r="A311" s="61" t="s">
        <v>14</v>
      </c>
      <c r="B311" s="61" t="s">
        <v>1021</v>
      </c>
      <c r="C311" s="61" t="s">
        <v>72</v>
      </c>
      <c r="D311" s="61" t="s">
        <v>4301</v>
      </c>
      <c r="E311" s="61" t="s">
        <v>1425</v>
      </c>
      <c r="F311" s="61" t="s">
        <v>4132</v>
      </c>
      <c r="G311" s="61" t="s">
        <v>5047</v>
      </c>
      <c r="H311" s="61" t="s">
        <v>5048</v>
      </c>
    </row>
    <row r="312">
      <c r="A312" s="61" t="s">
        <v>21</v>
      </c>
      <c r="B312" s="61" t="s">
        <v>1245</v>
      </c>
      <c r="C312" s="61" t="s">
        <v>72</v>
      </c>
      <c r="D312" s="61" t="s">
        <v>4958</v>
      </c>
      <c r="E312" s="61" t="s">
        <v>1246</v>
      </c>
      <c r="F312" s="61" t="s">
        <v>5049</v>
      </c>
      <c r="G312" s="61" t="s">
        <v>5050</v>
      </c>
      <c r="H312" s="61" t="s">
        <v>5051</v>
      </c>
    </row>
    <row r="313">
      <c r="A313" s="61" t="s">
        <v>14</v>
      </c>
      <c r="B313" s="61" t="s">
        <v>2238</v>
      </c>
      <c r="C313" s="61" t="s">
        <v>72</v>
      </c>
      <c r="D313" s="61" t="s">
        <v>5052</v>
      </c>
      <c r="E313" s="61" t="s">
        <v>2240</v>
      </c>
      <c r="F313" s="61" t="s">
        <v>4802</v>
      </c>
      <c r="G313" s="61" t="s">
        <v>5053</v>
      </c>
      <c r="H313" s="61" t="s">
        <v>5054</v>
      </c>
    </row>
    <row r="314">
      <c r="A314" s="61" t="s">
        <v>33</v>
      </c>
      <c r="B314" s="61" t="s">
        <v>2670</v>
      </c>
      <c r="C314" s="61" t="s">
        <v>72</v>
      </c>
      <c r="D314" s="61" t="s">
        <v>4878</v>
      </c>
      <c r="E314" s="61" t="s">
        <v>2672</v>
      </c>
      <c r="F314" s="61" t="s">
        <v>4474</v>
      </c>
      <c r="H314" s="61" t="s">
        <v>5055</v>
      </c>
    </row>
    <row r="315">
      <c r="A315" s="61" t="s">
        <v>14</v>
      </c>
      <c r="B315" s="61" t="s">
        <v>1727</v>
      </c>
      <c r="C315" s="61" t="s">
        <v>1043</v>
      </c>
      <c r="D315" s="61" t="s">
        <v>4209</v>
      </c>
      <c r="E315" s="61" t="s">
        <v>1050</v>
      </c>
      <c r="F315" s="61" t="s">
        <v>4734</v>
      </c>
      <c r="H315" s="61" t="s">
        <v>5056</v>
      </c>
    </row>
    <row r="316">
      <c r="A316" s="61" t="s">
        <v>21</v>
      </c>
      <c r="B316" s="61" t="s">
        <v>2033</v>
      </c>
      <c r="C316" s="61" t="s">
        <v>72</v>
      </c>
      <c r="D316" s="61" t="s">
        <v>4301</v>
      </c>
      <c r="E316" s="61" t="s">
        <v>1670</v>
      </c>
      <c r="F316" s="61" t="s">
        <v>5057</v>
      </c>
      <c r="H316" s="61" t="s">
        <v>5058</v>
      </c>
    </row>
    <row r="317">
      <c r="A317" s="61" t="s">
        <v>14</v>
      </c>
      <c r="B317" s="61" t="s">
        <v>1447</v>
      </c>
      <c r="C317" s="61" t="s">
        <v>1043</v>
      </c>
      <c r="D317" s="61" t="s">
        <v>4181</v>
      </c>
      <c r="E317" s="61" t="s">
        <v>1448</v>
      </c>
      <c r="F317" s="61" t="s">
        <v>5059</v>
      </c>
      <c r="H317" s="61" t="s">
        <v>5060</v>
      </c>
    </row>
    <row r="318">
      <c r="A318" s="61" t="s">
        <v>14</v>
      </c>
      <c r="B318" s="61" t="s">
        <v>1827</v>
      </c>
      <c r="C318" s="61" t="s">
        <v>1043</v>
      </c>
      <c r="D318" s="61" t="s">
        <v>4481</v>
      </c>
      <c r="E318" s="61" t="s">
        <v>1043</v>
      </c>
      <c r="F318" s="61" t="s">
        <v>4299</v>
      </c>
      <c r="H318" s="61" t="s">
        <v>5061</v>
      </c>
    </row>
    <row r="319">
      <c r="A319" s="61" t="s">
        <v>21</v>
      </c>
      <c r="B319" s="61" t="s">
        <v>2316</v>
      </c>
      <c r="C319" s="61" t="s">
        <v>72</v>
      </c>
      <c r="D319" s="61" t="s">
        <v>5062</v>
      </c>
      <c r="E319" s="61" t="s">
        <v>2317</v>
      </c>
      <c r="F319" s="61" t="s">
        <v>5063</v>
      </c>
      <c r="G319" s="61" t="s">
        <v>5064</v>
      </c>
      <c r="H319" s="61" t="s">
        <v>5065</v>
      </c>
    </row>
    <row r="320">
      <c r="A320" s="61" t="s">
        <v>14</v>
      </c>
      <c r="B320" s="61" t="s">
        <v>1418</v>
      </c>
      <c r="C320" s="61" t="s">
        <v>1043</v>
      </c>
      <c r="D320" s="61" t="s">
        <v>4477</v>
      </c>
      <c r="E320" s="61" t="s">
        <v>1050</v>
      </c>
      <c r="F320" s="61" t="s">
        <v>4924</v>
      </c>
      <c r="H320" s="61" t="s">
        <v>5066</v>
      </c>
    </row>
    <row r="321">
      <c r="A321" s="61" t="s">
        <v>14</v>
      </c>
      <c r="B321" s="61" t="s">
        <v>1456</v>
      </c>
      <c r="C321" s="61" t="s">
        <v>1043</v>
      </c>
      <c r="D321" s="61" t="s">
        <v>3994</v>
      </c>
      <c r="E321" s="61" t="s">
        <v>1448</v>
      </c>
      <c r="F321" s="61" t="s">
        <v>5067</v>
      </c>
      <c r="H321" s="61" t="s">
        <v>5068</v>
      </c>
    </row>
    <row r="322">
      <c r="A322" s="61" t="s">
        <v>14</v>
      </c>
      <c r="B322" s="61" t="s">
        <v>1061</v>
      </c>
      <c r="C322" s="61" t="s">
        <v>72</v>
      </c>
      <c r="D322" s="61" t="s">
        <v>5069</v>
      </c>
      <c r="E322" s="61" t="s">
        <v>1425</v>
      </c>
      <c r="F322" s="61" t="s">
        <v>5070</v>
      </c>
      <c r="H322" s="61" t="s">
        <v>5071</v>
      </c>
    </row>
    <row r="323">
      <c r="A323" s="61" t="s">
        <v>14</v>
      </c>
      <c r="B323" s="61" t="s">
        <v>1144</v>
      </c>
      <c r="C323" s="61" t="s">
        <v>72</v>
      </c>
      <c r="D323" s="61" t="s">
        <v>5069</v>
      </c>
      <c r="E323" s="61" t="s">
        <v>1146</v>
      </c>
      <c r="F323" s="61" t="s">
        <v>4290</v>
      </c>
      <c r="H323" s="61" t="s">
        <v>5072</v>
      </c>
    </row>
    <row r="324">
      <c r="A324" s="61" t="s">
        <v>47</v>
      </c>
      <c r="B324" s="61" t="s">
        <v>2000</v>
      </c>
      <c r="C324" s="61" t="s">
        <v>72</v>
      </c>
      <c r="D324" s="61" t="s">
        <v>5073</v>
      </c>
      <c r="E324" s="61" t="s">
        <v>2002</v>
      </c>
      <c r="F324" s="61" t="s">
        <v>5074</v>
      </c>
      <c r="G324" s="61" t="s">
        <v>5075</v>
      </c>
      <c r="H324" s="61" t="s">
        <v>5076</v>
      </c>
    </row>
    <row r="325">
      <c r="A325" s="61" t="s">
        <v>14</v>
      </c>
      <c r="B325" s="61" t="s">
        <v>2076</v>
      </c>
      <c r="C325" s="61" t="s">
        <v>72</v>
      </c>
      <c r="D325" s="61" t="s">
        <v>3977</v>
      </c>
      <c r="E325" s="61" t="s">
        <v>1256</v>
      </c>
      <c r="F325" s="61" t="s">
        <v>5077</v>
      </c>
      <c r="G325" s="61" t="s">
        <v>5078</v>
      </c>
      <c r="H325" s="61" t="s">
        <v>5079</v>
      </c>
    </row>
    <row r="326">
      <c r="A326" s="61" t="s">
        <v>14</v>
      </c>
      <c r="B326" s="61" t="s">
        <v>1036</v>
      </c>
      <c r="C326" s="61" t="s">
        <v>72</v>
      </c>
      <c r="D326" s="61" t="s">
        <v>5080</v>
      </c>
      <c r="E326" s="61" t="s">
        <v>1205</v>
      </c>
      <c r="F326" s="61" t="s">
        <v>5081</v>
      </c>
      <c r="H326" s="61" t="s">
        <v>5082</v>
      </c>
    </row>
    <row r="327">
      <c r="A327" s="61" t="s">
        <v>47</v>
      </c>
      <c r="B327" s="61" t="s">
        <v>2189</v>
      </c>
      <c r="C327" s="61" t="s">
        <v>72</v>
      </c>
      <c r="D327" s="61" t="s">
        <v>5083</v>
      </c>
      <c r="E327" s="61" t="s">
        <v>1209</v>
      </c>
      <c r="F327" s="61" t="s">
        <v>4132</v>
      </c>
      <c r="H327" s="61" t="s">
        <v>5084</v>
      </c>
    </row>
    <row r="328">
      <c r="A328" s="61" t="s">
        <v>14</v>
      </c>
      <c r="B328" s="61" t="s">
        <v>1330</v>
      </c>
      <c r="C328" s="61" t="s">
        <v>72</v>
      </c>
      <c r="D328" s="61" t="s">
        <v>4951</v>
      </c>
      <c r="E328" s="61" t="s">
        <v>1107</v>
      </c>
      <c r="F328" s="61" t="s">
        <v>5085</v>
      </c>
      <c r="G328" s="61" t="s">
        <v>5086</v>
      </c>
      <c r="H328" s="61" t="s">
        <v>5087</v>
      </c>
    </row>
    <row r="329">
      <c r="A329" s="61" t="s">
        <v>47</v>
      </c>
      <c r="B329" s="61" t="s">
        <v>2073</v>
      </c>
      <c r="C329" s="61" t="s">
        <v>72</v>
      </c>
      <c r="D329" s="61" t="s">
        <v>3968</v>
      </c>
      <c r="E329" s="61" t="s">
        <v>2074</v>
      </c>
      <c r="F329" s="61" t="s">
        <v>4424</v>
      </c>
      <c r="H329" s="61" t="s">
        <v>5088</v>
      </c>
    </row>
    <row r="330">
      <c r="A330" s="61" t="s">
        <v>22</v>
      </c>
      <c r="B330" s="61" t="s">
        <v>1763</v>
      </c>
      <c r="C330" s="61" t="s">
        <v>72</v>
      </c>
      <c r="D330" s="61" t="s">
        <v>5089</v>
      </c>
      <c r="E330" s="61" t="s">
        <v>1954</v>
      </c>
      <c r="F330" s="61" t="s">
        <v>4202</v>
      </c>
      <c r="H330" s="61" t="s">
        <v>5090</v>
      </c>
    </row>
    <row r="331">
      <c r="A331" s="61" t="s">
        <v>47</v>
      </c>
      <c r="B331" s="61" t="s">
        <v>2223</v>
      </c>
      <c r="C331" s="61" t="s">
        <v>72</v>
      </c>
      <c r="D331" s="61" t="s">
        <v>5091</v>
      </c>
      <c r="E331" s="61" t="s">
        <v>2224</v>
      </c>
      <c r="F331" s="61" t="s">
        <v>4829</v>
      </c>
      <c r="G331" s="61" t="s">
        <v>5092</v>
      </c>
      <c r="H331" s="61" t="s">
        <v>5093</v>
      </c>
    </row>
    <row r="332">
      <c r="A332" s="61" t="s">
        <v>14</v>
      </c>
      <c r="B332" s="61" t="s">
        <v>1423</v>
      </c>
      <c r="C332" s="61" t="s">
        <v>72</v>
      </c>
      <c r="D332" s="61" t="s">
        <v>3968</v>
      </c>
      <c r="E332" s="61" t="s">
        <v>1425</v>
      </c>
      <c r="F332" s="61" t="s">
        <v>4132</v>
      </c>
      <c r="G332" s="61" t="s">
        <v>5094</v>
      </c>
      <c r="H332" s="61" t="s">
        <v>5095</v>
      </c>
    </row>
    <row r="333">
      <c r="A333" s="61" t="s">
        <v>16</v>
      </c>
      <c r="B333" s="61" t="s">
        <v>1231</v>
      </c>
      <c r="C333" s="61" t="s">
        <v>72</v>
      </c>
      <c r="D333" s="61" t="s">
        <v>5096</v>
      </c>
      <c r="E333" s="61" t="s">
        <v>1132</v>
      </c>
      <c r="F333" s="61" t="s">
        <v>5097</v>
      </c>
      <c r="H333" s="61" t="s">
        <v>5098</v>
      </c>
    </row>
    <row r="334">
      <c r="A334" s="61" t="s">
        <v>47</v>
      </c>
      <c r="B334" s="61" t="s">
        <v>2236</v>
      </c>
      <c r="C334" s="61" t="s">
        <v>72</v>
      </c>
      <c r="D334" s="61" t="s">
        <v>5099</v>
      </c>
      <c r="E334" s="61" t="s">
        <v>2237</v>
      </c>
      <c r="F334" s="61" t="s">
        <v>4128</v>
      </c>
      <c r="G334" s="61" t="s">
        <v>5100</v>
      </c>
      <c r="H334" s="61" t="s">
        <v>5101</v>
      </c>
    </row>
    <row r="335">
      <c r="A335" s="61" t="s">
        <v>14</v>
      </c>
      <c r="B335" s="61" t="s">
        <v>1029</v>
      </c>
      <c r="C335" s="61" t="s">
        <v>72</v>
      </c>
      <c r="D335" s="61" t="s">
        <v>4143</v>
      </c>
      <c r="E335" s="61" t="s">
        <v>1115</v>
      </c>
      <c r="F335" s="61" t="s">
        <v>5102</v>
      </c>
      <c r="G335" s="61" t="s">
        <v>5103</v>
      </c>
      <c r="H335" s="61" t="s">
        <v>5104</v>
      </c>
    </row>
    <row r="336">
      <c r="A336" s="61" t="s">
        <v>10</v>
      </c>
      <c r="B336" s="61" t="s">
        <v>1510</v>
      </c>
      <c r="C336" s="61" t="s">
        <v>72</v>
      </c>
      <c r="D336" s="61" t="s">
        <v>5105</v>
      </c>
      <c r="E336" s="61" t="s">
        <v>1890</v>
      </c>
      <c r="F336" s="61" t="s">
        <v>5106</v>
      </c>
      <c r="G336" s="61" t="s">
        <v>5107</v>
      </c>
      <c r="H336" s="61" t="s">
        <v>5108</v>
      </c>
    </row>
    <row r="337">
      <c r="A337" s="61" t="s">
        <v>47</v>
      </c>
      <c r="B337" s="61" t="s">
        <v>2497</v>
      </c>
      <c r="C337" s="61" t="s">
        <v>72</v>
      </c>
      <c r="D337" s="61" t="s">
        <v>5109</v>
      </c>
      <c r="E337" s="61" t="s">
        <v>2029</v>
      </c>
      <c r="F337" s="61" t="s">
        <v>4290</v>
      </c>
      <c r="G337" s="61" t="s">
        <v>5110</v>
      </c>
      <c r="H337" s="61" t="s">
        <v>5111</v>
      </c>
    </row>
    <row r="338">
      <c r="A338" s="61" t="s">
        <v>14</v>
      </c>
      <c r="B338" s="61" t="s">
        <v>1909</v>
      </c>
      <c r="C338" s="61" t="s">
        <v>72</v>
      </c>
      <c r="D338" s="61" t="s">
        <v>5112</v>
      </c>
      <c r="E338" s="61" t="s">
        <v>1910</v>
      </c>
      <c r="F338" s="61" t="s">
        <v>5077</v>
      </c>
      <c r="G338" s="61" t="s">
        <v>5113</v>
      </c>
      <c r="H338" s="61" t="s">
        <v>5114</v>
      </c>
    </row>
    <row r="339">
      <c r="A339" s="61" t="s">
        <v>14</v>
      </c>
      <c r="B339" s="61" t="s">
        <v>1539</v>
      </c>
      <c r="C339" s="61" t="s">
        <v>72</v>
      </c>
      <c r="D339" s="61" t="s">
        <v>5115</v>
      </c>
      <c r="E339" s="61" t="s">
        <v>1107</v>
      </c>
      <c r="F339" s="61" t="s">
        <v>5116</v>
      </c>
      <c r="G339" s="61" t="s">
        <v>5117</v>
      </c>
      <c r="H339" s="61" t="s">
        <v>5118</v>
      </c>
    </row>
    <row r="340">
      <c r="A340" s="61" t="s">
        <v>14</v>
      </c>
      <c r="B340" s="61" t="s">
        <v>1042</v>
      </c>
      <c r="C340" s="61" t="s">
        <v>1043</v>
      </c>
      <c r="D340" s="61" t="s">
        <v>4147</v>
      </c>
      <c r="E340" s="61" t="s">
        <v>1043</v>
      </c>
      <c r="F340" s="61" t="s">
        <v>5119</v>
      </c>
      <c r="H340" s="61" t="s">
        <v>5120</v>
      </c>
    </row>
    <row r="341">
      <c r="A341" s="61" t="s">
        <v>47</v>
      </c>
      <c r="B341" s="61" t="s">
        <v>2683</v>
      </c>
      <c r="C341" s="61" t="s">
        <v>72</v>
      </c>
      <c r="D341" s="61" t="s">
        <v>4417</v>
      </c>
      <c r="E341" s="61" t="s">
        <v>2684</v>
      </c>
      <c r="F341" s="61" t="s">
        <v>4428</v>
      </c>
      <c r="H341" s="61" t="s">
        <v>5121</v>
      </c>
    </row>
    <row r="342">
      <c r="A342" s="61" t="s">
        <v>16</v>
      </c>
      <c r="B342" s="61" t="s">
        <v>2680</v>
      </c>
      <c r="C342" s="61" t="s">
        <v>72</v>
      </c>
      <c r="D342" s="61" t="s">
        <v>5122</v>
      </c>
      <c r="E342" s="61" t="s">
        <v>2681</v>
      </c>
      <c r="F342" s="61" t="s">
        <v>5123</v>
      </c>
      <c r="H342" s="61" t="s">
        <v>5124</v>
      </c>
    </row>
    <row r="343">
      <c r="A343" s="61" t="s">
        <v>28</v>
      </c>
      <c r="B343" s="61" t="s">
        <v>1079</v>
      </c>
      <c r="C343" s="61" t="s">
        <v>72</v>
      </c>
      <c r="D343" s="61" t="s">
        <v>5125</v>
      </c>
      <c r="E343" s="61" t="s">
        <v>1081</v>
      </c>
      <c r="F343" s="61" t="s">
        <v>5126</v>
      </c>
      <c r="H343" s="61" t="s">
        <v>5127</v>
      </c>
    </row>
    <row r="344">
      <c r="A344" s="61" t="s">
        <v>14</v>
      </c>
      <c r="B344" s="61" t="s">
        <v>2384</v>
      </c>
      <c r="C344" s="61" t="s">
        <v>72</v>
      </c>
      <c r="D344" s="61" t="s">
        <v>5128</v>
      </c>
      <c r="E344" s="61" t="s">
        <v>1020</v>
      </c>
      <c r="F344" s="61" t="s">
        <v>5129</v>
      </c>
      <c r="G344" s="61" t="s">
        <v>5130</v>
      </c>
      <c r="H344" s="61" t="s">
        <v>5131</v>
      </c>
    </row>
    <row r="345">
      <c r="A345" s="61" t="s">
        <v>33</v>
      </c>
      <c r="B345" s="61" t="s">
        <v>2686</v>
      </c>
      <c r="C345" s="61" t="s">
        <v>54</v>
      </c>
      <c r="D345" s="61" t="s">
        <v>5132</v>
      </c>
      <c r="E345" s="61" t="s">
        <v>54</v>
      </c>
      <c r="F345" s="61" t="s">
        <v>4758</v>
      </c>
      <c r="H345" s="61" t="s">
        <v>5133</v>
      </c>
    </row>
    <row r="346">
      <c r="A346" s="61" t="s">
        <v>14</v>
      </c>
      <c r="B346" s="61" t="s">
        <v>2295</v>
      </c>
      <c r="C346" s="61" t="s">
        <v>72</v>
      </c>
      <c r="D346" s="61" t="s">
        <v>5134</v>
      </c>
      <c r="E346" s="61" t="s">
        <v>1270</v>
      </c>
      <c r="F346" s="61" t="s">
        <v>5135</v>
      </c>
      <c r="G346" s="61" t="s">
        <v>5136</v>
      </c>
      <c r="H346" s="61" t="s">
        <v>5137</v>
      </c>
    </row>
    <row r="347">
      <c r="A347" s="61" t="s">
        <v>47</v>
      </c>
      <c r="B347" s="61" t="s">
        <v>2689</v>
      </c>
      <c r="C347" s="61" t="s">
        <v>72</v>
      </c>
      <c r="D347" s="61" t="s">
        <v>4209</v>
      </c>
      <c r="E347" s="61" t="s">
        <v>1209</v>
      </c>
      <c r="F347" s="61" t="s">
        <v>4220</v>
      </c>
      <c r="H347" s="61" t="s">
        <v>5138</v>
      </c>
    </row>
    <row r="348">
      <c r="A348" s="61" t="s">
        <v>22</v>
      </c>
      <c r="B348" s="61" t="s">
        <v>2692</v>
      </c>
      <c r="C348" s="61" t="s">
        <v>1273</v>
      </c>
      <c r="D348" s="61" t="s">
        <v>5139</v>
      </c>
      <c r="E348" s="61" t="s">
        <v>2668</v>
      </c>
      <c r="F348" s="61" t="s">
        <v>5140</v>
      </c>
      <c r="H348" s="61" t="s">
        <v>5141</v>
      </c>
    </row>
    <row r="349">
      <c r="A349" s="61" t="s">
        <v>25</v>
      </c>
      <c r="B349" s="61" t="s">
        <v>1312</v>
      </c>
      <c r="C349" s="61" t="s">
        <v>72</v>
      </c>
      <c r="D349" s="61" t="s">
        <v>4519</v>
      </c>
      <c r="E349" s="61" t="s">
        <v>1314</v>
      </c>
      <c r="F349" s="61" t="s">
        <v>5142</v>
      </c>
      <c r="H349" s="61" t="s">
        <v>5143</v>
      </c>
    </row>
    <row r="350">
      <c r="A350" s="61" t="s">
        <v>14</v>
      </c>
      <c r="B350" s="61" t="s">
        <v>2694</v>
      </c>
      <c r="C350" s="61" t="s">
        <v>72</v>
      </c>
      <c r="D350" s="61" t="s">
        <v>4219</v>
      </c>
      <c r="E350" s="61" t="s">
        <v>1047</v>
      </c>
      <c r="F350" s="61" t="s">
        <v>5144</v>
      </c>
      <c r="H350" s="61" t="s">
        <v>5145</v>
      </c>
    </row>
    <row r="351">
      <c r="A351" s="61" t="s">
        <v>14</v>
      </c>
      <c r="B351" s="61" t="s">
        <v>1303</v>
      </c>
      <c r="C351" s="61" t="s">
        <v>1043</v>
      </c>
      <c r="D351" s="61" t="s">
        <v>5146</v>
      </c>
      <c r="E351" s="61" t="s">
        <v>1093</v>
      </c>
      <c r="F351" s="61" t="s">
        <v>4299</v>
      </c>
      <c r="H351" s="61" t="s">
        <v>5147</v>
      </c>
    </row>
    <row r="352">
      <c r="A352" s="61" t="s">
        <v>14</v>
      </c>
      <c r="B352" s="61" t="s">
        <v>1681</v>
      </c>
      <c r="C352" s="61" t="s">
        <v>1043</v>
      </c>
      <c r="D352" s="61" t="s">
        <v>5148</v>
      </c>
      <c r="E352" s="61" t="s">
        <v>1683</v>
      </c>
      <c r="F352" s="61" t="s">
        <v>4132</v>
      </c>
      <c r="H352" s="61" t="s">
        <v>5149</v>
      </c>
    </row>
    <row r="353">
      <c r="A353" s="61" t="s">
        <v>17</v>
      </c>
      <c r="B353" s="61" t="s">
        <v>2695</v>
      </c>
      <c r="C353" s="61" t="s">
        <v>72</v>
      </c>
      <c r="D353" s="61" t="s">
        <v>4367</v>
      </c>
      <c r="E353" s="61" t="s">
        <v>2696</v>
      </c>
      <c r="F353" s="61" t="s">
        <v>4132</v>
      </c>
      <c r="H353" s="61" t="s">
        <v>5150</v>
      </c>
    </row>
    <row r="354">
      <c r="A354" s="61" t="s">
        <v>47</v>
      </c>
      <c r="B354" s="61" t="s">
        <v>1395</v>
      </c>
      <c r="C354" s="61" t="s">
        <v>1273</v>
      </c>
      <c r="D354" s="61" t="s">
        <v>5151</v>
      </c>
      <c r="E354" s="61" t="s">
        <v>1367</v>
      </c>
      <c r="F354" s="61" t="s">
        <v>4424</v>
      </c>
      <c r="H354" s="61" t="s">
        <v>5152</v>
      </c>
    </row>
    <row r="355">
      <c r="A355" s="61" t="s">
        <v>14</v>
      </c>
      <c r="B355" s="61" t="s">
        <v>1610</v>
      </c>
      <c r="C355" s="61" t="s">
        <v>72</v>
      </c>
      <c r="D355" s="61" t="s">
        <v>5153</v>
      </c>
      <c r="E355" s="61" t="s">
        <v>1047</v>
      </c>
      <c r="F355" s="61" t="s">
        <v>4381</v>
      </c>
      <c r="H355" s="61" t="s">
        <v>5154</v>
      </c>
    </row>
    <row r="356">
      <c r="A356" s="61" t="s">
        <v>14</v>
      </c>
      <c r="B356" s="61" t="s">
        <v>1608</v>
      </c>
      <c r="C356" s="61" t="s">
        <v>1043</v>
      </c>
      <c r="D356" s="61" t="s">
        <v>5155</v>
      </c>
      <c r="E356" s="61" t="s">
        <v>1043</v>
      </c>
      <c r="F356" s="61" t="s">
        <v>5156</v>
      </c>
      <c r="H356" s="61" t="s">
        <v>5157</v>
      </c>
    </row>
    <row r="357">
      <c r="A357" s="61" t="s">
        <v>30</v>
      </c>
      <c r="B357" s="61" t="s">
        <v>1323</v>
      </c>
      <c r="C357" s="61" t="s">
        <v>72</v>
      </c>
      <c r="D357" s="61" t="s">
        <v>4413</v>
      </c>
      <c r="E357" s="61" t="s">
        <v>1460</v>
      </c>
      <c r="F357" s="61" t="s">
        <v>5158</v>
      </c>
      <c r="H357" s="61" t="s">
        <v>5159</v>
      </c>
    </row>
    <row r="358">
      <c r="A358" s="61" t="s">
        <v>14</v>
      </c>
      <c r="B358" s="61" t="s">
        <v>2049</v>
      </c>
      <c r="C358" s="61" t="s">
        <v>72</v>
      </c>
      <c r="D358" s="61" t="s">
        <v>5160</v>
      </c>
      <c r="E358" s="61" t="s">
        <v>1256</v>
      </c>
      <c r="F358" s="61" t="s">
        <v>4829</v>
      </c>
      <c r="H358" s="61" t="s">
        <v>5161</v>
      </c>
    </row>
    <row r="359">
      <c r="A359" s="61" t="s">
        <v>16</v>
      </c>
      <c r="B359" s="61" t="s">
        <v>1505</v>
      </c>
      <c r="C359" s="61" t="s">
        <v>72</v>
      </c>
      <c r="D359" s="61" t="s">
        <v>5162</v>
      </c>
      <c r="E359" s="61" t="s">
        <v>1506</v>
      </c>
      <c r="F359" s="61" t="s">
        <v>5163</v>
      </c>
      <c r="H359" s="61" t="s">
        <v>5164</v>
      </c>
    </row>
    <row r="360">
      <c r="A360" s="61" t="s">
        <v>14</v>
      </c>
      <c r="B360" s="61" t="s">
        <v>1694</v>
      </c>
      <c r="C360" s="61" t="s">
        <v>72</v>
      </c>
      <c r="D360" s="61" t="s">
        <v>5165</v>
      </c>
      <c r="E360" s="61" t="s">
        <v>1256</v>
      </c>
      <c r="F360" s="61" t="s">
        <v>5166</v>
      </c>
      <c r="H360" s="61" t="s">
        <v>5167</v>
      </c>
    </row>
    <row r="361">
      <c r="A361" s="61" t="s">
        <v>14</v>
      </c>
      <c r="B361" s="61" t="s">
        <v>1941</v>
      </c>
      <c r="C361" s="61" t="s">
        <v>72</v>
      </c>
      <c r="D361" s="61" t="s">
        <v>4143</v>
      </c>
      <c r="E361" s="61" t="s">
        <v>1256</v>
      </c>
      <c r="F361" s="61" t="s">
        <v>5168</v>
      </c>
      <c r="H361" s="61" t="s">
        <v>5169</v>
      </c>
    </row>
    <row r="362">
      <c r="A362" s="61" t="s">
        <v>22</v>
      </c>
      <c r="B362" s="61" t="s">
        <v>1445</v>
      </c>
      <c r="C362" s="61" t="s">
        <v>72</v>
      </c>
      <c r="D362" s="61" t="s">
        <v>5170</v>
      </c>
      <c r="E362" s="61" t="s">
        <v>1673</v>
      </c>
      <c r="F362" s="61" t="s">
        <v>5171</v>
      </c>
      <c r="G362" s="61" t="s">
        <v>5172</v>
      </c>
      <c r="H362" s="61" t="s">
        <v>5173</v>
      </c>
    </row>
    <row r="363">
      <c r="A363" s="61" t="s">
        <v>14</v>
      </c>
      <c r="B363" s="61" t="s">
        <v>1773</v>
      </c>
      <c r="C363" s="61" t="s">
        <v>72</v>
      </c>
      <c r="D363" s="61" t="s">
        <v>4279</v>
      </c>
      <c r="E363" s="61" t="s">
        <v>1107</v>
      </c>
      <c r="F363" s="61" t="s">
        <v>4132</v>
      </c>
      <c r="H363" s="61" t="s">
        <v>5174</v>
      </c>
    </row>
    <row r="364">
      <c r="A364" s="61" t="s">
        <v>14</v>
      </c>
      <c r="B364" s="61" t="s">
        <v>2037</v>
      </c>
      <c r="C364" s="61" t="s">
        <v>72</v>
      </c>
      <c r="D364" s="61" t="s">
        <v>4134</v>
      </c>
      <c r="E364" s="61" t="s">
        <v>1107</v>
      </c>
      <c r="F364" s="61" t="s">
        <v>4132</v>
      </c>
      <c r="G364" s="61" t="s">
        <v>5175</v>
      </c>
      <c r="H364" s="61" t="s">
        <v>5176</v>
      </c>
    </row>
    <row r="365">
      <c r="A365" s="61" t="s">
        <v>28</v>
      </c>
      <c r="B365" s="61" t="s">
        <v>2714</v>
      </c>
      <c r="C365" s="61" t="s">
        <v>72</v>
      </c>
      <c r="D365" s="61" t="s">
        <v>4209</v>
      </c>
      <c r="E365" s="61" t="s">
        <v>2715</v>
      </c>
      <c r="F365" s="61" t="s">
        <v>5177</v>
      </c>
      <c r="H365" s="61" t="s">
        <v>5178</v>
      </c>
    </row>
    <row r="366">
      <c r="A366" s="61" t="s">
        <v>14</v>
      </c>
      <c r="B366" s="61" t="s">
        <v>1690</v>
      </c>
      <c r="C366" s="61" t="s">
        <v>1043</v>
      </c>
      <c r="D366" s="61" t="s">
        <v>5179</v>
      </c>
      <c r="E366" s="61" t="s">
        <v>1050</v>
      </c>
      <c r="F366" s="61" t="s">
        <v>5180</v>
      </c>
      <c r="H366" s="61" t="s">
        <v>5181</v>
      </c>
    </row>
    <row r="367">
      <c r="A367" s="61" t="s">
        <v>14</v>
      </c>
      <c r="B367" s="61" t="s">
        <v>1049</v>
      </c>
      <c r="C367" s="61" t="s">
        <v>1043</v>
      </c>
      <c r="D367" s="61" t="s">
        <v>4147</v>
      </c>
      <c r="E367" s="61" t="s">
        <v>1050</v>
      </c>
      <c r="F367" s="61" t="s">
        <v>4132</v>
      </c>
      <c r="H367" s="61" t="s">
        <v>5182</v>
      </c>
    </row>
    <row r="368">
      <c r="A368" s="61" t="s">
        <v>25</v>
      </c>
      <c r="B368" s="61" t="s">
        <v>1100</v>
      </c>
      <c r="C368" s="61" t="s">
        <v>72</v>
      </c>
      <c r="D368" s="61" t="s">
        <v>4315</v>
      </c>
      <c r="E368" s="61" t="s">
        <v>1673</v>
      </c>
      <c r="F368" s="61" t="s">
        <v>4424</v>
      </c>
      <c r="G368" s="61" t="s">
        <v>5183</v>
      </c>
      <c r="H368" s="61" t="s">
        <v>5184</v>
      </c>
    </row>
    <row r="369">
      <c r="A369" s="61" t="s">
        <v>28</v>
      </c>
      <c r="B369" s="61" t="s">
        <v>1070</v>
      </c>
      <c r="C369" s="61" t="s">
        <v>72</v>
      </c>
      <c r="D369" s="61" t="s">
        <v>3975</v>
      </c>
      <c r="E369" s="61" t="s">
        <v>1072</v>
      </c>
      <c r="F369" s="61" t="s">
        <v>5158</v>
      </c>
      <c r="H369" s="61" t="s">
        <v>5185</v>
      </c>
    </row>
    <row r="370">
      <c r="A370" s="61" t="s">
        <v>22</v>
      </c>
      <c r="B370" s="61" t="s">
        <v>1118</v>
      </c>
      <c r="C370" s="61" t="s">
        <v>72</v>
      </c>
      <c r="D370" s="61" t="s">
        <v>5186</v>
      </c>
      <c r="E370" s="61" t="s">
        <v>1120</v>
      </c>
      <c r="F370" s="61" t="s">
        <v>5187</v>
      </c>
      <c r="H370" s="61" t="s">
        <v>5188</v>
      </c>
    </row>
    <row r="371">
      <c r="A371" s="61" t="s">
        <v>17</v>
      </c>
      <c r="B371" s="61" t="s">
        <v>1811</v>
      </c>
      <c r="C371" s="61" t="s">
        <v>72</v>
      </c>
      <c r="D371" s="61" t="s">
        <v>5189</v>
      </c>
      <c r="E371" s="61" t="s">
        <v>1812</v>
      </c>
      <c r="F371" s="61" t="s">
        <v>5190</v>
      </c>
      <c r="H371" s="61" t="s">
        <v>5191</v>
      </c>
    </row>
    <row r="372">
      <c r="A372" s="61" t="s">
        <v>14</v>
      </c>
      <c r="B372" s="61" t="s">
        <v>1724</v>
      </c>
      <c r="C372" s="61" t="s">
        <v>72</v>
      </c>
      <c r="D372" s="61" t="s">
        <v>4209</v>
      </c>
      <c r="E372" s="61" t="s">
        <v>1256</v>
      </c>
      <c r="F372" s="61" t="s">
        <v>4132</v>
      </c>
      <c r="H372" s="61" t="s">
        <v>5192</v>
      </c>
    </row>
    <row r="373">
      <c r="A373" s="61" t="s">
        <v>14</v>
      </c>
      <c r="B373" s="61" t="s">
        <v>2056</v>
      </c>
      <c r="C373" s="61" t="s">
        <v>72</v>
      </c>
      <c r="D373" s="61" t="s">
        <v>5193</v>
      </c>
      <c r="E373" s="61" t="s">
        <v>1256</v>
      </c>
      <c r="F373" s="61" t="s">
        <v>4410</v>
      </c>
      <c r="G373" s="61" t="s">
        <v>5194</v>
      </c>
      <c r="H373" s="61" t="s">
        <v>5195</v>
      </c>
    </row>
    <row r="374">
      <c r="A374" s="61" t="s">
        <v>33</v>
      </c>
      <c r="B374" s="61" t="s">
        <v>1473</v>
      </c>
      <c r="C374" s="61" t="s">
        <v>72</v>
      </c>
      <c r="D374" s="61" t="s">
        <v>3538</v>
      </c>
      <c r="E374" s="61" t="s">
        <v>1128</v>
      </c>
      <c r="F374" s="61" t="s">
        <v>4202</v>
      </c>
      <c r="H374" s="61" t="s">
        <v>5196</v>
      </c>
    </row>
    <row r="375">
      <c r="A375" s="61" t="s">
        <v>14</v>
      </c>
      <c r="B375" s="61" t="s">
        <v>1392</v>
      </c>
      <c r="C375" s="61" t="s">
        <v>1043</v>
      </c>
      <c r="D375" s="61" t="s">
        <v>5197</v>
      </c>
      <c r="E375" s="61" t="s">
        <v>1043</v>
      </c>
      <c r="F375" s="61" t="s">
        <v>5198</v>
      </c>
      <c r="H375" s="61" t="s">
        <v>5199</v>
      </c>
    </row>
    <row r="376">
      <c r="A376" s="61" t="s">
        <v>22</v>
      </c>
      <c r="B376" s="61" t="s">
        <v>1276</v>
      </c>
      <c r="C376" s="61" t="s">
        <v>72</v>
      </c>
      <c r="D376" s="61" t="s">
        <v>4004</v>
      </c>
      <c r="E376" s="61" t="s">
        <v>1120</v>
      </c>
      <c r="F376" s="61" t="s">
        <v>5200</v>
      </c>
      <c r="H376" s="61" t="s">
        <v>5201</v>
      </c>
    </row>
    <row r="377">
      <c r="A377" s="61" t="s">
        <v>14</v>
      </c>
      <c r="B377" s="61" t="s">
        <v>1486</v>
      </c>
      <c r="C377" s="61" t="s">
        <v>72</v>
      </c>
      <c r="D377" s="61" t="s">
        <v>4409</v>
      </c>
      <c r="E377" s="61" t="s">
        <v>1921</v>
      </c>
      <c r="F377" s="61" t="s">
        <v>5202</v>
      </c>
      <c r="G377" s="61" t="s">
        <v>5203</v>
      </c>
      <c r="H377" s="61" t="s">
        <v>5204</v>
      </c>
    </row>
    <row r="378">
      <c r="A378" s="61" t="s">
        <v>33</v>
      </c>
      <c r="B378" s="61" t="s">
        <v>1564</v>
      </c>
      <c r="C378" s="61" t="s">
        <v>72</v>
      </c>
      <c r="D378" s="61" t="s">
        <v>5205</v>
      </c>
      <c r="E378" s="61" t="s">
        <v>1566</v>
      </c>
      <c r="F378" s="61" t="s">
        <v>4128</v>
      </c>
      <c r="H378" s="61" t="s">
        <v>5206</v>
      </c>
    </row>
    <row r="379">
      <c r="A379" s="61" t="s">
        <v>21</v>
      </c>
      <c r="B379" s="61" t="s">
        <v>1663</v>
      </c>
      <c r="C379" s="61" t="s">
        <v>1043</v>
      </c>
      <c r="D379" s="61" t="s">
        <v>4337</v>
      </c>
      <c r="E379" s="61" t="s">
        <v>1150</v>
      </c>
      <c r="F379" s="61" t="s">
        <v>5207</v>
      </c>
      <c r="H379" s="61" t="s">
        <v>5208</v>
      </c>
    </row>
    <row r="380">
      <c r="A380" s="61" t="s">
        <v>21</v>
      </c>
      <c r="B380" s="61" t="s">
        <v>1852</v>
      </c>
      <c r="C380" s="61" t="s">
        <v>1043</v>
      </c>
      <c r="D380" s="61" t="s">
        <v>5209</v>
      </c>
      <c r="E380" s="61" t="s">
        <v>1853</v>
      </c>
      <c r="F380" s="61" t="s">
        <v>5210</v>
      </c>
      <c r="G380" s="61" t="s">
        <v>5211</v>
      </c>
      <c r="H380" s="61" t="s">
        <v>5212</v>
      </c>
    </row>
    <row r="381">
      <c r="A381" s="61" t="s">
        <v>21</v>
      </c>
      <c r="B381" s="61" t="s">
        <v>1631</v>
      </c>
      <c r="C381" s="61" t="s">
        <v>1043</v>
      </c>
      <c r="D381" s="61" t="s">
        <v>5213</v>
      </c>
      <c r="E381" s="61" t="s">
        <v>1150</v>
      </c>
      <c r="F381" s="61" t="s">
        <v>4132</v>
      </c>
      <c r="H381" s="61" t="s">
        <v>5214</v>
      </c>
    </row>
    <row r="382">
      <c r="A382" s="61" t="s">
        <v>21</v>
      </c>
      <c r="B382" s="61" t="s">
        <v>1528</v>
      </c>
      <c r="C382" s="61" t="s">
        <v>1043</v>
      </c>
      <c r="D382" s="61" t="s">
        <v>5215</v>
      </c>
      <c r="E382" s="61" t="s">
        <v>1150</v>
      </c>
      <c r="F382" s="61" t="s">
        <v>5216</v>
      </c>
      <c r="H382" s="61" t="s">
        <v>5217</v>
      </c>
    </row>
    <row r="383">
      <c r="A383" s="61" t="s">
        <v>14</v>
      </c>
      <c r="B383" s="61" t="s">
        <v>2102</v>
      </c>
      <c r="C383" s="61" t="s">
        <v>72</v>
      </c>
      <c r="D383" s="61" t="s">
        <v>5218</v>
      </c>
      <c r="E383" s="61" t="s">
        <v>1146</v>
      </c>
      <c r="F383" s="61" t="s">
        <v>4266</v>
      </c>
      <c r="G383" s="61" t="s">
        <v>5219</v>
      </c>
      <c r="H383" s="61" t="s">
        <v>5220</v>
      </c>
    </row>
    <row r="384">
      <c r="A384" s="61" t="s">
        <v>21</v>
      </c>
      <c r="B384" s="61" t="s">
        <v>1741</v>
      </c>
      <c r="C384" s="61" t="s">
        <v>1043</v>
      </c>
      <c r="D384" s="61" t="s">
        <v>5221</v>
      </c>
      <c r="E384" s="61" t="s">
        <v>1150</v>
      </c>
      <c r="F384" s="61" t="s">
        <v>4617</v>
      </c>
      <c r="H384" s="61" t="s">
        <v>5222</v>
      </c>
    </row>
    <row r="385">
      <c r="A385" s="61" t="s">
        <v>21</v>
      </c>
      <c r="B385" s="61" t="s">
        <v>1149</v>
      </c>
      <c r="C385" s="61" t="s">
        <v>1043</v>
      </c>
      <c r="D385" s="61" t="s">
        <v>5223</v>
      </c>
      <c r="E385" s="61" t="s">
        <v>1150</v>
      </c>
      <c r="F385" s="61" t="s">
        <v>4162</v>
      </c>
      <c r="H385" s="61" t="s">
        <v>5224</v>
      </c>
    </row>
    <row r="386">
      <c r="A386" s="61" t="s">
        <v>14</v>
      </c>
      <c r="B386" s="61" t="s">
        <v>1331</v>
      </c>
      <c r="C386" s="61" t="s">
        <v>72</v>
      </c>
      <c r="D386" s="61" t="s">
        <v>4626</v>
      </c>
      <c r="E386" s="61" t="s">
        <v>1115</v>
      </c>
      <c r="F386" s="61" t="s">
        <v>4331</v>
      </c>
      <c r="H386" s="61" t="s">
        <v>5225</v>
      </c>
    </row>
    <row r="387">
      <c r="A387" s="61" t="s">
        <v>36</v>
      </c>
      <c r="B387" s="61" t="s">
        <v>1824</v>
      </c>
      <c r="C387" s="61" t="s">
        <v>1043</v>
      </c>
      <c r="D387" s="61" t="s">
        <v>4005</v>
      </c>
      <c r="E387" s="61" t="s">
        <v>1825</v>
      </c>
      <c r="F387" s="61" t="s">
        <v>4700</v>
      </c>
      <c r="H387" s="61" t="s">
        <v>5226</v>
      </c>
    </row>
    <row r="388">
      <c r="A388" s="61" t="s">
        <v>14</v>
      </c>
      <c r="B388" s="61" t="s">
        <v>1387</v>
      </c>
      <c r="C388" s="61" t="s">
        <v>1043</v>
      </c>
      <c r="D388" s="61" t="s">
        <v>5227</v>
      </c>
      <c r="E388" s="61" t="s">
        <v>1388</v>
      </c>
      <c r="F388" s="61" t="s">
        <v>5228</v>
      </c>
      <c r="H388" s="61" t="s">
        <v>5229</v>
      </c>
    </row>
    <row r="389">
      <c r="A389" s="61" t="s">
        <v>22</v>
      </c>
      <c r="B389" s="61" t="s">
        <v>2727</v>
      </c>
      <c r="C389" s="61" t="s">
        <v>72</v>
      </c>
      <c r="D389" s="61" t="s">
        <v>4484</v>
      </c>
      <c r="E389" s="61" t="s">
        <v>1301</v>
      </c>
      <c r="F389" s="61" t="s">
        <v>5230</v>
      </c>
      <c r="H389" s="61" t="s">
        <v>5231</v>
      </c>
    </row>
    <row r="390">
      <c r="A390" s="61" t="s">
        <v>30</v>
      </c>
      <c r="B390" s="61" t="s">
        <v>2723</v>
      </c>
      <c r="C390" s="61" t="s">
        <v>72</v>
      </c>
      <c r="D390" s="61" t="s">
        <v>3977</v>
      </c>
      <c r="E390" s="61" t="s">
        <v>2725</v>
      </c>
      <c r="F390" s="61" t="s">
        <v>4331</v>
      </c>
      <c r="H390" s="61" t="s">
        <v>5232</v>
      </c>
    </row>
    <row r="391">
      <c r="A391" s="61" t="s">
        <v>14</v>
      </c>
      <c r="B391" s="61" t="s">
        <v>1536</v>
      </c>
      <c r="C391" s="61" t="s">
        <v>1043</v>
      </c>
      <c r="D391" s="61" t="s">
        <v>5233</v>
      </c>
      <c r="E391" s="61" t="s">
        <v>1448</v>
      </c>
      <c r="F391" s="61" t="s">
        <v>4128</v>
      </c>
      <c r="H391" s="61" t="s">
        <v>5234</v>
      </c>
    </row>
    <row r="392">
      <c r="A392" s="61" t="s">
        <v>21</v>
      </c>
      <c r="B392" s="61" t="s">
        <v>1342</v>
      </c>
      <c r="C392" s="61" t="s">
        <v>72</v>
      </c>
      <c r="D392" s="61" t="s">
        <v>3983</v>
      </c>
      <c r="E392" s="61" t="s">
        <v>1052</v>
      </c>
      <c r="F392" s="61" t="s">
        <v>5235</v>
      </c>
      <c r="G392" s="61" t="s">
        <v>5236</v>
      </c>
      <c r="H392" s="61" t="s">
        <v>5237</v>
      </c>
    </row>
    <row r="393">
      <c r="A393" s="61" t="s">
        <v>14</v>
      </c>
      <c r="B393" s="61" t="s">
        <v>1295</v>
      </c>
      <c r="C393" s="61" t="s">
        <v>72</v>
      </c>
      <c r="D393" s="61" t="s">
        <v>5146</v>
      </c>
      <c r="E393" s="61" t="s">
        <v>1199</v>
      </c>
      <c r="F393" s="61" t="s">
        <v>5238</v>
      </c>
      <c r="H393" s="61" t="s">
        <v>5239</v>
      </c>
    </row>
    <row r="394">
      <c r="A394" s="61" t="s">
        <v>14</v>
      </c>
      <c r="B394" s="61" t="s">
        <v>1501</v>
      </c>
      <c r="C394" s="61" t="s">
        <v>72</v>
      </c>
      <c r="D394" s="61" t="s">
        <v>4609</v>
      </c>
      <c r="E394" s="61" t="s">
        <v>1199</v>
      </c>
      <c r="F394" s="61" t="s">
        <v>5240</v>
      </c>
      <c r="H394" s="61" t="s">
        <v>5241</v>
      </c>
    </row>
    <row r="395">
      <c r="A395" s="61" t="s">
        <v>14</v>
      </c>
      <c r="B395" s="61" t="s">
        <v>1031</v>
      </c>
      <c r="C395" s="61" t="s">
        <v>72</v>
      </c>
      <c r="D395" s="61" t="s">
        <v>5242</v>
      </c>
      <c r="E395" s="61" t="s">
        <v>1032</v>
      </c>
      <c r="F395" s="61" t="s">
        <v>4132</v>
      </c>
      <c r="H395" s="61" t="s">
        <v>5243</v>
      </c>
    </row>
    <row r="396">
      <c r="A396" s="61" t="s">
        <v>21</v>
      </c>
      <c r="B396" s="61" t="s">
        <v>2193</v>
      </c>
      <c r="C396" s="61" t="s">
        <v>72</v>
      </c>
      <c r="D396" s="61" t="s">
        <v>5244</v>
      </c>
      <c r="E396" s="61" t="s">
        <v>1097</v>
      </c>
      <c r="F396" s="61" t="s">
        <v>5245</v>
      </c>
      <c r="G396" s="61" t="s">
        <v>5244</v>
      </c>
      <c r="H396" s="61" t="s">
        <v>5246</v>
      </c>
    </row>
    <row r="397">
      <c r="A397" s="61" t="s">
        <v>14</v>
      </c>
      <c r="B397" s="61" t="s">
        <v>1251</v>
      </c>
      <c r="C397" s="61" t="s">
        <v>72</v>
      </c>
      <c r="D397" s="61" t="s">
        <v>5247</v>
      </c>
      <c r="E397" s="61" t="s">
        <v>1199</v>
      </c>
      <c r="F397" s="61" t="s">
        <v>5248</v>
      </c>
      <c r="H397" s="61" t="s">
        <v>5249</v>
      </c>
    </row>
    <row r="398">
      <c r="A398" s="61" t="s">
        <v>14</v>
      </c>
      <c r="B398" s="61" t="s">
        <v>1452</v>
      </c>
      <c r="C398" s="61" t="s">
        <v>72</v>
      </c>
      <c r="D398" s="61" t="s">
        <v>3994</v>
      </c>
      <c r="E398" s="61" t="s">
        <v>1199</v>
      </c>
      <c r="F398" s="61" t="s">
        <v>5250</v>
      </c>
      <c r="H398" s="61" t="s">
        <v>5251</v>
      </c>
    </row>
    <row r="399">
      <c r="A399" s="61" t="s">
        <v>21</v>
      </c>
      <c r="B399" s="61" t="s">
        <v>1854</v>
      </c>
      <c r="C399" s="61" t="s">
        <v>72</v>
      </c>
      <c r="D399" s="61" t="s">
        <v>4004</v>
      </c>
      <c r="E399" s="61" t="s">
        <v>1855</v>
      </c>
      <c r="F399" s="61" t="s">
        <v>5252</v>
      </c>
      <c r="G399" s="61" t="s">
        <v>5253</v>
      </c>
      <c r="H399" s="61" t="s">
        <v>5254</v>
      </c>
    </row>
    <row r="400">
      <c r="A400" s="61" t="s">
        <v>21</v>
      </c>
      <c r="B400" s="61" t="s">
        <v>1220</v>
      </c>
      <c r="C400" s="61" t="s">
        <v>72</v>
      </c>
      <c r="D400" s="61" t="s">
        <v>5255</v>
      </c>
      <c r="E400" s="61" t="s">
        <v>1052</v>
      </c>
      <c r="F400" s="61" t="s">
        <v>4428</v>
      </c>
      <c r="G400" s="61" t="s">
        <v>5256</v>
      </c>
      <c r="H400" s="61" t="s">
        <v>5257</v>
      </c>
    </row>
    <row r="401">
      <c r="A401" s="61" t="s">
        <v>21</v>
      </c>
      <c r="B401" s="61" t="s">
        <v>1923</v>
      </c>
      <c r="C401" s="61" t="s">
        <v>72</v>
      </c>
      <c r="D401" s="61" t="s">
        <v>5258</v>
      </c>
      <c r="E401" s="61" t="s">
        <v>1670</v>
      </c>
      <c r="F401" s="61" t="s">
        <v>5259</v>
      </c>
      <c r="G401" s="61" t="s">
        <v>5258</v>
      </c>
      <c r="H401" s="61" t="s">
        <v>5260</v>
      </c>
    </row>
    <row r="402">
      <c r="A402" s="61" t="s">
        <v>14</v>
      </c>
      <c r="B402" s="61" t="s">
        <v>1434</v>
      </c>
      <c r="C402" s="61" t="s">
        <v>72</v>
      </c>
      <c r="D402" s="61" t="s">
        <v>5261</v>
      </c>
      <c r="E402" s="61" t="s">
        <v>1020</v>
      </c>
      <c r="F402" s="61" t="s">
        <v>5262</v>
      </c>
      <c r="H402" s="61" t="s">
        <v>5263</v>
      </c>
    </row>
    <row r="403">
      <c r="A403" s="61" t="s">
        <v>30</v>
      </c>
      <c r="B403" s="61" t="s">
        <v>1089</v>
      </c>
      <c r="C403" s="61" t="s">
        <v>72</v>
      </c>
      <c r="D403" s="61" t="s">
        <v>5264</v>
      </c>
      <c r="E403" s="61" t="s">
        <v>2733</v>
      </c>
      <c r="F403" s="61" t="s">
        <v>5265</v>
      </c>
      <c r="H403" s="61" t="s">
        <v>5266</v>
      </c>
    </row>
    <row r="404">
      <c r="A404" s="61" t="s">
        <v>21</v>
      </c>
      <c r="B404" s="61" t="s">
        <v>1729</v>
      </c>
      <c r="C404" s="61" t="s">
        <v>72</v>
      </c>
      <c r="D404" s="61" t="s">
        <v>4209</v>
      </c>
      <c r="E404" s="61" t="s">
        <v>1730</v>
      </c>
      <c r="F404" s="61" t="s">
        <v>4829</v>
      </c>
      <c r="G404" s="61" t="s">
        <v>5267</v>
      </c>
      <c r="H404" s="61" t="s">
        <v>5268</v>
      </c>
    </row>
    <row r="405">
      <c r="A405" s="61" t="s">
        <v>21</v>
      </c>
      <c r="B405" s="61" t="s">
        <v>1591</v>
      </c>
      <c r="C405" s="61" t="s">
        <v>72</v>
      </c>
      <c r="D405" s="61" t="s">
        <v>4143</v>
      </c>
      <c r="E405" s="61" t="s">
        <v>1052</v>
      </c>
      <c r="F405" s="61" t="s">
        <v>5269</v>
      </c>
      <c r="G405" s="61" t="s">
        <v>4143</v>
      </c>
      <c r="H405" s="61" t="s">
        <v>5270</v>
      </c>
    </row>
    <row r="406">
      <c r="A406" s="61" t="s">
        <v>14</v>
      </c>
      <c r="B406" s="61" t="s">
        <v>2735</v>
      </c>
      <c r="C406" s="61" t="s">
        <v>72</v>
      </c>
      <c r="D406" s="61" t="s">
        <v>4202</v>
      </c>
      <c r="E406" s="61" t="s">
        <v>2736</v>
      </c>
      <c r="F406" s="61" t="s">
        <v>4299</v>
      </c>
      <c r="H406" s="61" t="s">
        <v>5271</v>
      </c>
    </row>
    <row r="407">
      <c r="A407" s="61" t="s">
        <v>21</v>
      </c>
      <c r="B407" s="61" t="s">
        <v>1258</v>
      </c>
      <c r="C407" s="61" t="s">
        <v>72</v>
      </c>
      <c r="D407" s="61" t="s">
        <v>3977</v>
      </c>
      <c r="E407" s="61" t="s">
        <v>1097</v>
      </c>
      <c r="F407" s="61" t="s">
        <v>4617</v>
      </c>
      <c r="G407" s="61" t="s">
        <v>5272</v>
      </c>
      <c r="H407" s="61" t="s">
        <v>5273</v>
      </c>
    </row>
    <row r="408">
      <c r="A408" s="61" t="s">
        <v>22</v>
      </c>
      <c r="B408" s="61" t="s">
        <v>1848</v>
      </c>
      <c r="C408" s="61" t="s">
        <v>72</v>
      </c>
      <c r="D408" s="61" t="s">
        <v>5274</v>
      </c>
      <c r="E408" s="61" t="s">
        <v>1850</v>
      </c>
      <c r="F408" s="61" t="s">
        <v>5275</v>
      </c>
      <c r="G408" s="61" t="s">
        <v>5276</v>
      </c>
      <c r="H408" s="61" t="s">
        <v>5277</v>
      </c>
    </row>
    <row r="409">
      <c r="A409" s="61" t="s">
        <v>21</v>
      </c>
      <c r="B409" s="61" t="s">
        <v>1340</v>
      </c>
      <c r="C409" s="61" t="s">
        <v>72</v>
      </c>
      <c r="D409" s="61" t="s">
        <v>5278</v>
      </c>
      <c r="E409" s="61" t="s">
        <v>1097</v>
      </c>
      <c r="F409" s="61" t="s">
        <v>5279</v>
      </c>
      <c r="G409" s="61" t="s">
        <v>5280</v>
      </c>
      <c r="H409" s="61" t="s">
        <v>5281</v>
      </c>
    </row>
    <row r="410">
      <c r="A410" s="61" t="s">
        <v>14</v>
      </c>
      <c r="B410" s="61" t="s">
        <v>1969</v>
      </c>
      <c r="C410" s="61" t="s">
        <v>72</v>
      </c>
      <c r="D410" s="61" t="s">
        <v>5282</v>
      </c>
      <c r="E410" s="61" t="s">
        <v>1468</v>
      </c>
      <c r="F410" s="61" t="s">
        <v>5283</v>
      </c>
      <c r="G410" s="61" t="s">
        <v>5284</v>
      </c>
      <c r="H410" s="61" t="s">
        <v>5285</v>
      </c>
    </row>
    <row r="411">
      <c r="A411" s="61" t="s">
        <v>21</v>
      </c>
      <c r="B411" s="61" t="s">
        <v>1753</v>
      </c>
      <c r="C411" s="61" t="s">
        <v>72</v>
      </c>
      <c r="D411" s="61" t="s">
        <v>3978</v>
      </c>
      <c r="E411" s="61" t="s">
        <v>1097</v>
      </c>
      <c r="F411" s="61" t="s">
        <v>5286</v>
      </c>
      <c r="G411" s="61" t="s">
        <v>3978</v>
      </c>
      <c r="H411" s="61" t="s">
        <v>5287</v>
      </c>
    </row>
    <row r="412">
      <c r="A412" s="61" t="s">
        <v>14</v>
      </c>
      <c r="B412" s="61" t="s">
        <v>2067</v>
      </c>
      <c r="C412" s="61" t="s">
        <v>72</v>
      </c>
      <c r="D412" s="61" t="s">
        <v>5288</v>
      </c>
      <c r="E412" s="61" t="s">
        <v>1256</v>
      </c>
      <c r="F412" s="61" t="s">
        <v>5289</v>
      </c>
      <c r="G412" s="61" t="s">
        <v>5290</v>
      </c>
      <c r="H412" s="61" t="s">
        <v>5291</v>
      </c>
    </row>
    <row r="413">
      <c r="A413" s="61" t="s">
        <v>14</v>
      </c>
      <c r="B413" s="61" t="s">
        <v>1255</v>
      </c>
      <c r="C413" s="61" t="s">
        <v>72</v>
      </c>
      <c r="D413" s="61" t="s">
        <v>5292</v>
      </c>
      <c r="E413" s="61" t="s">
        <v>1256</v>
      </c>
      <c r="F413" s="61" t="s">
        <v>4820</v>
      </c>
      <c r="H413" s="61" t="s">
        <v>5293</v>
      </c>
    </row>
    <row r="414">
      <c r="A414" s="61" t="s">
        <v>14</v>
      </c>
      <c r="B414" s="61" t="s">
        <v>1804</v>
      </c>
      <c r="C414" s="61" t="s">
        <v>1043</v>
      </c>
      <c r="D414" s="61" t="s">
        <v>5294</v>
      </c>
      <c r="E414" s="61" t="s">
        <v>1050</v>
      </c>
      <c r="F414" s="61" t="s">
        <v>4700</v>
      </c>
      <c r="H414" s="61" t="s">
        <v>5295</v>
      </c>
    </row>
    <row r="415">
      <c r="A415" s="61" t="s">
        <v>14</v>
      </c>
      <c r="B415" s="61" t="s">
        <v>1091</v>
      </c>
      <c r="C415" s="61" t="s">
        <v>1043</v>
      </c>
      <c r="D415" s="61" t="s">
        <v>5296</v>
      </c>
      <c r="E415" s="61" t="s">
        <v>1093</v>
      </c>
      <c r="F415" s="61" t="s">
        <v>4128</v>
      </c>
      <c r="H415" s="61" t="s">
        <v>5297</v>
      </c>
    </row>
    <row r="416">
      <c r="A416" s="61" t="s">
        <v>33</v>
      </c>
      <c r="B416" s="61" t="s">
        <v>2738</v>
      </c>
      <c r="C416" s="61" t="s">
        <v>72</v>
      </c>
      <c r="D416" s="61" t="s">
        <v>5298</v>
      </c>
      <c r="E416" s="61" t="s">
        <v>2672</v>
      </c>
      <c r="F416" s="61" t="s">
        <v>4946</v>
      </c>
      <c r="H416" s="61" t="s">
        <v>5299</v>
      </c>
    </row>
    <row r="417">
      <c r="A417" s="61" t="s">
        <v>30</v>
      </c>
      <c r="B417" s="61" t="s">
        <v>1038</v>
      </c>
      <c r="C417" s="61" t="s">
        <v>72</v>
      </c>
      <c r="D417" s="61" t="s">
        <v>4147</v>
      </c>
      <c r="E417" s="61" t="s">
        <v>1039</v>
      </c>
      <c r="F417" s="61" t="s">
        <v>5300</v>
      </c>
      <c r="H417" s="61" t="s">
        <v>5301</v>
      </c>
    </row>
    <row r="418">
      <c r="A418" s="61" t="s">
        <v>33</v>
      </c>
      <c r="B418" s="61" t="s">
        <v>1127</v>
      </c>
      <c r="C418" s="61" t="s">
        <v>72</v>
      </c>
      <c r="D418" s="61" t="s">
        <v>4556</v>
      </c>
      <c r="E418" s="61" t="s">
        <v>1128</v>
      </c>
      <c r="F418" s="61" t="s">
        <v>4474</v>
      </c>
      <c r="H418" s="61" t="s">
        <v>5302</v>
      </c>
    </row>
    <row r="419">
      <c r="A419" s="61" t="s">
        <v>39</v>
      </c>
      <c r="B419" s="61" t="s">
        <v>2065</v>
      </c>
      <c r="C419" s="61" t="s">
        <v>72</v>
      </c>
      <c r="D419" s="61" t="s">
        <v>5303</v>
      </c>
      <c r="E419" s="61" t="s">
        <v>2740</v>
      </c>
      <c r="F419" s="61" t="s">
        <v>5304</v>
      </c>
      <c r="H419" s="61" t="s">
        <v>5305</v>
      </c>
    </row>
    <row r="420">
      <c r="A420" s="61" t="s">
        <v>14</v>
      </c>
      <c r="B420" s="61" t="s">
        <v>1478</v>
      </c>
      <c r="C420" s="61" t="s">
        <v>72</v>
      </c>
      <c r="D420" s="61" t="s">
        <v>5306</v>
      </c>
      <c r="E420" s="61" t="s">
        <v>1020</v>
      </c>
      <c r="F420" s="61" t="s">
        <v>5307</v>
      </c>
      <c r="H420" s="61" t="s">
        <v>5308</v>
      </c>
    </row>
    <row r="421">
      <c r="A421" s="61" t="s">
        <v>14</v>
      </c>
      <c r="B421" s="61" t="s">
        <v>1644</v>
      </c>
      <c r="C421" s="61" t="s">
        <v>72</v>
      </c>
      <c r="D421" s="61" t="s">
        <v>4967</v>
      </c>
      <c r="E421" s="61" t="s">
        <v>1199</v>
      </c>
      <c r="F421" s="61" t="s">
        <v>4599</v>
      </c>
      <c r="H421" s="61" t="s">
        <v>5309</v>
      </c>
    </row>
    <row r="422">
      <c r="A422" s="61" t="s">
        <v>21</v>
      </c>
      <c r="B422" s="61" t="s">
        <v>1757</v>
      </c>
      <c r="C422" s="61" t="s">
        <v>72</v>
      </c>
      <c r="D422" s="61" t="s">
        <v>4875</v>
      </c>
      <c r="E422" s="61" t="s">
        <v>1097</v>
      </c>
      <c r="F422" s="61" t="s">
        <v>5310</v>
      </c>
      <c r="G422" s="61" t="s">
        <v>5311</v>
      </c>
      <c r="H422" s="61" t="s">
        <v>5312</v>
      </c>
    </row>
    <row r="423">
      <c r="A423" s="61" t="s">
        <v>21</v>
      </c>
      <c r="B423" s="61" t="s">
        <v>1792</v>
      </c>
      <c r="C423" s="61" t="s">
        <v>72</v>
      </c>
      <c r="D423" s="61" t="s">
        <v>5313</v>
      </c>
      <c r="E423" s="61" t="s">
        <v>1097</v>
      </c>
      <c r="F423" s="61" t="s">
        <v>5314</v>
      </c>
      <c r="G423" s="61" t="s">
        <v>5313</v>
      </c>
      <c r="H423" s="61" t="s">
        <v>5315</v>
      </c>
    </row>
    <row r="424">
      <c r="A424" s="61" t="s">
        <v>21</v>
      </c>
      <c r="B424" s="61" t="s">
        <v>1051</v>
      </c>
      <c r="C424" s="61" t="s">
        <v>72</v>
      </c>
      <c r="D424" s="61" t="s">
        <v>4147</v>
      </c>
      <c r="E424" s="61" t="s">
        <v>1052</v>
      </c>
      <c r="F424" s="61" t="s">
        <v>4132</v>
      </c>
      <c r="G424" s="61" t="s">
        <v>5316</v>
      </c>
      <c r="H424" s="61" t="s">
        <v>5317</v>
      </c>
    </row>
    <row r="425">
      <c r="A425" s="61" t="s">
        <v>14</v>
      </c>
      <c r="B425" s="61" t="s">
        <v>2044</v>
      </c>
      <c r="C425" s="61" t="s">
        <v>72</v>
      </c>
      <c r="D425" s="61" t="s">
        <v>4143</v>
      </c>
      <c r="E425" s="61" t="s">
        <v>1256</v>
      </c>
      <c r="F425" s="61" t="s">
        <v>5318</v>
      </c>
      <c r="G425" s="61" t="s">
        <v>5319</v>
      </c>
      <c r="H425" s="61" t="s">
        <v>5320</v>
      </c>
    </row>
    <row r="426">
      <c r="A426" s="61" t="s">
        <v>21</v>
      </c>
      <c r="B426" s="61" t="s">
        <v>1218</v>
      </c>
      <c r="C426" s="61" t="s">
        <v>72</v>
      </c>
      <c r="D426" s="61" t="s">
        <v>4166</v>
      </c>
      <c r="E426" s="61" t="s">
        <v>1065</v>
      </c>
      <c r="F426" s="61" t="s">
        <v>5321</v>
      </c>
      <c r="G426" s="61" t="s">
        <v>5322</v>
      </c>
      <c r="H426" s="61" t="s">
        <v>5323</v>
      </c>
    </row>
    <row r="427">
      <c r="A427" s="61" t="s">
        <v>21</v>
      </c>
      <c r="B427" s="61" t="s">
        <v>1248</v>
      </c>
      <c r="C427" s="61" t="s">
        <v>72</v>
      </c>
      <c r="D427" s="61" t="s">
        <v>3985</v>
      </c>
      <c r="E427" s="61" t="s">
        <v>1249</v>
      </c>
      <c r="F427" s="61" t="s">
        <v>4128</v>
      </c>
      <c r="G427" s="61" t="s">
        <v>3985</v>
      </c>
      <c r="H427" s="61" t="s">
        <v>5324</v>
      </c>
    </row>
    <row r="428">
      <c r="A428" s="61" t="s">
        <v>21</v>
      </c>
      <c r="B428" s="61" t="s">
        <v>1520</v>
      </c>
      <c r="C428" s="61" t="s">
        <v>72</v>
      </c>
      <c r="D428" s="61" t="s">
        <v>5325</v>
      </c>
      <c r="E428" s="61" t="s">
        <v>1052</v>
      </c>
      <c r="F428" s="61" t="s">
        <v>5326</v>
      </c>
      <c r="G428" s="61" t="s">
        <v>5327</v>
      </c>
      <c r="H428" s="61" t="s">
        <v>5328</v>
      </c>
    </row>
    <row r="429">
      <c r="A429" s="61" t="s">
        <v>21</v>
      </c>
      <c r="B429" s="61" t="s">
        <v>1253</v>
      </c>
      <c r="C429" s="61" t="s">
        <v>72</v>
      </c>
      <c r="D429" s="61" t="s">
        <v>5247</v>
      </c>
      <c r="E429" s="61" t="s">
        <v>1052</v>
      </c>
      <c r="F429" s="61" t="s">
        <v>4290</v>
      </c>
      <c r="G429" s="61" t="s">
        <v>5247</v>
      </c>
      <c r="H429" s="61" t="s">
        <v>5329</v>
      </c>
    </row>
    <row r="430">
      <c r="A430" s="61" t="s">
        <v>21</v>
      </c>
      <c r="B430" s="61" t="s">
        <v>1096</v>
      </c>
      <c r="C430" s="61" t="s">
        <v>72</v>
      </c>
      <c r="D430" s="61" t="s">
        <v>5330</v>
      </c>
      <c r="E430" s="61" t="s">
        <v>1097</v>
      </c>
      <c r="F430" s="61" t="s">
        <v>5331</v>
      </c>
      <c r="G430" s="61" t="s">
        <v>5330</v>
      </c>
      <c r="H430" s="61" t="s">
        <v>5332</v>
      </c>
    </row>
    <row r="431">
      <c r="A431" s="61" t="s">
        <v>14</v>
      </c>
      <c r="B431" s="61" t="s">
        <v>2141</v>
      </c>
      <c r="C431" s="61" t="s">
        <v>72</v>
      </c>
      <c r="D431" s="61" t="s">
        <v>5333</v>
      </c>
      <c r="E431" s="61" t="s">
        <v>2143</v>
      </c>
      <c r="F431" s="61" t="s">
        <v>5334</v>
      </c>
      <c r="H431" s="61" t="s">
        <v>5335</v>
      </c>
    </row>
    <row r="432">
      <c r="A432" s="61" t="s">
        <v>21</v>
      </c>
      <c r="B432" s="61" t="s">
        <v>1266</v>
      </c>
      <c r="C432" s="61" t="s">
        <v>72</v>
      </c>
      <c r="D432" s="61" t="s">
        <v>3981</v>
      </c>
      <c r="E432" s="61" t="s">
        <v>1267</v>
      </c>
      <c r="F432" s="61" t="s">
        <v>4708</v>
      </c>
      <c r="G432" s="61" t="s">
        <v>5336</v>
      </c>
      <c r="H432" s="61" t="s">
        <v>5337</v>
      </c>
    </row>
    <row r="433">
      <c r="A433" s="61" t="s">
        <v>21</v>
      </c>
      <c r="B433" s="61" t="s">
        <v>1278</v>
      </c>
      <c r="C433" s="61" t="s">
        <v>72</v>
      </c>
      <c r="D433" s="61" t="s">
        <v>5283</v>
      </c>
      <c r="E433" s="61" t="s">
        <v>1279</v>
      </c>
      <c r="F433" s="61" t="s">
        <v>5338</v>
      </c>
      <c r="G433" s="61" t="s">
        <v>5283</v>
      </c>
      <c r="H433" s="61" t="s">
        <v>5339</v>
      </c>
    </row>
    <row r="434">
      <c r="A434" s="61" t="s">
        <v>22</v>
      </c>
      <c r="B434" s="61" t="s">
        <v>1084</v>
      </c>
      <c r="C434" s="61" t="s">
        <v>1043</v>
      </c>
      <c r="D434" s="61" t="s">
        <v>4328</v>
      </c>
      <c r="E434" s="61" t="s">
        <v>1043</v>
      </c>
      <c r="F434" s="61" t="s">
        <v>5340</v>
      </c>
      <c r="H434" s="61" t="s">
        <v>5341</v>
      </c>
    </row>
    <row r="435">
      <c r="A435" s="61" t="s">
        <v>33</v>
      </c>
      <c r="B435" s="61" t="s">
        <v>1420</v>
      </c>
      <c r="C435" s="61" t="s">
        <v>72</v>
      </c>
      <c r="D435" s="61" t="s">
        <v>3968</v>
      </c>
      <c r="E435" s="61" t="s">
        <v>1421</v>
      </c>
      <c r="F435" s="61" t="s">
        <v>4829</v>
      </c>
      <c r="H435" s="61" t="s">
        <v>5342</v>
      </c>
    </row>
    <row r="436">
      <c r="A436" s="61" t="s">
        <v>14</v>
      </c>
      <c r="B436" s="61" t="s">
        <v>2744</v>
      </c>
      <c r="C436" s="61" t="s">
        <v>72</v>
      </c>
      <c r="D436" s="61" t="s">
        <v>5343</v>
      </c>
      <c r="E436" s="61" t="s">
        <v>1199</v>
      </c>
      <c r="F436" s="61" t="s">
        <v>4820</v>
      </c>
      <c r="H436" s="61" t="s">
        <v>5344</v>
      </c>
    </row>
    <row r="437">
      <c r="A437" s="61" t="s">
        <v>33</v>
      </c>
      <c r="B437" s="61" t="s">
        <v>1377</v>
      </c>
      <c r="C437" s="61" t="s">
        <v>72</v>
      </c>
      <c r="D437" s="61" t="s">
        <v>4172</v>
      </c>
      <c r="E437" s="61" t="s">
        <v>1379</v>
      </c>
      <c r="F437" s="61" t="s">
        <v>5345</v>
      </c>
      <c r="H437" s="61" t="s">
        <v>5346</v>
      </c>
    </row>
    <row r="438">
      <c r="A438" s="61" t="s">
        <v>14</v>
      </c>
      <c r="B438" s="61" t="s">
        <v>2747</v>
      </c>
      <c r="C438" s="61" t="s">
        <v>72</v>
      </c>
      <c r="D438" s="61" t="s">
        <v>5347</v>
      </c>
      <c r="E438" s="61" t="s">
        <v>1020</v>
      </c>
      <c r="F438" s="61" t="s">
        <v>4132</v>
      </c>
      <c r="H438" s="61" t="s">
        <v>5348</v>
      </c>
    </row>
    <row r="439">
      <c r="A439" s="61" t="s">
        <v>36</v>
      </c>
      <c r="B439" s="61" t="s">
        <v>1660</v>
      </c>
      <c r="C439" s="61" t="s">
        <v>1043</v>
      </c>
      <c r="D439" s="61" t="s">
        <v>4337</v>
      </c>
      <c r="E439" s="61" t="s">
        <v>1661</v>
      </c>
      <c r="F439" s="61" t="s">
        <v>4634</v>
      </c>
      <c r="H439" s="61" t="s">
        <v>5349</v>
      </c>
    </row>
    <row r="440">
      <c r="A440" s="61" t="s">
        <v>14</v>
      </c>
      <c r="B440" s="61" t="s">
        <v>2749</v>
      </c>
      <c r="C440" s="61" t="s">
        <v>72</v>
      </c>
      <c r="D440" s="61" t="s">
        <v>5215</v>
      </c>
      <c r="E440" s="61" t="s">
        <v>2483</v>
      </c>
      <c r="F440" s="61" t="s">
        <v>5350</v>
      </c>
      <c r="H440" s="61" t="s">
        <v>5351</v>
      </c>
    </row>
    <row r="441">
      <c r="A441" s="61" t="s">
        <v>21</v>
      </c>
      <c r="B441" s="61" t="s">
        <v>1360</v>
      </c>
      <c r="C441" s="61" t="s">
        <v>72</v>
      </c>
      <c r="D441" s="61" t="s">
        <v>3982</v>
      </c>
      <c r="E441" s="61" t="s">
        <v>1052</v>
      </c>
      <c r="F441" s="61" t="s">
        <v>5352</v>
      </c>
      <c r="G441" s="61" t="s">
        <v>3982</v>
      </c>
      <c r="H441" s="61" t="s">
        <v>5353</v>
      </c>
    </row>
    <row r="442">
      <c r="A442" s="61" t="s">
        <v>21</v>
      </c>
      <c r="B442" s="61" t="s">
        <v>1068</v>
      </c>
      <c r="C442" s="61" t="s">
        <v>72</v>
      </c>
      <c r="D442" s="61" t="s">
        <v>3975</v>
      </c>
      <c r="E442" s="61" t="s">
        <v>1052</v>
      </c>
      <c r="F442" s="61" t="s">
        <v>5354</v>
      </c>
      <c r="G442" s="61" t="s">
        <v>5355</v>
      </c>
      <c r="H442" s="61" t="s">
        <v>5356</v>
      </c>
    </row>
    <row r="443">
      <c r="A443" s="61" t="s">
        <v>21</v>
      </c>
      <c r="B443" s="61" t="s">
        <v>1755</v>
      </c>
      <c r="C443" s="61" t="s">
        <v>72</v>
      </c>
      <c r="D443" s="61" t="s">
        <v>5357</v>
      </c>
      <c r="E443" s="61" t="s">
        <v>1249</v>
      </c>
      <c r="F443" s="61" t="s">
        <v>4132</v>
      </c>
      <c r="G443" s="61" t="s">
        <v>5358</v>
      </c>
      <c r="H443" s="61" t="s">
        <v>5359</v>
      </c>
    </row>
    <row r="444">
      <c r="A444" s="61" t="s">
        <v>14</v>
      </c>
      <c r="B444" s="61" t="s">
        <v>2756</v>
      </c>
      <c r="C444" s="61" t="s">
        <v>72</v>
      </c>
      <c r="D444" s="61" t="s">
        <v>5360</v>
      </c>
      <c r="E444" s="61" t="s">
        <v>2757</v>
      </c>
      <c r="F444" s="61" t="s">
        <v>4526</v>
      </c>
      <c r="H444" s="61" t="s">
        <v>5361</v>
      </c>
    </row>
    <row r="445">
      <c r="A445" s="61" t="s">
        <v>14</v>
      </c>
      <c r="B445" s="61" t="s">
        <v>2752</v>
      </c>
      <c r="C445" s="61" t="s">
        <v>72</v>
      </c>
      <c r="D445" s="61" t="s">
        <v>5001</v>
      </c>
      <c r="E445" s="61" t="s">
        <v>2754</v>
      </c>
      <c r="F445" s="61" t="s">
        <v>5362</v>
      </c>
      <c r="H445" s="61" t="s">
        <v>5363</v>
      </c>
    </row>
    <row r="446">
      <c r="A446" s="61" t="s">
        <v>28</v>
      </c>
      <c r="B446" s="61" t="s">
        <v>1568</v>
      </c>
      <c r="C446" s="61" t="s">
        <v>72</v>
      </c>
      <c r="D446" s="61" t="s">
        <v>4819</v>
      </c>
      <c r="E446" s="61" t="s">
        <v>1570</v>
      </c>
      <c r="F446" s="61" t="s">
        <v>4403</v>
      </c>
      <c r="H446" s="61" t="s">
        <v>5364</v>
      </c>
    </row>
    <row r="447">
      <c r="A447" s="61" t="s">
        <v>21</v>
      </c>
      <c r="B447" s="61" t="s">
        <v>1779</v>
      </c>
      <c r="C447" s="61" t="s">
        <v>72</v>
      </c>
      <c r="D447" s="61" t="s">
        <v>5365</v>
      </c>
      <c r="E447" s="61" t="s">
        <v>1097</v>
      </c>
      <c r="F447" s="61" t="s">
        <v>4976</v>
      </c>
      <c r="G447" s="61" t="s">
        <v>5365</v>
      </c>
      <c r="H447" s="61" t="s">
        <v>5366</v>
      </c>
    </row>
    <row r="448">
      <c r="A448" s="61" t="s">
        <v>22</v>
      </c>
      <c r="B448" s="61" t="s">
        <v>2759</v>
      </c>
      <c r="C448" s="61" t="s">
        <v>72</v>
      </c>
      <c r="D448" s="61" t="s">
        <v>5367</v>
      </c>
      <c r="E448" s="61" t="s">
        <v>2256</v>
      </c>
      <c r="F448" s="61" t="s">
        <v>5057</v>
      </c>
      <c r="H448" s="61" t="s">
        <v>5368</v>
      </c>
    </row>
    <row r="449">
      <c r="A449" s="61" t="s">
        <v>21</v>
      </c>
      <c r="B449" s="61" t="s">
        <v>1589</v>
      </c>
      <c r="C449" s="61" t="s">
        <v>72</v>
      </c>
      <c r="D449" s="61" t="s">
        <v>4143</v>
      </c>
      <c r="E449" s="61" t="s">
        <v>1097</v>
      </c>
      <c r="F449" s="61" t="s">
        <v>5202</v>
      </c>
      <c r="G449" s="61" t="s">
        <v>5369</v>
      </c>
      <c r="H449" s="61" t="s">
        <v>5370</v>
      </c>
    </row>
    <row r="450">
      <c r="A450" s="61" t="s">
        <v>21</v>
      </c>
      <c r="B450" s="61" t="s">
        <v>1777</v>
      </c>
      <c r="C450" s="61" t="s">
        <v>72</v>
      </c>
      <c r="D450" s="61" t="s">
        <v>3979</v>
      </c>
      <c r="E450" s="61" t="s">
        <v>1097</v>
      </c>
      <c r="F450" s="61" t="s">
        <v>4290</v>
      </c>
      <c r="G450" s="61" t="s">
        <v>5371</v>
      </c>
      <c r="H450" s="61" t="s">
        <v>5372</v>
      </c>
    </row>
    <row r="451">
      <c r="A451" s="61" t="s">
        <v>14</v>
      </c>
      <c r="B451" s="61" t="s">
        <v>1441</v>
      </c>
      <c r="C451" s="61" t="s">
        <v>1043</v>
      </c>
      <c r="D451" s="61" t="s">
        <v>4455</v>
      </c>
      <c r="E451" s="61" t="s">
        <v>1050</v>
      </c>
      <c r="F451" s="61" t="s">
        <v>5373</v>
      </c>
      <c r="H451" s="61" t="s">
        <v>5374</v>
      </c>
    </row>
    <row r="452">
      <c r="A452" s="61" t="s">
        <v>33</v>
      </c>
      <c r="B452" s="61" t="s">
        <v>1353</v>
      </c>
      <c r="C452" s="61" t="s">
        <v>72</v>
      </c>
      <c r="D452" s="61" t="s">
        <v>5375</v>
      </c>
      <c r="E452" s="61" t="s">
        <v>1355</v>
      </c>
      <c r="F452" s="61" t="s">
        <v>5376</v>
      </c>
      <c r="H452" s="61" t="s">
        <v>5377</v>
      </c>
    </row>
    <row r="453">
      <c r="A453" s="61" t="s">
        <v>21</v>
      </c>
      <c r="B453" s="61" t="s">
        <v>1626</v>
      </c>
      <c r="C453" s="61" t="s">
        <v>72</v>
      </c>
      <c r="D453" s="61" t="s">
        <v>4815</v>
      </c>
      <c r="E453" s="61" t="s">
        <v>1249</v>
      </c>
      <c r="F453" s="61" t="s">
        <v>5378</v>
      </c>
      <c r="G453" s="61" t="s">
        <v>5379</v>
      </c>
      <c r="H453" s="61" t="s">
        <v>5380</v>
      </c>
    </row>
    <row r="454">
      <c r="A454" s="61" t="s">
        <v>14</v>
      </c>
      <c r="B454" s="61" t="s">
        <v>1035</v>
      </c>
      <c r="C454" s="61" t="s">
        <v>72</v>
      </c>
      <c r="D454" s="61" t="s">
        <v>4147</v>
      </c>
      <c r="E454" s="61" t="s">
        <v>1020</v>
      </c>
      <c r="F454" s="61" t="s">
        <v>4290</v>
      </c>
      <c r="H454" s="61" t="s">
        <v>5381</v>
      </c>
    </row>
    <row r="455">
      <c r="A455" s="61" t="s">
        <v>33</v>
      </c>
      <c r="B455" s="61" t="s">
        <v>1709</v>
      </c>
      <c r="C455" s="61" t="s">
        <v>72</v>
      </c>
      <c r="D455" s="61" t="s">
        <v>813</v>
      </c>
      <c r="E455" s="61" t="s">
        <v>1711</v>
      </c>
      <c r="F455" s="61" t="s">
        <v>5382</v>
      </c>
      <c r="H455" s="61" t="s">
        <v>5383</v>
      </c>
    </row>
    <row r="456">
      <c r="A456" s="61" t="s">
        <v>14</v>
      </c>
      <c r="B456" s="61" t="s">
        <v>2764</v>
      </c>
      <c r="C456" s="61" t="s">
        <v>72</v>
      </c>
      <c r="D456" s="61" t="s">
        <v>5384</v>
      </c>
      <c r="E456" s="61" t="s">
        <v>1025</v>
      </c>
      <c r="F456" s="61" t="s">
        <v>4470</v>
      </c>
      <c r="H456" s="61" t="s">
        <v>5385</v>
      </c>
    </row>
    <row r="457">
      <c r="A457" s="61" t="s">
        <v>28</v>
      </c>
      <c r="B457" s="61" t="s">
        <v>2761</v>
      </c>
      <c r="C457" s="61" t="s">
        <v>72</v>
      </c>
      <c r="D457" s="61" t="s">
        <v>5386</v>
      </c>
      <c r="E457" s="61" t="s">
        <v>2762</v>
      </c>
      <c r="F457" s="61" t="s">
        <v>5387</v>
      </c>
      <c r="H457" s="61" t="s">
        <v>5388</v>
      </c>
    </row>
    <row r="458">
      <c r="A458" s="61" t="s">
        <v>14</v>
      </c>
      <c r="B458" s="61" t="s">
        <v>1725</v>
      </c>
      <c r="C458" s="61" t="s">
        <v>72</v>
      </c>
      <c r="D458" s="61" t="s">
        <v>4609</v>
      </c>
      <c r="E458" s="61" t="s">
        <v>1425</v>
      </c>
      <c r="F458" s="61" t="s">
        <v>5389</v>
      </c>
      <c r="G458" s="61" t="s">
        <v>5390</v>
      </c>
      <c r="H458" s="61" t="s">
        <v>5391</v>
      </c>
    </row>
    <row r="459">
      <c r="A459" s="61" t="s">
        <v>25</v>
      </c>
      <c r="B459" s="61" t="s">
        <v>1585</v>
      </c>
      <c r="C459" s="61" t="s">
        <v>72</v>
      </c>
      <c r="D459" s="61" t="s">
        <v>4143</v>
      </c>
      <c r="E459" s="61" t="s">
        <v>1587</v>
      </c>
      <c r="F459" s="61" t="s">
        <v>4162</v>
      </c>
      <c r="H459" s="61" t="s">
        <v>5392</v>
      </c>
    </row>
    <row r="460">
      <c r="A460" s="61" t="s">
        <v>36</v>
      </c>
      <c r="B460" s="61" t="s">
        <v>1701</v>
      </c>
      <c r="C460" s="61" t="s">
        <v>1043</v>
      </c>
      <c r="D460" s="61" t="s">
        <v>3986</v>
      </c>
      <c r="E460" s="61" t="s">
        <v>1702</v>
      </c>
      <c r="F460" s="61" t="s">
        <v>4132</v>
      </c>
      <c r="H460" s="61" t="s">
        <v>5393</v>
      </c>
    </row>
    <row r="461">
      <c r="A461" s="61" t="s">
        <v>14</v>
      </c>
      <c r="B461" s="61" t="s">
        <v>1577</v>
      </c>
      <c r="C461" s="61" t="s">
        <v>1043</v>
      </c>
      <c r="D461" s="61" t="s">
        <v>4143</v>
      </c>
      <c r="E461" s="61" t="s">
        <v>1050</v>
      </c>
      <c r="F461" s="61" t="s">
        <v>5394</v>
      </c>
      <c r="H461" s="61" t="s">
        <v>5395</v>
      </c>
    </row>
    <row r="462">
      <c r="A462" s="61" t="s">
        <v>14</v>
      </c>
      <c r="B462" s="61" t="s">
        <v>1180</v>
      </c>
      <c r="C462" s="61" t="s">
        <v>1043</v>
      </c>
      <c r="D462" s="61" t="s">
        <v>5396</v>
      </c>
      <c r="E462" s="61" t="s">
        <v>1050</v>
      </c>
      <c r="F462" s="61" t="s">
        <v>5397</v>
      </c>
      <c r="H462" s="61" t="s">
        <v>5398</v>
      </c>
    </row>
    <row r="463">
      <c r="A463" s="61" t="s">
        <v>17</v>
      </c>
      <c r="B463" s="61" t="s">
        <v>2766</v>
      </c>
      <c r="C463" s="61" t="s">
        <v>72</v>
      </c>
      <c r="D463" s="61" t="s">
        <v>4780</v>
      </c>
      <c r="E463" s="61" t="s">
        <v>2768</v>
      </c>
      <c r="F463" s="61" t="s">
        <v>4617</v>
      </c>
      <c r="H463" s="61" t="s">
        <v>5399</v>
      </c>
    </row>
    <row r="464">
      <c r="A464" s="61" t="s">
        <v>14</v>
      </c>
      <c r="B464" s="61" t="s">
        <v>1048</v>
      </c>
      <c r="C464" s="61" t="s">
        <v>72</v>
      </c>
      <c r="D464" s="61" t="s">
        <v>4780</v>
      </c>
      <c r="E464" s="61" t="s">
        <v>1921</v>
      </c>
      <c r="F464" s="61" t="s">
        <v>4912</v>
      </c>
      <c r="H464" s="61" t="s">
        <v>5400</v>
      </c>
    </row>
    <row r="465">
      <c r="A465" s="61" t="s">
        <v>42</v>
      </c>
      <c r="B465" s="61" t="s">
        <v>1546</v>
      </c>
      <c r="C465" s="61" t="s">
        <v>72</v>
      </c>
      <c r="D465" s="61" t="s">
        <v>5401</v>
      </c>
      <c r="E465" s="61" t="s">
        <v>1548</v>
      </c>
      <c r="F465" s="61" t="s">
        <v>4128</v>
      </c>
      <c r="H465" s="61" t="s">
        <v>5402</v>
      </c>
    </row>
    <row r="466">
      <c r="A466" s="61" t="s">
        <v>33</v>
      </c>
      <c r="B466" s="61" t="s">
        <v>1678</v>
      </c>
      <c r="C466" s="61" t="s">
        <v>72</v>
      </c>
      <c r="D466" s="61" t="s">
        <v>5403</v>
      </c>
      <c r="E466" s="61" t="s">
        <v>1679</v>
      </c>
      <c r="F466" s="61" t="s">
        <v>4424</v>
      </c>
      <c r="H466" s="61" t="s">
        <v>5404</v>
      </c>
    </row>
    <row r="467">
      <c r="A467" s="61" t="s">
        <v>17</v>
      </c>
      <c r="B467" s="61" t="s">
        <v>1622</v>
      </c>
      <c r="C467" s="61" t="s">
        <v>72</v>
      </c>
      <c r="D467" s="61" t="s">
        <v>5405</v>
      </c>
      <c r="E467" s="61" t="s">
        <v>1624</v>
      </c>
      <c r="F467" s="61" t="s">
        <v>4446</v>
      </c>
      <c r="H467" s="61" t="s">
        <v>5406</v>
      </c>
    </row>
    <row r="468">
      <c r="A468" s="61" t="s">
        <v>22</v>
      </c>
      <c r="B468" s="61" t="s">
        <v>2770</v>
      </c>
      <c r="C468" s="61" t="s">
        <v>72</v>
      </c>
      <c r="D468" s="61" t="s">
        <v>5407</v>
      </c>
      <c r="E468" s="61" t="s">
        <v>2771</v>
      </c>
      <c r="F468" s="61" t="s">
        <v>4331</v>
      </c>
      <c r="H468" s="61" t="s">
        <v>5408</v>
      </c>
    </row>
    <row r="469">
      <c r="A469" s="61" t="s">
        <v>17</v>
      </c>
      <c r="B469" s="61" t="s">
        <v>2773</v>
      </c>
      <c r="C469" s="61" t="s">
        <v>72</v>
      </c>
      <c r="D469" s="61" t="s">
        <v>5409</v>
      </c>
      <c r="E469" s="61" t="s">
        <v>2774</v>
      </c>
      <c r="F469" s="61" t="s">
        <v>5410</v>
      </c>
      <c r="H469" s="61" t="s">
        <v>5411</v>
      </c>
    </row>
    <row r="470">
      <c r="A470" s="61" t="s">
        <v>14</v>
      </c>
      <c r="B470" s="61" t="s">
        <v>2776</v>
      </c>
      <c r="C470" s="61" t="s">
        <v>72</v>
      </c>
      <c r="D470" s="61" t="s">
        <v>5170</v>
      </c>
      <c r="E470" s="61" t="s">
        <v>1107</v>
      </c>
      <c r="F470" s="61" t="s">
        <v>4128</v>
      </c>
      <c r="H470" s="61" t="s">
        <v>5412</v>
      </c>
    </row>
    <row r="471">
      <c r="A471" s="61" t="s">
        <v>30</v>
      </c>
      <c r="B471" s="61" t="s">
        <v>2778</v>
      </c>
      <c r="C471" s="61" t="s">
        <v>72</v>
      </c>
      <c r="D471" s="61" t="s">
        <v>3986</v>
      </c>
      <c r="E471" s="61" t="s">
        <v>1120</v>
      </c>
      <c r="F471" s="61" t="s">
        <v>5413</v>
      </c>
      <c r="H471" s="61" t="s">
        <v>5414</v>
      </c>
    </row>
    <row r="472">
      <c r="A472" s="61" t="s">
        <v>30</v>
      </c>
      <c r="B472" s="61" t="s">
        <v>1349</v>
      </c>
      <c r="C472" s="61" t="s">
        <v>72</v>
      </c>
      <c r="D472" s="61" t="s">
        <v>5415</v>
      </c>
      <c r="E472" s="61" t="s">
        <v>1350</v>
      </c>
      <c r="F472" s="61" t="s">
        <v>5106</v>
      </c>
      <c r="H472" s="61" t="s">
        <v>5416</v>
      </c>
    </row>
    <row r="473">
      <c r="A473" s="61" t="s">
        <v>17</v>
      </c>
      <c r="B473" s="61" t="s">
        <v>2781</v>
      </c>
      <c r="C473" s="61" t="s">
        <v>72</v>
      </c>
      <c r="D473" s="61" t="s">
        <v>5417</v>
      </c>
      <c r="E473" s="61" t="s">
        <v>2768</v>
      </c>
      <c r="F473" s="61" t="s">
        <v>5418</v>
      </c>
      <c r="H473" s="61" t="s">
        <v>5419</v>
      </c>
    </row>
    <row r="474">
      <c r="A474" s="61" t="s">
        <v>42</v>
      </c>
      <c r="B474" s="61" t="s">
        <v>2784</v>
      </c>
      <c r="C474" s="61" t="s">
        <v>72</v>
      </c>
      <c r="D474" s="61" t="s">
        <v>5420</v>
      </c>
      <c r="E474" s="61" t="s">
        <v>2786</v>
      </c>
      <c r="F474" s="61" t="s">
        <v>4148</v>
      </c>
      <c r="H474" s="61" t="s">
        <v>5421</v>
      </c>
    </row>
    <row r="475">
      <c r="A475" s="61" t="s">
        <v>30</v>
      </c>
      <c r="B475" s="61" t="s">
        <v>1321</v>
      </c>
      <c r="C475" s="61" t="s">
        <v>72</v>
      </c>
      <c r="D475" s="61" t="s">
        <v>4380</v>
      </c>
      <c r="E475" s="61" t="s">
        <v>1322</v>
      </c>
      <c r="F475" s="61" t="s">
        <v>5378</v>
      </c>
      <c r="H475" s="61" t="s">
        <v>5422</v>
      </c>
    </row>
    <row r="476">
      <c r="A476" s="61" t="s">
        <v>22</v>
      </c>
      <c r="B476" s="61" t="s">
        <v>1137</v>
      </c>
      <c r="C476" s="61" t="s">
        <v>72</v>
      </c>
      <c r="D476" s="61" t="s">
        <v>5423</v>
      </c>
      <c r="E476" s="61" t="s">
        <v>1120</v>
      </c>
      <c r="F476" s="61" t="s">
        <v>4290</v>
      </c>
      <c r="H476" s="61" t="s">
        <v>5424</v>
      </c>
    </row>
    <row r="477">
      <c r="A477" s="61" t="s">
        <v>21</v>
      </c>
      <c r="B477" s="61" t="s">
        <v>1616</v>
      </c>
      <c r="C477" s="61" t="s">
        <v>72</v>
      </c>
      <c r="D477" s="61" t="s">
        <v>5425</v>
      </c>
      <c r="E477" s="61" t="s">
        <v>1743</v>
      </c>
      <c r="F477" s="61" t="s">
        <v>5426</v>
      </c>
      <c r="G477" s="61" t="s">
        <v>5425</v>
      </c>
      <c r="H477" s="61" t="s">
        <v>5427</v>
      </c>
    </row>
    <row r="478">
      <c r="A478" s="61" t="s">
        <v>22</v>
      </c>
      <c r="B478" s="61" t="s">
        <v>2666</v>
      </c>
      <c r="C478" s="61" t="s">
        <v>72</v>
      </c>
      <c r="D478" s="61" t="s">
        <v>4147</v>
      </c>
      <c r="E478" s="61" t="s">
        <v>2668</v>
      </c>
      <c r="F478" s="61" t="s">
        <v>4587</v>
      </c>
      <c r="G478" s="61" t="s">
        <v>5428</v>
      </c>
      <c r="H478" s="61" t="s">
        <v>5429</v>
      </c>
    </row>
    <row r="479">
      <c r="A479" s="61" t="s">
        <v>14</v>
      </c>
      <c r="B479" s="61" t="s">
        <v>1759</v>
      </c>
      <c r="C479" s="61" t="s">
        <v>1043</v>
      </c>
      <c r="D479" s="61" t="s">
        <v>4378</v>
      </c>
      <c r="E479" s="61" t="s">
        <v>1156</v>
      </c>
      <c r="F479" s="61" t="s">
        <v>4634</v>
      </c>
      <c r="H479" s="61" t="s">
        <v>5430</v>
      </c>
    </row>
    <row r="480">
      <c r="A480" s="61" t="s">
        <v>14</v>
      </c>
      <c r="B480" s="61" t="s">
        <v>1735</v>
      </c>
      <c r="C480" s="61" t="s">
        <v>72</v>
      </c>
      <c r="D480" s="61" t="s">
        <v>4502</v>
      </c>
      <c r="E480" s="61" t="s">
        <v>1020</v>
      </c>
      <c r="F480" s="61" t="s">
        <v>3943</v>
      </c>
      <c r="G480" s="61" t="s">
        <v>5431</v>
      </c>
      <c r="H480" s="61" t="s">
        <v>5432</v>
      </c>
    </row>
    <row r="481">
      <c r="A481" s="61" t="s">
        <v>14</v>
      </c>
      <c r="B481" s="61" t="s">
        <v>1198</v>
      </c>
      <c r="C481" s="61" t="s">
        <v>72</v>
      </c>
      <c r="D481" s="61" t="s">
        <v>4394</v>
      </c>
      <c r="E481" s="61" t="s">
        <v>1199</v>
      </c>
      <c r="F481" s="61" t="s">
        <v>4132</v>
      </c>
      <c r="G481" s="61" t="s">
        <v>5433</v>
      </c>
      <c r="H481" s="61" t="s">
        <v>5434</v>
      </c>
    </row>
    <row r="482">
      <c r="A482" s="61" t="s">
        <v>14</v>
      </c>
      <c r="B482" s="61" t="s">
        <v>1514</v>
      </c>
      <c r="C482" s="61" t="s">
        <v>1273</v>
      </c>
      <c r="D482" s="61" t="s">
        <v>4229</v>
      </c>
      <c r="E482" s="61" t="s">
        <v>1199</v>
      </c>
      <c r="F482" s="61" t="s">
        <v>4229</v>
      </c>
      <c r="H482" s="61" t="s">
        <v>5435</v>
      </c>
    </row>
    <row r="483">
      <c r="A483" s="61" t="s">
        <v>21</v>
      </c>
      <c r="B483" s="61" t="s">
        <v>1715</v>
      </c>
      <c r="C483" s="61" t="s">
        <v>72</v>
      </c>
      <c r="D483" s="61" t="s">
        <v>5303</v>
      </c>
      <c r="E483" s="61" t="s">
        <v>1183</v>
      </c>
      <c r="F483" s="61" t="s">
        <v>4162</v>
      </c>
      <c r="G483" s="61" t="s">
        <v>5436</v>
      </c>
      <c r="H483" s="61" t="s">
        <v>5437</v>
      </c>
    </row>
    <row r="484">
      <c r="A484" s="61" t="s">
        <v>33</v>
      </c>
      <c r="B484" s="61" t="s">
        <v>1285</v>
      </c>
      <c r="C484" s="61" t="s">
        <v>1273</v>
      </c>
      <c r="D484" s="61" t="s">
        <v>5438</v>
      </c>
      <c r="E484" s="61" t="s">
        <v>1286</v>
      </c>
      <c r="F484" s="61" t="s">
        <v>5439</v>
      </c>
      <c r="H484" s="61" t="s">
        <v>5440</v>
      </c>
    </row>
    <row r="485">
      <c r="A485" s="61" t="s">
        <v>21</v>
      </c>
      <c r="B485" s="61" t="s">
        <v>2542</v>
      </c>
      <c r="C485" s="61" t="s">
        <v>72</v>
      </c>
      <c r="D485" s="61" t="s">
        <v>5441</v>
      </c>
      <c r="E485" s="61" t="s">
        <v>1183</v>
      </c>
      <c r="F485" s="61" t="s">
        <v>4290</v>
      </c>
      <c r="G485" s="61" t="s">
        <v>5441</v>
      </c>
      <c r="H485" s="61" t="s">
        <v>5442</v>
      </c>
    </row>
    <row r="486">
      <c r="A486" s="61" t="s">
        <v>30</v>
      </c>
      <c r="B486" s="61" t="s">
        <v>2792</v>
      </c>
      <c r="C486" s="61" t="s">
        <v>72</v>
      </c>
      <c r="D486" s="61" t="s">
        <v>5170</v>
      </c>
      <c r="E486" s="61" t="s">
        <v>2794</v>
      </c>
      <c r="F486" s="61" t="s">
        <v>5443</v>
      </c>
      <c r="H486" s="61" t="s">
        <v>5444</v>
      </c>
    </row>
    <row r="487">
      <c r="A487" s="61" t="s">
        <v>21</v>
      </c>
      <c r="B487" s="61" t="s">
        <v>1399</v>
      </c>
      <c r="C487" s="61" t="s">
        <v>1043</v>
      </c>
      <c r="D487" s="61" t="s">
        <v>467</v>
      </c>
      <c r="E487" s="61" t="s">
        <v>1150</v>
      </c>
      <c r="F487" s="61" t="s">
        <v>5445</v>
      </c>
      <c r="G487" s="61" t="s">
        <v>5446</v>
      </c>
      <c r="H487" s="61" t="s">
        <v>5447</v>
      </c>
    </row>
    <row r="488">
      <c r="A488" s="61" t="s">
        <v>22</v>
      </c>
      <c r="B488" s="61" t="s">
        <v>2799</v>
      </c>
      <c r="C488" s="61" t="s">
        <v>72</v>
      </c>
      <c r="D488" s="61" t="s">
        <v>5089</v>
      </c>
      <c r="E488" s="61" t="s">
        <v>1334</v>
      </c>
      <c r="F488" s="61" t="s">
        <v>5448</v>
      </c>
      <c r="H488" s="61" t="s">
        <v>5449</v>
      </c>
    </row>
    <row r="489">
      <c r="A489" s="61" t="s">
        <v>22</v>
      </c>
      <c r="B489" s="61" t="s">
        <v>2796</v>
      </c>
      <c r="C489" s="61" t="s">
        <v>72</v>
      </c>
      <c r="D489" s="61" t="s">
        <v>5450</v>
      </c>
      <c r="E489" s="61" t="s">
        <v>1160</v>
      </c>
      <c r="F489" s="61" t="s">
        <v>5451</v>
      </c>
      <c r="H489" s="61" t="s">
        <v>5452</v>
      </c>
    </row>
    <row r="490">
      <c r="A490" s="61" t="s">
        <v>21</v>
      </c>
      <c r="B490" s="61" t="s">
        <v>1615</v>
      </c>
      <c r="C490" s="61" t="s">
        <v>72</v>
      </c>
      <c r="D490" s="61" t="s">
        <v>5453</v>
      </c>
      <c r="E490" s="61" t="s">
        <v>1595</v>
      </c>
      <c r="F490" s="61" t="s">
        <v>4976</v>
      </c>
      <c r="G490" s="61" t="s">
        <v>5454</v>
      </c>
      <c r="H490" s="61" t="s">
        <v>5455</v>
      </c>
    </row>
    <row r="491">
      <c r="A491" s="61" t="s">
        <v>21</v>
      </c>
      <c r="B491" s="61" t="s">
        <v>1594</v>
      </c>
      <c r="C491" s="61" t="s">
        <v>72</v>
      </c>
      <c r="D491" s="61" t="s">
        <v>4143</v>
      </c>
      <c r="E491" s="61" t="s">
        <v>1595</v>
      </c>
      <c r="F491" s="61" t="s">
        <v>4968</v>
      </c>
      <c r="G491" s="61" t="s">
        <v>5456</v>
      </c>
      <c r="H491" s="61" t="s">
        <v>5457</v>
      </c>
    </row>
    <row r="492">
      <c r="A492" s="61" t="s">
        <v>14</v>
      </c>
      <c r="B492" s="61" t="s">
        <v>1646</v>
      </c>
      <c r="C492" s="61" t="s">
        <v>72</v>
      </c>
      <c r="D492" s="61" t="s">
        <v>3997</v>
      </c>
      <c r="E492" s="61" t="s">
        <v>1647</v>
      </c>
      <c r="F492" s="61" t="s">
        <v>4497</v>
      </c>
      <c r="H492" s="61" t="s">
        <v>5458</v>
      </c>
    </row>
    <row r="493">
      <c r="A493" s="61" t="s">
        <v>30</v>
      </c>
      <c r="B493" s="61" t="s">
        <v>1087</v>
      </c>
      <c r="C493" s="61" t="s">
        <v>72</v>
      </c>
      <c r="D493" s="61" t="s">
        <v>5028</v>
      </c>
      <c r="E493" s="61" t="s">
        <v>1088</v>
      </c>
      <c r="F493" s="61" t="s">
        <v>4171</v>
      </c>
      <c r="H493" s="61" t="s">
        <v>5459</v>
      </c>
    </row>
    <row r="494">
      <c r="A494" s="61" t="s">
        <v>22</v>
      </c>
      <c r="B494" s="61" t="s">
        <v>2806</v>
      </c>
      <c r="C494" s="61" t="s">
        <v>72</v>
      </c>
      <c r="D494" s="61" t="s">
        <v>4380</v>
      </c>
      <c r="E494" s="61" t="s">
        <v>1334</v>
      </c>
      <c r="F494" s="61" t="s">
        <v>4745</v>
      </c>
      <c r="H494" s="61" t="s">
        <v>5460</v>
      </c>
    </row>
    <row r="495">
      <c r="A495" s="61" t="s">
        <v>28</v>
      </c>
      <c r="B495" s="61" t="s">
        <v>2802</v>
      </c>
      <c r="C495" s="61" t="s">
        <v>72</v>
      </c>
      <c r="D495" s="61" t="s">
        <v>5461</v>
      </c>
      <c r="E495" s="61" t="s">
        <v>2804</v>
      </c>
      <c r="F495" s="61" t="s">
        <v>4128</v>
      </c>
      <c r="H495" s="61" t="s">
        <v>5462</v>
      </c>
    </row>
    <row r="496">
      <c r="A496" s="61" t="s">
        <v>22</v>
      </c>
      <c r="B496" s="61" t="s">
        <v>1289</v>
      </c>
      <c r="C496" s="61" t="s">
        <v>72</v>
      </c>
      <c r="D496" s="61" t="s">
        <v>5463</v>
      </c>
      <c r="E496" s="61" t="s">
        <v>1290</v>
      </c>
      <c r="F496" s="61" t="s">
        <v>4128</v>
      </c>
      <c r="H496" s="61" t="s">
        <v>5464</v>
      </c>
    </row>
    <row r="497">
      <c r="A497" s="61" t="s">
        <v>21</v>
      </c>
      <c r="B497" s="61" t="s">
        <v>1654</v>
      </c>
      <c r="C497" s="61" t="s">
        <v>1043</v>
      </c>
      <c r="D497" s="61" t="s">
        <v>4206</v>
      </c>
      <c r="E497" s="61" t="s">
        <v>1191</v>
      </c>
      <c r="F497" s="61" t="s">
        <v>4968</v>
      </c>
      <c r="G497" s="61" t="s">
        <v>5465</v>
      </c>
      <c r="H497" s="61" t="s">
        <v>5466</v>
      </c>
    </row>
    <row r="498">
      <c r="A498" s="61" t="s">
        <v>14</v>
      </c>
      <c r="B498" s="61" t="s">
        <v>1262</v>
      </c>
      <c r="C498" s="61" t="s">
        <v>72</v>
      </c>
      <c r="D498" s="61" t="s">
        <v>5467</v>
      </c>
      <c r="E498" s="61" t="s">
        <v>1263</v>
      </c>
      <c r="F498" s="61" t="s">
        <v>5468</v>
      </c>
      <c r="H498" s="61" t="s">
        <v>5469</v>
      </c>
    </row>
    <row r="499">
      <c r="A499" s="61" t="s">
        <v>21</v>
      </c>
      <c r="B499" s="61" t="s">
        <v>1503</v>
      </c>
      <c r="C499" s="61" t="s">
        <v>72</v>
      </c>
      <c r="D499" s="61" t="s">
        <v>4609</v>
      </c>
      <c r="E499" s="61" t="s">
        <v>1186</v>
      </c>
      <c r="F499" s="61" t="s">
        <v>4132</v>
      </c>
      <c r="G499" s="61" t="s">
        <v>5470</v>
      </c>
      <c r="H499" s="61" t="s">
        <v>5471</v>
      </c>
    </row>
    <row r="500">
      <c r="A500" s="61" t="s">
        <v>21</v>
      </c>
      <c r="B500" s="61" t="s">
        <v>1338</v>
      </c>
      <c r="C500" s="61" t="s">
        <v>72</v>
      </c>
      <c r="D500" s="61" t="s">
        <v>5472</v>
      </c>
      <c r="E500" s="61" t="s">
        <v>1186</v>
      </c>
      <c r="F500" s="61" t="s">
        <v>4128</v>
      </c>
      <c r="G500" s="61" t="s">
        <v>5473</v>
      </c>
      <c r="H500" s="61" t="s">
        <v>5474</v>
      </c>
    </row>
    <row r="501">
      <c r="A501" s="61" t="s">
        <v>22</v>
      </c>
      <c r="B501" s="61" t="s">
        <v>1299</v>
      </c>
      <c r="C501" s="61" t="s">
        <v>72</v>
      </c>
      <c r="D501" s="61" t="s">
        <v>5146</v>
      </c>
      <c r="E501" s="61" t="s">
        <v>1301</v>
      </c>
      <c r="F501" s="61" t="s">
        <v>4171</v>
      </c>
      <c r="H501" s="61" t="s">
        <v>5475</v>
      </c>
    </row>
    <row r="502">
      <c r="A502" s="61" t="s">
        <v>22</v>
      </c>
      <c r="B502" s="61" t="s">
        <v>2808</v>
      </c>
      <c r="C502" s="61" t="s">
        <v>72</v>
      </c>
      <c r="D502" s="61" t="s">
        <v>5128</v>
      </c>
      <c r="E502" s="61" t="s">
        <v>2229</v>
      </c>
      <c r="F502" s="61" t="s">
        <v>5476</v>
      </c>
      <c r="H502" s="61" t="s">
        <v>5477</v>
      </c>
    </row>
    <row r="503">
      <c r="A503" s="61" t="s">
        <v>22</v>
      </c>
      <c r="B503" s="61" t="s">
        <v>2790</v>
      </c>
      <c r="C503" s="61" t="s">
        <v>72</v>
      </c>
      <c r="D503" s="61" t="s">
        <v>4206</v>
      </c>
      <c r="E503" s="61" t="s">
        <v>1120</v>
      </c>
      <c r="F503" s="61" t="s">
        <v>5478</v>
      </c>
      <c r="H503" s="61" t="s">
        <v>5479</v>
      </c>
    </row>
    <row r="504">
      <c r="A504" s="61" t="s">
        <v>22</v>
      </c>
      <c r="B504" s="61" t="s">
        <v>1375</v>
      </c>
      <c r="C504" s="61" t="s">
        <v>72</v>
      </c>
      <c r="D504" s="61" t="s">
        <v>5480</v>
      </c>
      <c r="E504" s="61" t="s">
        <v>1120</v>
      </c>
      <c r="F504" s="61" t="s">
        <v>5481</v>
      </c>
      <c r="H504" s="61" t="s">
        <v>5482</v>
      </c>
    </row>
    <row r="505">
      <c r="A505" s="61" t="s">
        <v>22</v>
      </c>
      <c r="B505" s="61" t="s">
        <v>1333</v>
      </c>
      <c r="C505" s="61" t="s">
        <v>72</v>
      </c>
      <c r="D505" s="61" t="s">
        <v>5483</v>
      </c>
      <c r="E505" s="61" t="s">
        <v>1334</v>
      </c>
      <c r="F505" s="61" t="s">
        <v>4331</v>
      </c>
      <c r="H505" s="61" t="s">
        <v>5484</v>
      </c>
    </row>
    <row r="506">
      <c r="A506" s="61" t="s">
        <v>22</v>
      </c>
      <c r="B506" s="61" t="s">
        <v>1829</v>
      </c>
      <c r="C506" s="61" t="s">
        <v>1273</v>
      </c>
      <c r="D506" s="61" t="s">
        <v>4284</v>
      </c>
      <c r="E506" s="61" t="s">
        <v>1830</v>
      </c>
      <c r="F506" s="61" t="s">
        <v>5485</v>
      </c>
      <c r="H506" s="61" t="s">
        <v>5486</v>
      </c>
    </row>
    <row r="507">
      <c r="A507" s="61" t="s">
        <v>14</v>
      </c>
      <c r="B507" s="61" t="s">
        <v>1559</v>
      </c>
      <c r="C507" s="61" t="s">
        <v>72</v>
      </c>
      <c r="D507" s="61" t="s">
        <v>4992</v>
      </c>
      <c r="E507" s="61" t="s">
        <v>1020</v>
      </c>
      <c r="F507" s="61" t="s">
        <v>4290</v>
      </c>
      <c r="H507" s="61" t="s">
        <v>5487</v>
      </c>
    </row>
    <row r="508">
      <c r="A508" s="61" t="s">
        <v>14</v>
      </c>
      <c r="B508" s="61" t="s">
        <v>1462</v>
      </c>
      <c r="C508" s="61" t="s">
        <v>72</v>
      </c>
      <c r="D508" s="61" t="s">
        <v>5488</v>
      </c>
      <c r="E508" s="61" t="s">
        <v>1270</v>
      </c>
      <c r="F508" s="61" t="s">
        <v>4424</v>
      </c>
      <c r="H508" s="61" t="s">
        <v>5489</v>
      </c>
    </row>
    <row r="509">
      <c r="A509" s="61" t="s">
        <v>22</v>
      </c>
      <c r="B509" s="61" t="s">
        <v>2812</v>
      </c>
      <c r="C509" s="61" t="s">
        <v>72</v>
      </c>
      <c r="D509" s="61" t="s">
        <v>5490</v>
      </c>
      <c r="E509" s="61" t="s">
        <v>2813</v>
      </c>
      <c r="F509" s="61" t="s">
        <v>5491</v>
      </c>
      <c r="H509" s="61" t="s">
        <v>5492</v>
      </c>
    </row>
    <row r="510">
      <c r="A510" s="61" t="s">
        <v>14</v>
      </c>
      <c r="B510" s="61" t="s">
        <v>2810</v>
      </c>
      <c r="C510" s="61" t="s">
        <v>72</v>
      </c>
      <c r="D510" s="61" t="s">
        <v>5493</v>
      </c>
      <c r="E510" s="61" t="s">
        <v>1107</v>
      </c>
      <c r="F510" s="61" t="s">
        <v>5494</v>
      </c>
      <c r="H510" s="61" t="s">
        <v>5495</v>
      </c>
    </row>
    <row r="511">
      <c r="A511" s="61" t="s">
        <v>22</v>
      </c>
      <c r="B511" s="61" t="s">
        <v>2822</v>
      </c>
      <c r="C511" s="61" t="s">
        <v>72</v>
      </c>
      <c r="D511" s="61" t="s">
        <v>5496</v>
      </c>
      <c r="E511" s="61" t="s">
        <v>2823</v>
      </c>
      <c r="F511" s="61" t="s">
        <v>5497</v>
      </c>
      <c r="H511" s="61" t="s">
        <v>5498</v>
      </c>
    </row>
    <row r="512">
      <c r="A512" s="61" t="s">
        <v>30</v>
      </c>
      <c r="B512" s="61" t="s">
        <v>2815</v>
      </c>
      <c r="C512" s="61" t="s">
        <v>72</v>
      </c>
      <c r="D512" s="61" t="s">
        <v>4168</v>
      </c>
      <c r="E512" s="61" t="s">
        <v>2816</v>
      </c>
      <c r="F512" s="61" t="s">
        <v>5499</v>
      </c>
      <c r="H512" s="61" t="s">
        <v>5500</v>
      </c>
    </row>
    <row r="513">
      <c r="A513" s="61" t="s">
        <v>22</v>
      </c>
      <c r="B513" s="61" t="s">
        <v>1629</v>
      </c>
      <c r="C513" s="61" t="s">
        <v>72</v>
      </c>
      <c r="D513" s="61" t="s">
        <v>5501</v>
      </c>
      <c r="E513" s="61" t="s">
        <v>1043</v>
      </c>
      <c r="F513" s="61" t="s">
        <v>4290</v>
      </c>
      <c r="H513" s="61" t="s">
        <v>5502</v>
      </c>
    </row>
    <row r="514">
      <c r="A514" s="61" t="s">
        <v>22</v>
      </c>
      <c r="B514" s="61" t="s">
        <v>2826</v>
      </c>
      <c r="C514" s="61" t="s">
        <v>72</v>
      </c>
      <c r="D514" s="61" t="s">
        <v>4143</v>
      </c>
      <c r="E514" s="61" t="s">
        <v>2828</v>
      </c>
      <c r="F514" s="61" t="s">
        <v>4162</v>
      </c>
      <c r="H514" s="61" t="s">
        <v>5503</v>
      </c>
    </row>
    <row r="515">
      <c r="A515" s="61" t="s">
        <v>22</v>
      </c>
      <c r="B515" s="61" t="s">
        <v>2830</v>
      </c>
      <c r="C515" s="61" t="s">
        <v>72</v>
      </c>
      <c r="D515" s="61" t="s">
        <v>5504</v>
      </c>
      <c r="E515" s="61" t="s">
        <v>2256</v>
      </c>
      <c r="F515" s="61" t="s">
        <v>4634</v>
      </c>
      <c r="H515" s="61" t="s">
        <v>5505</v>
      </c>
    </row>
    <row r="516">
      <c r="A516" s="61" t="s">
        <v>10</v>
      </c>
      <c r="B516" s="61" t="s">
        <v>1572</v>
      </c>
      <c r="C516" s="61" t="s">
        <v>1273</v>
      </c>
      <c r="D516" s="61" t="s">
        <v>5506</v>
      </c>
      <c r="E516" s="61" t="s">
        <v>1573</v>
      </c>
      <c r="F516" s="61" t="s">
        <v>5507</v>
      </c>
      <c r="H516" s="61" t="s">
        <v>5508</v>
      </c>
    </row>
    <row r="517">
      <c r="A517" s="61" t="s">
        <v>14</v>
      </c>
      <c r="B517" s="61" t="s">
        <v>2833</v>
      </c>
      <c r="C517" s="61" t="s">
        <v>72</v>
      </c>
      <c r="D517" s="61" t="s">
        <v>4206</v>
      </c>
      <c r="E517" s="61" t="s">
        <v>1020</v>
      </c>
      <c r="F517" s="61" t="s">
        <v>5509</v>
      </c>
      <c r="H517" s="61" t="s">
        <v>5510</v>
      </c>
    </row>
    <row r="518">
      <c r="A518" s="61" t="s">
        <v>14</v>
      </c>
      <c r="B518" s="61" t="s">
        <v>1407</v>
      </c>
      <c r="C518" s="61" t="s">
        <v>1043</v>
      </c>
      <c r="D518" s="61" t="s">
        <v>5511</v>
      </c>
      <c r="E518" s="61" t="s">
        <v>1050</v>
      </c>
      <c r="F518" s="61" t="s">
        <v>5512</v>
      </c>
      <c r="H518" s="61" t="s">
        <v>5513</v>
      </c>
    </row>
    <row r="519">
      <c r="A519" s="61" t="s">
        <v>47</v>
      </c>
      <c r="B519" s="61" t="s">
        <v>1366</v>
      </c>
      <c r="C519" s="61" t="s">
        <v>1273</v>
      </c>
      <c r="D519" s="61" t="s">
        <v>4801</v>
      </c>
      <c r="E519" s="61" t="s">
        <v>1367</v>
      </c>
      <c r="F519" s="61" t="s">
        <v>4829</v>
      </c>
      <c r="H519" s="61" t="s">
        <v>5514</v>
      </c>
    </row>
    <row r="520">
      <c r="A520" s="61" t="s">
        <v>16</v>
      </c>
      <c r="B520" s="61" t="s">
        <v>1272</v>
      </c>
      <c r="C520" s="61" t="s">
        <v>1273</v>
      </c>
      <c r="D520" s="61" t="s">
        <v>5515</v>
      </c>
      <c r="E520" s="61" t="s">
        <v>1274</v>
      </c>
      <c r="F520" s="61" t="s">
        <v>5516</v>
      </c>
      <c r="H520" s="61" t="s">
        <v>5517</v>
      </c>
    </row>
    <row r="521">
      <c r="A521" s="61" t="s">
        <v>25</v>
      </c>
      <c r="B521" s="61" t="s">
        <v>2838</v>
      </c>
      <c r="C521" s="61" t="s">
        <v>72</v>
      </c>
      <c r="D521" s="61" t="s">
        <v>5518</v>
      </c>
      <c r="E521" s="61" t="s">
        <v>2840</v>
      </c>
      <c r="F521" s="61" t="s">
        <v>5519</v>
      </c>
      <c r="H521" s="61" t="s">
        <v>5520</v>
      </c>
    </row>
    <row r="522">
      <c r="A522" s="61" t="s">
        <v>14</v>
      </c>
      <c r="B522" s="61" t="s">
        <v>1019</v>
      </c>
      <c r="C522" s="61" t="s">
        <v>72</v>
      </c>
      <c r="D522" s="61" t="s">
        <v>4000</v>
      </c>
      <c r="E522" s="61" t="s">
        <v>1020</v>
      </c>
      <c r="F522" s="61" t="s">
        <v>5521</v>
      </c>
      <c r="H522" s="61" t="s">
        <v>5522</v>
      </c>
    </row>
    <row r="523">
      <c r="A523" s="61" t="s">
        <v>21</v>
      </c>
      <c r="B523" s="61" t="s">
        <v>2836</v>
      </c>
      <c r="C523" s="61" t="s">
        <v>72</v>
      </c>
      <c r="D523" s="61" t="s">
        <v>4840</v>
      </c>
      <c r="E523" s="61" t="s">
        <v>1186</v>
      </c>
      <c r="F523" s="61" t="s">
        <v>5523</v>
      </c>
      <c r="H523" s="61" t="s">
        <v>5524</v>
      </c>
    </row>
    <row r="524">
      <c r="A524" s="61" t="s">
        <v>14</v>
      </c>
      <c r="B524" s="61" t="s">
        <v>2842</v>
      </c>
      <c r="C524" s="61" t="s">
        <v>1273</v>
      </c>
      <c r="D524" s="61" t="s">
        <v>5525</v>
      </c>
      <c r="E524" s="61" t="s">
        <v>1199</v>
      </c>
      <c r="F524" s="61" t="s">
        <v>5519</v>
      </c>
      <c r="H524" s="61" t="s">
        <v>5526</v>
      </c>
    </row>
    <row r="525">
      <c r="A525" s="61" t="s">
        <v>14</v>
      </c>
      <c r="B525" s="61" t="s">
        <v>1523</v>
      </c>
      <c r="C525" s="61" t="s">
        <v>72</v>
      </c>
      <c r="D525" s="61" t="s">
        <v>4409</v>
      </c>
      <c r="E525" s="61" t="s">
        <v>1199</v>
      </c>
      <c r="F525" s="61" t="s">
        <v>4820</v>
      </c>
      <c r="H525" s="61" t="s">
        <v>5527</v>
      </c>
    </row>
    <row r="526">
      <c r="A526" s="61" t="s">
        <v>44</v>
      </c>
      <c r="B526" s="61" t="s">
        <v>2844</v>
      </c>
      <c r="C526" s="61" t="s">
        <v>72</v>
      </c>
      <c r="D526" s="61" t="s">
        <v>5528</v>
      </c>
      <c r="E526" s="61" t="s">
        <v>2845</v>
      </c>
      <c r="F526" s="61" t="s">
        <v>5519</v>
      </c>
      <c r="H526" s="61" t="s">
        <v>5529</v>
      </c>
    </row>
    <row r="527">
      <c r="A527" s="61" t="s">
        <v>30</v>
      </c>
      <c r="B527" s="61" t="s">
        <v>2849</v>
      </c>
      <c r="C527" s="61" t="s">
        <v>72</v>
      </c>
      <c r="D527" s="61" t="s">
        <v>4780</v>
      </c>
      <c r="E527" s="61" t="s">
        <v>2851</v>
      </c>
      <c r="F527" s="61" t="s">
        <v>5530</v>
      </c>
      <c r="H527" s="61" t="s">
        <v>5531</v>
      </c>
    </row>
    <row r="528">
      <c r="A528" s="61" t="s">
        <v>14</v>
      </c>
      <c r="B528" s="61" t="s">
        <v>2853</v>
      </c>
      <c r="C528" s="61" t="s">
        <v>72</v>
      </c>
      <c r="D528" s="61" t="s">
        <v>4967</v>
      </c>
      <c r="E528" s="61" t="s">
        <v>2168</v>
      </c>
      <c r="F528" s="61" t="s">
        <v>4868</v>
      </c>
      <c r="H528" s="61" t="s">
        <v>5532</v>
      </c>
    </row>
    <row r="529">
      <c r="A529" s="61" t="s">
        <v>14</v>
      </c>
      <c r="B529" s="61" t="s">
        <v>1413</v>
      </c>
      <c r="C529" s="61" t="s">
        <v>72</v>
      </c>
      <c r="D529" s="61" t="s">
        <v>5533</v>
      </c>
      <c r="E529" s="61" t="s">
        <v>1020</v>
      </c>
      <c r="F529" s="61" t="s">
        <v>4128</v>
      </c>
      <c r="H529" s="61" t="s">
        <v>5534</v>
      </c>
    </row>
    <row r="530">
      <c r="A530" s="61" t="s">
        <v>14</v>
      </c>
      <c r="B530" s="61" t="s">
        <v>1292</v>
      </c>
      <c r="C530" s="61" t="s">
        <v>72</v>
      </c>
      <c r="D530" s="61" t="s">
        <v>5535</v>
      </c>
      <c r="E530" s="61" t="s">
        <v>1270</v>
      </c>
      <c r="F530" s="61" t="s">
        <v>4128</v>
      </c>
      <c r="H530" s="61" t="s">
        <v>5536</v>
      </c>
    </row>
    <row r="531">
      <c r="A531" s="61" t="s">
        <v>22</v>
      </c>
      <c r="B531" s="61" t="s">
        <v>1499</v>
      </c>
      <c r="C531" s="61" t="s">
        <v>72</v>
      </c>
      <c r="D531" s="61" t="s">
        <v>4609</v>
      </c>
      <c r="E531" s="61" t="s">
        <v>1120</v>
      </c>
      <c r="F531" s="61" t="s">
        <v>4162</v>
      </c>
      <c r="H531" s="61" t="s">
        <v>5537</v>
      </c>
    </row>
    <row r="532">
      <c r="A532" s="61" t="s">
        <v>14</v>
      </c>
      <c r="B532" s="61" t="s">
        <v>2857</v>
      </c>
      <c r="C532" s="61" t="s">
        <v>72</v>
      </c>
      <c r="D532" s="61" t="s">
        <v>4815</v>
      </c>
      <c r="E532" s="61" t="s">
        <v>2293</v>
      </c>
      <c r="F532" s="61" t="s">
        <v>4599</v>
      </c>
      <c r="H532" s="61" t="s">
        <v>5538</v>
      </c>
    </row>
    <row r="533">
      <c r="A533" s="61" t="s">
        <v>22</v>
      </c>
      <c r="B533" s="61" t="s">
        <v>1761</v>
      </c>
      <c r="C533" s="61" t="s">
        <v>72</v>
      </c>
      <c r="D533" s="61" t="s">
        <v>5539</v>
      </c>
      <c r="E533" s="61" t="s">
        <v>1290</v>
      </c>
      <c r="F533" s="61" t="s">
        <v>5540</v>
      </c>
      <c r="H533" s="61" t="s">
        <v>5541</v>
      </c>
    </row>
    <row r="534">
      <c r="A534" s="61" t="s">
        <v>16</v>
      </c>
      <c r="B534" s="61" t="s">
        <v>1525</v>
      </c>
      <c r="C534" s="61" t="s">
        <v>72</v>
      </c>
      <c r="D534" s="61" t="s">
        <v>5215</v>
      </c>
      <c r="E534" s="61" t="s">
        <v>1526</v>
      </c>
      <c r="F534" s="61" t="s">
        <v>5542</v>
      </c>
      <c r="H534" s="61" t="s">
        <v>5543</v>
      </c>
    </row>
    <row r="535">
      <c r="A535" s="61" t="s">
        <v>30</v>
      </c>
      <c r="B535" s="61" t="s">
        <v>2864</v>
      </c>
      <c r="C535" s="61" t="s">
        <v>72</v>
      </c>
      <c r="D535" s="61" t="s">
        <v>3994</v>
      </c>
      <c r="E535" s="61" t="s">
        <v>2865</v>
      </c>
      <c r="F535" s="61" t="s">
        <v>4331</v>
      </c>
      <c r="H535" s="61" t="s">
        <v>5544</v>
      </c>
    </row>
    <row r="536">
      <c r="A536" s="61" t="s">
        <v>14</v>
      </c>
      <c r="B536" s="61" t="s">
        <v>1806</v>
      </c>
      <c r="C536" s="61" t="s">
        <v>72</v>
      </c>
      <c r="D536" s="61" t="s">
        <v>5545</v>
      </c>
      <c r="E536" s="61" t="s">
        <v>1199</v>
      </c>
      <c r="F536" s="61" t="s">
        <v>5546</v>
      </c>
      <c r="H536" s="61" t="s">
        <v>5547</v>
      </c>
    </row>
    <row r="537">
      <c r="A537" s="61" t="s">
        <v>14</v>
      </c>
      <c r="B537" s="61" t="s">
        <v>1544</v>
      </c>
      <c r="C537" s="61" t="s">
        <v>72</v>
      </c>
      <c r="D537" s="61" t="s">
        <v>4367</v>
      </c>
      <c r="E537" s="61" t="s">
        <v>1047</v>
      </c>
      <c r="F537" s="61" t="s">
        <v>4195</v>
      </c>
      <c r="H537" s="61" t="s">
        <v>5548</v>
      </c>
    </row>
    <row r="538">
      <c r="A538" s="61" t="s">
        <v>22</v>
      </c>
      <c r="B538" s="61" t="s">
        <v>1542</v>
      </c>
      <c r="C538" s="61" t="s">
        <v>72</v>
      </c>
      <c r="D538" s="61" t="s">
        <v>5549</v>
      </c>
      <c r="E538" s="61" t="s">
        <v>1120</v>
      </c>
      <c r="F538" s="61" t="s">
        <v>5029</v>
      </c>
      <c r="H538" s="61" t="s">
        <v>5550</v>
      </c>
    </row>
    <row r="539">
      <c r="A539" s="61" t="s">
        <v>14</v>
      </c>
      <c r="B539" s="61" t="s">
        <v>2862</v>
      </c>
      <c r="C539" s="61" t="s">
        <v>72</v>
      </c>
      <c r="D539" s="61" t="s">
        <v>5551</v>
      </c>
      <c r="E539" s="61" t="s">
        <v>1020</v>
      </c>
      <c r="F539" s="61" t="s">
        <v>4220</v>
      </c>
      <c r="H539" s="61" t="s">
        <v>5552</v>
      </c>
    </row>
    <row r="540">
      <c r="A540" s="61" t="s">
        <v>14</v>
      </c>
      <c r="B540" s="61" t="s">
        <v>2860</v>
      </c>
      <c r="C540" s="61" t="s">
        <v>72</v>
      </c>
      <c r="D540" s="61" t="s">
        <v>5553</v>
      </c>
      <c r="E540" s="61" t="s">
        <v>1047</v>
      </c>
      <c r="F540" s="61" t="s">
        <v>4132</v>
      </c>
      <c r="H540" s="61" t="s">
        <v>5554</v>
      </c>
    </row>
    <row r="541">
      <c r="A541" s="61" t="s">
        <v>14</v>
      </c>
      <c r="B541" s="61" t="s">
        <v>1512</v>
      </c>
      <c r="C541" s="61" t="s">
        <v>72</v>
      </c>
      <c r="D541" s="61" t="s">
        <v>5555</v>
      </c>
      <c r="E541" s="61" t="s">
        <v>1020</v>
      </c>
      <c r="F541" s="61" t="s">
        <v>5389</v>
      </c>
      <c r="H541" s="61" t="s">
        <v>5556</v>
      </c>
    </row>
    <row r="542">
      <c r="A542" s="61" t="s">
        <v>14</v>
      </c>
      <c r="B542" s="61" t="s">
        <v>1281</v>
      </c>
      <c r="C542" s="61" t="s">
        <v>72</v>
      </c>
      <c r="D542" s="61" t="s">
        <v>5557</v>
      </c>
      <c r="E542" s="61" t="s">
        <v>1020</v>
      </c>
      <c r="F542" s="61" t="s">
        <v>4428</v>
      </c>
      <c r="H542" s="61" t="s">
        <v>5558</v>
      </c>
    </row>
    <row r="543">
      <c r="A543" s="61" t="s">
        <v>16</v>
      </c>
      <c r="B543" s="61" t="s">
        <v>2871</v>
      </c>
      <c r="C543" s="61" t="s">
        <v>72</v>
      </c>
      <c r="D543" s="61" t="s">
        <v>5559</v>
      </c>
      <c r="E543" s="61" t="s">
        <v>2872</v>
      </c>
      <c r="F543" s="61" t="s">
        <v>5560</v>
      </c>
      <c r="H543" s="61" t="s">
        <v>5561</v>
      </c>
    </row>
    <row r="544">
      <c r="A544" s="61" t="s">
        <v>30</v>
      </c>
      <c r="B544" s="61" t="s">
        <v>1798</v>
      </c>
      <c r="C544" s="61" t="s">
        <v>72</v>
      </c>
      <c r="D544" s="61" t="s">
        <v>4283</v>
      </c>
      <c r="E544" s="61" t="s">
        <v>1800</v>
      </c>
      <c r="F544" s="61" t="s">
        <v>4162</v>
      </c>
      <c r="H544" s="61" t="s">
        <v>5562</v>
      </c>
    </row>
    <row r="545">
      <c r="A545" s="61" t="s">
        <v>21</v>
      </c>
      <c r="B545" s="61" t="s">
        <v>1652</v>
      </c>
      <c r="C545" s="61" t="s">
        <v>1043</v>
      </c>
      <c r="D545" s="61" t="s">
        <v>4206</v>
      </c>
      <c r="E545" s="61" t="s">
        <v>1043</v>
      </c>
      <c r="F545" s="61" t="s">
        <v>5563</v>
      </c>
      <c r="H545" s="61" t="s">
        <v>5564</v>
      </c>
    </row>
    <row r="546">
      <c r="A546" s="61" t="s">
        <v>14</v>
      </c>
      <c r="B546" s="61" t="s">
        <v>2874</v>
      </c>
      <c r="C546" s="61" t="s">
        <v>72</v>
      </c>
      <c r="D546" s="61" t="s">
        <v>5565</v>
      </c>
      <c r="E546" s="61" t="s">
        <v>1020</v>
      </c>
      <c r="F546" s="61" t="s">
        <v>4973</v>
      </c>
      <c r="H546" s="61" t="s">
        <v>5566</v>
      </c>
    </row>
    <row r="547">
      <c r="A547" s="61" t="s">
        <v>14</v>
      </c>
      <c r="B547" s="61" t="s">
        <v>2876</v>
      </c>
      <c r="C547" s="61" t="s">
        <v>72</v>
      </c>
      <c r="D547" s="61" t="s">
        <v>5567</v>
      </c>
      <c r="E547" s="61" t="s">
        <v>1047</v>
      </c>
      <c r="F547" s="61" t="s">
        <v>4299</v>
      </c>
      <c r="H547" s="61" t="s">
        <v>5568</v>
      </c>
    </row>
    <row r="548">
      <c r="A548" s="61" t="s">
        <v>16</v>
      </c>
      <c r="B548" s="61" t="s">
        <v>2880</v>
      </c>
      <c r="C548" s="61" t="s">
        <v>72</v>
      </c>
      <c r="D548" s="61" t="s">
        <v>5569</v>
      </c>
      <c r="E548" s="61" t="s">
        <v>2881</v>
      </c>
      <c r="F548" s="61" t="s">
        <v>5570</v>
      </c>
      <c r="H548" s="61" t="s">
        <v>5571</v>
      </c>
    </row>
    <row r="549">
      <c r="A549" s="61" t="s">
        <v>21</v>
      </c>
      <c r="B549" s="61" t="s">
        <v>2487</v>
      </c>
      <c r="C549" s="61" t="s">
        <v>72</v>
      </c>
      <c r="D549" s="61" t="s">
        <v>5572</v>
      </c>
      <c r="E549" s="61" t="s">
        <v>2303</v>
      </c>
      <c r="F549" s="61" t="s">
        <v>4976</v>
      </c>
      <c r="G549" s="61" t="s">
        <v>5573</v>
      </c>
      <c r="H549" s="61" t="s">
        <v>5574</v>
      </c>
    </row>
    <row r="550">
      <c r="A550" s="61" t="s">
        <v>22</v>
      </c>
      <c r="B550" s="61" t="s">
        <v>2883</v>
      </c>
      <c r="C550" s="61" t="s">
        <v>72</v>
      </c>
      <c r="D550" s="61" t="s">
        <v>537</v>
      </c>
      <c r="E550" s="61" t="s">
        <v>2884</v>
      </c>
      <c r="F550" s="61" t="s">
        <v>4424</v>
      </c>
      <c r="H550" s="61" t="s">
        <v>5575</v>
      </c>
    </row>
    <row r="551">
      <c r="A551" s="61" t="s">
        <v>21</v>
      </c>
      <c r="B551" s="61" t="s">
        <v>2302</v>
      </c>
      <c r="C551" s="61" t="s">
        <v>72</v>
      </c>
      <c r="D551" s="61" t="s">
        <v>5576</v>
      </c>
      <c r="E551" s="61" t="s">
        <v>2303</v>
      </c>
      <c r="F551" s="61" t="s">
        <v>4223</v>
      </c>
      <c r="G551" s="61" t="s">
        <v>5577</v>
      </c>
      <c r="H551" s="61" t="s">
        <v>5578</v>
      </c>
    </row>
    <row r="552">
      <c r="A552" s="61" t="s">
        <v>14</v>
      </c>
      <c r="B552" s="61" t="s">
        <v>2886</v>
      </c>
      <c r="C552" s="61" t="s">
        <v>72</v>
      </c>
      <c r="D552" s="61" t="s">
        <v>4301</v>
      </c>
      <c r="E552" s="61" t="s">
        <v>1425</v>
      </c>
      <c r="F552" s="61" t="s">
        <v>5579</v>
      </c>
      <c r="H552" s="61" t="s">
        <v>5580</v>
      </c>
    </row>
    <row r="553">
      <c r="A553" s="61" t="s">
        <v>14</v>
      </c>
      <c r="B553" s="61" t="s">
        <v>2892</v>
      </c>
      <c r="C553" s="61" t="s">
        <v>72</v>
      </c>
      <c r="D553" s="61" t="s">
        <v>5581</v>
      </c>
      <c r="E553" s="61" t="s">
        <v>1020</v>
      </c>
      <c r="F553" s="61" t="s">
        <v>4290</v>
      </c>
      <c r="H553" s="61" t="s">
        <v>5582</v>
      </c>
    </row>
    <row r="554">
      <c r="A554" s="61" t="s">
        <v>33</v>
      </c>
      <c r="B554" s="61" t="s">
        <v>2890</v>
      </c>
      <c r="C554" s="61" t="s">
        <v>72</v>
      </c>
      <c r="D554" s="61" t="s">
        <v>4945</v>
      </c>
      <c r="E554" s="61" t="s">
        <v>2220</v>
      </c>
      <c r="F554" s="61" t="s">
        <v>5583</v>
      </c>
      <c r="H554" s="61" t="s">
        <v>5584</v>
      </c>
    </row>
    <row r="555">
      <c r="A555" s="61" t="s">
        <v>21</v>
      </c>
      <c r="B555" s="61" t="s">
        <v>2349</v>
      </c>
      <c r="C555" s="61" t="s">
        <v>72</v>
      </c>
      <c r="D555" s="61" t="s">
        <v>179</v>
      </c>
      <c r="E555" s="61" t="s">
        <v>1097</v>
      </c>
      <c r="F555" s="61" t="s">
        <v>5585</v>
      </c>
      <c r="H555" s="61" t="s">
        <v>5586</v>
      </c>
    </row>
    <row r="556">
      <c r="A556" s="61" t="s">
        <v>21</v>
      </c>
      <c r="B556" s="61" t="s">
        <v>2530</v>
      </c>
      <c r="C556" s="61" t="s">
        <v>72</v>
      </c>
      <c r="D556" s="61" t="s">
        <v>4348</v>
      </c>
      <c r="E556" s="61" t="s">
        <v>2303</v>
      </c>
      <c r="F556" s="61" t="s">
        <v>4182</v>
      </c>
      <c r="G556" s="61" t="s">
        <v>5587</v>
      </c>
      <c r="H556" s="61" t="s">
        <v>5588</v>
      </c>
    </row>
    <row r="557">
      <c r="A557" s="61" t="s">
        <v>21</v>
      </c>
      <c r="B557" s="61" t="s">
        <v>1214</v>
      </c>
      <c r="C557" s="61" t="s">
        <v>72</v>
      </c>
      <c r="D557" s="61" t="s">
        <v>3981</v>
      </c>
      <c r="E557" s="61" t="s">
        <v>2096</v>
      </c>
      <c r="F557" s="61" t="s">
        <v>4302</v>
      </c>
      <c r="H557" s="61" t="s">
        <v>5589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3.38"/>
    <col customWidth="1" min="3" max="3" width="11.63"/>
    <col customWidth="1" min="4" max="4" width="7.13"/>
    <col customWidth="1" min="5" max="5" width="8.0"/>
  </cols>
  <sheetData>
    <row r="1">
      <c r="A1" s="120" t="s">
        <v>3833</v>
      </c>
      <c r="B1" s="120" t="s">
        <v>60</v>
      </c>
      <c r="C1" s="121" t="s">
        <v>5590</v>
      </c>
      <c r="D1" s="120" t="s">
        <v>5591</v>
      </c>
      <c r="E1" s="120" t="s">
        <v>5592</v>
      </c>
    </row>
    <row r="2">
      <c r="A2" s="115" t="s">
        <v>1075</v>
      </c>
      <c r="B2" s="122" t="s">
        <v>28</v>
      </c>
      <c r="C2" s="123">
        <v>45825.0</v>
      </c>
      <c r="D2" s="114" t="s">
        <v>5593</v>
      </c>
      <c r="E2" s="115" t="s">
        <v>5594</v>
      </c>
    </row>
    <row r="3">
      <c r="A3" s="115" t="s">
        <v>2915</v>
      </c>
      <c r="B3" s="122" t="s">
        <v>28</v>
      </c>
      <c r="C3" s="124">
        <v>45839.0</v>
      </c>
      <c r="D3" s="115" t="s">
        <v>5593</v>
      </c>
      <c r="E3" s="115" t="s">
        <v>5594</v>
      </c>
    </row>
    <row r="4">
      <c r="A4" s="115" t="s">
        <v>1085</v>
      </c>
      <c r="B4" s="122" t="s">
        <v>22</v>
      </c>
      <c r="C4" s="123">
        <v>45771.0</v>
      </c>
      <c r="D4" s="114" t="s">
        <v>5593</v>
      </c>
      <c r="E4" s="115" t="s">
        <v>5594</v>
      </c>
    </row>
    <row r="5">
      <c r="A5" s="115" t="s">
        <v>1953</v>
      </c>
      <c r="B5" s="122" t="s">
        <v>22</v>
      </c>
      <c r="C5" s="123">
        <v>45814.0</v>
      </c>
      <c r="D5" s="114" t="s">
        <v>5593</v>
      </c>
      <c r="E5" s="115" t="s">
        <v>5594</v>
      </c>
    </row>
    <row r="6">
      <c r="A6" s="115" t="s">
        <v>2399</v>
      </c>
      <c r="B6" s="122" t="s">
        <v>14</v>
      </c>
      <c r="C6" s="123">
        <v>45768.0</v>
      </c>
      <c r="D6" s="114" t="s">
        <v>5595</v>
      </c>
      <c r="E6" s="115" t="s">
        <v>5594</v>
      </c>
    </row>
    <row r="7">
      <c r="A7" s="115" t="s">
        <v>2625</v>
      </c>
      <c r="B7" s="122" t="s">
        <v>22</v>
      </c>
      <c r="C7" s="123">
        <v>45783.0</v>
      </c>
      <c r="D7" s="114" t="s">
        <v>5593</v>
      </c>
      <c r="E7" s="115" t="s">
        <v>5594</v>
      </c>
    </row>
    <row r="8">
      <c r="A8" s="115" t="s">
        <v>2147</v>
      </c>
      <c r="B8" s="122" t="s">
        <v>36</v>
      </c>
      <c r="C8" s="123">
        <v>45824.0</v>
      </c>
      <c r="D8" s="114" t="s">
        <v>4159</v>
      </c>
      <c r="E8" s="115" t="s">
        <v>5594</v>
      </c>
    </row>
    <row r="9">
      <c r="A9" s="115" t="s">
        <v>3811</v>
      </c>
      <c r="B9" s="122" t="s">
        <v>30</v>
      </c>
      <c r="C9" s="123">
        <v>45832.0</v>
      </c>
      <c r="D9" s="114" t="s">
        <v>5593</v>
      </c>
      <c r="E9" s="115" t="s">
        <v>5594</v>
      </c>
    </row>
    <row r="10">
      <c r="A10" s="115" t="s">
        <v>2181</v>
      </c>
      <c r="B10" s="122" t="s">
        <v>22</v>
      </c>
      <c r="C10" s="123">
        <v>45769.0</v>
      </c>
      <c r="D10" s="114" t="s">
        <v>5593</v>
      </c>
      <c r="E10" s="115" t="s">
        <v>5594</v>
      </c>
    </row>
    <row r="11">
      <c r="A11" s="115" t="s">
        <v>1763</v>
      </c>
      <c r="B11" s="122" t="s">
        <v>22</v>
      </c>
      <c r="C11" s="124">
        <v>45843.0</v>
      </c>
      <c r="D11" s="115" t="s">
        <v>5593</v>
      </c>
      <c r="E11" s="115" t="s">
        <v>5594</v>
      </c>
    </row>
    <row r="12">
      <c r="A12" s="115" t="s">
        <v>1121</v>
      </c>
      <c r="B12" s="122" t="s">
        <v>22</v>
      </c>
      <c r="C12" s="123">
        <v>45771.0</v>
      </c>
      <c r="D12" s="114" t="s">
        <v>5593</v>
      </c>
      <c r="E12" s="115" t="s">
        <v>5594</v>
      </c>
    </row>
    <row r="13">
      <c r="A13" s="115" t="s">
        <v>2548</v>
      </c>
      <c r="B13" s="122" t="s">
        <v>22</v>
      </c>
      <c r="C13" s="123">
        <v>45769.0</v>
      </c>
      <c r="D13" s="114" t="s">
        <v>5593</v>
      </c>
      <c r="E13" s="115" t="s">
        <v>5594</v>
      </c>
    </row>
    <row r="14">
      <c r="A14" s="115" t="s">
        <v>2250</v>
      </c>
      <c r="B14" s="122" t="s">
        <v>28</v>
      </c>
      <c r="C14" s="123">
        <v>45824.0</v>
      </c>
      <c r="D14" s="114" t="s">
        <v>5593</v>
      </c>
      <c r="E14" s="115" t="s">
        <v>5594</v>
      </c>
    </row>
    <row r="15">
      <c r="A15" s="115" t="s">
        <v>2913</v>
      </c>
      <c r="B15" s="122" t="s">
        <v>28</v>
      </c>
      <c r="C15" s="124">
        <v>45839.0</v>
      </c>
      <c r="D15" s="115" t="s">
        <v>5593</v>
      </c>
      <c r="E15" s="115" t="s">
        <v>5594</v>
      </c>
    </row>
    <row r="16">
      <c r="A16" s="115" t="s">
        <v>1568</v>
      </c>
      <c r="B16" s="122" t="s">
        <v>28</v>
      </c>
      <c r="C16" s="123">
        <v>45825.0</v>
      </c>
      <c r="D16" s="114" t="s">
        <v>5593</v>
      </c>
      <c r="E16" s="115" t="s">
        <v>5594</v>
      </c>
    </row>
    <row r="17">
      <c r="A17" s="115" t="s">
        <v>2579</v>
      </c>
      <c r="B17" s="122" t="s">
        <v>22</v>
      </c>
      <c r="C17" s="123">
        <v>45798.0</v>
      </c>
      <c r="D17" s="114" t="s">
        <v>5593</v>
      </c>
      <c r="E17" s="115" t="s">
        <v>5594</v>
      </c>
    </row>
    <row r="18">
      <c r="A18" s="115" t="s">
        <v>2309</v>
      </c>
      <c r="B18" s="122" t="s">
        <v>22</v>
      </c>
      <c r="C18" s="123">
        <v>45770.0</v>
      </c>
      <c r="D18" s="114" t="s">
        <v>5593</v>
      </c>
      <c r="E18" s="115" t="s">
        <v>5594</v>
      </c>
    </row>
    <row r="19">
      <c r="A19" s="115" t="s">
        <v>1491</v>
      </c>
      <c r="B19" s="122" t="s">
        <v>36</v>
      </c>
      <c r="C19" s="123">
        <v>45832.0</v>
      </c>
      <c r="D19" s="114" t="s">
        <v>5593</v>
      </c>
      <c r="E19" s="115" t="s">
        <v>5594</v>
      </c>
    </row>
    <row r="20">
      <c r="A20" s="115" t="s">
        <v>1226</v>
      </c>
      <c r="B20" s="122" t="s">
        <v>22</v>
      </c>
      <c r="C20" s="123">
        <v>45769.0</v>
      </c>
      <c r="D20" s="114" t="s">
        <v>5593</v>
      </c>
      <c r="E20" s="115" t="s">
        <v>5594</v>
      </c>
    </row>
    <row r="21">
      <c r="A21" s="115" t="s">
        <v>1885</v>
      </c>
      <c r="B21" s="122" t="s">
        <v>14</v>
      </c>
      <c r="C21" s="124">
        <v>45845.0</v>
      </c>
      <c r="D21" s="115" t="s">
        <v>5593</v>
      </c>
      <c r="E21" s="115" t="s">
        <v>5594</v>
      </c>
    </row>
    <row r="22">
      <c r="A22" s="115" t="s">
        <v>2764</v>
      </c>
      <c r="B22" s="122" t="s">
        <v>14</v>
      </c>
      <c r="C22" s="123">
        <v>45832.0</v>
      </c>
      <c r="D22" s="114" t="s">
        <v>5593</v>
      </c>
      <c r="E22" s="115" t="s">
        <v>5594</v>
      </c>
    </row>
    <row r="23">
      <c r="A23" s="115" t="s">
        <v>2431</v>
      </c>
      <c r="B23" s="122" t="s">
        <v>14</v>
      </c>
      <c r="C23" s="123">
        <v>45827.0</v>
      </c>
      <c r="D23" s="114" t="s">
        <v>5593</v>
      </c>
      <c r="E23" s="115" t="s">
        <v>5594</v>
      </c>
    </row>
    <row r="24">
      <c r="A24" s="115" t="s">
        <v>2714</v>
      </c>
      <c r="B24" s="122" t="s">
        <v>28</v>
      </c>
      <c r="C24" s="123">
        <v>45825.0</v>
      </c>
      <c r="D24" s="114" t="s">
        <v>5593</v>
      </c>
      <c r="E24" s="115" t="s">
        <v>5594</v>
      </c>
    </row>
    <row r="25">
      <c r="A25" s="115" t="s">
        <v>2228</v>
      </c>
      <c r="B25" s="122" t="s">
        <v>22</v>
      </c>
      <c r="C25" s="123">
        <v>45776.0</v>
      </c>
      <c r="D25" s="114" t="s">
        <v>5593</v>
      </c>
      <c r="E25" s="115" t="s">
        <v>5594</v>
      </c>
    </row>
    <row r="26">
      <c r="A26" s="115" t="s">
        <v>1445</v>
      </c>
      <c r="B26" s="122" t="s">
        <v>22</v>
      </c>
      <c r="C26" s="123">
        <v>45824.0</v>
      </c>
      <c r="D26" s="114" t="s">
        <v>5593</v>
      </c>
      <c r="E26" s="115" t="s">
        <v>5594</v>
      </c>
    </row>
    <row r="27">
      <c r="A27" s="115" t="s">
        <v>2727</v>
      </c>
      <c r="B27" s="122" t="s">
        <v>22</v>
      </c>
      <c r="C27" s="123">
        <v>45815.0</v>
      </c>
      <c r="D27" s="114" t="s">
        <v>5593</v>
      </c>
      <c r="E27" s="115" t="s">
        <v>5594</v>
      </c>
    </row>
    <row r="28">
      <c r="A28" s="115" t="s">
        <v>1525</v>
      </c>
      <c r="B28" s="115" t="s">
        <v>16</v>
      </c>
      <c r="C28" s="124">
        <v>45853.0</v>
      </c>
      <c r="D28" s="114" t="s">
        <v>5593</v>
      </c>
      <c r="E28" s="115" t="s">
        <v>5594</v>
      </c>
    </row>
    <row r="29">
      <c r="A29" s="115" t="s">
        <v>1231</v>
      </c>
      <c r="B29" s="114"/>
      <c r="C29" s="124">
        <v>45866.0</v>
      </c>
      <c r="D29" s="114" t="s">
        <v>5593</v>
      </c>
      <c r="E29" s="115" t="s">
        <v>5594</v>
      </c>
    </row>
    <row r="30">
      <c r="A30" s="115" t="s">
        <v>1808</v>
      </c>
      <c r="B30" s="114"/>
      <c r="C30" s="124">
        <v>45866.0</v>
      </c>
      <c r="D30" s="114" t="s">
        <v>5593</v>
      </c>
      <c r="E30" s="115" t="s">
        <v>5594</v>
      </c>
    </row>
    <row r="31">
      <c r="A31" s="115" t="s">
        <v>2111</v>
      </c>
      <c r="B31" s="114"/>
      <c r="C31" s="124">
        <v>45866.0</v>
      </c>
      <c r="D31" s="114" t="s">
        <v>5593</v>
      </c>
      <c r="E31" s="115" t="s">
        <v>5594</v>
      </c>
    </row>
    <row r="32">
      <c r="A32" s="115" t="s">
        <v>2880</v>
      </c>
      <c r="B32" s="114"/>
      <c r="C32" s="124">
        <v>45866.0</v>
      </c>
      <c r="D32" s="114" t="s">
        <v>5593</v>
      </c>
      <c r="E32" s="115" t="s">
        <v>5594</v>
      </c>
    </row>
    <row r="33">
      <c r="A33" s="115" t="s">
        <v>2680</v>
      </c>
      <c r="B33" s="114"/>
      <c r="C33" s="124">
        <v>45866.0</v>
      </c>
      <c r="D33" s="114" t="s">
        <v>5593</v>
      </c>
      <c r="E33" s="115" t="s">
        <v>5594</v>
      </c>
    </row>
    <row r="34">
      <c r="A34" s="115" t="s">
        <v>2186</v>
      </c>
      <c r="B34" s="114"/>
      <c r="C34" s="124">
        <v>45866.0</v>
      </c>
      <c r="D34" s="114" t="s">
        <v>5593</v>
      </c>
      <c r="E34" s="115" t="s">
        <v>5594</v>
      </c>
    </row>
    <row r="35">
      <c r="A35" s="115" t="s">
        <v>2871</v>
      </c>
      <c r="B35" s="114"/>
      <c r="C35" s="124">
        <v>45866.0</v>
      </c>
      <c r="D35" s="114" t="s">
        <v>5593</v>
      </c>
      <c r="E35" s="115" t="s">
        <v>5594</v>
      </c>
    </row>
    <row r="36">
      <c r="A36" s="115" t="s">
        <v>1505</v>
      </c>
      <c r="B36" s="114"/>
      <c r="C36" s="124">
        <v>45866.0</v>
      </c>
      <c r="D36" s="114" t="s">
        <v>5593</v>
      </c>
      <c r="E36" s="115" t="s">
        <v>5594</v>
      </c>
    </row>
    <row r="37">
      <c r="A37" s="115" t="s">
        <v>1525</v>
      </c>
      <c r="B37" s="114"/>
      <c r="C37" s="124">
        <v>45866.0</v>
      </c>
      <c r="D37" s="114" t="s">
        <v>5593</v>
      </c>
      <c r="E37" s="115" t="s">
        <v>5594</v>
      </c>
    </row>
    <row r="38">
      <c r="A38" s="115" t="s">
        <v>1015</v>
      </c>
      <c r="B38" s="114"/>
      <c r="C38" s="124">
        <v>45866.0</v>
      </c>
      <c r="D38" s="114" t="s">
        <v>5593</v>
      </c>
      <c r="E38" s="115" t="s">
        <v>5594</v>
      </c>
    </row>
    <row r="39">
      <c r="A39" s="115" t="s">
        <v>1017</v>
      </c>
      <c r="B39" s="114"/>
      <c r="C39" s="124">
        <v>45866.0</v>
      </c>
      <c r="D39" s="114" t="s">
        <v>5593</v>
      </c>
      <c r="E39" s="115" t="s">
        <v>5594</v>
      </c>
    </row>
    <row r="40">
      <c r="A40" s="114"/>
      <c r="B40" s="114"/>
      <c r="C40" s="123"/>
      <c r="D40" s="114"/>
      <c r="E40" s="114"/>
    </row>
    <row r="41">
      <c r="A41" s="114"/>
      <c r="B41" s="114"/>
      <c r="C41" s="123"/>
      <c r="D41" s="114"/>
      <c r="E41" s="114"/>
    </row>
    <row r="42">
      <c r="A42" s="114"/>
      <c r="B42" s="114"/>
      <c r="C42" s="123"/>
      <c r="D42" s="114"/>
      <c r="E42" s="114"/>
    </row>
    <row r="43">
      <c r="A43" s="114"/>
      <c r="B43" s="114"/>
      <c r="C43" s="123"/>
      <c r="D43" s="114"/>
      <c r="E43" s="114"/>
    </row>
    <row r="44">
      <c r="A44" s="114"/>
      <c r="B44" s="114"/>
      <c r="C44" s="123"/>
      <c r="D44" s="114"/>
      <c r="E44" s="114"/>
    </row>
    <row r="45">
      <c r="A45" s="114"/>
      <c r="B45" s="114"/>
      <c r="C45" s="123"/>
      <c r="D45" s="114"/>
      <c r="E45" s="114"/>
    </row>
    <row r="46">
      <c r="A46" s="114"/>
      <c r="B46" s="114"/>
      <c r="C46" s="123"/>
      <c r="D46" s="114"/>
      <c r="E46" s="114"/>
    </row>
    <row r="47">
      <c r="A47" s="114"/>
      <c r="B47" s="114"/>
      <c r="C47" s="123"/>
      <c r="D47" s="114"/>
      <c r="E47" s="114"/>
    </row>
    <row r="48">
      <c r="A48" s="114"/>
      <c r="B48" s="114"/>
      <c r="C48" s="123"/>
      <c r="D48" s="114"/>
      <c r="E48" s="114"/>
    </row>
    <row r="49">
      <c r="A49" s="114"/>
      <c r="B49" s="114"/>
      <c r="C49" s="123"/>
      <c r="D49" s="114"/>
      <c r="E49" s="114"/>
    </row>
    <row r="50">
      <c r="A50" s="114"/>
      <c r="B50" s="114"/>
      <c r="C50" s="123"/>
      <c r="D50" s="114"/>
      <c r="E50" s="114"/>
    </row>
    <row r="51">
      <c r="A51" s="114"/>
      <c r="B51" s="114"/>
      <c r="C51" s="123"/>
      <c r="D51" s="114"/>
      <c r="E51" s="114"/>
    </row>
    <row r="52">
      <c r="A52" s="114"/>
      <c r="B52" s="114"/>
      <c r="C52" s="123"/>
      <c r="D52" s="114"/>
      <c r="E52" s="114"/>
    </row>
    <row r="53">
      <c r="A53" s="114"/>
      <c r="B53" s="114"/>
      <c r="C53" s="123"/>
      <c r="D53" s="114"/>
      <c r="E53" s="114"/>
    </row>
    <row r="54">
      <c r="A54" s="114"/>
      <c r="B54" s="114"/>
      <c r="C54" s="123"/>
      <c r="D54" s="114"/>
      <c r="E54" s="114"/>
    </row>
    <row r="55">
      <c r="A55" s="114"/>
      <c r="B55" s="114"/>
      <c r="C55" s="123"/>
      <c r="D55" s="114"/>
      <c r="E55" s="114"/>
    </row>
    <row r="56">
      <c r="A56" s="114"/>
      <c r="B56" s="114"/>
      <c r="C56" s="123"/>
      <c r="D56" s="114"/>
      <c r="E56" s="114"/>
    </row>
    <row r="57">
      <c r="A57" s="114"/>
      <c r="B57" s="114"/>
      <c r="C57" s="123"/>
      <c r="D57" s="114"/>
      <c r="E57" s="114"/>
    </row>
    <row r="58">
      <c r="A58" s="114"/>
      <c r="B58" s="114"/>
      <c r="C58" s="123"/>
      <c r="D58" s="114"/>
      <c r="E58" s="114"/>
    </row>
    <row r="59">
      <c r="A59" s="114"/>
      <c r="B59" s="114"/>
      <c r="C59" s="123"/>
      <c r="D59" s="114"/>
      <c r="E59" s="114"/>
    </row>
    <row r="60">
      <c r="A60" s="114"/>
      <c r="B60" s="114"/>
      <c r="C60" s="123"/>
      <c r="D60" s="114"/>
      <c r="E60" s="114"/>
    </row>
    <row r="61">
      <c r="A61" s="114"/>
      <c r="B61" s="114"/>
      <c r="C61" s="123"/>
      <c r="D61" s="114"/>
      <c r="E61" s="114"/>
    </row>
    <row r="62">
      <c r="A62" s="114"/>
      <c r="B62" s="114"/>
      <c r="C62" s="123"/>
      <c r="D62" s="114"/>
      <c r="E62" s="114"/>
    </row>
    <row r="63">
      <c r="A63" s="114"/>
      <c r="B63" s="114"/>
      <c r="C63" s="123"/>
      <c r="D63" s="114"/>
      <c r="E63" s="114"/>
    </row>
    <row r="64">
      <c r="A64" s="114"/>
      <c r="B64" s="114"/>
      <c r="C64" s="123"/>
      <c r="D64" s="114"/>
      <c r="E64" s="114"/>
    </row>
    <row r="65">
      <c r="A65" s="114"/>
      <c r="B65" s="114"/>
      <c r="C65" s="123"/>
      <c r="D65" s="114"/>
      <c r="E65" s="114"/>
    </row>
    <row r="66">
      <c r="A66" s="114"/>
      <c r="B66" s="114"/>
      <c r="C66" s="123"/>
      <c r="D66" s="114"/>
      <c r="E66" s="114"/>
    </row>
    <row r="67">
      <c r="A67" s="114"/>
      <c r="B67" s="114"/>
      <c r="C67" s="123"/>
      <c r="D67" s="114"/>
      <c r="E67" s="114"/>
    </row>
    <row r="68">
      <c r="A68" s="114"/>
      <c r="B68" s="114"/>
      <c r="C68" s="123"/>
      <c r="D68" s="114"/>
      <c r="E68" s="114"/>
    </row>
    <row r="69">
      <c r="A69" s="114"/>
      <c r="B69" s="114"/>
      <c r="C69" s="123"/>
      <c r="D69" s="114"/>
      <c r="E69" s="114"/>
    </row>
    <row r="70">
      <c r="A70" s="114"/>
      <c r="B70" s="114"/>
      <c r="C70" s="123"/>
      <c r="D70" s="114"/>
      <c r="E70" s="114"/>
    </row>
    <row r="71">
      <c r="A71" s="114"/>
      <c r="B71" s="114"/>
      <c r="C71" s="123"/>
      <c r="D71" s="114"/>
      <c r="E71" s="114"/>
    </row>
    <row r="72">
      <c r="A72" s="114"/>
      <c r="B72" s="114"/>
      <c r="C72" s="123"/>
      <c r="D72" s="114"/>
      <c r="E72" s="114"/>
    </row>
    <row r="73">
      <c r="A73" s="114"/>
      <c r="B73" s="114"/>
      <c r="C73" s="123"/>
      <c r="D73" s="114"/>
      <c r="E73" s="114"/>
    </row>
    <row r="74">
      <c r="A74" s="114"/>
      <c r="B74" s="114"/>
      <c r="C74" s="123"/>
      <c r="D74" s="114"/>
      <c r="E74" s="114"/>
    </row>
    <row r="75">
      <c r="A75" s="114"/>
      <c r="B75" s="114"/>
      <c r="C75" s="123"/>
      <c r="D75" s="114"/>
      <c r="E75" s="114"/>
    </row>
    <row r="76">
      <c r="A76" s="114"/>
      <c r="B76" s="114"/>
      <c r="C76" s="123"/>
      <c r="D76" s="114"/>
      <c r="E76" s="114"/>
    </row>
    <row r="77">
      <c r="A77" s="114"/>
      <c r="B77" s="114"/>
      <c r="C77" s="123"/>
      <c r="D77" s="114"/>
      <c r="E77" s="114"/>
    </row>
    <row r="78">
      <c r="A78" s="114"/>
      <c r="B78" s="114"/>
      <c r="C78" s="123"/>
      <c r="D78" s="114"/>
      <c r="E78" s="114"/>
    </row>
    <row r="79">
      <c r="A79" s="114"/>
      <c r="B79" s="114"/>
      <c r="C79" s="123"/>
      <c r="D79" s="114"/>
      <c r="E79" s="114"/>
    </row>
    <row r="80">
      <c r="A80" s="114"/>
      <c r="B80" s="114"/>
      <c r="C80" s="123"/>
      <c r="D80" s="114"/>
      <c r="E80" s="114"/>
    </row>
    <row r="81">
      <c r="A81" s="114"/>
      <c r="B81" s="114"/>
      <c r="C81" s="123"/>
      <c r="D81" s="114"/>
      <c r="E81" s="114"/>
    </row>
    <row r="82">
      <c r="A82" s="114"/>
      <c r="B82" s="114"/>
      <c r="C82" s="123"/>
      <c r="D82" s="114"/>
      <c r="E82" s="114"/>
    </row>
    <row r="83">
      <c r="A83" s="114"/>
      <c r="B83" s="114"/>
      <c r="C83" s="123"/>
      <c r="D83" s="114"/>
      <c r="E83" s="114"/>
    </row>
    <row r="84">
      <c r="A84" s="114"/>
      <c r="B84" s="114"/>
      <c r="C84" s="123"/>
      <c r="D84" s="114"/>
      <c r="E84" s="114"/>
    </row>
    <row r="85">
      <c r="A85" s="114"/>
      <c r="B85" s="114"/>
      <c r="C85" s="123"/>
      <c r="D85" s="114"/>
      <c r="E85" s="114"/>
    </row>
    <row r="86">
      <c r="A86" s="114"/>
      <c r="B86" s="114"/>
      <c r="C86" s="123"/>
      <c r="D86" s="114"/>
      <c r="E86" s="114"/>
    </row>
    <row r="87">
      <c r="A87" s="114"/>
      <c r="B87" s="114"/>
      <c r="C87" s="123"/>
      <c r="D87" s="114"/>
      <c r="E87" s="114"/>
    </row>
    <row r="88">
      <c r="A88" s="114"/>
      <c r="B88" s="114"/>
      <c r="C88" s="123"/>
      <c r="D88" s="114"/>
      <c r="E88" s="114"/>
    </row>
    <row r="89">
      <c r="A89" s="114"/>
      <c r="B89" s="114"/>
      <c r="C89" s="123"/>
      <c r="D89" s="114"/>
      <c r="E89" s="114"/>
    </row>
    <row r="90">
      <c r="A90" s="114"/>
      <c r="B90" s="114"/>
      <c r="C90" s="123"/>
      <c r="D90" s="114"/>
      <c r="E90" s="114"/>
    </row>
    <row r="91">
      <c r="A91" s="114"/>
      <c r="B91" s="114"/>
      <c r="C91" s="123"/>
      <c r="D91" s="114"/>
      <c r="E91" s="114"/>
    </row>
    <row r="92">
      <c r="A92" s="114"/>
      <c r="B92" s="114"/>
      <c r="C92" s="123"/>
      <c r="D92" s="114"/>
      <c r="E92" s="114"/>
    </row>
    <row r="93">
      <c r="A93" s="114"/>
      <c r="B93" s="114"/>
      <c r="C93" s="123"/>
      <c r="D93" s="114"/>
      <c r="E93" s="114"/>
    </row>
    <row r="94">
      <c r="A94" s="114"/>
      <c r="B94" s="114"/>
      <c r="C94" s="123"/>
      <c r="D94" s="114"/>
      <c r="E94" s="114"/>
    </row>
    <row r="95">
      <c r="A95" s="114"/>
      <c r="B95" s="114"/>
      <c r="C95" s="123"/>
      <c r="D95" s="114"/>
      <c r="E95" s="114"/>
    </row>
    <row r="96">
      <c r="A96" s="114"/>
      <c r="B96" s="114"/>
      <c r="C96" s="123"/>
      <c r="D96" s="114"/>
      <c r="E96" s="114"/>
    </row>
    <row r="97">
      <c r="A97" s="114"/>
      <c r="B97" s="114"/>
      <c r="C97" s="123"/>
      <c r="D97" s="114"/>
      <c r="E97" s="114"/>
    </row>
    <row r="98">
      <c r="A98" s="114"/>
      <c r="B98" s="114"/>
      <c r="C98" s="123"/>
      <c r="D98" s="114"/>
      <c r="E98" s="114"/>
    </row>
    <row r="99">
      <c r="A99" s="114"/>
      <c r="B99" s="114"/>
      <c r="C99" s="123"/>
      <c r="D99" s="114"/>
      <c r="E99" s="114"/>
    </row>
    <row r="100">
      <c r="A100" s="114"/>
      <c r="B100" s="114"/>
      <c r="C100" s="123"/>
      <c r="D100" s="114"/>
      <c r="E100" s="114"/>
    </row>
    <row r="101">
      <c r="A101" s="114"/>
      <c r="B101" s="114"/>
      <c r="C101" s="123"/>
      <c r="D101" s="114"/>
      <c r="E101" s="114"/>
    </row>
    <row r="102">
      <c r="A102" s="114"/>
      <c r="B102" s="114"/>
      <c r="C102" s="123"/>
      <c r="D102" s="114"/>
      <c r="E102" s="114"/>
    </row>
    <row r="103">
      <c r="A103" s="114"/>
      <c r="B103" s="114"/>
      <c r="C103" s="123"/>
      <c r="D103" s="114"/>
      <c r="E103" s="114"/>
    </row>
    <row r="104">
      <c r="A104" s="114"/>
      <c r="B104" s="114"/>
      <c r="C104" s="123"/>
      <c r="D104" s="114"/>
      <c r="E104" s="114"/>
    </row>
    <row r="105">
      <c r="A105" s="114"/>
      <c r="B105" s="114"/>
      <c r="C105" s="123"/>
      <c r="D105" s="114"/>
      <c r="E105" s="114"/>
    </row>
    <row r="106">
      <c r="A106" s="114"/>
      <c r="B106" s="114"/>
      <c r="C106" s="123"/>
      <c r="D106" s="114"/>
      <c r="E106" s="114"/>
    </row>
    <row r="107">
      <c r="A107" s="114"/>
      <c r="B107" s="114"/>
      <c r="C107" s="123"/>
      <c r="D107" s="114"/>
      <c r="E107" s="114"/>
    </row>
    <row r="108">
      <c r="A108" s="114"/>
      <c r="B108" s="114"/>
      <c r="C108" s="123"/>
      <c r="D108" s="114"/>
      <c r="E108" s="114"/>
    </row>
    <row r="109">
      <c r="A109" s="114"/>
      <c r="B109" s="114"/>
      <c r="C109" s="123"/>
      <c r="D109" s="114"/>
      <c r="E109" s="114"/>
    </row>
    <row r="110">
      <c r="A110" s="114"/>
      <c r="B110" s="114"/>
      <c r="C110" s="123"/>
      <c r="D110" s="114"/>
      <c r="E110" s="114"/>
    </row>
    <row r="111">
      <c r="A111" s="114"/>
      <c r="B111" s="114"/>
      <c r="C111" s="123"/>
      <c r="D111" s="114"/>
      <c r="E111" s="114"/>
    </row>
    <row r="112">
      <c r="A112" s="114"/>
      <c r="B112" s="114"/>
      <c r="C112" s="123"/>
      <c r="D112" s="114"/>
      <c r="E112" s="114"/>
    </row>
    <row r="113">
      <c r="A113" s="114"/>
      <c r="B113" s="114"/>
      <c r="C113" s="123"/>
      <c r="D113" s="114"/>
      <c r="E113" s="114"/>
    </row>
    <row r="114">
      <c r="A114" s="114"/>
      <c r="B114" s="114"/>
      <c r="C114" s="123"/>
      <c r="D114" s="114"/>
      <c r="E114" s="114"/>
    </row>
    <row r="115">
      <c r="A115" s="114"/>
      <c r="B115" s="114"/>
      <c r="C115" s="123"/>
      <c r="D115" s="114"/>
      <c r="E115" s="114"/>
    </row>
    <row r="116">
      <c r="A116" s="114"/>
      <c r="B116" s="114"/>
      <c r="C116" s="123"/>
      <c r="D116" s="114"/>
      <c r="E116" s="114"/>
    </row>
    <row r="117">
      <c r="A117" s="114"/>
      <c r="B117" s="114"/>
      <c r="C117" s="123"/>
      <c r="D117" s="114"/>
      <c r="E117" s="114"/>
    </row>
    <row r="118">
      <c r="A118" s="114"/>
      <c r="B118" s="114"/>
      <c r="C118" s="123"/>
      <c r="D118" s="114"/>
      <c r="E118" s="114"/>
    </row>
    <row r="119">
      <c r="A119" s="114"/>
      <c r="B119" s="114"/>
      <c r="C119" s="123"/>
      <c r="D119" s="114"/>
      <c r="E119" s="114"/>
    </row>
    <row r="120">
      <c r="A120" s="114"/>
      <c r="B120" s="114"/>
      <c r="C120" s="123"/>
      <c r="D120" s="114"/>
      <c r="E120" s="114"/>
    </row>
    <row r="121">
      <c r="A121" s="114"/>
      <c r="B121" s="114"/>
      <c r="C121" s="123"/>
      <c r="D121" s="114"/>
      <c r="E121" s="114"/>
    </row>
    <row r="122">
      <c r="A122" s="114"/>
      <c r="B122" s="114"/>
      <c r="C122" s="123"/>
      <c r="D122" s="114"/>
      <c r="E122" s="114"/>
    </row>
    <row r="123">
      <c r="A123" s="114"/>
      <c r="B123" s="114"/>
      <c r="C123" s="123"/>
      <c r="D123" s="114"/>
      <c r="E123" s="114"/>
    </row>
    <row r="124">
      <c r="A124" s="114"/>
      <c r="B124" s="114"/>
      <c r="C124" s="123"/>
      <c r="D124" s="114"/>
      <c r="E124" s="114"/>
    </row>
    <row r="125">
      <c r="A125" s="114"/>
      <c r="B125" s="114"/>
      <c r="C125" s="123"/>
      <c r="D125" s="114"/>
      <c r="E125" s="114"/>
    </row>
    <row r="126">
      <c r="A126" s="114"/>
      <c r="B126" s="114"/>
      <c r="C126" s="123"/>
      <c r="D126" s="114"/>
      <c r="E126" s="114"/>
    </row>
    <row r="127">
      <c r="A127" s="114"/>
      <c r="B127" s="114"/>
      <c r="C127" s="123"/>
      <c r="D127" s="114"/>
      <c r="E127" s="114"/>
    </row>
    <row r="128">
      <c r="A128" s="114"/>
      <c r="B128" s="114"/>
      <c r="C128" s="123"/>
      <c r="D128" s="114"/>
      <c r="E128" s="114"/>
    </row>
    <row r="129">
      <c r="A129" s="114"/>
      <c r="B129" s="114"/>
      <c r="C129" s="123"/>
      <c r="D129" s="114"/>
      <c r="E129" s="114"/>
    </row>
    <row r="130">
      <c r="A130" s="114"/>
      <c r="B130" s="114"/>
      <c r="C130" s="123"/>
      <c r="D130" s="114"/>
      <c r="E130" s="114"/>
    </row>
    <row r="131">
      <c r="A131" s="114"/>
      <c r="B131" s="114"/>
      <c r="C131" s="123"/>
      <c r="D131" s="114"/>
      <c r="E131" s="114"/>
    </row>
    <row r="132">
      <c r="A132" s="114"/>
      <c r="B132" s="114"/>
      <c r="C132" s="123"/>
      <c r="D132" s="114"/>
      <c r="E132" s="114"/>
    </row>
    <row r="133">
      <c r="A133" s="114"/>
      <c r="B133" s="114"/>
      <c r="C133" s="123"/>
      <c r="D133" s="114"/>
      <c r="E133" s="114"/>
    </row>
    <row r="134">
      <c r="A134" s="114"/>
      <c r="B134" s="114"/>
      <c r="C134" s="123"/>
      <c r="D134" s="114"/>
      <c r="E134" s="114"/>
    </row>
    <row r="135">
      <c r="A135" s="114"/>
      <c r="B135" s="114"/>
      <c r="C135" s="123"/>
      <c r="D135" s="114"/>
      <c r="E135" s="114"/>
    </row>
    <row r="136">
      <c r="A136" s="114"/>
      <c r="B136" s="114"/>
      <c r="C136" s="123"/>
      <c r="D136" s="114"/>
      <c r="E136" s="114"/>
    </row>
    <row r="137">
      <c r="A137" s="114"/>
      <c r="B137" s="114"/>
      <c r="C137" s="123"/>
      <c r="D137" s="114"/>
      <c r="E137" s="114"/>
    </row>
    <row r="138">
      <c r="A138" s="114"/>
      <c r="B138" s="114"/>
      <c r="C138" s="123"/>
      <c r="D138" s="114"/>
      <c r="E138" s="114"/>
    </row>
    <row r="139">
      <c r="A139" s="114"/>
      <c r="B139" s="114"/>
      <c r="C139" s="123"/>
      <c r="D139" s="114"/>
      <c r="E139" s="114"/>
    </row>
    <row r="140">
      <c r="A140" s="114"/>
      <c r="B140" s="114"/>
      <c r="C140" s="123"/>
      <c r="D140" s="114"/>
      <c r="E140" s="114"/>
    </row>
    <row r="141">
      <c r="A141" s="114"/>
      <c r="B141" s="114"/>
      <c r="C141" s="123"/>
      <c r="D141" s="114"/>
      <c r="E141" s="114"/>
    </row>
    <row r="142">
      <c r="A142" s="114"/>
      <c r="B142" s="114"/>
      <c r="C142" s="123"/>
      <c r="D142" s="114"/>
      <c r="E142" s="114"/>
    </row>
    <row r="143">
      <c r="A143" s="114"/>
      <c r="B143" s="114"/>
      <c r="C143" s="123"/>
      <c r="D143" s="114"/>
      <c r="E143" s="114"/>
    </row>
    <row r="144">
      <c r="A144" s="114"/>
      <c r="B144" s="114"/>
      <c r="C144" s="123"/>
      <c r="D144" s="114"/>
      <c r="E144" s="114"/>
    </row>
    <row r="145">
      <c r="A145" s="114"/>
      <c r="B145" s="114"/>
      <c r="C145" s="123"/>
      <c r="D145" s="114"/>
      <c r="E145" s="114"/>
    </row>
    <row r="146">
      <c r="A146" s="114"/>
      <c r="B146" s="114"/>
      <c r="C146" s="123"/>
      <c r="D146" s="114"/>
      <c r="E146" s="114"/>
    </row>
    <row r="147">
      <c r="A147" s="114"/>
      <c r="B147" s="114"/>
      <c r="C147" s="123"/>
      <c r="D147" s="114"/>
      <c r="E147" s="114"/>
    </row>
    <row r="148">
      <c r="A148" s="114"/>
      <c r="B148" s="114"/>
      <c r="C148" s="123"/>
      <c r="D148" s="114"/>
      <c r="E148" s="114"/>
    </row>
    <row r="149">
      <c r="A149" s="114"/>
      <c r="B149" s="114"/>
      <c r="C149" s="123"/>
      <c r="D149" s="114"/>
      <c r="E149" s="114"/>
    </row>
    <row r="150">
      <c r="A150" s="114"/>
      <c r="B150" s="114"/>
      <c r="C150" s="123"/>
      <c r="D150" s="114"/>
      <c r="E150" s="114"/>
    </row>
    <row r="151">
      <c r="A151" s="114"/>
      <c r="B151" s="114"/>
      <c r="C151" s="123"/>
      <c r="D151" s="114"/>
      <c r="E151" s="114"/>
    </row>
    <row r="152">
      <c r="A152" s="114"/>
      <c r="B152" s="114"/>
      <c r="C152" s="123"/>
      <c r="D152" s="114"/>
      <c r="E152" s="114"/>
    </row>
    <row r="153">
      <c r="A153" s="114"/>
      <c r="B153" s="114"/>
      <c r="C153" s="123"/>
      <c r="D153" s="114"/>
      <c r="E153" s="114"/>
    </row>
    <row r="154">
      <c r="A154" s="114"/>
      <c r="B154" s="114"/>
      <c r="C154" s="123"/>
      <c r="D154" s="114"/>
      <c r="E154" s="114"/>
    </row>
    <row r="155">
      <c r="A155" s="114"/>
      <c r="B155" s="114"/>
      <c r="C155" s="123"/>
      <c r="D155" s="114"/>
      <c r="E155" s="114"/>
    </row>
    <row r="156">
      <c r="A156" s="114"/>
      <c r="B156" s="114"/>
      <c r="C156" s="123"/>
      <c r="D156" s="114"/>
      <c r="E156" s="114"/>
    </row>
    <row r="157">
      <c r="A157" s="114"/>
      <c r="B157" s="114"/>
      <c r="C157" s="123"/>
      <c r="D157" s="114"/>
      <c r="E157" s="114"/>
    </row>
    <row r="158">
      <c r="A158" s="114"/>
      <c r="B158" s="114"/>
      <c r="C158" s="123"/>
      <c r="D158" s="114"/>
      <c r="E158" s="114"/>
    </row>
    <row r="159">
      <c r="A159" s="114"/>
      <c r="B159" s="114"/>
      <c r="C159" s="123"/>
      <c r="D159" s="114"/>
      <c r="E159" s="114"/>
    </row>
    <row r="160">
      <c r="A160" s="114"/>
      <c r="B160" s="114"/>
      <c r="C160" s="123"/>
      <c r="D160" s="114"/>
      <c r="E160" s="114"/>
    </row>
    <row r="161">
      <c r="A161" s="114"/>
      <c r="B161" s="114"/>
      <c r="C161" s="123"/>
      <c r="D161" s="114"/>
      <c r="E161" s="114"/>
    </row>
    <row r="162">
      <c r="A162" s="114"/>
      <c r="B162" s="114"/>
      <c r="C162" s="123"/>
      <c r="D162" s="114"/>
      <c r="E162" s="114"/>
    </row>
    <row r="163">
      <c r="A163" s="114"/>
      <c r="B163" s="114"/>
      <c r="C163" s="123"/>
      <c r="D163" s="114"/>
      <c r="E163" s="114"/>
    </row>
    <row r="164">
      <c r="A164" s="114"/>
      <c r="B164" s="114"/>
      <c r="C164" s="123"/>
      <c r="D164" s="114"/>
      <c r="E164" s="114"/>
    </row>
    <row r="165">
      <c r="A165" s="114"/>
      <c r="B165" s="114"/>
      <c r="C165" s="123"/>
      <c r="D165" s="114"/>
      <c r="E165" s="114"/>
    </row>
    <row r="166">
      <c r="A166" s="114"/>
      <c r="B166" s="114"/>
      <c r="C166" s="123"/>
      <c r="D166" s="114"/>
      <c r="E166" s="114"/>
    </row>
    <row r="167">
      <c r="A167" s="114"/>
      <c r="B167" s="114"/>
      <c r="C167" s="123"/>
      <c r="D167" s="114"/>
      <c r="E167" s="114"/>
    </row>
    <row r="168">
      <c r="A168" s="114"/>
      <c r="B168" s="114"/>
      <c r="C168" s="123"/>
      <c r="D168" s="114"/>
      <c r="E168" s="114"/>
    </row>
    <row r="169">
      <c r="A169" s="114"/>
      <c r="B169" s="114"/>
      <c r="C169" s="123"/>
      <c r="D169" s="114"/>
      <c r="E169" s="114"/>
    </row>
    <row r="170">
      <c r="A170" s="114"/>
      <c r="B170" s="114"/>
      <c r="C170" s="123"/>
      <c r="D170" s="114"/>
      <c r="E170" s="114"/>
    </row>
    <row r="171">
      <c r="A171" s="114"/>
      <c r="B171" s="114"/>
      <c r="C171" s="123"/>
      <c r="D171" s="114"/>
      <c r="E171" s="114"/>
    </row>
    <row r="172">
      <c r="A172" s="114"/>
      <c r="B172" s="114"/>
      <c r="C172" s="123"/>
      <c r="D172" s="114"/>
      <c r="E172" s="114"/>
    </row>
    <row r="173">
      <c r="A173" s="114"/>
      <c r="B173" s="114"/>
      <c r="C173" s="123"/>
      <c r="D173" s="114"/>
      <c r="E173" s="114"/>
    </row>
    <row r="174">
      <c r="A174" s="114"/>
      <c r="B174" s="114"/>
      <c r="C174" s="123"/>
      <c r="D174" s="114"/>
      <c r="E174" s="114"/>
    </row>
    <row r="175">
      <c r="A175" s="114"/>
      <c r="B175" s="114"/>
      <c r="C175" s="123"/>
      <c r="D175" s="114"/>
      <c r="E175" s="114"/>
    </row>
    <row r="176">
      <c r="A176" s="114"/>
      <c r="B176" s="114"/>
      <c r="C176" s="123"/>
      <c r="D176" s="114"/>
      <c r="E176" s="114"/>
    </row>
    <row r="177">
      <c r="A177" s="114"/>
      <c r="B177" s="114"/>
      <c r="C177" s="123"/>
      <c r="D177" s="114"/>
      <c r="E177" s="114"/>
    </row>
    <row r="178">
      <c r="A178" s="114"/>
      <c r="B178" s="114"/>
      <c r="C178" s="123"/>
      <c r="D178" s="114"/>
      <c r="E178" s="114"/>
    </row>
    <row r="179">
      <c r="A179" s="114"/>
      <c r="B179" s="114"/>
      <c r="C179" s="123"/>
      <c r="D179" s="114"/>
      <c r="E179" s="114"/>
    </row>
    <row r="180">
      <c r="A180" s="114"/>
      <c r="B180" s="114"/>
      <c r="C180" s="123"/>
      <c r="D180" s="114"/>
      <c r="E180" s="114"/>
    </row>
    <row r="181">
      <c r="A181" s="114"/>
      <c r="B181" s="114"/>
      <c r="C181" s="123"/>
      <c r="D181" s="114"/>
      <c r="E181" s="114"/>
    </row>
    <row r="182">
      <c r="A182" s="114"/>
      <c r="B182" s="114"/>
      <c r="C182" s="123"/>
      <c r="D182" s="114"/>
      <c r="E182" s="114"/>
    </row>
    <row r="183">
      <c r="A183" s="114"/>
      <c r="B183" s="114"/>
      <c r="C183" s="123"/>
      <c r="D183" s="114"/>
      <c r="E183" s="114"/>
    </row>
    <row r="184">
      <c r="A184" s="114"/>
      <c r="B184" s="114"/>
      <c r="C184" s="123"/>
      <c r="D184" s="114"/>
      <c r="E184" s="114"/>
    </row>
    <row r="185">
      <c r="A185" s="114"/>
      <c r="B185" s="114"/>
      <c r="C185" s="123"/>
      <c r="D185" s="114"/>
      <c r="E185" s="114"/>
    </row>
    <row r="186">
      <c r="A186" s="114"/>
      <c r="B186" s="114"/>
      <c r="C186" s="123"/>
      <c r="D186" s="114"/>
      <c r="E186" s="114"/>
    </row>
    <row r="187">
      <c r="A187" s="114"/>
      <c r="B187" s="114"/>
      <c r="C187" s="123"/>
      <c r="D187" s="114"/>
      <c r="E187" s="114"/>
    </row>
    <row r="188">
      <c r="A188" s="114"/>
      <c r="B188" s="114"/>
      <c r="C188" s="123"/>
      <c r="D188" s="114"/>
      <c r="E188" s="114"/>
    </row>
    <row r="189">
      <c r="A189" s="114"/>
      <c r="B189" s="114"/>
      <c r="C189" s="123"/>
      <c r="D189" s="114"/>
      <c r="E189" s="114"/>
    </row>
    <row r="190">
      <c r="A190" s="114"/>
      <c r="B190" s="114"/>
      <c r="C190" s="123"/>
      <c r="D190" s="114"/>
      <c r="E190" s="114"/>
    </row>
    <row r="191">
      <c r="A191" s="114"/>
      <c r="B191" s="114"/>
      <c r="C191" s="123"/>
      <c r="D191" s="114"/>
      <c r="E191" s="114"/>
    </row>
    <row r="192">
      <c r="A192" s="114"/>
      <c r="B192" s="114"/>
      <c r="C192" s="123"/>
      <c r="D192" s="114"/>
      <c r="E192" s="114"/>
    </row>
    <row r="193">
      <c r="A193" s="114"/>
      <c r="B193" s="114"/>
      <c r="C193" s="123"/>
      <c r="D193" s="114"/>
      <c r="E193" s="114"/>
    </row>
    <row r="194">
      <c r="A194" s="114"/>
      <c r="B194" s="114"/>
      <c r="C194" s="123"/>
      <c r="D194" s="114"/>
      <c r="E194" s="114"/>
    </row>
    <row r="195">
      <c r="A195" s="114"/>
      <c r="B195" s="114"/>
      <c r="C195" s="123"/>
      <c r="D195" s="114"/>
      <c r="E195" s="114"/>
    </row>
    <row r="196">
      <c r="A196" s="114"/>
      <c r="B196" s="114"/>
      <c r="C196" s="123"/>
      <c r="D196" s="114"/>
      <c r="E196" s="114"/>
    </row>
    <row r="197">
      <c r="A197" s="114"/>
      <c r="B197" s="114"/>
      <c r="C197" s="123"/>
      <c r="D197" s="114"/>
      <c r="E197" s="114"/>
    </row>
    <row r="198">
      <c r="A198" s="114"/>
      <c r="B198" s="114"/>
      <c r="C198" s="123"/>
      <c r="D198" s="114"/>
      <c r="E198" s="114"/>
    </row>
    <row r="199">
      <c r="A199" s="114"/>
      <c r="B199" s="114"/>
      <c r="C199" s="123"/>
      <c r="D199" s="114"/>
      <c r="E199" s="114"/>
    </row>
    <row r="200">
      <c r="A200" s="114"/>
      <c r="B200" s="114"/>
      <c r="C200" s="123"/>
      <c r="D200" s="114"/>
      <c r="E200" s="114"/>
    </row>
    <row r="201">
      <c r="A201" s="114"/>
      <c r="B201" s="114"/>
      <c r="C201" s="123"/>
      <c r="D201" s="114"/>
      <c r="E201" s="114"/>
    </row>
    <row r="202">
      <c r="A202" s="114"/>
      <c r="B202" s="114"/>
      <c r="C202" s="123"/>
      <c r="D202" s="114"/>
      <c r="E202" s="114"/>
    </row>
    <row r="203">
      <c r="A203" s="114"/>
      <c r="B203" s="114"/>
      <c r="C203" s="123"/>
      <c r="D203" s="114"/>
      <c r="E203" s="114"/>
    </row>
    <row r="204">
      <c r="A204" s="114"/>
      <c r="B204" s="114"/>
      <c r="C204" s="123"/>
      <c r="D204" s="114"/>
      <c r="E204" s="114"/>
    </row>
    <row r="205">
      <c r="A205" s="114"/>
      <c r="B205" s="114"/>
      <c r="C205" s="123"/>
      <c r="D205" s="114"/>
      <c r="E205" s="114"/>
    </row>
    <row r="206">
      <c r="A206" s="114"/>
      <c r="B206" s="114"/>
      <c r="C206" s="123"/>
      <c r="D206" s="114"/>
      <c r="E206" s="114"/>
    </row>
    <row r="207">
      <c r="A207" s="114"/>
      <c r="B207" s="114"/>
      <c r="C207" s="123"/>
      <c r="D207" s="114"/>
      <c r="E207" s="114"/>
    </row>
    <row r="208">
      <c r="A208" s="114"/>
      <c r="B208" s="114"/>
      <c r="C208" s="123"/>
      <c r="D208" s="114"/>
      <c r="E208" s="114"/>
    </row>
    <row r="209">
      <c r="A209" s="114"/>
      <c r="B209" s="114"/>
      <c r="C209" s="123"/>
      <c r="D209" s="114"/>
      <c r="E209" s="114"/>
    </row>
    <row r="210">
      <c r="A210" s="114"/>
      <c r="B210" s="114"/>
      <c r="C210" s="123"/>
      <c r="D210" s="114"/>
      <c r="E210" s="114"/>
    </row>
    <row r="211">
      <c r="A211" s="114"/>
      <c r="B211" s="114"/>
      <c r="C211" s="123"/>
      <c r="D211" s="114"/>
      <c r="E211" s="114"/>
    </row>
    <row r="212">
      <c r="A212" s="114"/>
      <c r="B212" s="114"/>
      <c r="C212" s="123"/>
      <c r="D212" s="114"/>
      <c r="E212" s="114"/>
    </row>
    <row r="213">
      <c r="A213" s="114"/>
      <c r="B213" s="114"/>
      <c r="C213" s="123"/>
      <c r="D213" s="114"/>
      <c r="E213" s="114"/>
    </row>
    <row r="214">
      <c r="A214" s="114"/>
      <c r="B214" s="114"/>
      <c r="C214" s="123"/>
      <c r="D214" s="114"/>
      <c r="E214" s="114"/>
    </row>
    <row r="215">
      <c r="A215" s="114"/>
      <c r="B215" s="114"/>
      <c r="C215" s="123"/>
      <c r="D215" s="114"/>
      <c r="E215" s="114"/>
    </row>
    <row r="216">
      <c r="A216" s="114"/>
      <c r="B216" s="114"/>
      <c r="C216" s="123"/>
      <c r="D216" s="114"/>
      <c r="E216" s="114"/>
    </row>
    <row r="217">
      <c r="A217" s="114"/>
      <c r="B217" s="114"/>
      <c r="C217" s="123"/>
      <c r="D217" s="114"/>
      <c r="E217" s="114"/>
    </row>
    <row r="218">
      <c r="A218" s="114"/>
      <c r="B218" s="114"/>
      <c r="C218" s="123"/>
      <c r="D218" s="114"/>
      <c r="E218" s="114"/>
    </row>
    <row r="219">
      <c r="A219" s="114"/>
      <c r="B219" s="114"/>
      <c r="C219" s="123"/>
      <c r="D219" s="114"/>
      <c r="E219" s="114"/>
    </row>
    <row r="220">
      <c r="A220" s="114"/>
      <c r="B220" s="114"/>
      <c r="C220" s="123"/>
      <c r="D220" s="114"/>
      <c r="E220" s="114"/>
    </row>
    <row r="221">
      <c r="A221" s="114"/>
      <c r="B221" s="114"/>
      <c r="C221" s="123"/>
      <c r="D221" s="114"/>
      <c r="E221" s="114"/>
    </row>
    <row r="222">
      <c r="A222" s="114"/>
      <c r="B222" s="114"/>
      <c r="C222" s="123"/>
      <c r="D222" s="114"/>
      <c r="E222" s="114"/>
    </row>
    <row r="223">
      <c r="A223" s="114"/>
      <c r="B223" s="114"/>
      <c r="C223" s="123"/>
      <c r="D223" s="114"/>
      <c r="E223" s="114"/>
    </row>
    <row r="224">
      <c r="A224" s="114"/>
      <c r="B224" s="114"/>
      <c r="C224" s="123"/>
      <c r="D224" s="114"/>
      <c r="E224" s="114"/>
    </row>
    <row r="225">
      <c r="A225" s="114"/>
      <c r="B225" s="114"/>
      <c r="C225" s="123"/>
      <c r="D225" s="114"/>
      <c r="E225" s="114"/>
    </row>
    <row r="226">
      <c r="A226" s="114"/>
      <c r="B226" s="114"/>
      <c r="C226" s="123"/>
      <c r="D226" s="114"/>
      <c r="E226" s="114"/>
    </row>
    <row r="227">
      <c r="A227" s="114"/>
      <c r="B227" s="114"/>
      <c r="C227" s="123"/>
      <c r="D227" s="114"/>
      <c r="E227" s="114"/>
    </row>
    <row r="228">
      <c r="A228" s="114"/>
      <c r="B228" s="114"/>
      <c r="C228" s="123"/>
      <c r="D228" s="114"/>
      <c r="E228" s="114"/>
    </row>
    <row r="229">
      <c r="A229" s="114"/>
      <c r="B229" s="114"/>
      <c r="C229" s="123"/>
      <c r="D229" s="114"/>
      <c r="E229" s="114"/>
    </row>
    <row r="230">
      <c r="A230" s="114"/>
      <c r="B230" s="114"/>
      <c r="C230" s="123"/>
      <c r="D230" s="114"/>
      <c r="E230" s="114"/>
    </row>
    <row r="231">
      <c r="A231" s="114"/>
      <c r="B231" s="114"/>
      <c r="C231" s="123"/>
      <c r="D231" s="114"/>
      <c r="E231" s="114"/>
    </row>
    <row r="232">
      <c r="A232" s="114"/>
      <c r="B232" s="114"/>
      <c r="C232" s="123"/>
      <c r="D232" s="114"/>
      <c r="E232" s="114"/>
    </row>
    <row r="233">
      <c r="A233" s="114"/>
      <c r="B233" s="114"/>
      <c r="C233" s="123"/>
      <c r="D233" s="114"/>
      <c r="E233" s="114"/>
    </row>
    <row r="234">
      <c r="A234" s="114"/>
      <c r="B234" s="114"/>
      <c r="C234" s="123"/>
      <c r="D234" s="114"/>
      <c r="E234" s="114"/>
    </row>
    <row r="235">
      <c r="A235" s="114"/>
      <c r="B235" s="114"/>
      <c r="C235" s="123"/>
      <c r="D235" s="114"/>
      <c r="E235" s="114"/>
    </row>
    <row r="236">
      <c r="A236" s="114"/>
      <c r="B236" s="114"/>
      <c r="C236" s="123"/>
      <c r="D236" s="114"/>
      <c r="E236" s="114"/>
    </row>
    <row r="237">
      <c r="A237" s="114"/>
      <c r="B237" s="114"/>
      <c r="C237" s="123"/>
      <c r="D237" s="114"/>
      <c r="E237" s="114"/>
    </row>
    <row r="238">
      <c r="A238" s="114"/>
      <c r="B238" s="114"/>
      <c r="C238" s="123"/>
      <c r="D238" s="114"/>
      <c r="E238" s="114"/>
    </row>
    <row r="239">
      <c r="A239" s="114"/>
      <c r="B239" s="114"/>
      <c r="C239" s="123"/>
      <c r="D239" s="114"/>
      <c r="E239" s="114"/>
    </row>
    <row r="240">
      <c r="A240" s="114"/>
      <c r="B240" s="114"/>
      <c r="C240" s="123"/>
      <c r="D240" s="114"/>
      <c r="E240" s="114"/>
    </row>
    <row r="241">
      <c r="A241" s="114"/>
      <c r="B241" s="114"/>
      <c r="C241" s="123"/>
      <c r="D241" s="114"/>
      <c r="E241" s="114"/>
    </row>
    <row r="242">
      <c r="A242" s="114"/>
      <c r="B242" s="114"/>
      <c r="C242" s="123"/>
      <c r="D242" s="114"/>
      <c r="E242" s="114"/>
    </row>
    <row r="243">
      <c r="A243" s="114"/>
      <c r="B243" s="114"/>
      <c r="C243" s="123"/>
      <c r="D243" s="114"/>
      <c r="E243" s="114"/>
    </row>
    <row r="244">
      <c r="A244" s="114"/>
      <c r="B244" s="114"/>
      <c r="C244" s="123"/>
      <c r="D244" s="114"/>
      <c r="E244" s="114"/>
    </row>
    <row r="245">
      <c r="A245" s="114"/>
      <c r="B245" s="114"/>
      <c r="C245" s="123"/>
      <c r="D245" s="114"/>
      <c r="E245" s="114"/>
    </row>
    <row r="246">
      <c r="A246" s="114"/>
      <c r="B246" s="114"/>
      <c r="C246" s="123"/>
      <c r="D246" s="114"/>
      <c r="E246" s="114"/>
    </row>
    <row r="247">
      <c r="A247" s="114"/>
      <c r="B247" s="114"/>
      <c r="C247" s="123"/>
      <c r="D247" s="114"/>
      <c r="E247" s="114"/>
    </row>
    <row r="248">
      <c r="A248" s="114"/>
      <c r="B248" s="114"/>
      <c r="C248" s="123"/>
      <c r="D248" s="114"/>
      <c r="E248" s="114"/>
    </row>
    <row r="249">
      <c r="A249" s="114"/>
      <c r="B249" s="114"/>
      <c r="C249" s="123"/>
      <c r="D249" s="114"/>
      <c r="E249" s="114"/>
    </row>
    <row r="250">
      <c r="A250" s="114"/>
      <c r="B250" s="114"/>
      <c r="C250" s="123"/>
      <c r="D250" s="114"/>
      <c r="E250" s="114"/>
    </row>
    <row r="251">
      <c r="A251" s="114"/>
      <c r="B251" s="114"/>
      <c r="C251" s="123"/>
      <c r="D251" s="114"/>
      <c r="E251" s="114"/>
    </row>
    <row r="252">
      <c r="A252" s="114"/>
      <c r="B252" s="114"/>
      <c r="C252" s="123"/>
      <c r="D252" s="114"/>
      <c r="E252" s="114"/>
    </row>
    <row r="253">
      <c r="A253" s="114"/>
      <c r="B253" s="114"/>
      <c r="C253" s="123"/>
      <c r="D253" s="114"/>
      <c r="E253" s="114"/>
    </row>
    <row r="254">
      <c r="A254" s="114"/>
      <c r="B254" s="114"/>
      <c r="C254" s="123"/>
      <c r="D254" s="114"/>
      <c r="E254" s="114"/>
    </row>
    <row r="255">
      <c r="A255" s="114"/>
      <c r="B255" s="114"/>
      <c r="C255" s="123"/>
      <c r="D255" s="114"/>
      <c r="E255" s="114"/>
    </row>
    <row r="256">
      <c r="A256" s="114"/>
      <c r="B256" s="114"/>
      <c r="C256" s="123"/>
      <c r="D256" s="114"/>
      <c r="E256" s="114"/>
    </row>
    <row r="257">
      <c r="A257" s="114"/>
      <c r="B257" s="114"/>
      <c r="C257" s="123"/>
      <c r="D257" s="114"/>
      <c r="E257" s="114"/>
    </row>
    <row r="258">
      <c r="A258" s="114"/>
      <c r="B258" s="114"/>
      <c r="C258" s="123"/>
      <c r="D258" s="114"/>
      <c r="E258" s="114"/>
    </row>
    <row r="259">
      <c r="A259" s="114"/>
      <c r="B259" s="114"/>
      <c r="C259" s="123"/>
      <c r="D259" s="114"/>
      <c r="E259" s="114"/>
    </row>
    <row r="260">
      <c r="A260" s="114"/>
      <c r="B260" s="114"/>
      <c r="C260" s="123"/>
      <c r="D260" s="114"/>
      <c r="E260" s="114"/>
    </row>
    <row r="261">
      <c r="A261" s="114"/>
      <c r="B261" s="114"/>
      <c r="C261" s="123"/>
      <c r="D261" s="114"/>
      <c r="E261" s="114"/>
    </row>
    <row r="262">
      <c r="A262" s="114"/>
      <c r="B262" s="114"/>
      <c r="C262" s="123"/>
      <c r="D262" s="114"/>
      <c r="E262" s="114"/>
    </row>
    <row r="263">
      <c r="A263" s="114"/>
      <c r="B263" s="114"/>
      <c r="C263" s="123"/>
      <c r="D263" s="114"/>
      <c r="E263" s="114"/>
    </row>
    <row r="264">
      <c r="A264" s="114"/>
      <c r="B264" s="114"/>
      <c r="C264" s="123"/>
      <c r="D264" s="114"/>
      <c r="E264" s="114"/>
    </row>
    <row r="265">
      <c r="A265" s="114"/>
      <c r="B265" s="114"/>
      <c r="C265" s="123"/>
      <c r="D265" s="114"/>
      <c r="E265" s="114"/>
    </row>
    <row r="266">
      <c r="A266" s="114"/>
      <c r="B266" s="114"/>
      <c r="C266" s="123"/>
      <c r="D266" s="114"/>
      <c r="E266" s="114"/>
    </row>
    <row r="267">
      <c r="A267" s="114"/>
      <c r="B267" s="114"/>
      <c r="C267" s="123"/>
      <c r="D267" s="114"/>
      <c r="E267" s="114"/>
    </row>
    <row r="268">
      <c r="A268" s="114"/>
      <c r="B268" s="114"/>
      <c r="C268" s="123"/>
      <c r="D268" s="114"/>
      <c r="E268" s="114"/>
    </row>
    <row r="269">
      <c r="A269" s="114"/>
      <c r="B269" s="114"/>
      <c r="C269" s="123"/>
      <c r="D269" s="114"/>
      <c r="E269" s="114"/>
    </row>
    <row r="270">
      <c r="A270" s="114"/>
      <c r="B270" s="114"/>
      <c r="C270" s="123"/>
      <c r="D270" s="114"/>
      <c r="E270" s="114"/>
    </row>
    <row r="271">
      <c r="A271" s="114"/>
      <c r="B271" s="114"/>
      <c r="C271" s="123"/>
      <c r="D271" s="114"/>
      <c r="E271" s="114"/>
    </row>
    <row r="272">
      <c r="A272" s="114"/>
      <c r="B272" s="114"/>
      <c r="C272" s="123"/>
      <c r="D272" s="114"/>
      <c r="E272" s="114"/>
    </row>
    <row r="273">
      <c r="A273" s="114"/>
      <c r="B273" s="114"/>
      <c r="C273" s="123"/>
      <c r="D273" s="114"/>
      <c r="E273" s="114"/>
    </row>
    <row r="274">
      <c r="A274" s="114"/>
      <c r="B274" s="114"/>
      <c r="C274" s="123"/>
      <c r="D274" s="114"/>
      <c r="E274" s="114"/>
    </row>
    <row r="275">
      <c r="A275" s="114"/>
      <c r="B275" s="114"/>
      <c r="C275" s="123"/>
      <c r="D275" s="114"/>
      <c r="E275" s="114"/>
    </row>
    <row r="276">
      <c r="A276" s="114"/>
      <c r="B276" s="114"/>
      <c r="C276" s="123"/>
      <c r="D276" s="114"/>
      <c r="E276" s="114"/>
    </row>
    <row r="277">
      <c r="A277" s="114"/>
      <c r="B277" s="114"/>
      <c r="C277" s="123"/>
      <c r="D277" s="114"/>
      <c r="E277" s="114"/>
    </row>
    <row r="278">
      <c r="A278" s="114"/>
      <c r="B278" s="114"/>
      <c r="C278" s="123"/>
      <c r="D278" s="114"/>
      <c r="E278" s="114"/>
    </row>
    <row r="279">
      <c r="A279" s="114"/>
      <c r="B279" s="114"/>
      <c r="C279" s="123"/>
      <c r="D279" s="114"/>
      <c r="E279" s="114"/>
    </row>
    <row r="280">
      <c r="A280" s="114"/>
      <c r="B280" s="114"/>
      <c r="C280" s="123"/>
      <c r="D280" s="114"/>
      <c r="E280" s="114"/>
    </row>
    <row r="281">
      <c r="A281" s="114"/>
      <c r="B281" s="114"/>
      <c r="C281" s="123"/>
      <c r="D281" s="114"/>
      <c r="E281" s="114"/>
    </row>
    <row r="282">
      <c r="A282" s="114"/>
      <c r="B282" s="114"/>
      <c r="C282" s="123"/>
      <c r="D282" s="114"/>
      <c r="E282" s="114"/>
    </row>
    <row r="283">
      <c r="A283" s="114"/>
      <c r="B283" s="114"/>
      <c r="C283" s="123"/>
      <c r="D283" s="114"/>
      <c r="E283" s="114"/>
    </row>
    <row r="284">
      <c r="A284" s="114"/>
      <c r="B284" s="114"/>
      <c r="C284" s="123"/>
      <c r="D284" s="114"/>
      <c r="E284" s="114"/>
    </row>
    <row r="285">
      <c r="A285" s="114"/>
      <c r="B285" s="114"/>
      <c r="C285" s="123"/>
      <c r="D285" s="114"/>
      <c r="E285" s="114"/>
    </row>
    <row r="286">
      <c r="A286" s="114"/>
      <c r="B286" s="114"/>
      <c r="C286" s="123"/>
      <c r="D286" s="114"/>
      <c r="E286" s="114"/>
    </row>
    <row r="287">
      <c r="A287" s="114"/>
      <c r="B287" s="114"/>
      <c r="C287" s="123"/>
      <c r="D287" s="114"/>
      <c r="E287" s="114"/>
    </row>
    <row r="288">
      <c r="A288" s="114"/>
      <c r="B288" s="114"/>
      <c r="C288" s="123"/>
      <c r="D288" s="114"/>
      <c r="E288" s="114"/>
    </row>
    <row r="289">
      <c r="A289" s="114"/>
      <c r="B289" s="114"/>
      <c r="C289" s="123"/>
      <c r="D289" s="114"/>
      <c r="E289" s="114"/>
    </row>
    <row r="290">
      <c r="A290" s="114"/>
      <c r="B290" s="114"/>
      <c r="C290" s="123"/>
      <c r="D290" s="114"/>
      <c r="E290" s="114"/>
    </row>
    <row r="291">
      <c r="A291" s="114"/>
      <c r="B291" s="114"/>
      <c r="C291" s="123"/>
      <c r="D291" s="114"/>
      <c r="E291" s="114"/>
    </row>
    <row r="292">
      <c r="A292" s="114"/>
      <c r="B292" s="114"/>
      <c r="C292" s="123"/>
      <c r="D292" s="114"/>
      <c r="E292" s="114"/>
    </row>
    <row r="293">
      <c r="A293" s="114"/>
      <c r="B293" s="114"/>
      <c r="C293" s="123"/>
      <c r="D293" s="114"/>
      <c r="E293" s="114"/>
    </row>
    <row r="294">
      <c r="A294" s="114"/>
      <c r="B294" s="114"/>
      <c r="C294" s="123"/>
      <c r="D294" s="114"/>
      <c r="E294" s="114"/>
    </row>
    <row r="295">
      <c r="A295" s="114"/>
      <c r="B295" s="114"/>
      <c r="C295" s="123"/>
      <c r="D295" s="114"/>
      <c r="E295" s="114"/>
    </row>
    <row r="296">
      <c r="A296" s="114"/>
      <c r="B296" s="114"/>
      <c r="C296" s="123"/>
      <c r="D296" s="114"/>
      <c r="E296" s="114"/>
    </row>
    <row r="297">
      <c r="A297" s="114"/>
      <c r="B297" s="114"/>
      <c r="C297" s="123"/>
      <c r="D297" s="114"/>
      <c r="E297" s="114"/>
    </row>
    <row r="298">
      <c r="A298" s="114"/>
      <c r="B298" s="114"/>
      <c r="C298" s="123"/>
      <c r="D298" s="114"/>
      <c r="E298" s="114"/>
    </row>
    <row r="299">
      <c r="A299" s="114"/>
      <c r="B299" s="114"/>
      <c r="C299" s="123"/>
      <c r="D299" s="114"/>
      <c r="E299" s="114"/>
    </row>
    <row r="300">
      <c r="A300" s="114"/>
      <c r="B300" s="114"/>
      <c r="C300" s="123"/>
      <c r="D300" s="114"/>
      <c r="E300" s="114"/>
    </row>
    <row r="301">
      <c r="A301" s="114"/>
      <c r="B301" s="114"/>
      <c r="C301" s="123"/>
      <c r="D301" s="114"/>
      <c r="E301" s="114"/>
    </row>
    <row r="302">
      <c r="A302" s="114"/>
      <c r="B302" s="114"/>
      <c r="C302" s="123"/>
      <c r="D302" s="114"/>
      <c r="E302" s="114"/>
    </row>
    <row r="303">
      <c r="A303" s="114"/>
      <c r="B303" s="114"/>
      <c r="C303" s="123"/>
      <c r="D303" s="114"/>
      <c r="E303" s="114"/>
    </row>
    <row r="304">
      <c r="A304" s="114"/>
      <c r="B304" s="114"/>
      <c r="C304" s="123"/>
      <c r="D304" s="114"/>
      <c r="E304" s="114"/>
    </row>
    <row r="305">
      <c r="A305" s="114"/>
      <c r="B305" s="114"/>
      <c r="C305" s="123"/>
      <c r="D305" s="114"/>
      <c r="E305" s="114"/>
    </row>
    <row r="306">
      <c r="A306" s="114"/>
      <c r="B306" s="114"/>
      <c r="C306" s="123"/>
      <c r="D306" s="114"/>
      <c r="E306" s="114"/>
    </row>
    <row r="307">
      <c r="A307" s="114"/>
      <c r="B307" s="114"/>
      <c r="C307" s="123"/>
      <c r="D307" s="114"/>
      <c r="E307" s="114"/>
    </row>
    <row r="308">
      <c r="A308" s="114"/>
      <c r="B308" s="114"/>
      <c r="C308" s="123"/>
      <c r="D308" s="114"/>
      <c r="E308" s="114"/>
    </row>
    <row r="309">
      <c r="A309" s="114"/>
      <c r="B309" s="114"/>
      <c r="C309" s="123"/>
      <c r="D309" s="114"/>
      <c r="E309" s="114"/>
    </row>
    <row r="310">
      <c r="A310" s="114"/>
      <c r="B310" s="114"/>
      <c r="C310" s="123"/>
      <c r="D310" s="114"/>
      <c r="E310" s="114"/>
    </row>
    <row r="311">
      <c r="A311" s="114"/>
      <c r="B311" s="114"/>
      <c r="C311" s="123"/>
      <c r="D311" s="114"/>
      <c r="E311" s="114"/>
    </row>
    <row r="312">
      <c r="A312" s="114"/>
      <c r="B312" s="114"/>
      <c r="C312" s="123"/>
      <c r="D312" s="114"/>
      <c r="E312" s="114"/>
    </row>
    <row r="313">
      <c r="A313" s="114"/>
      <c r="B313" s="114"/>
      <c r="C313" s="123"/>
      <c r="D313" s="114"/>
      <c r="E313" s="114"/>
    </row>
    <row r="314">
      <c r="A314" s="114"/>
      <c r="B314" s="114"/>
      <c r="C314" s="123"/>
      <c r="D314" s="114"/>
      <c r="E314" s="114"/>
    </row>
    <row r="315">
      <c r="A315" s="114"/>
      <c r="B315" s="114"/>
      <c r="C315" s="123"/>
      <c r="D315" s="114"/>
      <c r="E315" s="114"/>
    </row>
    <row r="316">
      <c r="A316" s="114"/>
      <c r="B316" s="114"/>
      <c r="C316" s="123"/>
      <c r="D316" s="114"/>
      <c r="E316" s="114"/>
    </row>
    <row r="317">
      <c r="A317" s="114"/>
      <c r="B317" s="114"/>
      <c r="C317" s="123"/>
      <c r="D317" s="114"/>
      <c r="E317" s="114"/>
    </row>
    <row r="318">
      <c r="A318" s="114"/>
      <c r="B318" s="114"/>
      <c r="C318" s="123"/>
      <c r="D318" s="114"/>
      <c r="E318" s="114"/>
    </row>
    <row r="319">
      <c r="A319" s="114"/>
      <c r="B319" s="114"/>
      <c r="C319" s="123"/>
      <c r="D319" s="114"/>
      <c r="E319" s="114"/>
    </row>
    <row r="320">
      <c r="A320" s="114"/>
      <c r="B320" s="114"/>
      <c r="C320" s="123"/>
      <c r="D320" s="114"/>
      <c r="E320" s="114"/>
    </row>
    <row r="321">
      <c r="A321" s="114"/>
      <c r="B321" s="114"/>
      <c r="C321" s="123"/>
      <c r="D321" s="114"/>
      <c r="E321" s="114"/>
    </row>
    <row r="322">
      <c r="A322" s="114"/>
      <c r="B322" s="114"/>
      <c r="C322" s="123"/>
      <c r="D322" s="114"/>
      <c r="E322" s="114"/>
    </row>
    <row r="323">
      <c r="A323" s="114"/>
      <c r="B323" s="114"/>
      <c r="C323" s="123"/>
      <c r="D323" s="114"/>
      <c r="E323" s="114"/>
    </row>
    <row r="324">
      <c r="A324" s="114"/>
      <c r="B324" s="114"/>
      <c r="C324" s="123"/>
      <c r="D324" s="114"/>
      <c r="E324" s="114"/>
    </row>
    <row r="325">
      <c r="A325" s="114"/>
      <c r="B325" s="114"/>
      <c r="C325" s="123"/>
      <c r="D325" s="114"/>
      <c r="E325" s="114"/>
    </row>
    <row r="326">
      <c r="A326" s="114"/>
      <c r="B326" s="114"/>
      <c r="C326" s="123"/>
      <c r="D326" s="114"/>
      <c r="E326" s="114"/>
    </row>
    <row r="327">
      <c r="A327" s="114"/>
      <c r="B327" s="114"/>
      <c r="C327" s="123"/>
      <c r="D327" s="114"/>
      <c r="E327" s="114"/>
    </row>
    <row r="328">
      <c r="A328" s="114"/>
      <c r="B328" s="114"/>
      <c r="C328" s="123"/>
      <c r="D328" s="114"/>
      <c r="E328" s="114"/>
    </row>
    <row r="329">
      <c r="A329" s="114"/>
      <c r="B329" s="114"/>
      <c r="C329" s="123"/>
      <c r="D329" s="114"/>
      <c r="E329" s="114"/>
    </row>
    <row r="330">
      <c r="A330" s="114"/>
      <c r="B330" s="114"/>
      <c r="C330" s="123"/>
      <c r="D330" s="114"/>
      <c r="E330" s="114"/>
    </row>
    <row r="331">
      <c r="A331" s="114"/>
      <c r="B331" s="114"/>
      <c r="C331" s="123"/>
      <c r="D331" s="114"/>
      <c r="E331" s="114"/>
    </row>
    <row r="332">
      <c r="A332" s="114"/>
      <c r="B332" s="114"/>
      <c r="C332" s="123"/>
      <c r="D332" s="114"/>
      <c r="E332" s="114"/>
    </row>
    <row r="333">
      <c r="A333" s="114"/>
      <c r="B333" s="114"/>
      <c r="C333" s="123"/>
      <c r="D333" s="114"/>
      <c r="E333" s="114"/>
    </row>
    <row r="334">
      <c r="A334" s="114"/>
      <c r="B334" s="114"/>
      <c r="C334" s="123"/>
      <c r="D334" s="114"/>
      <c r="E334" s="114"/>
    </row>
    <row r="335">
      <c r="A335" s="114"/>
      <c r="B335" s="114"/>
      <c r="C335" s="123"/>
      <c r="D335" s="114"/>
      <c r="E335" s="114"/>
    </row>
    <row r="336">
      <c r="A336" s="114"/>
      <c r="B336" s="114"/>
      <c r="C336" s="123"/>
      <c r="D336" s="114"/>
      <c r="E336" s="114"/>
    </row>
    <row r="337">
      <c r="A337" s="114"/>
      <c r="B337" s="114"/>
      <c r="C337" s="123"/>
      <c r="D337" s="114"/>
      <c r="E337" s="114"/>
    </row>
    <row r="338">
      <c r="A338" s="114"/>
      <c r="B338" s="114"/>
      <c r="C338" s="123"/>
      <c r="D338" s="114"/>
      <c r="E338" s="114"/>
    </row>
    <row r="339">
      <c r="A339" s="114"/>
      <c r="B339" s="114"/>
      <c r="C339" s="123"/>
      <c r="D339" s="114"/>
      <c r="E339" s="114"/>
    </row>
    <row r="340">
      <c r="A340" s="114"/>
      <c r="B340" s="114"/>
      <c r="C340" s="123"/>
      <c r="D340" s="114"/>
      <c r="E340" s="114"/>
    </row>
    <row r="341">
      <c r="A341" s="114"/>
      <c r="B341" s="114"/>
      <c r="C341" s="123"/>
      <c r="D341" s="114"/>
      <c r="E341" s="114"/>
    </row>
    <row r="342">
      <c r="A342" s="114"/>
      <c r="B342" s="114"/>
      <c r="C342" s="123"/>
      <c r="D342" s="114"/>
      <c r="E342" s="114"/>
    </row>
    <row r="343">
      <c r="A343" s="114"/>
      <c r="B343" s="114"/>
      <c r="C343" s="123"/>
      <c r="D343" s="114"/>
      <c r="E343" s="114"/>
    </row>
    <row r="344">
      <c r="A344" s="114"/>
      <c r="B344" s="114"/>
      <c r="C344" s="123"/>
      <c r="D344" s="114"/>
      <c r="E344" s="114"/>
    </row>
    <row r="345">
      <c r="A345" s="114"/>
      <c r="B345" s="114"/>
      <c r="C345" s="123"/>
      <c r="D345" s="114"/>
      <c r="E345" s="114"/>
    </row>
    <row r="346">
      <c r="A346" s="114"/>
      <c r="B346" s="114"/>
      <c r="C346" s="123"/>
      <c r="D346" s="114"/>
      <c r="E346" s="114"/>
    </row>
    <row r="347">
      <c r="A347" s="114"/>
      <c r="B347" s="114"/>
      <c r="C347" s="123"/>
      <c r="D347" s="114"/>
      <c r="E347" s="114"/>
    </row>
    <row r="348">
      <c r="A348" s="114"/>
      <c r="B348" s="114"/>
      <c r="C348" s="123"/>
      <c r="D348" s="114"/>
      <c r="E348" s="114"/>
    </row>
    <row r="349">
      <c r="A349" s="114"/>
      <c r="B349" s="114"/>
      <c r="C349" s="123"/>
      <c r="D349" s="114"/>
      <c r="E349" s="114"/>
    </row>
    <row r="350">
      <c r="A350" s="114"/>
      <c r="B350" s="114"/>
      <c r="C350" s="123"/>
      <c r="D350" s="114"/>
      <c r="E350" s="114"/>
    </row>
    <row r="351">
      <c r="A351" s="114"/>
      <c r="B351" s="114"/>
      <c r="C351" s="123"/>
      <c r="D351" s="114"/>
      <c r="E351" s="114"/>
    </row>
    <row r="352">
      <c r="A352" s="114"/>
      <c r="B352" s="114"/>
      <c r="C352" s="123"/>
      <c r="D352" s="114"/>
      <c r="E352" s="114"/>
    </row>
    <row r="353">
      <c r="A353" s="114"/>
      <c r="B353" s="114"/>
      <c r="C353" s="123"/>
      <c r="D353" s="114"/>
      <c r="E353" s="114"/>
    </row>
    <row r="354">
      <c r="A354" s="114"/>
      <c r="B354" s="114"/>
      <c r="C354" s="123"/>
      <c r="D354" s="114"/>
      <c r="E354" s="114"/>
    </row>
    <row r="355">
      <c r="A355" s="114"/>
      <c r="B355" s="114"/>
      <c r="C355" s="123"/>
      <c r="D355" s="114"/>
      <c r="E355" s="114"/>
    </row>
    <row r="356">
      <c r="A356" s="114"/>
      <c r="B356" s="114"/>
      <c r="C356" s="123"/>
      <c r="D356" s="114"/>
      <c r="E356" s="114"/>
    </row>
    <row r="357">
      <c r="A357" s="114"/>
      <c r="B357" s="114"/>
      <c r="C357" s="123"/>
      <c r="D357" s="114"/>
      <c r="E357" s="114"/>
    </row>
    <row r="358">
      <c r="A358" s="114"/>
      <c r="B358" s="114"/>
      <c r="C358" s="123"/>
      <c r="D358" s="114"/>
      <c r="E358" s="114"/>
    </row>
    <row r="359">
      <c r="A359" s="114"/>
      <c r="B359" s="114"/>
      <c r="C359" s="123"/>
      <c r="D359" s="114"/>
      <c r="E359" s="114"/>
    </row>
    <row r="360">
      <c r="A360" s="114"/>
      <c r="B360" s="114"/>
      <c r="C360" s="123"/>
      <c r="D360" s="114"/>
      <c r="E360" s="114"/>
    </row>
    <row r="361">
      <c r="A361" s="114"/>
      <c r="B361" s="114"/>
      <c r="C361" s="123"/>
      <c r="D361" s="114"/>
      <c r="E361" s="114"/>
    </row>
    <row r="362">
      <c r="A362" s="114"/>
      <c r="B362" s="114"/>
      <c r="C362" s="123"/>
      <c r="D362" s="114"/>
      <c r="E362" s="114"/>
    </row>
    <row r="363">
      <c r="A363" s="114"/>
      <c r="B363" s="114"/>
      <c r="C363" s="123"/>
      <c r="D363" s="114"/>
      <c r="E363" s="114"/>
    </row>
    <row r="364">
      <c r="A364" s="114"/>
      <c r="B364" s="114"/>
      <c r="C364" s="123"/>
      <c r="D364" s="114"/>
      <c r="E364" s="114"/>
    </row>
    <row r="365">
      <c r="A365" s="114"/>
      <c r="B365" s="114"/>
      <c r="C365" s="123"/>
      <c r="D365" s="114"/>
      <c r="E365" s="114"/>
    </row>
    <row r="366">
      <c r="A366" s="114"/>
      <c r="B366" s="114"/>
      <c r="C366" s="123"/>
      <c r="D366" s="114"/>
      <c r="E366" s="114"/>
    </row>
    <row r="367">
      <c r="A367" s="114"/>
      <c r="B367" s="114"/>
      <c r="C367" s="123"/>
      <c r="D367" s="114"/>
      <c r="E367" s="114"/>
    </row>
    <row r="368">
      <c r="A368" s="114"/>
      <c r="B368" s="114"/>
      <c r="C368" s="123"/>
      <c r="D368" s="114"/>
      <c r="E368" s="114"/>
    </row>
    <row r="369">
      <c r="A369" s="114"/>
      <c r="B369" s="114"/>
      <c r="C369" s="123"/>
      <c r="D369" s="114"/>
      <c r="E369" s="114"/>
    </row>
    <row r="370">
      <c r="A370" s="114"/>
      <c r="B370" s="114"/>
      <c r="C370" s="123"/>
      <c r="D370" s="114"/>
      <c r="E370" s="114"/>
    </row>
    <row r="371">
      <c r="A371" s="114"/>
      <c r="B371" s="114"/>
      <c r="C371" s="123"/>
      <c r="D371" s="114"/>
      <c r="E371" s="114"/>
    </row>
    <row r="372">
      <c r="A372" s="114"/>
      <c r="B372" s="114"/>
      <c r="C372" s="123"/>
      <c r="D372" s="114"/>
      <c r="E372" s="114"/>
    </row>
    <row r="373">
      <c r="A373" s="114"/>
      <c r="B373" s="114"/>
      <c r="C373" s="123"/>
      <c r="D373" s="114"/>
      <c r="E373" s="114"/>
    </row>
    <row r="374">
      <c r="A374" s="114"/>
      <c r="B374" s="114"/>
      <c r="C374" s="123"/>
      <c r="D374" s="114"/>
      <c r="E374" s="114"/>
    </row>
    <row r="375">
      <c r="A375" s="114"/>
      <c r="B375" s="114"/>
      <c r="C375" s="123"/>
      <c r="D375" s="114"/>
      <c r="E375" s="114"/>
    </row>
    <row r="376">
      <c r="A376" s="114"/>
      <c r="B376" s="114"/>
      <c r="C376" s="123"/>
      <c r="D376" s="114"/>
      <c r="E376" s="114"/>
    </row>
    <row r="377">
      <c r="A377" s="114"/>
      <c r="B377" s="114"/>
      <c r="C377" s="123"/>
      <c r="D377" s="114"/>
      <c r="E377" s="114"/>
    </row>
    <row r="378">
      <c r="A378" s="114"/>
      <c r="B378" s="114"/>
      <c r="C378" s="123"/>
      <c r="D378" s="114"/>
      <c r="E378" s="114"/>
    </row>
    <row r="379">
      <c r="A379" s="114"/>
      <c r="B379" s="114"/>
      <c r="C379" s="123"/>
      <c r="D379" s="114"/>
      <c r="E379" s="114"/>
    </row>
    <row r="380">
      <c r="A380" s="114"/>
      <c r="B380" s="114"/>
      <c r="C380" s="123"/>
      <c r="D380" s="114"/>
      <c r="E380" s="114"/>
    </row>
    <row r="381">
      <c r="A381" s="114"/>
      <c r="B381" s="114"/>
      <c r="C381" s="123"/>
      <c r="D381" s="114"/>
      <c r="E381" s="114"/>
    </row>
    <row r="382">
      <c r="A382" s="114"/>
      <c r="B382" s="114"/>
      <c r="C382" s="123"/>
      <c r="D382" s="114"/>
      <c r="E382" s="114"/>
    </row>
    <row r="383">
      <c r="A383" s="114"/>
      <c r="B383" s="114"/>
      <c r="C383" s="123"/>
      <c r="D383" s="114"/>
      <c r="E383" s="114"/>
    </row>
    <row r="384">
      <c r="A384" s="114"/>
      <c r="B384" s="114"/>
      <c r="C384" s="123"/>
      <c r="D384" s="114"/>
      <c r="E384" s="114"/>
    </row>
    <row r="385">
      <c r="A385" s="114"/>
      <c r="B385" s="114"/>
      <c r="C385" s="123"/>
      <c r="D385" s="114"/>
      <c r="E385" s="114"/>
    </row>
    <row r="386">
      <c r="A386" s="114"/>
      <c r="B386" s="114"/>
      <c r="C386" s="123"/>
      <c r="D386" s="114"/>
      <c r="E386" s="114"/>
    </row>
    <row r="387">
      <c r="A387" s="114"/>
      <c r="B387" s="114"/>
      <c r="C387" s="123"/>
      <c r="D387" s="114"/>
      <c r="E387" s="114"/>
    </row>
    <row r="388">
      <c r="A388" s="114"/>
      <c r="B388" s="114"/>
      <c r="C388" s="123"/>
      <c r="D388" s="114"/>
      <c r="E388" s="114"/>
    </row>
    <row r="389">
      <c r="A389" s="114"/>
      <c r="B389" s="114"/>
      <c r="C389" s="123"/>
      <c r="D389" s="114"/>
      <c r="E389" s="114"/>
    </row>
    <row r="390">
      <c r="A390" s="114"/>
      <c r="B390" s="114"/>
      <c r="C390" s="123"/>
      <c r="D390" s="114"/>
      <c r="E390" s="114"/>
    </row>
    <row r="391">
      <c r="A391" s="114"/>
      <c r="B391" s="114"/>
      <c r="C391" s="123"/>
      <c r="D391" s="114"/>
      <c r="E391" s="114"/>
    </row>
    <row r="392">
      <c r="A392" s="114"/>
      <c r="B392" s="114"/>
      <c r="C392" s="123"/>
      <c r="D392" s="114"/>
      <c r="E392" s="114"/>
    </row>
    <row r="393">
      <c r="A393" s="114"/>
      <c r="B393" s="114"/>
      <c r="C393" s="123"/>
      <c r="D393" s="114"/>
      <c r="E393" s="114"/>
    </row>
    <row r="394">
      <c r="A394" s="114"/>
      <c r="B394" s="114"/>
      <c r="C394" s="123"/>
      <c r="D394" s="114"/>
      <c r="E394" s="114"/>
    </row>
    <row r="395">
      <c r="A395" s="114"/>
      <c r="B395" s="114"/>
      <c r="C395" s="123"/>
      <c r="D395" s="114"/>
      <c r="E395" s="114"/>
    </row>
    <row r="396">
      <c r="A396" s="114"/>
      <c r="B396" s="114"/>
      <c r="C396" s="123"/>
      <c r="D396" s="114"/>
      <c r="E396" s="114"/>
    </row>
    <row r="397">
      <c r="A397" s="114"/>
      <c r="B397" s="114"/>
      <c r="C397" s="123"/>
      <c r="D397" s="114"/>
      <c r="E397" s="114"/>
    </row>
    <row r="398">
      <c r="A398" s="114"/>
      <c r="B398" s="114"/>
      <c r="C398" s="123"/>
      <c r="D398" s="114"/>
      <c r="E398" s="114"/>
    </row>
    <row r="399">
      <c r="A399" s="114"/>
      <c r="B399" s="114"/>
      <c r="C399" s="123"/>
      <c r="D399" s="114"/>
      <c r="E399" s="114"/>
    </row>
    <row r="400">
      <c r="A400" s="114"/>
      <c r="B400" s="114"/>
      <c r="C400" s="123"/>
      <c r="D400" s="114"/>
      <c r="E400" s="114"/>
    </row>
    <row r="401">
      <c r="A401" s="114"/>
      <c r="B401" s="114"/>
      <c r="C401" s="123"/>
      <c r="D401" s="114"/>
      <c r="E401" s="114"/>
    </row>
    <row r="402">
      <c r="A402" s="114"/>
      <c r="B402" s="114"/>
      <c r="C402" s="123"/>
      <c r="D402" s="114"/>
      <c r="E402" s="114"/>
    </row>
    <row r="403">
      <c r="A403" s="114"/>
      <c r="B403" s="114"/>
      <c r="C403" s="123"/>
      <c r="D403" s="114"/>
      <c r="E403" s="114"/>
    </row>
    <row r="404">
      <c r="A404" s="114"/>
      <c r="B404" s="114"/>
      <c r="C404" s="123"/>
      <c r="D404" s="114"/>
      <c r="E404" s="114"/>
    </row>
    <row r="405">
      <c r="A405" s="114"/>
      <c r="B405" s="114"/>
      <c r="C405" s="123"/>
      <c r="D405" s="114"/>
      <c r="E405" s="114"/>
    </row>
    <row r="406">
      <c r="A406" s="114"/>
      <c r="B406" s="114"/>
      <c r="C406" s="123"/>
      <c r="D406" s="114"/>
      <c r="E406" s="114"/>
    </row>
    <row r="407">
      <c r="A407" s="114"/>
      <c r="B407" s="114"/>
      <c r="C407" s="123"/>
      <c r="D407" s="114"/>
      <c r="E407" s="114"/>
    </row>
    <row r="408">
      <c r="A408" s="114"/>
      <c r="B408" s="114"/>
      <c r="C408" s="123"/>
      <c r="D408" s="114"/>
      <c r="E408" s="114"/>
    </row>
    <row r="409">
      <c r="A409" s="114"/>
      <c r="B409" s="114"/>
      <c r="C409" s="123"/>
      <c r="D409" s="114"/>
      <c r="E409" s="114"/>
    </row>
    <row r="410">
      <c r="A410" s="114"/>
      <c r="B410" s="114"/>
      <c r="C410" s="123"/>
      <c r="D410" s="114"/>
      <c r="E410" s="114"/>
    </row>
    <row r="411">
      <c r="A411" s="114"/>
      <c r="B411" s="114"/>
      <c r="C411" s="123"/>
      <c r="D411" s="114"/>
      <c r="E411" s="114"/>
    </row>
    <row r="412">
      <c r="A412" s="114"/>
      <c r="B412" s="114"/>
      <c r="C412" s="123"/>
      <c r="D412" s="114"/>
      <c r="E412" s="114"/>
    </row>
    <row r="413">
      <c r="A413" s="114"/>
      <c r="B413" s="114"/>
      <c r="C413" s="123"/>
      <c r="D413" s="114"/>
      <c r="E413" s="114"/>
    </row>
    <row r="414">
      <c r="A414" s="114"/>
      <c r="B414" s="114"/>
      <c r="C414" s="123"/>
      <c r="D414" s="114"/>
      <c r="E414" s="114"/>
    </row>
    <row r="415">
      <c r="A415" s="114"/>
      <c r="B415" s="114"/>
      <c r="C415" s="123"/>
      <c r="D415" s="114"/>
      <c r="E415" s="114"/>
    </row>
    <row r="416">
      <c r="A416" s="114"/>
      <c r="B416" s="114"/>
      <c r="C416" s="123"/>
      <c r="D416" s="114"/>
      <c r="E416" s="114"/>
    </row>
    <row r="417">
      <c r="A417" s="114"/>
      <c r="B417" s="114"/>
      <c r="C417" s="123"/>
      <c r="D417" s="114"/>
      <c r="E417" s="114"/>
    </row>
    <row r="418">
      <c r="A418" s="114"/>
      <c r="B418" s="114"/>
      <c r="C418" s="123"/>
      <c r="D418" s="114"/>
      <c r="E418" s="114"/>
    </row>
    <row r="419">
      <c r="A419" s="114"/>
      <c r="B419" s="114"/>
      <c r="C419" s="123"/>
      <c r="D419" s="114"/>
      <c r="E419" s="114"/>
    </row>
    <row r="420">
      <c r="A420" s="114"/>
      <c r="B420" s="114"/>
      <c r="C420" s="123"/>
      <c r="D420" s="114"/>
      <c r="E420" s="114"/>
    </row>
    <row r="421">
      <c r="A421" s="114"/>
      <c r="B421" s="114"/>
      <c r="C421" s="123"/>
      <c r="D421" s="114"/>
      <c r="E421" s="114"/>
    </row>
    <row r="422">
      <c r="A422" s="114"/>
      <c r="B422" s="114"/>
      <c r="C422" s="123"/>
      <c r="D422" s="114"/>
      <c r="E422" s="114"/>
    </row>
    <row r="423">
      <c r="A423" s="114"/>
      <c r="B423" s="114"/>
      <c r="C423" s="123"/>
      <c r="D423" s="114"/>
      <c r="E423" s="114"/>
    </row>
    <row r="424">
      <c r="A424" s="114"/>
      <c r="B424" s="114"/>
      <c r="C424" s="123"/>
      <c r="D424" s="114"/>
      <c r="E424" s="114"/>
    </row>
    <row r="425">
      <c r="A425" s="114"/>
      <c r="B425" s="114"/>
      <c r="C425" s="123"/>
      <c r="D425" s="114"/>
      <c r="E425" s="114"/>
    </row>
    <row r="426">
      <c r="A426" s="114"/>
      <c r="B426" s="114"/>
      <c r="C426" s="123"/>
      <c r="D426" s="114"/>
      <c r="E426" s="114"/>
    </row>
    <row r="427">
      <c r="A427" s="114"/>
      <c r="B427" s="114"/>
      <c r="C427" s="123"/>
      <c r="D427" s="114"/>
      <c r="E427" s="114"/>
    </row>
    <row r="428">
      <c r="A428" s="114"/>
      <c r="B428" s="114"/>
      <c r="C428" s="123"/>
      <c r="D428" s="114"/>
      <c r="E428" s="114"/>
    </row>
    <row r="429">
      <c r="A429" s="114"/>
      <c r="B429" s="114"/>
      <c r="C429" s="123"/>
      <c r="D429" s="114"/>
      <c r="E429" s="114"/>
    </row>
    <row r="430">
      <c r="A430" s="114"/>
      <c r="B430" s="114"/>
      <c r="C430" s="123"/>
      <c r="D430" s="114"/>
      <c r="E430" s="114"/>
    </row>
    <row r="431">
      <c r="A431" s="114"/>
      <c r="B431" s="114"/>
      <c r="C431" s="123"/>
      <c r="D431" s="114"/>
      <c r="E431" s="114"/>
    </row>
    <row r="432">
      <c r="A432" s="114"/>
      <c r="B432" s="114"/>
      <c r="C432" s="123"/>
      <c r="D432" s="114"/>
      <c r="E432" s="114"/>
    </row>
    <row r="433">
      <c r="A433" s="114"/>
      <c r="B433" s="114"/>
      <c r="C433" s="123"/>
      <c r="D433" s="114"/>
      <c r="E433" s="114"/>
    </row>
    <row r="434">
      <c r="A434" s="114"/>
      <c r="B434" s="114"/>
      <c r="C434" s="123"/>
      <c r="D434" s="114"/>
      <c r="E434" s="114"/>
    </row>
    <row r="435">
      <c r="A435" s="114"/>
      <c r="B435" s="114"/>
      <c r="C435" s="123"/>
      <c r="D435" s="114"/>
      <c r="E435" s="114"/>
    </row>
    <row r="436">
      <c r="A436" s="114"/>
      <c r="B436" s="114"/>
      <c r="C436" s="123"/>
      <c r="D436" s="114"/>
      <c r="E436" s="114"/>
    </row>
    <row r="437">
      <c r="A437" s="114"/>
      <c r="B437" s="114"/>
      <c r="C437" s="123"/>
      <c r="D437" s="114"/>
      <c r="E437" s="114"/>
    </row>
    <row r="438">
      <c r="A438" s="114"/>
      <c r="B438" s="114"/>
      <c r="C438" s="123"/>
      <c r="D438" s="114"/>
      <c r="E438" s="114"/>
    </row>
    <row r="439">
      <c r="A439" s="114"/>
      <c r="B439" s="114"/>
      <c r="C439" s="123"/>
      <c r="D439" s="114"/>
      <c r="E439" s="114"/>
    </row>
    <row r="440">
      <c r="A440" s="114"/>
      <c r="B440" s="114"/>
      <c r="C440" s="123"/>
      <c r="D440" s="114"/>
      <c r="E440" s="114"/>
    </row>
    <row r="441">
      <c r="A441" s="114"/>
      <c r="B441" s="114"/>
      <c r="C441" s="123"/>
      <c r="D441" s="114"/>
      <c r="E441" s="114"/>
    </row>
    <row r="442">
      <c r="A442" s="114"/>
      <c r="B442" s="114"/>
      <c r="C442" s="123"/>
      <c r="D442" s="114"/>
      <c r="E442" s="114"/>
    </row>
    <row r="443">
      <c r="A443" s="114"/>
      <c r="B443" s="114"/>
      <c r="C443" s="123"/>
      <c r="D443" s="114"/>
      <c r="E443" s="114"/>
    </row>
    <row r="444">
      <c r="A444" s="114"/>
      <c r="B444" s="114"/>
      <c r="C444" s="123"/>
      <c r="D444" s="114"/>
      <c r="E444" s="114"/>
    </row>
    <row r="445">
      <c r="A445" s="114"/>
      <c r="B445" s="114"/>
      <c r="C445" s="123"/>
      <c r="D445" s="114"/>
      <c r="E445" s="114"/>
    </row>
    <row r="446">
      <c r="A446" s="114"/>
      <c r="B446" s="114"/>
      <c r="C446" s="123"/>
      <c r="D446" s="114"/>
      <c r="E446" s="114"/>
    </row>
    <row r="447">
      <c r="A447" s="114"/>
      <c r="B447" s="114"/>
      <c r="C447" s="123"/>
      <c r="D447" s="114"/>
      <c r="E447" s="114"/>
    </row>
    <row r="448">
      <c r="A448" s="114"/>
      <c r="B448" s="114"/>
      <c r="C448" s="123"/>
      <c r="D448" s="114"/>
      <c r="E448" s="114"/>
    </row>
    <row r="449">
      <c r="A449" s="114"/>
      <c r="B449" s="114"/>
      <c r="C449" s="123"/>
      <c r="D449" s="114"/>
      <c r="E449" s="114"/>
    </row>
    <row r="450">
      <c r="A450" s="114"/>
      <c r="B450" s="114"/>
      <c r="C450" s="123"/>
      <c r="D450" s="114"/>
      <c r="E450" s="114"/>
    </row>
    <row r="451">
      <c r="A451" s="114"/>
      <c r="B451" s="114"/>
      <c r="C451" s="123"/>
      <c r="D451" s="114"/>
      <c r="E451" s="114"/>
    </row>
    <row r="452">
      <c r="A452" s="114"/>
      <c r="B452" s="114"/>
      <c r="C452" s="123"/>
      <c r="D452" s="114"/>
      <c r="E452" s="114"/>
    </row>
    <row r="453">
      <c r="A453" s="114"/>
      <c r="B453" s="114"/>
      <c r="C453" s="123"/>
      <c r="D453" s="114"/>
      <c r="E453" s="114"/>
    </row>
    <row r="454">
      <c r="A454" s="114"/>
      <c r="B454" s="114"/>
      <c r="C454" s="123"/>
      <c r="D454" s="114"/>
      <c r="E454" s="114"/>
    </row>
    <row r="455">
      <c r="A455" s="114"/>
      <c r="B455" s="114"/>
      <c r="C455" s="123"/>
      <c r="D455" s="114"/>
      <c r="E455" s="114"/>
    </row>
    <row r="456">
      <c r="A456" s="114"/>
      <c r="B456" s="114"/>
      <c r="C456" s="123"/>
      <c r="D456" s="114"/>
      <c r="E456" s="114"/>
    </row>
    <row r="457">
      <c r="A457" s="114"/>
      <c r="B457" s="114"/>
      <c r="C457" s="123"/>
      <c r="D457" s="114"/>
      <c r="E457" s="114"/>
    </row>
    <row r="458">
      <c r="A458" s="114"/>
      <c r="B458" s="114"/>
      <c r="C458" s="123"/>
      <c r="D458" s="114"/>
      <c r="E458" s="114"/>
    </row>
    <row r="459">
      <c r="A459" s="114"/>
      <c r="B459" s="114"/>
      <c r="C459" s="123"/>
      <c r="D459" s="114"/>
      <c r="E459" s="114"/>
    </row>
    <row r="460">
      <c r="A460" s="114"/>
      <c r="B460" s="114"/>
      <c r="C460" s="123"/>
      <c r="D460" s="114"/>
      <c r="E460" s="114"/>
    </row>
    <row r="461">
      <c r="A461" s="114"/>
      <c r="B461" s="114"/>
      <c r="C461" s="123"/>
      <c r="D461" s="114"/>
      <c r="E461" s="114"/>
    </row>
    <row r="462">
      <c r="A462" s="114"/>
      <c r="B462" s="114"/>
      <c r="C462" s="123"/>
      <c r="D462" s="114"/>
      <c r="E462" s="114"/>
    </row>
    <row r="463">
      <c r="A463" s="114"/>
      <c r="B463" s="114"/>
      <c r="C463" s="123"/>
      <c r="D463" s="114"/>
      <c r="E463" s="114"/>
    </row>
    <row r="464">
      <c r="A464" s="114"/>
      <c r="B464" s="114"/>
      <c r="C464" s="123"/>
      <c r="D464" s="114"/>
      <c r="E464" s="114"/>
    </row>
    <row r="465">
      <c r="A465" s="114"/>
      <c r="B465" s="114"/>
      <c r="C465" s="123"/>
      <c r="D465" s="114"/>
      <c r="E465" s="114"/>
    </row>
    <row r="466">
      <c r="A466" s="114"/>
      <c r="B466" s="114"/>
      <c r="C466" s="123"/>
      <c r="D466" s="114"/>
      <c r="E466" s="114"/>
    </row>
    <row r="467">
      <c r="A467" s="114"/>
      <c r="B467" s="114"/>
      <c r="C467" s="123"/>
      <c r="D467" s="114"/>
      <c r="E467" s="114"/>
    </row>
    <row r="468">
      <c r="A468" s="114"/>
      <c r="B468" s="114"/>
      <c r="C468" s="123"/>
      <c r="D468" s="114"/>
      <c r="E468" s="114"/>
    </row>
    <row r="469">
      <c r="A469" s="114"/>
      <c r="B469" s="114"/>
      <c r="C469" s="123"/>
      <c r="D469" s="114"/>
      <c r="E469" s="114"/>
    </row>
    <row r="470">
      <c r="A470" s="114"/>
      <c r="B470" s="114"/>
      <c r="C470" s="123"/>
      <c r="D470" s="114"/>
      <c r="E470" s="114"/>
    </row>
    <row r="471">
      <c r="A471" s="114"/>
      <c r="B471" s="114"/>
      <c r="C471" s="123"/>
      <c r="D471" s="114"/>
      <c r="E471" s="114"/>
    </row>
    <row r="472">
      <c r="A472" s="114"/>
      <c r="B472" s="114"/>
      <c r="C472" s="123"/>
      <c r="D472" s="114"/>
      <c r="E472" s="114"/>
    </row>
    <row r="473">
      <c r="A473" s="114"/>
      <c r="B473" s="114"/>
      <c r="C473" s="123"/>
      <c r="D473" s="114"/>
      <c r="E473" s="114"/>
    </row>
    <row r="474">
      <c r="A474" s="114"/>
      <c r="B474" s="114"/>
      <c r="C474" s="123"/>
      <c r="D474" s="114"/>
      <c r="E474" s="114"/>
    </row>
    <row r="475">
      <c r="A475" s="114"/>
      <c r="B475" s="114"/>
      <c r="C475" s="123"/>
      <c r="D475" s="114"/>
      <c r="E475" s="114"/>
    </row>
    <row r="476">
      <c r="A476" s="114"/>
      <c r="B476" s="114"/>
      <c r="C476" s="123"/>
      <c r="D476" s="114"/>
      <c r="E476" s="114"/>
    </row>
    <row r="477">
      <c r="A477" s="114"/>
      <c r="B477" s="114"/>
      <c r="C477" s="123"/>
      <c r="D477" s="114"/>
      <c r="E477" s="114"/>
    </row>
    <row r="478">
      <c r="A478" s="114"/>
      <c r="B478" s="114"/>
      <c r="C478" s="123"/>
      <c r="D478" s="114"/>
      <c r="E478" s="114"/>
    </row>
    <row r="479">
      <c r="A479" s="114"/>
      <c r="B479" s="114"/>
      <c r="C479" s="123"/>
      <c r="D479" s="114"/>
      <c r="E479" s="114"/>
    </row>
    <row r="480">
      <c r="A480" s="114"/>
      <c r="B480" s="114"/>
      <c r="C480" s="123"/>
      <c r="D480" s="114"/>
      <c r="E480" s="114"/>
    </row>
    <row r="481">
      <c r="A481" s="114"/>
      <c r="B481" s="114"/>
      <c r="C481" s="123"/>
      <c r="D481" s="114"/>
      <c r="E481" s="114"/>
    </row>
    <row r="482">
      <c r="A482" s="114"/>
      <c r="B482" s="114"/>
      <c r="C482" s="123"/>
      <c r="D482" s="114"/>
      <c r="E482" s="114"/>
    </row>
    <row r="483">
      <c r="A483" s="114"/>
      <c r="B483" s="114"/>
      <c r="C483" s="123"/>
      <c r="D483" s="114"/>
      <c r="E483" s="114"/>
    </row>
    <row r="484">
      <c r="A484" s="114"/>
      <c r="B484" s="114"/>
      <c r="C484" s="123"/>
      <c r="D484" s="114"/>
      <c r="E484" s="114"/>
    </row>
    <row r="485">
      <c r="A485" s="114"/>
      <c r="B485" s="114"/>
      <c r="C485" s="123"/>
      <c r="D485" s="114"/>
      <c r="E485" s="114"/>
    </row>
    <row r="486">
      <c r="A486" s="114"/>
      <c r="B486" s="114"/>
      <c r="C486" s="123"/>
      <c r="D486" s="114"/>
      <c r="E486" s="114"/>
    </row>
    <row r="487">
      <c r="A487" s="114"/>
      <c r="B487" s="114"/>
      <c r="C487" s="123"/>
      <c r="D487" s="114"/>
      <c r="E487" s="114"/>
    </row>
    <row r="488">
      <c r="A488" s="114"/>
      <c r="B488" s="114"/>
      <c r="C488" s="123"/>
      <c r="D488" s="114"/>
      <c r="E488" s="114"/>
    </row>
    <row r="489">
      <c r="A489" s="114"/>
      <c r="B489" s="114"/>
      <c r="C489" s="123"/>
      <c r="D489" s="114"/>
      <c r="E489" s="114"/>
    </row>
    <row r="490">
      <c r="A490" s="114"/>
      <c r="B490" s="114"/>
      <c r="C490" s="123"/>
      <c r="D490" s="114"/>
      <c r="E490" s="114"/>
    </row>
    <row r="491">
      <c r="A491" s="114"/>
      <c r="B491" s="114"/>
      <c r="C491" s="123"/>
      <c r="D491" s="114"/>
      <c r="E491" s="114"/>
    </row>
    <row r="492">
      <c r="A492" s="114"/>
      <c r="B492" s="114"/>
      <c r="C492" s="123"/>
      <c r="D492" s="114"/>
      <c r="E492" s="114"/>
    </row>
    <row r="493">
      <c r="A493" s="114"/>
      <c r="B493" s="114"/>
      <c r="C493" s="123"/>
      <c r="D493" s="114"/>
      <c r="E493" s="114"/>
    </row>
    <row r="494">
      <c r="A494" s="114"/>
      <c r="B494" s="114"/>
      <c r="C494" s="123"/>
      <c r="D494" s="114"/>
      <c r="E494" s="114"/>
    </row>
    <row r="495">
      <c r="A495" s="114"/>
      <c r="B495" s="114"/>
      <c r="C495" s="123"/>
      <c r="D495" s="114"/>
      <c r="E495" s="114"/>
    </row>
    <row r="496">
      <c r="A496" s="114"/>
      <c r="B496" s="114"/>
      <c r="C496" s="123"/>
      <c r="D496" s="114"/>
      <c r="E496" s="114"/>
    </row>
    <row r="497">
      <c r="A497" s="114"/>
      <c r="B497" s="114"/>
      <c r="C497" s="123"/>
      <c r="D497" s="114"/>
      <c r="E497" s="114"/>
    </row>
    <row r="498">
      <c r="A498" s="114"/>
      <c r="B498" s="114"/>
      <c r="C498" s="123"/>
      <c r="D498" s="114"/>
      <c r="E498" s="114"/>
    </row>
    <row r="499">
      <c r="A499" s="114"/>
      <c r="B499" s="114"/>
      <c r="C499" s="123"/>
      <c r="D499" s="114"/>
      <c r="E499" s="114"/>
    </row>
    <row r="500">
      <c r="A500" s="114"/>
      <c r="B500" s="114"/>
      <c r="C500" s="123"/>
      <c r="D500" s="114"/>
      <c r="E500" s="114"/>
    </row>
    <row r="501">
      <c r="A501" s="114"/>
      <c r="B501" s="114"/>
      <c r="C501" s="123"/>
      <c r="D501" s="114"/>
      <c r="E501" s="114"/>
    </row>
    <row r="502">
      <c r="A502" s="114"/>
      <c r="B502" s="114"/>
      <c r="C502" s="123"/>
      <c r="D502" s="114"/>
      <c r="E502" s="114"/>
    </row>
    <row r="503">
      <c r="A503" s="114"/>
      <c r="B503" s="114"/>
      <c r="C503" s="123"/>
      <c r="D503" s="114"/>
      <c r="E503" s="114"/>
    </row>
    <row r="504">
      <c r="A504" s="114"/>
      <c r="B504" s="114"/>
      <c r="C504" s="123"/>
      <c r="D504" s="114"/>
      <c r="E504" s="114"/>
    </row>
    <row r="505">
      <c r="A505" s="114"/>
      <c r="B505" s="114"/>
      <c r="C505" s="123"/>
      <c r="D505" s="114"/>
      <c r="E505" s="114"/>
    </row>
    <row r="506">
      <c r="A506" s="114"/>
      <c r="B506" s="114"/>
      <c r="C506" s="123"/>
      <c r="D506" s="114"/>
      <c r="E506" s="114"/>
    </row>
    <row r="507">
      <c r="A507" s="114"/>
      <c r="B507" s="114"/>
      <c r="C507" s="123"/>
      <c r="D507" s="114"/>
      <c r="E507" s="114"/>
    </row>
    <row r="508">
      <c r="A508" s="114"/>
      <c r="B508" s="114"/>
      <c r="C508" s="123"/>
      <c r="D508" s="114"/>
      <c r="E508" s="114"/>
    </row>
    <row r="509">
      <c r="A509" s="114"/>
      <c r="B509" s="114"/>
      <c r="C509" s="123"/>
      <c r="D509" s="114"/>
      <c r="E509" s="114"/>
    </row>
    <row r="510">
      <c r="A510" s="114"/>
      <c r="B510" s="114"/>
      <c r="C510" s="123"/>
      <c r="D510" s="114"/>
      <c r="E510" s="114"/>
    </row>
    <row r="511">
      <c r="A511" s="114"/>
      <c r="B511" s="114"/>
      <c r="C511" s="123"/>
      <c r="D511" s="114"/>
      <c r="E511" s="114"/>
    </row>
    <row r="512">
      <c r="A512" s="114"/>
      <c r="B512" s="114"/>
      <c r="C512" s="123"/>
      <c r="D512" s="114"/>
      <c r="E512" s="114"/>
    </row>
    <row r="513">
      <c r="A513" s="114"/>
      <c r="B513" s="114"/>
      <c r="C513" s="123"/>
      <c r="D513" s="114"/>
      <c r="E513" s="114"/>
    </row>
    <row r="514">
      <c r="A514" s="114"/>
      <c r="B514" s="114"/>
      <c r="C514" s="123"/>
      <c r="D514" s="114"/>
      <c r="E514" s="114"/>
    </row>
    <row r="515">
      <c r="A515" s="114"/>
      <c r="B515" s="114"/>
      <c r="C515" s="123"/>
      <c r="D515" s="114"/>
      <c r="E515" s="114"/>
    </row>
    <row r="516">
      <c r="A516" s="114"/>
      <c r="B516" s="114"/>
      <c r="C516" s="123"/>
      <c r="D516" s="114"/>
      <c r="E516" s="114"/>
    </row>
    <row r="517">
      <c r="A517" s="114"/>
      <c r="B517" s="114"/>
      <c r="C517" s="123"/>
      <c r="D517" s="114"/>
      <c r="E517" s="114"/>
    </row>
    <row r="518">
      <c r="A518" s="114"/>
      <c r="B518" s="114"/>
      <c r="C518" s="123"/>
      <c r="D518" s="114"/>
      <c r="E518" s="114"/>
    </row>
    <row r="519">
      <c r="A519" s="114"/>
      <c r="B519" s="114"/>
      <c r="C519" s="123"/>
      <c r="D519" s="114"/>
      <c r="E519" s="114"/>
    </row>
    <row r="520">
      <c r="A520" s="114"/>
      <c r="B520" s="114"/>
      <c r="C520" s="123"/>
      <c r="D520" s="114"/>
      <c r="E520" s="114"/>
    </row>
    <row r="521">
      <c r="A521" s="114"/>
      <c r="B521" s="114"/>
      <c r="C521" s="123"/>
      <c r="D521" s="114"/>
      <c r="E521" s="114"/>
    </row>
    <row r="522">
      <c r="A522" s="114"/>
      <c r="B522" s="114"/>
      <c r="C522" s="123"/>
      <c r="D522" s="114"/>
      <c r="E522" s="114"/>
    </row>
    <row r="523">
      <c r="A523" s="114"/>
      <c r="B523" s="114"/>
      <c r="C523" s="123"/>
      <c r="D523" s="114"/>
      <c r="E523" s="114"/>
    </row>
    <row r="524">
      <c r="A524" s="114"/>
      <c r="B524" s="114"/>
      <c r="C524" s="123"/>
      <c r="D524" s="114"/>
      <c r="E524" s="114"/>
    </row>
    <row r="525">
      <c r="A525" s="114"/>
      <c r="B525" s="114"/>
      <c r="C525" s="123"/>
      <c r="D525" s="114"/>
      <c r="E525" s="114"/>
    </row>
    <row r="526">
      <c r="A526" s="114"/>
      <c r="B526" s="114"/>
      <c r="C526" s="123"/>
      <c r="D526" s="114"/>
      <c r="E526" s="114"/>
    </row>
    <row r="527">
      <c r="A527" s="114"/>
      <c r="B527" s="114"/>
      <c r="C527" s="123"/>
      <c r="D527" s="114"/>
      <c r="E527" s="114"/>
    </row>
    <row r="528">
      <c r="A528" s="114"/>
      <c r="B528" s="114"/>
      <c r="C528" s="123"/>
      <c r="D528" s="114"/>
      <c r="E528" s="114"/>
    </row>
    <row r="529">
      <c r="A529" s="114"/>
      <c r="B529" s="114"/>
      <c r="C529" s="123"/>
      <c r="D529" s="114"/>
      <c r="E529" s="114"/>
    </row>
    <row r="530">
      <c r="A530" s="114"/>
      <c r="B530" s="114"/>
      <c r="C530" s="123"/>
      <c r="D530" s="114"/>
      <c r="E530" s="114"/>
    </row>
    <row r="531">
      <c r="A531" s="114"/>
      <c r="B531" s="114"/>
      <c r="C531" s="123"/>
      <c r="D531" s="114"/>
      <c r="E531" s="114"/>
    </row>
    <row r="532">
      <c r="A532" s="114"/>
      <c r="B532" s="114"/>
      <c r="C532" s="123"/>
      <c r="D532" s="114"/>
      <c r="E532" s="114"/>
    </row>
    <row r="533">
      <c r="A533" s="114"/>
      <c r="B533" s="114"/>
      <c r="C533" s="123"/>
      <c r="D533" s="114"/>
      <c r="E533" s="114"/>
    </row>
    <row r="534">
      <c r="A534" s="114"/>
      <c r="B534" s="114"/>
      <c r="C534" s="123"/>
      <c r="D534" s="114"/>
      <c r="E534" s="114"/>
    </row>
    <row r="535">
      <c r="A535" s="114"/>
      <c r="B535" s="114"/>
      <c r="C535" s="123"/>
      <c r="D535" s="114"/>
      <c r="E535" s="114"/>
    </row>
    <row r="536">
      <c r="A536" s="114"/>
      <c r="B536" s="114"/>
      <c r="C536" s="123"/>
      <c r="D536" s="114"/>
      <c r="E536" s="114"/>
    </row>
    <row r="537">
      <c r="A537" s="114"/>
      <c r="B537" s="114"/>
      <c r="C537" s="123"/>
      <c r="D537" s="114"/>
      <c r="E537" s="114"/>
    </row>
    <row r="538">
      <c r="A538" s="114"/>
      <c r="B538" s="114"/>
      <c r="C538" s="123"/>
      <c r="D538" s="114"/>
      <c r="E538" s="114"/>
    </row>
    <row r="539">
      <c r="A539" s="114"/>
      <c r="B539" s="114"/>
      <c r="C539" s="123"/>
      <c r="D539" s="114"/>
      <c r="E539" s="114"/>
    </row>
    <row r="540">
      <c r="A540" s="114"/>
      <c r="B540" s="114"/>
      <c r="C540" s="123"/>
      <c r="D540" s="114"/>
      <c r="E540" s="114"/>
    </row>
    <row r="541">
      <c r="A541" s="114"/>
      <c r="B541" s="114"/>
      <c r="C541" s="123"/>
      <c r="D541" s="114"/>
      <c r="E541" s="114"/>
    </row>
    <row r="542">
      <c r="A542" s="114"/>
      <c r="B542" s="114"/>
      <c r="C542" s="123"/>
      <c r="D542" s="114"/>
      <c r="E542" s="114"/>
    </row>
    <row r="543">
      <c r="A543" s="114"/>
      <c r="B543" s="114"/>
      <c r="C543" s="123"/>
      <c r="D543" s="114"/>
      <c r="E543" s="114"/>
    </row>
    <row r="544">
      <c r="A544" s="114"/>
      <c r="B544" s="114"/>
      <c r="C544" s="123"/>
      <c r="D544" s="114"/>
      <c r="E544" s="114"/>
    </row>
    <row r="545">
      <c r="A545" s="114"/>
      <c r="B545" s="114"/>
      <c r="C545" s="123"/>
      <c r="D545" s="114"/>
      <c r="E545" s="114"/>
    </row>
    <row r="546">
      <c r="A546" s="114"/>
      <c r="B546" s="114"/>
      <c r="C546" s="123"/>
      <c r="D546" s="114"/>
      <c r="E546" s="114"/>
    </row>
    <row r="547">
      <c r="A547" s="114"/>
      <c r="B547" s="114"/>
      <c r="C547" s="123"/>
      <c r="D547" s="114"/>
      <c r="E547" s="114"/>
    </row>
    <row r="548">
      <c r="A548" s="114"/>
      <c r="B548" s="114"/>
      <c r="C548" s="123"/>
      <c r="D548" s="114"/>
      <c r="E548" s="114"/>
    </row>
    <row r="549">
      <c r="A549" s="114"/>
      <c r="B549" s="114"/>
      <c r="C549" s="123"/>
      <c r="D549" s="114"/>
      <c r="E549" s="114"/>
    </row>
    <row r="550">
      <c r="A550" s="114"/>
      <c r="B550" s="114"/>
      <c r="C550" s="123"/>
      <c r="D550" s="114"/>
      <c r="E550" s="114"/>
    </row>
    <row r="551">
      <c r="A551" s="114"/>
      <c r="B551" s="114"/>
      <c r="C551" s="123"/>
      <c r="D551" s="114"/>
      <c r="E551" s="114"/>
    </row>
    <row r="552">
      <c r="A552" s="114"/>
      <c r="B552" s="114"/>
      <c r="C552" s="123"/>
      <c r="D552" s="114"/>
      <c r="E552" s="114"/>
    </row>
    <row r="553">
      <c r="A553" s="114"/>
      <c r="B553" s="114"/>
      <c r="C553" s="123"/>
      <c r="D553" s="114"/>
      <c r="E553" s="114"/>
    </row>
    <row r="554">
      <c r="A554" s="114"/>
      <c r="B554" s="114"/>
      <c r="C554" s="123"/>
      <c r="D554" s="114"/>
      <c r="E554" s="114"/>
    </row>
    <row r="555">
      <c r="A555" s="114"/>
      <c r="B555" s="114"/>
      <c r="C555" s="123"/>
      <c r="D555" s="114"/>
      <c r="E555" s="114"/>
    </row>
    <row r="556">
      <c r="A556" s="114"/>
      <c r="B556" s="114"/>
      <c r="C556" s="123"/>
      <c r="D556" s="114"/>
      <c r="E556" s="114"/>
    </row>
    <row r="557">
      <c r="A557" s="114"/>
      <c r="B557" s="114"/>
      <c r="C557" s="123"/>
      <c r="D557" s="114"/>
      <c r="E557" s="114"/>
    </row>
    <row r="558">
      <c r="A558" s="114"/>
      <c r="B558" s="114"/>
      <c r="C558" s="123"/>
      <c r="D558" s="114"/>
      <c r="E558" s="114"/>
    </row>
    <row r="559">
      <c r="A559" s="114"/>
      <c r="B559" s="114"/>
      <c r="C559" s="123"/>
      <c r="D559" s="114"/>
      <c r="E559" s="114"/>
    </row>
    <row r="560">
      <c r="A560" s="114"/>
      <c r="B560" s="114"/>
      <c r="C560" s="123"/>
      <c r="D560" s="114"/>
      <c r="E560" s="114"/>
    </row>
    <row r="561">
      <c r="A561" s="114"/>
      <c r="B561" s="114"/>
      <c r="C561" s="123"/>
      <c r="D561" s="114"/>
      <c r="E561" s="114"/>
    </row>
    <row r="562">
      <c r="A562" s="114"/>
      <c r="B562" s="114"/>
      <c r="C562" s="123"/>
      <c r="D562" s="114"/>
      <c r="E562" s="114"/>
    </row>
    <row r="563">
      <c r="A563" s="114"/>
      <c r="B563" s="114"/>
      <c r="C563" s="123"/>
      <c r="D563" s="114"/>
      <c r="E563" s="114"/>
    </row>
    <row r="564">
      <c r="A564" s="114"/>
      <c r="B564" s="114"/>
      <c r="C564" s="123"/>
      <c r="D564" s="114"/>
      <c r="E564" s="114"/>
    </row>
    <row r="565">
      <c r="A565" s="114"/>
      <c r="B565" s="114"/>
      <c r="C565" s="123"/>
      <c r="D565" s="114"/>
      <c r="E565" s="114"/>
    </row>
    <row r="566">
      <c r="A566" s="114"/>
      <c r="B566" s="114"/>
      <c r="C566" s="123"/>
      <c r="D566" s="114"/>
      <c r="E566" s="114"/>
    </row>
    <row r="567">
      <c r="A567" s="114"/>
      <c r="B567" s="114"/>
      <c r="C567" s="123"/>
      <c r="D567" s="114"/>
      <c r="E567" s="114"/>
    </row>
    <row r="568">
      <c r="A568" s="114"/>
      <c r="B568" s="114"/>
      <c r="C568" s="123"/>
      <c r="D568" s="114"/>
      <c r="E568" s="114"/>
    </row>
    <row r="569">
      <c r="A569" s="114"/>
      <c r="B569" s="114"/>
      <c r="C569" s="123"/>
      <c r="D569" s="114"/>
      <c r="E569" s="114"/>
    </row>
    <row r="570">
      <c r="A570" s="114"/>
      <c r="B570" s="114"/>
      <c r="C570" s="123"/>
      <c r="D570" s="114"/>
      <c r="E570" s="114"/>
    </row>
    <row r="571">
      <c r="A571" s="114"/>
      <c r="B571" s="114"/>
      <c r="C571" s="123"/>
      <c r="D571" s="114"/>
      <c r="E571" s="114"/>
    </row>
    <row r="572">
      <c r="A572" s="114"/>
      <c r="B572" s="114"/>
      <c r="C572" s="123"/>
      <c r="D572" s="114"/>
      <c r="E572" s="114"/>
    </row>
    <row r="573">
      <c r="A573" s="114"/>
      <c r="B573" s="114"/>
      <c r="C573" s="123"/>
      <c r="D573" s="114"/>
      <c r="E573" s="114"/>
    </row>
    <row r="574">
      <c r="A574" s="114"/>
      <c r="B574" s="114"/>
      <c r="C574" s="123"/>
      <c r="D574" s="114"/>
      <c r="E574" s="114"/>
    </row>
    <row r="575">
      <c r="A575" s="114"/>
      <c r="B575" s="114"/>
      <c r="C575" s="123"/>
      <c r="D575" s="114"/>
      <c r="E575" s="114"/>
    </row>
    <row r="576">
      <c r="A576" s="114"/>
      <c r="B576" s="114"/>
      <c r="C576" s="123"/>
      <c r="D576" s="114"/>
      <c r="E576" s="114"/>
    </row>
    <row r="577">
      <c r="A577" s="114"/>
      <c r="B577" s="114"/>
      <c r="C577" s="123"/>
      <c r="D577" s="114"/>
      <c r="E577" s="114"/>
    </row>
    <row r="578">
      <c r="A578" s="114"/>
      <c r="B578" s="114"/>
      <c r="C578" s="123"/>
      <c r="D578" s="114"/>
      <c r="E578" s="114"/>
    </row>
    <row r="579">
      <c r="A579" s="114"/>
      <c r="B579" s="114"/>
      <c r="C579" s="123"/>
      <c r="D579" s="114"/>
      <c r="E579" s="114"/>
    </row>
    <row r="580">
      <c r="A580" s="114"/>
      <c r="B580" s="114"/>
      <c r="C580" s="123"/>
      <c r="D580" s="114"/>
      <c r="E580" s="114"/>
    </row>
    <row r="581">
      <c r="A581" s="114"/>
      <c r="B581" s="114"/>
      <c r="C581" s="123"/>
      <c r="D581" s="114"/>
      <c r="E581" s="114"/>
    </row>
    <row r="582">
      <c r="A582" s="114"/>
      <c r="B582" s="114"/>
      <c r="C582" s="123"/>
      <c r="D582" s="114"/>
      <c r="E582" s="114"/>
    </row>
    <row r="583">
      <c r="A583" s="114"/>
      <c r="B583" s="114"/>
      <c r="C583" s="123"/>
      <c r="D583" s="114"/>
      <c r="E583" s="114"/>
    </row>
    <row r="584">
      <c r="A584" s="114"/>
      <c r="B584" s="114"/>
      <c r="C584" s="123"/>
      <c r="D584" s="114"/>
      <c r="E584" s="114"/>
    </row>
    <row r="585">
      <c r="A585" s="114"/>
      <c r="B585" s="114"/>
      <c r="C585" s="123"/>
      <c r="D585" s="114"/>
      <c r="E585" s="114"/>
    </row>
    <row r="586">
      <c r="A586" s="114"/>
      <c r="B586" s="114"/>
      <c r="C586" s="123"/>
      <c r="D586" s="114"/>
      <c r="E586" s="114"/>
    </row>
    <row r="587">
      <c r="A587" s="114"/>
      <c r="B587" s="114"/>
      <c r="C587" s="123"/>
      <c r="D587" s="114"/>
      <c r="E587" s="114"/>
    </row>
    <row r="588">
      <c r="A588" s="114"/>
      <c r="B588" s="114"/>
      <c r="C588" s="123"/>
      <c r="D588" s="114"/>
      <c r="E588" s="114"/>
    </row>
    <row r="589">
      <c r="A589" s="114"/>
      <c r="B589" s="114"/>
      <c r="C589" s="123"/>
      <c r="D589" s="114"/>
      <c r="E589" s="114"/>
    </row>
    <row r="590">
      <c r="A590" s="114"/>
      <c r="B590" s="114"/>
      <c r="C590" s="123"/>
      <c r="D590" s="114"/>
      <c r="E590" s="114"/>
    </row>
    <row r="591">
      <c r="A591" s="114"/>
      <c r="B591" s="114"/>
      <c r="C591" s="123"/>
      <c r="D591" s="114"/>
      <c r="E591" s="114"/>
    </row>
    <row r="592">
      <c r="A592" s="114"/>
      <c r="B592" s="114"/>
      <c r="C592" s="123"/>
      <c r="D592" s="114"/>
      <c r="E592" s="114"/>
    </row>
    <row r="593">
      <c r="A593" s="114"/>
      <c r="B593" s="114"/>
      <c r="C593" s="123"/>
      <c r="D593" s="114"/>
      <c r="E593" s="114"/>
    </row>
    <row r="594">
      <c r="A594" s="114"/>
      <c r="B594" s="114"/>
      <c r="C594" s="123"/>
      <c r="D594" s="114"/>
      <c r="E594" s="114"/>
    </row>
    <row r="595">
      <c r="A595" s="114"/>
      <c r="B595" s="114"/>
      <c r="C595" s="123"/>
      <c r="D595" s="114"/>
      <c r="E595" s="114"/>
    </row>
    <row r="596">
      <c r="A596" s="114"/>
      <c r="B596" s="114"/>
      <c r="C596" s="123"/>
      <c r="D596" s="114"/>
      <c r="E596" s="114"/>
    </row>
    <row r="597">
      <c r="A597" s="114"/>
      <c r="B597" s="114"/>
      <c r="C597" s="123"/>
      <c r="D597" s="114"/>
      <c r="E597" s="114"/>
    </row>
    <row r="598">
      <c r="A598" s="114"/>
      <c r="B598" s="114"/>
      <c r="C598" s="123"/>
      <c r="D598" s="114"/>
      <c r="E598" s="114"/>
    </row>
    <row r="599">
      <c r="A599" s="114"/>
      <c r="B599" s="114"/>
      <c r="C599" s="123"/>
      <c r="D599" s="114"/>
      <c r="E599" s="114"/>
    </row>
    <row r="600">
      <c r="A600" s="114"/>
      <c r="B600" s="114"/>
      <c r="C600" s="123"/>
      <c r="D600" s="114"/>
      <c r="E600" s="114"/>
    </row>
    <row r="601">
      <c r="A601" s="114"/>
      <c r="B601" s="114"/>
      <c r="C601" s="123"/>
      <c r="D601" s="114"/>
      <c r="E601" s="114"/>
    </row>
    <row r="602">
      <c r="A602" s="114"/>
      <c r="B602" s="114"/>
      <c r="C602" s="123"/>
      <c r="D602" s="114"/>
      <c r="E602" s="114"/>
    </row>
    <row r="603">
      <c r="A603" s="114"/>
      <c r="B603" s="114"/>
      <c r="C603" s="123"/>
      <c r="D603" s="114"/>
      <c r="E603" s="114"/>
    </row>
    <row r="604">
      <c r="A604" s="114"/>
      <c r="B604" s="114"/>
      <c r="C604" s="123"/>
      <c r="D604" s="114"/>
      <c r="E604" s="114"/>
    </row>
    <row r="605">
      <c r="A605" s="114"/>
      <c r="B605" s="114"/>
      <c r="C605" s="123"/>
      <c r="D605" s="114"/>
      <c r="E605" s="114"/>
    </row>
    <row r="606">
      <c r="A606" s="114"/>
      <c r="B606" s="114"/>
      <c r="C606" s="123"/>
      <c r="D606" s="114"/>
      <c r="E606" s="114"/>
    </row>
    <row r="607">
      <c r="A607" s="114"/>
      <c r="B607" s="114"/>
      <c r="C607" s="123"/>
      <c r="D607" s="114"/>
      <c r="E607" s="114"/>
    </row>
    <row r="608">
      <c r="A608" s="114"/>
      <c r="B608" s="114"/>
      <c r="C608" s="123"/>
      <c r="D608" s="114"/>
      <c r="E608" s="114"/>
    </row>
    <row r="609">
      <c r="A609" s="114"/>
      <c r="B609" s="114"/>
      <c r="C609" s="123"/>
      <c r="D609" s="114"/>
      <c r="E609" s="114"/>
    </row>
    <row r="610">
      <c r="A610" s="114"/>
      <c r="B610" s="114"/>
      <c r="C610" s="123"/>
      <c r="D610" s="114"/>
      <c r="E610" s="114"/>
    </row>
    <row r="611">
      <c r="A611" s="114"/>
      <c r="B611" s="114"/>
      <c r="C611" s="123"/>
      <c r="D611" s="114"/>
      <c r="E611" s="114"/>
    </row>
    <row r="612">
      <c r="A612" s="114"/>
      <c r="B612" s="114"/>
      <c r="C612" s="123"/>
      <c r="D612" s="114"/>
      <c r="E612" s="114"/>
    </row>
    <row r="613">
      <c r="A613" s="114"/>
      <c r="B613" s="114"/>
      <c r="C613" s="123"/>
      <c r="D613" s="114"/>
      <c r="E613" s="114"/>
    </row>
    <row r="614">
      <c r="A614" s="114"/>
      <c r="B614" s="114"/>
      <c r="C614" s="123"/>
      <c r="D614" s="114"/>
      <c r="E614" s="114"/>
    </row>
    <row r="615">
      <c r="A615" s="114"/>
      <c r="B615" s="114"/>
      <c r="C615" s="123"/>
      <c r="D615" s="114"/>
      <c r="E615" s="114"/>
    </row>
    <row r="616">
      <c r="A616" s="114"/>
      <c r="B616" s="114"/>
      <c r="C616" s="123"/>
      <c r="D616" s="114"/>
      <c r="E616" s="114"/>
    </row>
    <row r="617">
      <c r="A617" s="114"/>
      <c r="B617" s="114"/>
      <c r="C617" s="123"/>
      <c r="D617" s="114"/>
      <c r="E617" s="114"/>
    </row>
    <row r="618">
      <c r="A618" s="114"/>
      <c r="B618" s="114"/>
      <c r="C618" s="123"/>
      <c r="D618" s="114"/>
      <c r="E618" s="114"/>
    </row>
    <row r="619">
      <c r="A619" s="114"/>
      <c r="B619" s="114"/>
      <c r="C619" s="123"/>
      <c r="D619" s="114"/>
      <c r="E619" s="114"/>
    </row>
    <row r="620">
      <c r="A620" s="114"/>
      <c r="B620" s="114"/>
      <c r="C620" s="123"/>
      <c r="D620" s="114"/>
      <c r="E620" s="114"/>
    </row>
    <row r="621">
      <c r="A621" s="114"/>
      <c r="B621" s="114"/>
      <c r="C621" s="123"/>
      <c r="D621" s="114"/>
      <c r="E621" s="114"/>
    </row>
    <row r="622">
      <c r="A622" s="114"/>
      <c r="B622" s="114"/>
      <c r="C622" s="123"/>
      <c r="D622" s="114"/>
      <c r="E622" s="114"/>
    </row>
    <row r="623">
      <c r="A623" s="114"/>
      <c r="B623" s="114"/>
      <c r="C623" s="123"/>
      <c r="D623" s="114"/>
      <c r="E623" s="114"/>
    </row>
    <row r="624">
      <c r="A624" s="114"/>
      <c r="B624" s="114"/>
      <c r="C624" s="123"/>
      <c r="D624" s="114"/>
      <c r="E624" s="114"/>
    </row>
    <row r="625">
      <c r="A625" s="114"/>
      <c r="B625" s="114"/>
      <c r="C625" s="123"/>
      <c r="D625" s="114"/>
      <c r="E625" s="114"/>
    </row>
    <row r="626">
      <c r="A626" s="114"/>
      <c r="B626" s="114"/>
      <c r="C626" s="123"/>
      <c r="D626" s="114"/>
      <c r="E626" s="114"/>
    </row>
    <row r="627">
      <c r="A627" s="114"/>
      <c r="B627" s="114"/>
      <c r="C627" s="123"/>
      <c r="D627" s="114"/>
      <c r="E627" s="114"/>
    </row>
    <row r="628">
      <c r="A628" s="114"/>
      <c r="B628" s="114"/>
      <c r="C628" s="123"/>
      <c r="D628" s="114"/>
      <c r="E628" s="114"/>
    </row>
    <row r="629">
      <c r="A629" s="114"/>
      <c r="B629" s="114"/>
      <c r="C629" s="123"/>
      <c r="D629" s="114"/>
      <c r="E629" s="114"/>
    </row>
    <row r="630">
      <c r="A630" s="114"/>
      <c r="B630" s="114"/>
      <c r="C630" s="123"/>
      <c r="D630" s="114"/>
      <c r="E630" s="114"/>
    </row>
    <row r="631">
      <c r="A631" s="114"/>
      <c r="B631" s="114"/>
      <c r="C631" s="123"/>
      <c r="D631" s="114"/>
      <c r="E631" s="114"/>
    </row>
    <row r="632">
      <c r="A632" s="114"/>
      <c r="B632" s="114"/>
      <c r="C632" s="123"/>
      <c r="D632" s="114"/>
      <c r="E632" s="114"/>
    </row>
    <row r="633">
      <c r="A633" s="114"/>
      <c r="B633" s="114"/>
      <c r="C633" s="123"/>
      <c r="D633" s="114"/>
      <c r="E633" s="114"/>
    </row>
    <row r="634">
      <c r="A634" s="114"/>
      <c r="B634" s="114"/>
      <c r="C634" s="123"/>
      <c r="D634" s="114"/>
      <c r="E634" s="114"/>
    </row>
    <row r="635">
      <c r="A635" s="114"/>
      <c r="B635" s="114"/>
      <c r="C635" s="123"/>
      <c r="D635" s="114"/>
      <c r="E635" s="114"/>
    </row>
    <row r="636">
      <c r="A636" s="114"/>
      <c r="B636" s="114"/>
      <c r="C636" s="123"/>
      <c r="D636" s="114"/>
      <c r="E636" s="114"/>
    </row>
    <row r="637">
      <c r="A637" s="114"/>
      <c r="B637" s="114"/>
      <c r="C637" s="123"/>
      <c r="D637" s="114"/>
      <c r="E637" s="114"/>
    </row>
    <row r="638">
      <c r="A638" s="114"/>
      <c r="B638" s="114"/>
      <c r="C638" s="123"/>
      <c r="D638" s="114"/>
      <c r="E638" s="114"/>
    </row>
    <row r="639">
      <c r="A639" s="114"/>
      <c r="B639" s="114"/>
      <c r="C639" s="123"/>
      <c r="D639" s="114"/>
      <c r="E639" s="114"/>
    </row>
    <row r="640">
      <c r="A640" s="114"/>
      <c r="B640" s="114"/>
      <c r="C640" s="123"/>
      <c r="D640" s="114"/>
      <c r="E640" s="114"/>
    </row>
    <row r="641">
      <c r="A641" s="114"/>
      <c r="B641" s="114"/>
      <c r="C641" s="123"/>
      <c r="D641" s="114"/>
      <c r="E641" s="114"/>
    </row>
    <row r="642">
      <c r="A642" s="114"/>
      <c r="B642" s="114"/>
      <c r="C642" s="123"/>
      <c r="D642" s="114"/>
      <c r="E642" s="114"/>
    </row>
    <row r="643">
      <c r="A643" s="114"/>
      <c r="B643" s="114"/>
      <c r="C643" s="123"/>
      <c r="D643" s="114"/>
      <c r="E643" s="114"/>
    </row>
    <row r="644">
      <c r="A644" s="114"/>
      <c r="B644" s="114"/>
      <c r="C644" s="123"/>
      <c r="D644" s="114"/>
      <c r="E644" s="114"/>
    </row>
    <row r="645">
      <c r="A645" s="114"/>
      <c r="B645" s="114"/>
      <c r="C645" s="123"/>
      <c r="D645" s="114"/>
      <c r="E645" s="114"/>
    </row>
    <row r="646">
      <c r="A646" s="114"/>
      <c r="B646" s="114"/>
      <c r="C646" s="123"/>
      <c r="D646" s="114"/>
      <c r="E646" s="114"/>
    </row>
    <row r="647">
      <c r="A647" s="114"/>
      <c r="B647" s="114"/>
      <c r="C647" s="123"/>
      <c r="D647" s="114"/>
      <c r="E647" s="114"/>
    </row>
    <row r="648">
      <c r="A648" s="114"/>
      <c r="B648" s="114"/>
      <c r="C648" s="123"/>
      <c r="D648" s="114"/>
      <c r="E648" s="114"/>
    </row>
    <row r="649">
      <c r="A649" s="114"/>
      <c r="B649" s="114"/>
      <c r="C649" s="123"/>
      <c r="D649" s="114"/>
      <c r="E649" s="114"/>
    </row>
    <row r="650">
      <c r="A650" s="114"/>
      <c r="B650" s="114"/>
      <c r="C650" s="123"/>
      <c r="D650" s="114"/>
      <c r="E650" s="114"/>
    </row>
    <row r="651">
      <c r="A651" s="114"/>
      <c r="B651" s="114"/>
      <c r="C651" s="123"/>
      <c r="D651" s="114"/>
      <c r="E651" s="114"/>
    </row>
    <row r="652">
      <c r="A652" s="114"/>
      <c r="B652" s="114"/>
      <c r="C652" s="123"/>
      <c r="D652" s="114"/>
      <c r="E652" s="114"/>
    </row>
    <row r="653">
      <c r="A653" s="114"/>
      <c r="B653" s="114"/>
      <c r="C653" s="123"/>
      <c r="D653" s="114"/>
      <c r="E653" s="114"/>
    </row>
    <row r="654">
      <c r="A654" s="114"/>
      <c r="B654" s="114"/>
      <c r="C654" s="123"/>
      <c r="D654" s="114"/>
      <c r="E654" s="114"/>
    </row>
    <row r="655">
      <c r="A655" s="114"/>
      <c r="B655" s="114"/>
      <c r="C655" s="123"/>
      <c r="D655" s="114"/>
      <c r="E655" s="114"/>
    </row>
    <row r="656">
      <c r="A656" s="114"/>
      <c r="B656" s="114"/>
      <c r="C656" s="123"/>
      <c r="D656" s="114"/>
      <c r="E656" s="114"/>
    </row>
    <row r="657">
      <c r="A657" s="114"/>
      <c r="B657" s="114"/>
      <c r="C657" s="123"/>
      <c r="D657" s="114"/>
      <c r="E657" s="114"/>
    </row>
    <row r="658">
      <c r="A658" s="114"/>
      <c r="B658" s="114"/>
      <c r="C658" s="123"/>
      <c r="D658" s="114"/>
      <c r="E658" s="114"/>
    </row>
    <row r="659">
      <c r="A659" s="114"/>
      <c r="B659" s="114"/>
      <c r="C659" s="123"/>
      <c r="D659" s="114"/>
      <c r="E659" s="114"/>
    </row>
    <row r="660">
      <c r="A660" s="114"/>
      <c r="B660" s="114"/>
      <c r="C660" s="123"/>
      <c r="D660" s="114"/>
      <c r="E660" s="114"/>
    </row>
    <row r="661">
      <c r="A661" s="114"/>
      <c r="B661" s="114"/>
      <c r="C661" s="123"/>
      <c r="D661" s="114"/>
      <c r="E661" s="114"/>
    </row>
    <row r="662">
      <c r="A662" s="114"/>
      <c r="B662" s="114"/>
      <c r="C662" s="123"/>
      <c r="D662" s="114"/>
      <c r="E662" s="114"/>
    </row>
    <row r="663">
      <c r="A663" s="114"/>
      <c r="B663" s="114"/>
      <c r="C663" s="123"/>
      <c r="D663" s="114"/>
      <c r="E663" s="114"/>
    </row>
    <row r="664">
      <c r="A664" s="114"/>
      <c r="B664" s="114"/>
      <c r="C664" s="123"/>
      <c r="D664" s="114"/>
      <c r="E664" s="114"/>
    </row>
    <row r="665">
      <c r="A665" s="114"/>
      <c r="B665" s="114"/>
      <c r="C665" s="123"/>
      <c r="D665" s="114"/>
      <c r="E665" s="114"/>
    </row>
    <row r="666">
      <c r="A666" s="114"/>
      <c r="B666" s="114"/>
      <c r="C666" s="123"/>
      <c r="D666" s="114"/>
      <c r="E666" s="114"/>
    </row>
    <row r="667">
      <c r="A667" s="114"/>
      <c r="B667" s="114"/>
      <c r="C667" s="123"/>
      <c r="D667" s="114"/>
      <c r="E667" s="114"/>
    </row>
    <row r="668">
      <c r="A668" s="114"/>
      <c r="B668" s="114"/>
      <c r="C668" s="123"/>
      <c r="D668" s="114"/>
      <c r="E668" s="114"/>
    </row>
    <row r="669">
      <c r="A669" s="114"/>
      <c r="B669" s="114"/>
      <c r="C669" s="123"/>
      <c r="D669" s="114"/>
      <c r="E669" s="114"/>
    </row>
    <row r="670">
      <c r="A670" s="114"/>
      <c r="B670" s="114"/>
      <c r="C670" s="123"/>
      <c r="D670" s="114"/>
      <c r="E670" s="114"/>
    </row>
    <row r="671">
      <c r="A671" s="114"/>
      <c r="B671" s="114"/>
      <c r="C671" s="123"/>
      <c r="D671" s="114"/>
      <c r="E671" s="114"/>
    </row>
    <row r="672">
      <c r="A672" s="114"/>
      <c r="B672" s="114"/>
      <c r="C672" s="123"/>
      <c r="D672" s="114"/>
      <c r="E672" s="114"/>
    </row>
    <row r="673">
      <c r="A673" s="114"/>
      <c r="B673" s="114"/>
      <c r="C673" s="123"/>
      <c r="D673" s="114"/>
      <c r="E673" s="114"/>
    </row>
    <row r="674">
      <c r="A674" s="114"/>
      <c r="B674" s="114"/>
      <c r="C674" s="123"/>
      <c r="D674" s="114"/>
      <c r="E674" s="114"/>
    </row>
    <row r="675">
      <c r="A675" s="114"/>
      <c r="B675" s="114"/>
      <c r="C675" s="123"/>
      <c r="D675" s="114"/>
      <c r="E675" s="114"/>
    </row>
    <row r="676">
      <c r="A676" s="114"/>
      <c r="B676" s="114"/>
      <c r="C676" s="123"/>
      <c r="D676" s="114"/>
      <c r="E676" s="114"/>
    </row>
    <row r="677">
      <c r="A677" s="114"/>
      <c r="B677" s="114"/>
      <c r="C677" s="123"/>
      <c r="D677" s="114"/>
      <c r="E677" s="114"/>
    </row>
    <row r="678">
      <c r="A678" s="114"/>
      <c r="B678" s="114"/>
      <c r="C678" s="123"/>
      <c r="D678" s="114"/>
      <c r="E678" s="114"/>
    </row>
    <row r="679">
      <c r="A679" s="114"/>
      <c r="B679" s="114"/>
      <c r="C679" s="123"/>
      <c r="D679" s="114"/>
      <c r="E679" s="114"/>
    </row>
    <row r="680">
      <c r="A680" s="114"/>
      <c r="B680" s="114"/>
      <c r="C680" s="123"/>
      <c r="D680" s="114"/>
      <c r="E680" s="114"/>
    </row>
    <row r="681">
      <c r="A681" s="114"/>
      <c r="B681" s="114"/>
      <c r="C681" s="123"/>
      <c r="D681" s="114"/>
      <c r="E681" s="114"/>
    </row>
    <row r="682">
      <c r="A682" s="114"/>
      <c r="B682" s="114"/>
      <c r="C682" s="123"/>
      <c r="D682" s="114"/>
      <c r="E682" s="114"/>
    </row>
    <row r="683">
      <c r="A683" s="114"/>
      <c r="B683" s="114"/>
      <c r="C683" s="123"/>
      <c r="D683" s="114"/>
      <c r="E683" s="114"/>
    </row>
    <row r="684">
      <c r="A684" s="114"/>
      <c r="B684" s="114"/>
      <c r="C684" s="123"/>
      <c r="D684" s="114"/>
      <c r="E684" s="114"/>
    </row>
    <row r="685">
      <c r="A685" s="114"/>
      <c r="B685" s="114"/>
      <c r="C685" s="123"/>
      <c r="D685" s="114"/>
      <c r="E685" s="114"/>
    </row>
    <row r="686">
      <c r="A686" s="114"/>
      <c r="B686" s="114"/>
      <c r="C686" s="123"/>
      <c r="D686" s="114"/>
      <c r="E686" s="114"/>
    </row>
    <row r="687">
      <c r="A687" s="114"/>
      <c r="B687" s="114"/>
      <c r="C687" s="123"/>
      <c r="D687" s="114"/>
      <c r="E687" s="114"/>
    </row>
    <row r="688">
      <c r="A688" s="114"/>
      <c r="B688" s="114"/>
      <c r="C688" s="123"/>
      <c r="D688" s="114"/>
      <c r="E688" s="114"/>
    </row>
    <row r="689">
      <c r="A689" s="114"/>
      <c r="B689" s="114"/>
      <c r="C689" s="123"/>
      <c r="D689" s="114"/>
      <c r="E689" s="114"/>
    </row>
    <row r="690">
      <c r="A690" s="114"/>
      <c r="B690" s="114"/>
      <c r="C690" s="123"/>
      <c r="D690" s="114"/>
      <c r="E690" s="114"/>
    </row>
    <row r="691">
      <c r="A691" s="114"/>
      <c r="B691" s="114"/>
      <c r="C691" s="123"/>
      <c r="D691" s="114"/>
      <c r="E691" s="114"/>
    </row>
    <row r="692">
      <c r="A692" s="114"/>
      <c r="B692" s="114"/>
      <c r="C692" s="123"/>
      <c r="D692" s="114"/>
      <c r="E692" s="114"/>
    </row>
    <row r="693">
      <c r="A693" s="114"/>
      <c r="B693" s="114"/>
      <c r="C693" s="123"/>
      <c r="D693" s="114"/>
      <c r="E693" s="114"/>
    </row>
    <row r="694">
      <c r="A694" s="114"/>
      <c r="B694" s="114"/>
      <c r="C694" s="123"/>
      <c r="D694" s="114"/>
      <c r="E694" s="114"/>
    </row>
    <row r="695">
      <c r="A695" s="114"/>
      <c r="B695" s="114"/>
      <c r="C695" s="123"/>
      <c r="D695" s="114"/>
      <c r="E695" s="114"/>
    </row>
    <row r="696">
      <c r="A696" s="114"/>
      <c r="B696" s="114"/>
      <c r="C696" s="123"/>
      <c r="D696" s="114"/>
      <c r="E696" s="114"/>
    </row>
    <row r="697">
      <c r="A697" s="114"/>
      <c r="B697" s="114"/>
      <c r="C697" s="123"/>
      <c r="D697" s="114"/>
      <c r="E697" s="114"/>
    </row>
    <row r="698">
      <c r="A698" s="114"/>
      <c r="B698" s="114"/>
      <c r="C698" s="123"/>
      <c r="D698" s="114"/>
      <c r="E698" s="114"/>
    </row>
    <row r="699">
      <c r="A699" s="114"/>
      <c r="B699" s="114"/>
      <c r="C699" s="123"/>
      <c r="D699" s="114"/>
      <c r="E699" s="114"/>
    </row>
    <row r="700">
      <c r="A700" s="114"/>
      <c r="B700" s="114"/>
      <c r="C700" s="123"/>
      <c r="D700" s="114"/>
      <c r="E700" s="114"/>
    </row>
    <row r="701">
      <c r="A701" s="114"/>
      <c r="B701" s="114"/>
      <c r="C701" s="123"/>
      <c r="D701" s="114"/>
      <c r="E701" s="114"/>
    </row>
    <row r="702">
      <c r="A702" s="114"/>
      <c r="B702" s="114"/>
      <c r="C702" s="123"/>
      <c r="D702" s="114"/>
      <c r="E702" s="114"/>
    </row>
    <row r="703">
      <c r="A703" s="114"/>
      <c r="B703" s="114"/>
      <c r="C703" s="123"/>
      <c r="D703" s="114"/>
      <c r="E703" s="114"/>
    </row>
    <row r="704">
      <c r="A704" s="114"/>
      <c r="B704" s="114"/>
      <c r="C704" s="123"/>
      <c r="D704" s="114"/>
      <c r="E704" s="114"/>
    </row>
    <row r="705">
      <c r="A705" s="114"/>
      <c r="B705" s="114"/>
      <c r="C705" s="123"/>
      <c r="D705" s="114"/>
      <c r="E705" s="114"/>
    </row>
    <row r="706">
      <c r="A706" s="114"/>
      <c r="B706" s="114"/>
      <c r="C706" s="123"/>
      <c r="D706" s="114"/>
      <c r="E706" s="114"/>
    </row>
    <row r="707">
      <c r="A707" s="114"/>
      <c r="B707" s="114"/>
      <c r="C707" s="123"/>
      <c r="D707" s="114"/>
      <c r="E707" s="114"/>
    </row>
    <row r="708">
      <c r="A708" s="114"/>
      <c r="B708" s="114"/>
      <c r="C708" s="123"/>
      <c r="D708" s="114"/>
      <c r="E708" s="114"/>
    </row>
    <row r="709">
      <c r="A709" s="114"/>
      <c r="B709" s="114"/>
      <c r="C709" s="123"/>
      <c r="D709" s="114"/>
      <c r="E709" s="114"/>
    </row>
    <row r="710">
      <c r="A710" s="114"/>
      <c r="B710" s="114"/>
      <c r="C710" s="123"/>
      <c r="D710" s="114"/>
      <c r="E710" s="114"/>
    </row>
    <row r="711">
      <c r="A711" s="114"/>
      <c r="B711" s="114"/>
      <c r="C711" s="123"/>
      <c r="D711" s="114"/>
      <c r="E711" s="114"/>
    </row>
    <row r="712">
      <c r="A712" s="114"/>
      <c r="B712" s="114"/>
      <c r="C712" s="123"/>
      <c r="D712" s="114"/>
      <c r="E712" s="114"/>
    </row>
    <row r="713">
      <c r="A713" s="114"/>
      <c r="B713" s="114"/>
      <c r="C713" s="123"/>
      <c r="D713" s="114"/>
      <c r="E713" s="114"/>
    </row>
    <row r="714">
      <c r="A714" s="114"/>
      <c r="B714" s="114"/>
      <c r="C714" s="123"/>
      <c r="D714" s="114"/>
      <c r="E714" s="114"/>
    </row>
    <row r="715">
      <c r="A715" s="114"/>
      <c r="B715" s="114"/>
      <c r="C715" s="123"/>
      <c r="D715" s="114"/>
      <c r="E715" s="114"/>
    </row>
    <row r="716">
      <c r="A716" s="114"/>
      <c r="B716" s="114"/>
      <c r="C716" s="123"/>
      <c r="D716" s="114"/>
      <c r="E716" s="114"/>
    </row>
    <row r="717">
      <c r="A717" s="114"/>
      <c r="B717" s="114"/>
      <c r="C717" s="123"/>
      <c r="D717" s="114"/>
      <c r="E717" s="114"/>
    </row>
    <row r="718">
      <c r="A718" s="114"/>
      <c r="B718" s="114"/>
      <c r="C718" s="123"/>
      <c r="D718" s="114"/>
      <c r="E718" s="114"/>
    </row>
    <row r="719">
      <c r="A719" s="114"/>
      <c r="B719" s="114"/>
      <c r="C719" s="123"/>
      <c r="D719" s="114"/>
      <c r="E719" s="114"/>
    </row>
    <row r="720">
      <c r="A720" s="114"/>
      <c r="B720" s="114"/>
      <c r="C720" s="123"/>
      <c r="D720" s="114"/>
      <c r="E720" s="114"/>
    </row>
    <row r="721">
      <c r="A721" s="114"/>
      <c r="B721" s="114"/>
      <c r="C721" s="123"/>
      <c r="D721" s="114"/>
      <c r="E721" s="114"/>
    </row>
    <row r="722">
      <c r="A722" s="114"/>
      <c r="B722" s="114"/>
      <c r="C722" s="123"/>
      <c r="D722" s="114"/>
      <c r="E722" s="114"/>
    </row>
    <row r="723">
      <c r="A723" s="114"/>
      <c r="B723" s="114"/>
      <c r="C723" s="123"/>
      <c r="D723" s="114"/>
      <c r="E723" s="114"/>
    </row>
    <row r="724">
      <c r="A724" s="114"/>
      <c r="B724" s="114"/>
      <c r="C724" s="123"/>
      <c r="D724" s="114"/>
      <c r="E724" s="114"/>
    </row>
    <row r="725">
      <c r="A725" s="114"/>
      <c r="B725" s="114"/>
      <c r="C725" s="123"/>
      <c r="D725" s="114"/>
      <c r="E725" s="114"/>
    </row>
    <row r="726">
      <c r="A726" s="114"/>
      <c r="B726" s="114"/>
      <c r="C726" s="123"/>
      <c r="D726" s="114"/>
      <c r="E726" s="114"/>
    </row>
    <row r="727">
      <c r="A727" s="114"/>
      <c r="B727" s="114"/>
      <c r="C727" s="123"/>
      <c r="D727" s="114"/>
      <c r="E727" s="114"/>
    </row>
    <row r="728">
      <c r="A728" s="114"/>
      <c r="B728" s="114"/>
      <c r="C728" s="123"/>
      <c r="D728" s="114"/>
      <c r="E728" s="114"/>
    </row>
    <row r="729">
      <c r="A729" s="114"/>
      <c r="B729" s="114"/>
      <c r="C729" s="123"/>
      <c r="D729" s="114"/>
      <c r="E729" s="114"/>
    </row>
    <row r="730">
      <c r="A730" s="114"/>
      <c r="B730" s="114"/>
      <c r="C730" s="123"/>
      <c r="D730" s="114"/>
      <c r="E730" s="114"/>
    </row>
    <row r="731">
      <c r="A731" s="114"/>
      <c r="B731" s="114"/>
      <c r="C731" s="123"/>
      <c r="D731" s="114"/>
      <c r="E731" s="114"/>
    </row>
    <row r="732">
      <c r="A732" s="114"/>
      <c r="B732" s="114"/>
      <c r="C732" s="123"/>
      <c r="D732" s="114"/>
      <c r="E732" s="114"/>
    </row>
    <row r="733">
      <c r="A733" s="114"/>
      <c r="B733" s="114"/>
      <c r="C733" s="123"/>
      <c r="D733" s="114"/>
      <c r="E733" s="114"/>
    </row>
    <row r="734">
      <c r="A734" s="114"/>
      <c r="B734" s="114"/>
      <c r="C734" s="123"/>
      <c r="D734" s="114"/>
      <c r="E734" s="114"/>
    </row>
    <row r="735">
      <c r="A735" s="114"/>
      <c r="B735" s="114"/>
      <c r="C735" s="123"/>
      <c r="D735" s="114"/>
      <c r="E735" s="114"/>
    </row>
    <row r="736">
      <c r="A736" s="114"/>
      <c r="B736" s="114"/>
      <c r="C736" s="123"/>
      <c r="D736" s="114"/>
      <c r="E736" s="114"/>
    </row>
    <row r="737">
      <c r="A737" s="114"/>
      <c r="B737" s="114"/>
      <c r="C737" s="123"/>
      <c r="D737" s="114"/>
      <c r="E737" s="114"/>
    </row>
    <row r="738">
      <c r="A738" s="114"/>
      <c r="B738" s="114"/>
      <c r="C738" s="123"/>
      <c r="D738" s="114"/>
      <c r="E738" s="114"/>
    </row>
    <row r="739">
      <c r="A739" s="114"/>
      <c r="B739" s="114"/>
      <c r="C739" s="123"/>
      <c r="D739" s="114"/>
      <c r="E739" s="114"/>
    </row>
    <row r="740">
      <c r="A740" s="114"/>
      <c r="B740" s="114"/>
      <c r="C740" s="123"/>
      <c r="D740" s="114"/>
      <c r="E740" s="114"/>
    </row>
    <row r="741">
      <c r="A741" s="114"/>
      <c r="B741" s="114"/>
      <c r="C741" s="123"/>
      <c r="D741" s="114"/>
      <c r="E741" s="114"/>
    </row>
    <row r="742">
      <c r="A742" s="114"/>
      <c r="B742" s="114"/>
      <c r="C742" s="123"/>
      <c r="D742" s="114"/>
      <c r="E742" s="114"/>
    </row>
    <row r="743">
      <c r="A743" s="114"/>
      <c r="B743" s="114"/>
      <c r="C743" s="123"/>
      <c r="D743" s="114"/>
      <c r="E743" s="114"/>
    </row>
    <row r="744">
      <c r="A744" s="114"/>
      <c r="B744" s="114"/>
      <c r="C744" s="123"/>
      <c r="D744" s="114"/>
      <c r="E744" s="114"/>
    </row>
    <row r="745">
      <c r="A745" s="114"/>
      <c r="B745" s="114"/>
      <c r="C745" s="123"/>
      <c r="D745" s="114"/>
      <c r="E745" s="114"/>
    </row>
    <row r="746">
      <c r="A746" s="114"/>
      <c r="B746" s="114"/>
      <c r="C746" s="123"/>
      <c r="D746" s="114"/>
      <c r="E746" s="114"/>
    </row>
    <row r="747">
      <c r="A747" s="114"/>
      <c r="B747" s="114"/>
      <c r="C747" s="123"/>
      <c r="D747" s="114"/>
      <c r="E747" s="114"/>
    </row>
    <row r="748">
      <c r="A748" s="114"/>
      <c r="B748" s="114"/>
      <c r="C748" s="123"/>
      <c r="D748" s="114"/>
      <c r="E748" s="114"/>
    </row>
    <row r="749">
      <c r="A749" s="114"/>
      <c r="B749" s="114"/>
      <c r="C749" s="123"/>
      <c r="D749" s="114"/>
      <c r="E749" s="114"/>
    </row>
    <row r="750">
      <c r="A750" s="114"/>
      <c r="B750" s="114"/>
      <c r="C750" s="123"/>
      <c r="D750" s="114"/>
      <c r="E750" s="114"/>
    </row>
    <row r="751">
      <c r="A751" s="114"/>
      <c r="B751" s="114"/>
      <c r="C751" s="123"/>
      <c r="D751" s="114"/>
      <c r="E751" s="114"/>
    </row>
    <row r="752">
      <c r="A752" s="114"/>
      <c r="B752" s="114"/>
      <c r="C752" s="123"/>
      <c r="D752" s="114"/>
      <c r="E752" s="114"/>
    </row>
    <row r="753">
      <c r="A753" s="114"/>
      <c r="B753" s="114"/>
      <c r="C753" s="123"/>
      <c r="D753" s="114"/>
      <c r="E753" s="114"/>
    </row>
    <row r="754">
      <c r="A754" s="114"/>
      <c r="B754" s="114"/>
      <c r="C754" s="123"/>
      <c r="D754" s="114"/>
      <c r="E754" s="114"/>
    </row>
    <row r="755">
      <c r="A755" s="114"/>
      <c r="B755" s="114"/>
      <c r="C755" s="123"/>
      <c r="D755" s="114"/>
      <c r="E755" s="114"/>
    </row>
    <row r="756">
      <c r="A756" s="114"/>
      <c r="B756" s="114"/>
      <c r="C756" s="123"/>
      <c r="D756" s="114"/>
      <c r="E756" s="114"/>
    </row>
    <row r="757">
      <c r="A757" s="114"/>
      <c r="B757" s="114"/>
      <c r="C757" s="123"/>
      <c r="D757" s="114"/>
      <c r="E757" s="114"/>
    </row>
    <row r="758">
      <c r="A758" s="114"/>
      <c r="B758" s="114"/>
      <c r="C758" s="123"/>
      <c r="D758" s="114"/>
      <c r="E758" s="114"/>
    </row>
    <row r="759">
      <c r="A759" s="114"/>
      <c r="B759" s="114"/>
      <c r="C759" s="123"/>
      <c r="D759" s="114"/>
      <c r="E759" s="114"/>
    </row>
    <row r="760">
      <c r="A760" s="114"/>
      <c r="B760" s="114"/>
      <c r="C760" s="123"/>
      <c r="D760" s="114"/>
      <c r="E760" s="114"/>
    </row>
    <row r="761">
      <c r="A761" s="114"/>
      <c r="B761" s="114"/>
      <c r="C761" s="123"/>
      <c r="D761" s="114"/>
      <c r="E761" s="114"/>
    </row>
    <row r="762">
      <c r="A762" s="114"/>
      <c r="B762" s="114"/>
      <c r="C762" s="123"/>
      <c r="D762" s="114"/>
      <c r="E762" s="114"/>
    </row>
    <row r="763">
      <c r="A763" s="114"/>
      <c r="B763" s="114"/>
      <c r="C763" s="123"/>
      <c r="D763" s="114"/>
      <c r="E763" s="114"/>
    </row>
    <row r="764">
      <c r="A764" s="114"/>
      <c r="B764" s="114"/>
      <c r="C764" s="123"/>
      <c r="D764" s="114"/>
      <c r="E764" s="114"/>
    </row>
    <row r="765">
      <c r="A765" s="114"/>
      <c r="B765" s="114"/>
      <c r="C765" s="123"/>
      <c r="D765" s="114"/>
      <c r="E765" s="114"/>
    </row>
    <row r="766">
      <c r="A766" s="114"/>
      <c r="B766" s="114"/>
      <c r="C766" s="123"/>
      <c r="D766" s="114"/>
      <c r="E766" s="114"/>
    </row>
    <row r="767">
      <c r="A767" s="114"/>
      <c r="B767" s="114"/>
      <c r="C767" s="123"/>
      <c r="D767" s="114"/>
      <c r="E767" s="114"/>
    </row>
    <row r="768">
      <c r="A768" s="114"/>
      <c r="B768" s="114"/>
      <c r="C768" s="123"/>
      <c r="D768" s="114"/>
      <c r="E768" s="114"/>
    </row>
    <row r="769">
      <c r="A769" s="114"/>
      <c r="B769" s="114"/>
      <c r="C769" s="123"/>
      <c r="D769" s="114"/>
      <c r="E769" s="114"/>
    </row>
    <row r="770">
      <c r="A770" s="114"/>
      <c r="B770" s="114"/>
      <c r="C770" s="123"/>
      <c r="D770" s="114"/>
      <c r="E770" s="114"/>
    </row>
    <row r="771">
      <c r="A771" s="114"/>
      <c r="B771" s="114"/>
      <c r="C771" s="123"/>
      <c r="D771" s="114"/>
      <c r="E771" s="114"/>
    </row>
    <row r="772">
      <c r="A772" s="114"/>
      <c r="B772" s="114"/>
      <c r="C772" s="123"/>
      <c r="D772" s="114"/>
      <c r="E772" s="114"/>
    </row>
    <row r="773">
      <c r="A773" s="114"/>
      <c r="B773" s="114"/>
      <c r="C773" s="123"/>
      <c r="D773" s="114"/>
      <c r="E773" s="114"/>
    </row>
    <row r="774">
      <c r="A774" s="114"/>
      <c r="B774" s="114"/>
      <c r="C774" s="123"/>
      <c r="D774" s="114"/>
      <c r="E774" s="114"/>
    </row>
    <row r="775">
      <c r="A775" s="114"/>
      <c r="B775" s="114"/>
      <c r="C775" s="123"/>
      <c r="D775" s="114"/>
      <c r="E775" s="114"/>
    </row>
    <row r="776">
      <c r="A776" s="114"/>
      <c r="B776" s="114"/>
      <c r="C776" s="123"/>
      <c r="D776" s="114"/>
      <c r="E776" s="114"/>
    </row>
    <row r="777">
      <c r="A777" s="114"/>
      <c r="B777" s="114"/>
      <c r="C777" s="123"/>
      <c r="D777" s="114"/>
      <c r="E777" s="114"/>
    </row>
    <row r="778">
      <c r="A778" s="114"/>
      <c r="B778" s="114"/>
      <c r="C778" s="123"/>
      <c r="D778" s="114"/>
      <c r="E778" s="114"/>
    </row>
    <row r="779">
      <c r="A779" s="114"/>
      <c r="B779" s="114"/>
      <c r="C779" s="123"/>
      <c r="D779" s="114"/>
      <c r="E779" s="114"/>
    </row>
    <row r="780">
      <c r="A780" s="114"/>
      <c r="B780" s="114"/>
      <c r="C780" s="123"/>
      <c r="D780" s="114"/>
      <c r="E780" s="114"/>
    </row>
    <row r="781">
      <c r="A781" s="114"/>
      <c r="B781" s="114"/>
      <c r="C781" s="123"/>
      <c r="D781" s="114"/>
      <c r="E781" s="114"/>
    </row>
    <row r="782">
      <c r="A782" s="114"/>
      <c r="B782" s="114"/>
      <c r="C782" s="123"/>
      <c r="D782" s="114"/>
      <c r="E782" s="114"/>
    </row>
    <row r="783">
      <c r="A783" s="114"/>
      <c r="B783" s="114"/>
      <c r="C783" s="123"/>
      <c r="D783" s="114"/>
      <c r="E783" s="114"/>
    </row>
    <row r="784">
      <c r="A784" s="114"/>
      <c r="B784" s="114"/>
      <c r="C784" s="123"/>
      <c r="D784" s="114"/>
      <c r="E784" s="114"/>
    </row>
    <row r="785">
      <c r="A785" s="114"/>
      <c r="B785" s="114"/>
      <c r="C785" s="123"/>
      <c r="D785" s="114"/>
      <c r="E785" s="114"/>
    </row>
    <row r="786">
      <c r="A786" s="114"/>
      <c r="B786" s="114"/>
      <c r="C786" s="123"/>
      <c r="D786" s="114"/>
      <c r="E786" s="114"/>
    </row>
    <row r="787">
      <c r="A787" s="114"/>
      <c r="B787" s="114"/>
      <c r="C787" s="123"/>
      <c r="D787" s="114"/>
      <c r="E787" s="114"/>
    </row>
    <row r="788">
      <c r="A788" s="114"/>
      <c r="B788" s="114"/>
      <c r="C788" s="123"/>
      <c r="D788" s="114"/>
      <c r="E788" s="114"/>
    </row>
    <row r="789">
      <c r="A789" s="114"/>
      <c r="B789" s="114"/>
      <c r="C789" s="123"/>
      <c r="D789" s="114"/>
      <c r="E789" s="114"/>
    </row>
    <row r="790">
      <c r="A790" s="114"/>
      <c r="B790" s="114"/>
      <c r="C790" s="123"/>
      <c r="D790" s="114"/>
      <c r="E790" s="114"/>
    </row>
    <row r="791">
      <c r="A791" s="114"/>
      <c r="B791" s="114"/>
      <c r="C791" s="123"/>
      <c r="D791" s="114"/>
      <c r="E791" s="114"/>
    </row>
    <row r="792">
      <c r="A792" s="114"/>
      <c r="B792" s="114"/>
      <c r="C792" s="123"/>
      <c r="D792" s="114"/>
      <c r="E792" s="114"/>
    </row>
    <row r="793">
      <c r="A793" s="114"/>
      <c r="B793" s="114"/>
      <c r="C793" s="123"/>
      <c r="D793" s="114"/>
      <c r="E793" s="114"/>
    </row>
    <row r="794">
      <c r="A794" s="114"/>
      <c r="B794" s="114"/>
      <c r="C794" s="123"/>
      <c r="D794" s="114"/>
      <c r="E794" s="114"/>
    </row>
    <row r="795">
      <c r="A795" s="114"/>
      <c r="B795" s="114"/>
      <c r="C795" s="123"/>
      <c r="D795" s="114"/>
      <c r="E795" s="114"/>
    </row>
    <row r="796">
      <c r="A796" s="114"/>
      <c r="B796" s="114"/>
      <c r="C796" s="123"/>
      <c r="D796" s="114"/>
      <c r="E796" s="114"/>
    </row>
    <row r="797">
      <c r="A797" s="114"/>
      <c r="B797" s="114"/>
      <c r="C797" s="123"/>
      <c r="D797" s="114"/>
      <c r="E797" s="114"/>
    </row>
    <row r="798">
      <c r="A798" s="114"/>
      <c r="B798" s="114"/>
      <c r="C798" s="123"/>
      <c r="D798" s="114"/>
      <c r="E798" s="114"/>
    </row>
    <row r="799">
      <c r="A799" s="114"/>
      <c r="B799" s="114"/>
      <c r="C799" s="123"/>
      <c r="D799" s="114"/>
      <c r="E799" s="114"/>
    </row>
    <row r="800">
      <c r="A800" s="114"/>
      <c r="B800" s="114"/>
      <c r="C800" s="123"/>
      <c r="D800" s="114"/>
      <c r="E800" s="114"/>
    </row>
    <row r="801">
      <c r="A801" s="114"/>
      <c r="B801" s="114"/>
      <c r="C801" s="123"/>
      <c r="D801" s="114"/>
      <c r="E801" s="114"/>
    </row>
    <row r="802">
      <c r="A802" s="114"/>
      <c r="B802" s="114"/>
      <c r="C802" s="123"/>
      <c r="D802" s="114"/>
      <c r="E802" s="114"/>
    </row>
    <row r="803">
      <c r="A803" s="114"/>
      <c r="B803" s="114"/>
      <c r="C803" s="123"/>
      <c r="D803" s="114"/>
      <c r="E803" s="114"/>
    </row>
    <row r="804">
      <c r="A804" s="114"/>
      <c r="B804" s="114"/>
      <c r="C804" s="123"/>
      <c r="D804" s="114"/>
      <c r="E804" s="114"/>
    </row>
    <row r="805">
      <c r="A805" s="114"/>
      <c r="B805" s="114"/>
      <c r="C805" s="123"/>
      <c r="D805" s="114"/>
      <c r="E805" s="114"/>
    </row>
    <row r="806">
      <c r="A806" s="114"/>
      <c r="B806" s="114"/>
      <c r="C806" s="123"/>
      <c r="D806" s="114"/>
      <c r="E806" s="114"/>
    </row>
    <row r="807">
      <c r="A807" s="114"/>
      <c r="B807" s="114"/>
      <c r="C807" s="123"/>
      <c r="D807" s="114"/>
      <c r="E807" s="114"/>
    </row>
    <row r="808">
      <c r="A808" s="114"/>
      <c r="B808" s="114"/>
      <c r="C808" s="123"/>
      <c r="D808" s="114"/>
      <c r="E808" s="114"/>
    </row>
    <row r="809">
      <c r="A809" s="114"/>
      <c r="B809" s="114"/>
      <c r="C809" s="123"/>
      <c r="D809" s="114"/>
      <c r="E809" s="114"/>
    </row>
    <row r="810">
      <c r="A810" s="114"/>
      <c r="B810" s="114"/>
      <c r="C810" s="123"/>
      <c r="D810" s="114"/>
      <c r="E810" s="114"/>
    </row>
    <row r="811">
      <c r="A811" s="114"/>
      <c r="B811" s="114"/>
      <c r="C811" s="123"/>
      <c r="D811" s="114"/>
      <c r="E811" s="114"/>
    </row>
    <row r="812">
      <c r="A812" s="114"/>
      <c r="B812" s="114"/>
      <c r="C812" s="123"/>
      <c r="D812" s="114"/>
      <c r="E812" s="114"/>
    </row>
    <row r="813">
      <c r="A813" s="114"/>
      <c r="B813" s="114"/>
      <c r="C813" s="123"/>
      <c r="D813" s="114"/>
      <c r="E813" s="114"/>
    </row>
    <row r="814">
      <c r="A814" s="114"/>
      <c r="B814" s="114"/>
      <c r="C814" s="123"/>
      <c r="D814" s="114"/>
      <c r="E814" s="114"/>
    </row>
    <row r="815">
      <c r="A815" s="114"/>
      <c r="B815" s="114"/>
      <c r="C815" s="123"/>
      <c r="D815" s="114"/>
      <c r="E815" s="114"/>
    </row>
    <row r="816">
      <c r="A816" s="114"/>
      <c r="B816" s="114"/>
      <c r="C816" s="123"/>
      <c r="D816" s="114"/>
      <c r="E816" s="114"/>
    </row>
    <row r="817">
      <c r="A817" s="114"/>
      <c r="B817" s="114"/>
      <c r="C817" s="123"/>
      <c r="D817" s="114"/>
      <c r="E817" s="114"/>
    </row>
    <row r="818">
      <c r="A818" s="114"/>
      <c r="B818" s="114"/>
      <c r="C818" s="123"/>
      <c r="D818" s="114"/>
      <c r="E818" s="114"/>
    </row>
    <row r="819">
      <c r="A819" s="114"/>
      <c r="B819" s="114"/>
      <c r="C819" s="123"/>
      <c r="D819" s="114"/>
      <c r="E819" s="114"/>
    </row>
    <row r="820">
      <c r="A820" s="114"/>
      <c r="B820" s="114"/>
      <c r="C820" s="123"/>
      <c r="D820" s="114"/>
      <c r="E820" s="114"/>
    </row>
    <row r="821">
      <c r="A821" s="114"/>
      <c r="B821" s="114"/>
      <c r="C821" s="123"/>
      <c r="D821" s="114"/>
      <c r="E821" s="114"/>
    </row>
    <row r="822">
      <c r="A822" s="114"/>
      <c r="B822" s="114"/>
      <c r="C822" s="123"/>
      <c r="D822" s="114"/>
      <c r="E822" s="114"/>
    </row>
    <row r="823">
      <c r="A823" s="114"/>
      <c r="B823" s="114"/>
      <c r="C823" s="123"/>
      <c r="D823" s="114"/>
      <c r="E823" s="114"/>
    </row>
    <row r="824">
      <c r="A824" s="114"/>
      <c r="B824" s="114"/>
      <c r="C824" s="123"/>
      <c r="D824" s="114"/>
      <c r="E824" s="114"/>
    </row>
    <row r="825">
      <c r="A825" s="114"/>
      <c r="B825" s="114"/>
      <c r="C825" s="123"/>
      <c r="D825" s="114"/>
      <c r="E825" s="114"/>
    </row>
    <row r="826">
      <c r="A826" s="114"/>
      <c r="B826" s="114"/>
      <c r="C826" s="123"/>
      <c r="D826" s="114"/>
      <c r="E826" s="114"/>
    </row>
    <row r="827">
      <c r="A827" s="114"/>
      <c r="B827" s="114"/>
      <c r="C827" s="123"/>
      <c r="D827" s="114"/>
      <c r="E827" s="114"/>
    </row>
    <row r="828">
      <c r="A828" s="114"/>
      <c r="B828" s="114"/>
      <c r="C828" s="123"/>
      <c r="D828" s="114"/>
      <c r="E828" s="114"/>
    </row>
    <row r="829">
      <c r="A829" s="114"/>
      <c r="B829" s="114"/>
      <c r="C829" s="123"/>
      <c r="D829" s="114"/>
      <c r="E829" s="114"/>
    </row>
    <row r="830">
      <c r="A830" s="114"/>
      <c r="B830" s="114"/>
      <c r="C830" s="123"/>
      <c r="D830" s="114"/>
      <c r="E830" s="114"/>
    </row>
    <row r="831">
      <c r="A831" s="114"/>
      <c r="B831" s="114"/>
      <c r="C831" s="123"/>
      <c r="D831" s="114"/>
      <c r="E831" s="114"/>
    </row>
    <row r="832">
      <c r="A832" s="114"/>
      <c r="B832" s="114"/>
      <c r="C832" s="123"/>
      <c r="D832" s="114"/>
      <c r="E832" s="114"/>
    </row>
    <row r="833">
      <c r="A833" s="114"/>
      <c r="B833" s="114"/>
      <c r="C833" s="123"/>
      <c r="D833" s="114"/>
      <c r="E833" s="114"/>
    </row>
    <row r="834">
      <c r="A834" s="114"/>
      <c r="B834" s="114"/>
      <c r="C834" s="123"/>
      <c r="D834" s="114"/>
      <c r="E834" s="114"/>
    </row>
    <row r="835">
      <c r="A835" s="114"/>
      <c r="B835" s="114"/>
      <c r="C835" s="123"/>
      <c r="D835" s="114"/>
      <c r="E835" s="114"/>
    </row>
    <row r="836">
      <c r="A836" s="114"/>
      <c r="B836" s="114"/>
      <c r="C836" s="123"/>
      <c r="D836" s="114"/>
      <c r="E836" s="114"/>
    </row>
    <row r="837">
      <c r="A837" s="114"/>
      <c r="B837" s="114"/>
      <c r="C837" s="123"/>
      <c r="D837" s="114"/>
      <c r="E837" s="114"/>
    </row>
    <row r="838">
      <c r="A838" s="114"/>
      <c r="B838" s="114"/>
      <c r="C838" s="123"/>
      <c r="D838" s="114"/>
      <c r="E838" s="114"/>
    </row>
    <row r="839">
      <c r="A839" s="114"/>
      <c r="B839" s="114"/>
      <c r="C839" s="123"/>
      <c r="D839" s="114"/>
      <c r="E839" s="114"/>
    </row>
    <row r="840">
      <c r="A840" s="114"/>
      <c r="B840" s="114"/>
      <c r="C840" s="123"/>
      <c r="D840" s="114"/>
      <c r="E840" s="114"/>
    </row>
    <row r="841">
      <c r="A841" s="114"/>
      <c r="B841" s="114"/>
      <c r="C841" s="123"/>
      <c r="D841" s="114"/>
      <c r="E841" s="114"/>
    </row>
    <row r="842">
      <c r="A842" s="114"/>
      <c r="B842" s="114"/>
      <c r="C842" s="123"/>
      <c r="D842" s="114"/>
      <c r="E842" s="114"/>
    </row>
    <row r="843">
      <c r="A843" s="114"/>
      <c r="B843" s="114"/>
      <c r="C843" s="123"/>
      <c r="D843" s="114"/>
      <c r="E843" s="114"/>
    </row>
    <row r="844">
      <c r="A844" s="114"/>
      <c r="B844" s="114"/>
      <c r="C844" s="123"/>
      <c r="D844" s="114"/>
      <c r="E844" s="114"/>
    </row>
    <row r="845">
      <c r="A845" s="114"/>
      <c r="B845" s="114"/>
      <c r="C845" s="123"/>
      <c r="D845" s="114"/>
      <c r="E845" s="114"/>
    </row>
    <row r="846">
      <c r="A846" s="114"/>
      <c r="B846" s="114"/>
      <c r="C846" s="123"/>
      <c r="D846" s="114"/>
      <c r="E846" s="114"/>
    </row>
    <row r="847">
      <c r="A847" s="114"/>
      <c r="B847" s="114"/>
      <c r="C847" s="123"/>
      <c r="D847" s="114"/>
      <c r="E847" s="114"/>
    </row>
    <row r="848">
      <c r="A848" s="114"/>
      <c r="B848" s="114"/>
      <c r="C848" s="123"/>
      <c r="D848" s="114"/>
      <c r="E848" s="114"/>
    </row>
    <row r="849">
      <c r="A849" s="114"/>
      <c r="B849" s="114"/>
      <c r="C849" s="123"/>
      <c r="D849" s="114"/>
      <c r="E849" s="114"/>
    </row>
    <row r="850">
      <c r="A850" s="114"/>
      <c r="B850" s="114"/>
      <c r="C850" s="123"/>
      <c r="D850" s="114"/>
      <c r="E850" s="114"/>
    </row>
    <row r="851">
      <c r="A851" s="114"/>
      <c r="B851" s="114"/>
      <c r="C851" s="123"/>
      <c r="D851" s="114"/>
      <c r="E851" s="114"/>
    </row>
    <row r="852">
      <c r="A852" s="114"/>
      <c r="B852" s="114"/>
      <c r="C852" s="123"/>
      <c r="D852" s="114"/>
      <c r="E852" s="114"/>
    </row>
    <row r="853">
      <c r="A853" s="114"/>
      <c r="B853" s="114"/>
      <c r="C853" s="123"/>
      <c r="D853" s="114"/>
      <c r="E853" s="114"/>
    </row>
    <row r="854">
      <c r="A854" s="114"/>
      <c r="B854" s="114"/>
      <c r="C854" s="123"/>
      <c r="D854" s="114"/>
      <c r="E854" s="114"/>
    </row>
    <row r="855">
      <c r="A855" s="114"/>
      <c r="B855" s="114"/>
      <c r="C855" s="123"/>
      <c r="D855" s="114"/>
      <c r="E855" s="114"/>
    </row>
    <row r="856">
      <c r="A856" s="114"/>
      <c r="B856" s="114"/>
      <c r="C856" s="123"/>
      <c r="D856" s="114"/>
      <c r="E856" s="114"/>
    </row>
    <row r="857">
      <c r="A857" s="114"/>
      <c r="B857" s="114"/>
      <c r="C857" s="123"/>
      <c r="D857" s="114"/>
      <c r="E857" s="114"/>
    </row>
    <row r="858">
      <c r="A858" s="114"/>
      <c r="B858" s="114"/>
      <c r="C858" s="123"/>
      <c r="D858" s="114"/>
      <c r="E858" s="114"/>
    </row>
    <row r="859">
      <c r="A859" s="114"/>
      <c r="B859" s="114"/>
      <c r="C859" s="123"/>
      <c r="D859" s="114"/>
      <c r="E859" s="114"/>
    </row>
    <row r="860">
      <c r="A860" s="114"/>
      <c r="B860" s="114"/>
      <c r="C860" s="123"/>
      <c r="D860" s="114"/>
      <c r="E860" s="114"/>
    </row>
    <row r="861">
      <c r="A861" s="114"/>
      <c r="B861" s="114"/>
      <c r="C861" s="123"/>
      <c r="D861" s="114"/>
      <c r="E861" s="114"/>
    </row>
    <row r="862">
      <c r="A862" s="114"/>
      <c r="B862" s="114"/>
      <c r="C862" s="123"/>
      <c r="D862" s="114"/>
      <c r="E862" s="114"/>
    </row>
    <row r="863">
      <c r="A863" s="114"/>
      <c r="B863" s="114"/>
      <c r="C863" s="123"/>
      <c r="D863" s="114"/>
      <c r="E863" s="114"/>
    </row>
    <row r="864">
      <c r="A864" s="114"/>
      <c r="B864" s="114"/>
      <c r="C864" s="123"/>
      <c r="D864" s="114"/>
      <c r="E864" s="114"/>
    </row>
    <row r="865">
      <c r="A865" s="114"/>
      <c r="B865" s="114"/>
      <c r="C865" s="123"/>
      <c r="D865" s="114"/>
      <c r="E865" s="114"/>
    </row>
    <row r="866">
      <c r="A866" s="114"/>
      <c r="B866" s="114"/>
      <c r="C866" s="123"/>
      <c r="D866" s="114"/>
      <c r="E866" s="114"/>
    </row>
    <row r="867">
      <c r="A867" s="114"/>
      <c r="B867" s="114"/>
      <c r="C867" s="123"/>
      <c r="D867" s="114"/>
      <c r="E867" s="114"/>
    </row>
    <row r="868">
      <c r="A868" s="114"/>
      <c r="B868" s="114"/>
      <c r="C868" s="123"/>
      <c r="D868" s="114"/>
      <c r="E868" s="114"/>
    </row>
    <row r="869">
      <c r="A869" s="114"/>
      <c r="B869" s="114"/>
      <c r="C869" s="123"/>
      <c r="D869" s="114"/>
      <c r="E869" s="114"/>
    </row>
    <row r="870">
      <c r="A870" s="114"/>
      <c r="B870" s="114"/>
      <c r="C870" s="123"/>
      <c r="D870" s="114"/>
      <c r="E870" s="114"/>
    </row>
    <row r="871">
      <c r="A871" s="114"/>
      <c r="B871" s="114"/>
      <c r="C871" s="123"/>
      <c r="D871" s="114"/>
      <c r="E871" s="114"/>
    </row>
    <row r="872">
      <c r="A872" s="114"/>
      <c r="B872" s="114"/>
      <c r="C872" s="123"/>
      <c r="D872" s="114"/>
      <c r="E872" s="114"/>
    </row>
    <row r="873">
      <c r="A873" s="114"/>
      <c r="B873" s="114"/>
      <c r="C873" s="123"/>
      <c r="D873" s="114"/>
      <c r="E873" s="114"/>
    </row>
    <row r="874">
      <c r="A874" s="114"/>
      <c r="B874" s="114"/>
      <c r="C874" s="123"/>
      <c r="D874" s="114"/>
      <c r="E874" s="114"/>
    </row>
    <row r="875">
      <c r="A875" s="114"/>
      <c r="B875" s="114"/>
      <c r="C875" s="123"/>
      <c r="D875" s="114"/>
      <c r="E875" s="114"/>
    </row>
    <row r="876">
      <c r="A876" s="114"/>
      <c r="B876" s="114"/>
      <c r="C876" s="123"/>
      <c r="D876" s="114"/>
      <c r="E876" s="114"/>
    </row>
    <row r="877">
      <c r="A877" s="114"/>
      <c r="B877" s="114"/>
      <c r="C877" s="123"/>
      <c r="D877" s="114"/>
      <c r="E877" s="114"/>
    </row>
    <row r="878">
      <c r="A878" s="114"/>
      <c r="B878" s="114"/>
      <c r="C878" s="123"/>
      <c r="D878" s="114"/>
      <c r="E878" s="114"/>
    </row>
    <row r="879">
      <c r="A879" s="114"/>
      <c r="B879" s="114"/>
      <c r="C879" s="123"/>
      <c r="D879" s="114"/>
      <c r="E879" s="114"/>
    </row>
    <row r="880">
      <c r="A880" s="114"/>
      <c r="B880" s="114"/>
      <c r="C880" s="123"/>
      <c r="D880" s="114"/>
      <c r="E880" s="114"/>
    </row>
    <row r="881">
      <c r="A881" s="114"/>
      <c r="B881" s="114"/>
      <c r="C881" s="123"/>
      <c r="D881" s="114"/>
      <c r="E881" s="114"/>
    </row>
    <row r="882">
      <c r="A882" s="114"/>
      <c r="B882" s="114"/>
      <c r="C882" s="123"/>
      <c r="D882" s="114"/>
      <c r="E882" s="114"/>
    </row>
    <row r="883">
      <c r="A883" s="114"/>
      <c r="B883" s="114"/>
      <c r="C883" s="123"/>
      <c r="D883" s="114"/>
      <c r="E883" s="114"/>
    </row>
    <row r="884">
      <c r="A884" s="114"/>
      <c r="B884" s="114"/>
      <c r="C884" s="123"/>
      <c r="D884" s="114"/>
      <c r="E884" s="114"/>
    </row>
    <row r="885">
      <c r="A885" s="114"/>
      <c r="B885" s="114"/>
      <c r="C885" s="123"/>
      <c r="D885" s="114"/>
      <c r="E885" s="114"/>
    </row>
    <row r="886">
      <c r="A886" s="114"/>
      <c r="B886" s="114"/>
      <c r="C886" s="123"/>
      <c r="D886" s="114"/>
      <c r="E886" s="114"/>
    </row>
    <row r="887">
      <c r="A887" s="114"/>
      <c r="B887" s="114"/>
      <c r="C887" s="123"/>
      <c r="D887" s="114"/>
      <c r="E887" s="114"/>
    </row>
    <row r="888">
      <c r="A888" s="114"/>
      <c r="B888" s="114"/>
      <c r="C888" s="123"/>
      <c r="D888" s="114"/>
      <c r="E888" s="114"/>
    </row>
    <row r="889">
      <c r="A889" s="114"/>
      <c r="B889" s="114"/>
      <c r="C889" s="123"/>
      <c r="D889" s="114"/>
      <c r="E889" s="114"/>
    </row>
    <row r="890">
      <c r="A890" s="114"/>
      <c r="B890" s="114"/>
      <c r="C890" s="123"/>
      <c r="D890" s="114"/>
      <c r="E890" s="114"/>
    </row>
    <row r="891">
      <c r="A891" s="114"/>
      <c r="B891" s="114"/>
      <c r="C891" s="123"/>
      <c r="D891" s="114"/>
      <c r="E891" s="114"/>
    </row>
    <row r="892">
      <c r="A892" s="114"/>
      <c r="B892" s="114"/>
      <c r="C892" s="123"/>
      <c r="D892" s="114"/>
      <c r="E892" s="114"/>
    </row>
    <row r="893">
      <c r="A893" s="114"/>
      <c r="B893" s="114"/>
      <c r="C893" s="123"/>
      <c r="D893" s="114"/>
      <c r="E893" s="114"/>
    </row>
    <row r="894">
      <c r="A894" s="114"/>
      <c r="B894" s="114"/>
      <c r="C894" s="123"/>
      <c r="D894" s="114"/>
      <c r="E894" s="114"/>
    </row>
    <row r="895">
      <c r="A895" s="114"/>
      <c r="B895" s="114"/>
      <c r="C895" s="123"/>
      <c r="D895" s="114"/>
      <c r="E895" s="114"/>
    </row>
    <row r="896">
      <c r="A896" s="114"/>
      <c r="B896" s="114"/>
      <c r="C896" s="123"/>
      <c r="D896" s="114"/>
      <c r="E896" s="114"/>
    </row>
    <row r="897">
      <c r="A897" s="114"/>
      <c r="B897" s="114"/>
      <c r="C897" s="123"/>
      <c r="D897" s="114"/>
      <c r="E897" s="114"/>
    </row>
    <row r="898">
      <c r="A898" s="114"/>
      <c r="B898" s="114"/>
      <c r="C898" s="123"/>
      <c r="D898" s="114"/>
      <c r="E898" s="114"/>
    </row>
    <row r="899">
      <c r="A899" s="114"/>
      <c r="B899" s="114"/>
      <c r="C899" s="123"/>
      <c r="D899" s="114"/>
      <c r="E899" s="114"/>
    </row>
    <row r="900">
      <c r="A900" s="114"/>
      <c r="B900" s="114"/>
      <c r="C900" s="123"/>
      <c r="D900" s="114"/>
      <c r="E900" s="114"/>
    </row>
    <row r="901">
      <c r="A901" s="114"/>
      <c r="B901" s="114"/>
      <c r="C901" s="123"/>
      <c r="D901" s="114"/>
      <c r="E901" s="114"/>
    </row>
    <row r="902">
      <c r="A902" s="114"/>
      <c r="B902" s="114"/>
      <c r="C902" s="123"/>
      <c r="D902" s="114"/>
      <c r="E902" s="114"/>
    </row>
    <row r="903">
      <c r="A903" s="114"/>
      <c r="B903" s="114"/>
      <c r="C903" s="123"/>
      <c r="D903" s="114"/>
      <c r="E903" s="114"/>
    </row>
    <row r="904">
      <c r="A904" s="114"/>
      <c r="B904" s="114"/>
      <c r="C904" s="123"/>
      <c r="D904" s="114"/>
      <c r="E904" s="114"/>
    </row>
    <row r="905">
      <c r="A905" s="114"/>
      <c r="B905" s="114"/>
      <c r="C905" s="123"/>
      <c r="D905" s="114"/>
      <c r="E905" s="114"/>
    </row>
    <row r="906">
      <c r="A906" s="114"/>
      <c r="B906" s="114"/>
      <c r="C906" s="123"/>
      <c r="D906" s="114"/>
      <c r="E906" s="114"/>
    </row>
    <row r="907">
      <c r="A907" s="114"/>
      <c r="B907" s="114"/>
      <c r="C907" s="123"/>
      <c r="D907" s="114"/>
      <c r="E907" s="114"/>
    </row>
    <row r="908">
      <c r="A908" s="114"/>
      <c r="B908" s="114"/>
      <c r="C908" s="123"/>
      <c r="D908" s="114"/>
      <c r="E908" s="114"/>
    </row>
    <row r="909">
      <c r="A909" s="114"/>
      <c r="B909" s="114"/>
      <c r="C909" s="123"/>
      <c r="D909" s="114"/>
      <c r="E909" s="114"/>
    </row>
    <row r="910">
      <c r="A910" s="114"/>
      <c r="B910" s="114"/>
      <c r="C910" s="123"/>
      <c r="D910" s="114"/>
      <c r="E910" s="114"/>
    </row>
    <row r="911">
      <c r="A911" s="114"/>
      <c r="B911" s="114"/>
      <c r="C911" s="123"/>
      <c r="D911" s="114"/>
      <c r="E911" s="114"/>
    </row>
    <row r="912">
      <c r="A912" s="114"/>
      <c r="B912" s="114"/>
      <c r="C912" s="123"/>
      <c r="D912" s="114"/>
      <c r="E912" s="114"/>
    </row>
    <row r="913">
      <c r="A913" s="114"/>
      <c r="B913" s="114"/>
      <c r="C913" s="123"/>
      <c r="D913" s="114"/>
      <c r="E913" s="114"/>
    </row>
    <row r="914">
      <c r="A914" s="114"/>
      <c r="B914" s="114"/>
      <c r="C914" s="123"/>
      <c r="D914" s="114"/>
      <c r="E914" s="114"/>
    </row>
    <row r="915">
      <c r="A915" s="114"/>
      <c r="B915" s="114"/>
      <c r="C915" s="123"/>
      <c r="D915" s="114"/>
      <c r="E915" s="114"/>
    </row>
    <row r="916">
      <c r="A916" s="114"/>
      <c r="B916" s="114"/>
      <c r="C916" s="123"/>
      <c r="D916" s="114"/>
      <c r="E916" s="114"/>
    </row>
    <row r="917">
      <c r="A917" s="114"/>
      <c r="B917" s="114"/>
      <c r="C917" s="123"/>
      <c r="D917" s="114"/>
      <c r="E917" s="114"/>
    </row>
    <row r="918">
      <c r="A918" s="114"/>
      <c r="B918" s="114"/>
      <c r="C918" s="123"/>
      <c r="D918" s="114"/>
      <c r="E918" s="114"/>
    </row>
    <row r="919">
      <c r="A919" s="114"/>
      <c r="B919" s="114"/>
      <c r="C919" s="123"/>
      <c r="D919" s="114"/>
      <c r="E919" s="114"/>
    </row>
    <row r="920">
      <c r="A920" s="114"/>
      <c r="B920" s="114"/>
      <c r="C920" s="123"/>
      <c r="D920" s="114"/>
      <c r="E920" s="114"/>
    </row>
    <row r="921">
      <c r="A921" s="114"/>
      <c r="B921" s="114"/>
      <c r="C921" s="123"/>
      <c r="D921" s="114"/>
      <c r="E921" s="114"/>
    </row>
    <row r="922">
      <c r="A922" s="114"/>
      <c r="B922" s="114"/>
      <c r="C922" s="123"/>
      <c r="D922" s="114"/>
      <c r="E922" s="114"/>
    </row>
    <row r="923">
      <c r="A923" s="114"/>
      <c r="B923" s="114"/>
      <c r="C923" s="123"/>
      <c r="D923" s="114"/>
      <c r="E923" s="114"/>
    </row>
    <row r="924">
      <c r="A924" s="114"/>
      <c r="B924" s="114"/>
      <c r="C924" s="123"/>
      <c r="D924" s="114"/>
      <c r="E924" s="114"/>
    </row>
    <row r="925">
      <c r="A925" s="114"/>
      <c r="B925" s="114"/>
      <c r="C925" s="123"/>
      <c r="D925" s="114"/>
      <c r="E925" s="114"/>
    </row>
    <row r="926">
      <c r="A926" s="114"/>
      <c r="B926" s="114"/>
      <c r="C926" s="123"/>
      <c r="D926" s="114"/>
      <c r="E926" s="114"/>
    </row>
    <row r="927">
      <c r="A927" s="114"/>
      <c r="B927" s="114"/>
      <c r="C927" s="123"/>
      <c r="D927" s="114"/>
      <c r="E927" s="114"/>
    </row>
    <row r="928">
      <c r="A928" s="114"/>
      <c r="B928" s="114"/>
      <c r="C928" s="123"/>
      <c r="D928" s="114"/>
      <c r="E928" s="114"/>
    </row>
    <row r="929">
      <c r="A929" s="114"/>
      <c r="B929" s="114"/>
      <c r="C929" s="123"/>
      <c r="D929" s="114"/>
      <c r="E929" s="114"/>
    </row>
    <row r="930">
      <c r="A930" s="114"/>
      <c r="B930" s="114"/>
      <c r="C930" s="123"/>
      <c r="D930" s="114"/>
      <c r="E930" s="114"/>
    </row>
    <row r="931">
      <c r="A931" s="114"/>
      <c r="B931" s="114"/>
      <c r="C931" s="123"/>
      <c r="D931" s="114"/>
      <c r="E931" s="114"/>
    </row>
    <row r="932">
      <c r="A932" s="114"/>
      <c r="B932" s="114"/>
      <c r="C932" s="123"/>
      <c r="D932" s="114"/>
      <c r="E932" s="114"/>
    </row>
    <row r="933">
      <c r="A933" s="114"/>
      <c r="B933" s="114"/>
      <c r="C933" s="123"/>
      <c r="D933" s="114"/>
      <c r="E933" s="114"/>
    </row>
    <row r="934">
      <c r="A934" s="114"/>
      <c r="B934" s="114"/>
      <c r="C934" s="123"/>
      <c r="D934" s="114"/>
      <c r="E934" s="114"/>
    </row>
    <row r="935">
      <c r="A935" s="114"/>
      <c r="B935" s="114"/>
      <c r="C935" s="123"/>
      <c r="D935" s="114"/>
      <c r="E935" s="114"/>
    </row>
    <row r="936">
      <c r="A936" s="114"/>
      <c r="B936" s="114"/>
      <c r="C936" s="123"/>
      <c r="D936" s="114"/>
      <c r="E936" s="114"/>
    </row>
    <row r="937">
      <c r="A937" s="114"/>
      <c r="B937" s="114"/>
      <c r="C937" s="123"/>
      <c r="D937" s="114"/>
      <c r="E937" s="114"/>
    </row>
    <row r="938">
      <c r="A938" s="114"/>
      <c r="B938" s="114"/>
      <c r="C938" s="123"/>
      <c r="D938" s="114"/>
      <c r="E938" s="114"/>
    </row>
    <row r="939">
      <c r="A939" s="114"/>
      <c r="B939" s="114"/>
      <c r="C939" s="123"/>
      <c r="D939" s="114"/>
      <c r="E939" s="114"/>
    </row>
    <row r="940">
      <c r="A940" s="114"/>
      <c r="B940" s="114"/>
      <c r="C940" s="123"/>
      <c r="D940" s="114"/>
      <c r="E940" s="114"/>
    </row>
    <row r="941">
      <c r="A941" s="114"/>
      <c r="B941" s="114"/>
      <c r="C941" s="123"/>
      <c r="D941" s="114"/>
      <c r="E941" s="114"/>
    </row>
    <row r="942">
      <c r="A942" s="114"/>
      <c r="B942" s="114"/>
      <c r="C942" s="123"/>
      <c r="D942" s="114"/>
      <c r="E942" s="114"/>
    </row>
    <row r="943">
      <c r="A943" s="114"/>
      <c r="B943" s="114"/>
      <c r="C943" s="123"/>
      <c r="D943" s="114"/>
      <c r="E943" s="114"/>
    </row>
    <row r="944">
      <c r="A944" s="114"/>
      <c r="B944" s="114"/>
      <c r="C944" s="123"/>
      <c r="D944" s="114"/>
      <c r="E944" s="114"/>
    </row>
    <row r="945">
      <c r="A945" s="114"/>
      <c r="B945" s="114"/>
      <c r="C945" s="123"/>
      <c r="D945" s="114"/>
      <c r="E945" s="114"/>
    </row>
    <row r="946">
      <c r="A946" s="114"/>
      <c r="B946" s="114"/>
      <c r="C946" s="123"/>
      <c r="D946" s="114"/>
      <c r="E946" s="114"/>
    </row>
    <row r="947">
      <c r="A947" s="114"/>
      <c r="B947" s="114"/>
      <c r="C947" s="123"/>
      <c r="D947" s="114"/>
      <c r="E947" s="114"/>
    </row>
    <row r="948">
      <c r="A948" s="114"/>
      <c r="B948" s="114"/>
      <c r="C948" s="123"/>
      <c r="D948" s="114"/>
      <c r="E948" s="114"/>
    </row>
    <row r="949">
      <c r="A949" s="114"/>
      <c r="B949" s="114"/>
      <c r="C949" s="123"/>
      <c r="D949" s="114"/>
      <c r="E949" s="114"/>
    </row>
    <row r="950">
      <c r="A950" s="114"/>
      <c r="B950" s="114"/>
      <c r="C950" s="123"/>
      <c r="D950" s="114"/>
      <c r="E950" s="114"/>
    </row>
    <row r="951">
      <c r="A951" s="114"/>
      <c r="B951" s="114"/>
      <c r="C951" s="123"/>
      <c r="D951" s="114"/>
      <c r="E951" s="114"/>
    </row>
    <row r="952">
      <c r="A952" s="114"/>
      <c r="B952" s="114"/>
      <c r="C952" s="123"/>
      <c r="D952" s="114"/>
      <c r="E952" s="114"/>
    </row>
    <row r="953">
      <c r="A953" s="114"/>
      <c r="B953" s="114"/>
      <c r="C953" s="123"/>
      <c r="D953" s="114"/>
      <c r="E953" s="114"/>
    </row>
    <row r="954">
      <c r="A954" s="114"/>
      <c r="B954" s="114"/>
      <c r="C954" s="123"/>
      <c r="D954" s="114"/>
      <c r="E954" s="114"/>
    </row>
    <row r="955">
      <c r="A955" s="114"/>
      <c r="B955" s="114"/>
      <c r="C955" s="123"/>
      <c r="D955" s="114"/>
      <c r="E955" s="114"/>
    </row>
    <row r="956">
      <c r="A956" s="114"/>
      <c r="B956" s="114"/>
      <c r="C956" s="123"/>
      <c r="D956" s="114"/>
      <c r="E956" s="114"/>
    </row>
    <row r="957">
      <c r="A957" s="114"/>
      <c r="B957" s="114"/>
      <c r="C957" s="123"/>
      <c r="D957" s="114"/>
      <c r="E957" s="114"/>
    </row>
    <row r="958">
      <c r="A958" s="114"/>
      <c r="B958" s="114"/>
      <c r="C958" s="123"/>
      <c r="D958" s="114"/>
      <c r="E958" s="114"/>
    </row>
    <row r="959">
      <c r="A959" s="114"/>
      <c r="B959" s="114"/>
      <c r="C959" s="123"/>
      <c r="D959" s="114"/>
      <c r="E959" s="114"/>
    </row>
    <row r="960">
      <c r="A960" s="114"/>
      <c r="B960" s="114"/>
      <c r="C960" s="123"/>
      <c r="D960" s="114"/>
      <c r="E960" s="114"/>
    </row>
    <row r="961">
      <c r="A961" s="114"/>
      <c r="B961" s="114"/>
      <c r="C961" s="123"/>
      <c r="D961" s="114"/>
      <c r="E961" s="114"/>
    </row>
    <row r="962">
      <c r="A962" s="114"/>
      <c r="B962" s="114"/>
      <c r="C962" s="123"/>
      <c r="D962" s="114"/>
      <c r="E962" s="114"/>
    </row>
    <row r="963">
      <c r="A963" s="114"/>
      <c r="B963" s="114"/>
      <c r="C963" s="123"/>
      <c r="D963" s="114"/>
      <c r="E963" s="114"/>
    </row>
    <row r="964">
      <c r="A964" s="114"/>
      <c r="B964" s="114"/>
      <c r="C964" s="123"/>
      <c r="D964" s="114"/>
      <c r="E964" s="114"/>
    </row>
    <row r="965">
      <c r="A965" s="114"/>
      <c r="B965" s="114"/>
      <c r="C965" s="123"/>
      <c r="D965" s="114"/>
      <c r="E965" s="114"/>
    </row>
    <row r="966">
      <c r="A966" s="114"/>
      <c r="B966" s="114"/>
      <c r="C966" s="123"/>
      <c r="D966" s="114"/>
      <c r="E966" s="114"/>
    </row>
    <row r="967">
      <c r="A967" s="114"/>
      <c r="B967" s="114"/>
      <c r="C967" s="123"/>
      <c r="D967" s="114"/>
      <c r="E967" s="114"/>
    </row>
    <row r="968">
      <c r="A968" s="114"/>
      <c r="B968" s="114"/>
      <c r="C968" s="123"/>
      <c r="D968" s="114"/>
      <c r="E968" s="114"/>
    </row>
    <row r="969">
      <c r="A969" s="114"/>
      <c r="B969" s="114"/>
      <c r="C969" s="123"/>
      <c r="D969" s="114"/>
      <c r="E969" s="114"/>
    </row>
    <row r="970">
      <c r="A970" s="114"/>
      <c r="B970" s="114"/>
      <c r="C970" s="123"/>
      <c r="D970" s="114"/>
      <c r="E970" s="114"/>
    </row>
    <row r="971">
      <c r="A971" s="114"/>
      <c r="B971" s="114"/>
      <c r="C971" s="123"/>
      <c r="D971" s="114"/>
      <c r="E971" s="114"/>
    </row>
    <row r="972">
      <c r="A972" s="114"/>
      <c r="B972" s="114"/>
      <c r="C972" s="123"/>
      <c r="D972" s="114"/>
      <c r="E972" s="114"/>
    </row>
    <row r="973">
      <c r="A973" s="114"/>
      <c r="B973" s="114"/>
      <c r="C973" s="123"/>
      <c r="D973" s="114"/>
      <c r="E973" s="114"/>
    </row>
    <row r="974">
      <c r="A974" s="114"/>
      <c r="B974" s="114"/>
      <c r="C974" s="123"/>
      <c r="D974" s="114"/>
      <c r="E974" s="114"/>
    </row>
    <row r="975">
      <c r="A975" s="114"/>
      <c r="B975" s="114"/>
      <c r="C975" s="123"/>
      <c r="D975" s="114"/>
      <c r="E975" s="114"/>
    </row>
    <row r="976">
      <c r="A976" s="114"/>
      <c r="B976" s="114"/>
      <c r="C976" s="123"/>
      <c r="D976" s="114"/>
      <c r="E976" s="114"/>
    </row>
    <row r="977">
      <c r="A977" s="114"/>
      <c r="B977" s="114"/>
      <c r="C977" s="123"/>
      <c r="D977" s="114"/>
      <c r="E977" s="114"/>
    </row>
    <row r="978">
      <c r="A978" s="114"/>
      <c r="B978" s="114"/>
      <c r="C978" s="123"/>
      <c r="D978" s="114"/>
      <c r="E978" s="114"/>
    </row>
    <row r="979">
      <c r="A979" s="114"/>
      <c r="B979" s="114"/>
      <c r="C979" s="123"/>
      <c r="D979" s="114"/>
      <c r="E979" s="114"/>
    </row>
    <row r="980">
      <c r="A980" s="114"/>
      <c r="B980" s="114"/>
      <c r="C980" s="123"/>
      <c r="D980" s="114"/>
      <c r="E980" s="114"/>
    </row>
    <row r="981">
      <c r="A981" s="114"/>
      <c r="B981" s="114"/>
      <c r="C981" s="123"/>
      <c r="D981" s="114"/>
      <c r="E981" s="114"/>
    </row>
    <row r="982">
      <c r="A982" s="114"/>
      <c r="B982" s="114"/>
      <c r="C982" s="123"/>
      <c r="D982" s="114"/>
      <c r="E982" s="114"/>
    </row>
    <row r="983">
      <c r="A983" s="114"/>
      <c r="B983" s="114"/>
      <c r="C983" s="123"/>
      <c r="D983" s="114"/>
      <c r="E983" s="114"/>
    </row>
    <row r="984">
      <c r="A984" s="114"/>
      <c r="B984" s="114"/>
      <c r="C984" s="123"/>
      <c r="D984" s="114"/>
      <c r="E984" s="114"/>
    </row>
    <row r="985">
      <c r="A985" s="114"/>
      <c r="B985" s="114"/>
      <c r="C985" s="123"/>
      <c r="D985" s="114"/>
      <c r="E985" s="114"/>
    </row>
    <row r="986">
      <c r="A986" s="114"/>
      <c r="B986" s="114"/>
      <c r="C986" s="123"/>
      <c r="D986" s="114"/>
      <c r="E986" s="114"/>
    </row>
    <row r="987">
      <c r="A987" s="114"/>
      <c r="B987" s="114"/>
      <c r="C987" s="123"/>
      <c r="D987" s="114"/>
      <c r="E987" s="114"/>
    </row>
    <row r="988">
      <c r="A988" s="114"/>
      <c r="B988" s="114"/>
      <c r="C988" s="123"/>
      <c r="D988" s="114"/>
      <c r="E988" s="114"/>
    </row>
    <row r="989">
      <c r="A989" s="114"/>
      <c r="B989" s="114"/>
      <c r="C989" s="123"/>
      <c r="D989" s="114"/>
      <c r="E989" s="114"/>
    </row>
    <row r="990">
      <c r="A990" s="114"/>
      <c r="B990" s="114"/>
      <c r="C990" s="123"/>
      <c r="D990" s="114"/>
      <c r="E990" s="114"/>
    </row>
    <row r="991">
      <c r="A991" s="114"/>
      <c r="B991" s="114"/>
      <c r="C991" s="123"/>
      <c r="D991" s="114"/>
      <c r="E991" s="114"/>
    </row>
    <row r="992">
      <c r="A992" s="114"/>
      <c r="B992" s="114"/>
      <c r="C992" s="123"/>
      <c r="D992" s="114"/>
      <c r="E992" s="114"/>
    </row>
    <row r="993">
      <c r="A993" s="114"/>
      <c r="B993" s="114"/>
      <c r="C993" s="123"/>
      <c r="D993" s="114"/>
      <c r="E993" s="114"/>
    </row>
    <row r="994">
      <c r="A994" s="114"/>
      <c r="B994" s="114"/>
      <c r="C994" s="123"/>
      <c r="D994" s="114"/>
      <c r="E994" s="114"/>
    </row>
    <row r="995">
      <c r="A995" s="114"/>
      <c r="B995" s="114"/>
      <c r="C995" s="123"/>
      <c r="D995" s="114"/>
      <c r="E995" s="114"/>
    </row>
    <row r="996">
      <c r="A996" s="114"/>
      <c r="B996" s="114"/>
      <c r="C996" s="123"/>
      <c r="D996" s="114"/>
      <c r="E996" s="114"/>
    </row>
    <row r="997">
      <c r="A997" s="114"/>
      <c r="B997" s="114"/>
      <c r="C997" s="123"/>
      <c r="D997" s="114"/>
      <c r="E997" s="114"/>
    </row>
    <row r="998">
      <c r="A998" s="114"/>
      <c r="B998" s="114"/>
      <c r="C998" s="123"/>
      <c r="D998" s="114"/>
      <c r="E998" s="114"/>
    </row>
    <row r="999">
      <c r="A999" s="114"/>
      <c r="B999" s="114"/>
      <c r="C999" s="123"/>
      <c r="D999" s="114"/>
      <c r="E999" s="114"/>
    </row>
    <row r="1000">
      <c r="A1000" s="114"/>
      <c r="B1000" s="114"/>
      <c r="C1000" s="123"/>
      <c r="D1000" s="114"/>
      <c r="E1000" s="114"/>
    </row>
  </sheetData>
  <autoFilter ref="$A$1:$E$10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75"/>
    <col customWidth="1" min="2" max="2" width="27.5"/>
    <col customWidth="1" min="3" max="3" width="11.75"/>
    <col customWidth="1" min="4" max="4" width="25.5"/>
    <col customWidth="1" min="5" max="5" width="8.13"/>
    <col customWidth="1" min="6" max="6" width="13.0"/>
    <col customWidth="1" min="7" max="7" width="13.38"/>
    <col customWidth="1" min="8" max="8" width="13.63"/>
    <col customWidth="1" min="9" max="9" width="11.0"/>
    <col customWidth="1" min="10" max="11" width="8.38"/>
    <col customWidth="1" min="12" max="12" width="11.13"/>
    <col customWidth="1" min="13" max="13" width="9.38"/>
    <col customWidth="1" min="14" max="14" width="16.5"/>
    <col customWidth="1" min="15" max="15" width="17.63"/>
    <col customWidth="1" min="16" max="16" width="11.5"/>
    <col customWidth="1" min="17" max="17" width="11.38"/>
    <col customWidth="1" min="18" max="18" width="11.88"/>
    <col customWidth="1" min="19" max="19" width="8.63"/>
  </cols>
  <sheetData>
    <row r="1">
      <c r="A1" s="125" t="s">
        <v>5596</v>
      </c>
      <c r="B1" s="125" t="s">
        <v>5597</v>
      </c>
      <c r="C1" s="126" t="s">
        <v>5598</v>
      </c>
      <c r="D1" s="125" t="s">
        <v>5599</v>
      </c>
      <c r="E1" s="127" t="s">
        <v>5600</v>
      </c>
      <c r="F1" s="127" t="s">
        <v>5601</v>
      </c>
      <c r="G1" s="127" t="s">
        <v>5602</v>
      </c>
      <c r="H1" s="127" t="s">
        <v>5603</v>
      </c>
      <c r="I1" s="127" t="s">
        <v>5604</v>
      </c>
      <c r="J1" s="125" t="s">
        <v>5605</v>
      </c>
      <c r="K1" s="128" t="s">
        <v>5606</v>
      </c>
      <c r="L1" s="128" t="s">
        <v>5607</v>
      </c>
      <c r="M1" s="128" t="s">
        <v>5608</v>
      </c>
      <c r="N1" s="125" t="s">
        <v>5609</v>
      </c>
      <c r="O1" s="125" t="s">
        <v>5610</v>
      </c>
      <c r="P1" s="125" t="s">
        <v>3841</v>
      </c>
      <c r="Q1" s="125" t="s">
        <v>5611</v>
      </c>
      <c r="R1" s="125" t="s">
        <v>5612</v>
      </c>
      <c r="S1" s="125" t="s">
        <v>3843</v>
      </c>
    </row>
    <row r="2">
      <c r="A2" s="129" t="s">
        <v>667</v>
      </c>
      <c r="B2" s="129" t="s">
        <v>668</v>
      </c>
      <c r="C2" s="130" t="s">
        <v>5613</v>
      </c>
      <c r="D2" s="129" t="s">
        <v>5614</v>
      </c>
      <c r="E2" s="129" t="s">
        <v>5614</v>
      </c>
      <c r="F2" s="129" t="s">
        <v>3851</v>
      </c>
      <c r="G2" s="129" t="s">
        <v>5615</v>
      </c>
      <c r="H2" s="129" t="s">
        <v>5614</v>
      </c>
      <c r="I2" s="129" t="s">
        <v>5616</v>
      </c>
      <c r="J2" s="129" t="s">
        <v>5614</v>
      </c>
      <c r="K2" s="131" t="s">
        <v>5616</v>
      </c>
      <c r="L2" s="131" t="s">
        <v>5616</v>
      </c>
      <c r="M2" s="131" t="s">
        <v>5616</v>
      </c>
      <c r="N2" s="132" t="s">
        <v>5616</v>
      </c>
      <c r="O2" s="132" t="s">
        <v>5616</v>
      </c>
      <c r="P2" s="129" t="s">
        <v>5614</v>
      </c>
      <c r="Q2" s="132" t="s">
        <v>5616</v>
      </c>
      <c r="R2" s="129" t="s">
        <v>5616</v>
      </c>
      <c r="S2" s="132" t="s">
        <v>5616</v>
      </c>
    </row>
    <row r="3">
      <c r="A3" s="129" t="s">
        <v>297</v>
      </c>
      <c r="B3" s="129" t="s">
        <v>298</v>
      </c>
      <c r="C3" s="130" t="s">
        <v>5617</v>
      </c>
      <c r="D3" s="129" t="s">
        <v>5614</v>
      </c>
      <c r="E3" s="129" t="s">
        <v>5614</v>
      </c>
      <c r="F3" s="129" t="s">
        <v>3851</v>
      </c>
      <c r="G3" s="129" t="s">
        <v>5614</v>
      </c>
      <c r="H3" s="129" t="s">
        <v>5614</v>
      </c>
      <c r="I3" s="129" t="s">
        <v>5614</v>
      </c>
      <c r="J3" s="129" t="s">
        <v>5614</v>
      </c>
      <c r="K3" s="131" t="s">
        <v>5616</v>
      </c>
      <c r="L3" s="131" t="s">
        <v>5616</v>
      </c>
      <c r="M3" s="131" t="s">
        <v>5616</v>
      </c>
      <c r="N3" s="132" t="s">
        <v>5616</v>
      </c>
      <c r="O3" s="132" t="s">
        <v>5616</v>
      </c>
      <c r="P3" s="129" t="s">
        <v>5614</v>
      </c>
      <c r="Q3" s="132" t="s">
        <v>5616</v>
      </c>
      <c r="R3" s="129" t="s">
        <v>5616</v>
      </c>
      <c r="S3" s="132" t="s">
        <v>5616</v>
      </c>
    </row>
    <row r="4">
      <c r="A4" s="129" t="s">
        <v>519</v>
      </c>
      <c r="B4" s="129" t="s">
        <v>3860</v>
      </c>
      <c r="C4" s="130" t="s">
        <v>5617</v>
      </c>
      <c r="D4" s="129" t="s">
        <v>5614</v>
      </c>
      <c r="E4" s="129" t="s">
        <v>5614</v>
      </c>
      <c r="F4" s="129" t="s">
        <v>3851</v>
      </c>
      <c r="G4" s="129" t="s">
        <v>5614</v>
      </c>
      <c r="H4" s="129" t="s">
        <v>5614</v>
      </c>
      <c r="I4" s="129" t="s">
        <v>5616</v>
      </c>
      <c r="J4" s="129" t="s">
        <v>5614</v>
      </c>
      <c r="K4" s="131" t="s">
        <v>5616</v>
      </c>
      <c r="L4" s="131" t="s">
        <v>5616</v>
      </c>
      <c r="M4" s="131" t="s">
        <v>5616</v>
      </c>
      <c r="N4" s="132" t="s">
        <v>5616</v>
      </c>
      <c r="O4" s="129" t="s">
        <v>5614</v>
      </c>
      <c r="P4" s="129" t="s">
        <v>5614</v>
      </c>
      <c r="Q4" s="132" t="s">
        <v>5616</v>
      </c>
      <c r="R4" s="129" t="s">
        <v>5616</v>
      </c>
      <c r="S4" s="132" t="s">
        <v>5616</v>
      </c>
    </row>
    <row r="5">
      <c r="A5" s="129" t="s">
        <v>241</v>
      </c>
      <c r="B5" s="129" t="s">
        <v>3861</v>
      </c>
      <c r="C5" s="130" t="s">
        <v>5618</v>
      </c>
      <c r="D5" s="129" t="s">
        <v>5614</v>
      </c>
      <c r="E5" s="129" t="s">
        <v>5614</v>
      </c>
      <c r="F5" s="129" t="s">
        <v>3851</v>
      </c>
      <c r="G5" s="129" t="s">
        <v>5614</v>
      </c>
      <c r="H5" s="129" t="s">
        <v>5614</v>
      </c>
      <c r="I5" s="129" t="s">
        <v>5616</v>
      </c>
      <c r="J5" s="129" t="s">
        <v>5614</v>
      </c>
      <c r="K5" s="131" t="s">
        <v>5616</v>
      </c>
      <c r="L5" s="131" t="s">
        <v>5616</v>
      </c>
      <c r="M5" s="131" t="s">
        <v>5616</v>
      </c>
      <c r="N5" s="129" t="s">
        <v>5614</v>
      </c>
      <c r="O5" s="132" t="s">
        <v>5616</v>
      </c>
      <c r="P5" s="129" t="s">
        <v>5614</v>
      </c>
      <c r="Q5" s="132" t="s">
        <v>5616</v>
      </c>
      <c r="R5" s="129" t="s">
        <v>5616</v>
      </c>
      <c r="S5" s="132" t="s">
        <v>5616</v>
      </c>
    </row>
    <row r="6">
      <c r="A6" s="129" t="s">
        <v>3862</v>
      </c>
      <c r="B6" s="129" t="s">
        <v>3863</v>
      </c>
      <c r="C6" s="130" t="s">
        <v>5618</v>
      </c>
      <c r="D6" s="129" t="s">
        <v>5614</v>
      </c>
      <c r="E6" s="129" t="s">
        <v>5614</v>
      </c>
      <c r="F6" s="129" t="s">
        <v>3851</v>
      </c>
      <c r="G6" s="129" t="s">
        <v>5616</v>
      </c>
      <c r="H6" s="129" t="s">
        <v>5614</v>
      </c>
      <c r="I6" s="129" t="s">
        <v>5616</v>
      </c>
      <c r="J6" s="129" t="s">
        <v>5614</v>
      </c>
      <c r="K6" s="131" t="s">
        <v>5616</v>
      </c>
      <c r="L6" s="131" t="s">
        <v>5616</v>
      </c>
      <c r="M6" s="131" t="s">
        <v>5616</v>
      </c>
      <c r="N6" s="129" t="s">
        <v>5614</v>
      </c>
      <c r="O6" s="129" t="s">
        <v>5614</v>
      </c>
      <c r="P6" s="129" t="s">
        <v>5619</v>
      </c>
      <c r="Q6" s="132" t="s">
        <v>5616</v>
      </c>
      <c r="R6" s="129" t="s">
        <v>5616</v>
      </c>
      <c r="S6" s="132" t="s">
        <v>5616</v>
      </c>
    </row>
    <row r="7">
      <c r="A7" s="129" t="s">
        <v>863</v>
      </c>
      <c r="B7" s="129" t="s">
        <v>864</v>
      </c>
      <c r="C7" s="130">
        <v>45635.0</v>
      </c>
      <c r="D7" s="129" t="s">
        <v>5614</v>
      </c>
      <c r="E7" s="129" t="s">
        <v>5614</v>
      </c>
      <c r="F7" s="129" t="s">
        <v>3851</v>
      </c>
      <c r="G7" s="129" t="s">
        <v>5616</v>
      </c>
      <c r="H7" s="129" t="s">
        <v>5614</v>
      </c>
      <c r="I7" s="129" t="s">
        <v>5616</v>
      </c>
      <c r="J7" s="129" t="s">
        <v>5614</v>
      </c>
      <c r="K7" s="131" t="s">
        <v>5616</v>
      </c>
      <c r="L7" s="131" t="s">
        <v>5616</v>
      </c>
      <c r="M7" s="131" t="s">
        <v>5616</v>
      </c>
      <c r="N7" s="132" t="s">
        <v>5616</v>
      </c>
      <c r="O7" s="129" t="s">
        <v>5614</v>
      </c>
      <c r="P7" s="133" t="s">
        <v>5616</v>
      </c>
      <c r="Q7" s="132" t="s">
        <v>5616</v>
      </c>
      <c r="R7" s="129" t="s">
        <v>5614</v>
      </c>
      <c r="S7" s="132" t="s">
        <v>5616</v>
      </c>
    </row>
    <row r="8">
      <c r="A8" s="129" t="s">
        <v>827</v>
      </c>
      <c r="B8" s="129" t="s">
        <v>828</v>
      </c>
      <c r="C8" s="130">
        <v>45392.0</v>
      </c>
      <c r="D8" s="129" t="s">
        <v>5614</v>
      </c>
      <c r="E8" s="129" t="s">
        <v>5614</v>
      </c>
      <c r="F8" s="129" t="s">
        <v>3851</v>
      </c>
      <c r="G8" s="129" t="s">
        <v>5614</v>
      </c>
      <c r="H8" s="129" t="s">
        <v>5614</v>
      </c>
      <c r="I8" s="129" t="s">
        <v>5616</v>
      </c>
      <c r="J8" s="129" t="s">
        <v>5614</v>
      </c>
      <c r="K8" s="131" t="s">
        <v>5616</v>
      </c>
      <c r="L8" s="131" t="s">
        <v>5616</v>
      </c>
      <c r="M8" s="131" t="s">
        <v>5616</v>
      </c>
      <c r="N8" s="129" t="s">
        <v>5614</v>
      </c>
      <c r="O8" s="129" t="s">
        <v>5614</v>
      </c>
      <c r="P8" s="129" t="s">
        <v>5614</v>
      </c>
      <c r="Q8" s="132" t="s">
        <v>5616</v>
      </c>
      <c r="R8" s="129" t="s">
        <v>5614</v>
      </c>
      <c r="S8" s="132" t="s">
        <v>5616</v>
      </c>
    </row>
    <row r="9">
      <c r="A9" s="129" t="s">
        <v>313</v>
      </c>
      <c r="B9" s="129" t="s">
        <v>314</v>
      </c>
      <c r="C9" s="130">
        <v>45606.0</v>
      </c>
      <c r="D9" s="129" t="s">
        <v>5614</v>
      </c>
      <c r="E9" s="129" t="s">
        <v>5614</v>
      </c>
      <c r="F9" s="129" t="s">
        <v>3851</v>
      </c>
      <c r="G9" s="129" t="s">
        <v>5614</v>
      </c>
      <c r="H9" s="129" t="s">
        <v>5614</v>
      </c>
      <c r="I9" s="129" t="s">
        <v>5614</v>
      </c>
      <c r="J9" s="129" t="s">
        <v>5614</v>
      </c>
      <c r="K9" s="131" t="s">
        <v>5616</v>
      </c>
      <c r="L9" s="131" t="s">
        <v>5616</v>
      </c>
      <c r="M9" s="131" t="s">
        <v>5616</v>
      </c>
      <c r="N9" s="132" t="s">
        <v>5616</v>
      </c>
      <c r="O9" s="132" t="s">
        <v>5616</v>
      </c>
      <c r="P9" s="133" t="s">
        <v>5616</v>
      </c>
      <c r="Q9" s="132" t="s">
        <v>5616</v>
      </c>
      <c r="R9" s="129" t="s">
        <v>5616</v>
      </c>
      <c r="S9" s="132" t="s">
        <v>5616</v>
      </c>
    </row>
    <row r="10">
      <c r="A10" s="129" t="s">
        <v>3866</v>
      </c>
      <c r="B10" s="129" t="s">
        <v>895</v>
      </c>
      <c r="C10" s="130" t="s">
        <v>5620</v>
      </c>
      <c r="D10" s="129" t="s">
        <v>5614</v>
      </c>
      <c r="E10" s="129" t="s">
        <v>5614</v>
      </c>
      <c r="F10" s="129" t="s">
        <v>3851</v>
      </c>
      <c r="G10" s="129" t="s">
        <v>5616</v>
      </c>
      <c r="H10" s="129" t="s">
        <v>5614</v>
      </c>
      <c r="I10" s="129" t="s">
        <v>5616</v>
      </c>
      <c r="J10" s="129" t="s">
        <v>5614</v>
      </c>
      <c r="K10" s="131" t="s">
        <v>5616</v>
      </c>
      <c r="L10" s="131" t="s">
        <v>5616</v>
      </c>
      <c r="M10" s="131" t="s">
        <v>5616</v>
      </c>
      <c r="N10" s="129" t="s">
        <v>5614</v>
      </c>
      <c r="O10" s="129" t="s">
        <v>5614</v>
      </c>
      <c r="P10" s="129" t="s">
        <v>5614</v>
      </c>
      <c r="Q10" s="129" t="s">
        <v>5614</v>
      </c>
      <c r="R10" s="129" t="s">
        <v>5614</v>
      </c>
      <c r="S10" s="132" t="s">
        <v>5616</v>
      </c>
    </row>
    <row r="11">
      <c r="A11" s="129" t="s">
        <v>3867</v>
      </c>
      <c r="B11" s="129" t="s">
        <v>1665</v>
      </c>
      <c r="C11" s="130" t="s">
        <v>5620</v>
      </c>
      <c r="D11" s="129" t="s">
        <v>5614</v>
      </c>
      <c r="E11" s="129" t="s">
        <v>5614</v>
      </c>
      <c r="F11" s="129" t="s">
        <v>3851</v>
      </c>
      <c r="G11" s="129" t="s">
        <v>5614</v>
      </c>
      <c r="H11" s="129" t="s">
        <v>5614</v>
      </c>
      <c r="I11" s="129" t="s">
        <v>5616</v>
      </c>
      <c r="J11" s="129" t="s">
        <v>5616</v>
      </c>
      <c r="K11" s="131" t="s">
        <v>5616</v>
      </c>
      <c r="L11" s="131" t="s">
        <v>5616</v>
      </c>
      <c r="M11" s="131" t="s">
        <v>5616</v>
      </c>
      <c r="N11" s="132" t="s">
        <v>5616</v>
      </c>
      <c r="O11" s="132" t="s">
        <v>5616</v>
      </c>
      <c r="P11" s="133" t="s">
        <v>5616</v>
      </c>
      <c r="Q11" s="132" t="s">
        <v>5616</v>
      </c>
      <c r="R11" s="129" t="s">
        <v>5616</v>
      </c>
      <c r="S11" s="129" t="s">
        <v>5614</v>
      </c>
    </row>
    <row r="12">
      <c r="A12" s="134" t="s">
        <v>3868</v>
      </c>
      <c r="B12" s="129" t="s">
        <v>604</v>
      </c>
      <c r="C12" s="130" t="s">
        <v>5621</v>
      </c>
      <c r="D12" s="129" t="s">
        <v>5614</v>
      </c>
      <c r="E12" s="129" t="s">
        <v>5614</v>
      </c>
      <c r="F12" s="129" t="s">
        <v>3851</v>
      </c>
      <c r="G12" s="129" t="s">
        <v>5614</v>
      </c>
      <c r="H12" s="129" t="s">
        <v>5614</v>
      </c>
      <c r="I12" s="129" t="s">
        <v>5616</v>
      </c>
      <c r="J12" s="129" t="s">
        <v>5614</v>
      </c>
      <c r="K12" s="131" t="s">
        <v>5616</v>
      </c>
      <c r="L12" s="131" t="s">
        <v>5616</v>
      </c>
      <c r="M12" s="131" t="s">
        <v>5616</v>
      </c>
      <c r="N12" s="132" t="s">
        <v>5616</v>
      </c>
      <c r="O12" s="132" t="s">
        <v>5616</v>
      </c>
      <c r="P12" s="133" t="s">
        <v>5616</v>
      </c>
      <c r="Q12" s="132" t="s">
        <v>5616</v>
      </c>
      <c r="R12" s="129" t="s">
        <v>5616</v>
      </c>
      <c r="S12" s="132" t="s">
        <v>5616</v>
      </c>
    </row>
    <row r="13">
      <c r="A13" s="134" t="s">
        <v>837</v>
      </c>
      <c r="B13" s="134" t="s">
        <v>838</v>
      </c>
      <c r="C13" s="130" t="s">
        <v>5622</v>
      </c>
      <c r="D13" s="129" t="s">
        <v>5614</v>
      </c>
      <c r="E13" s="129" t="s">
        <v>5614</v>
      </c>
      <c r="F13" s="129" t="s">
        <v>3851</v>
      </c>
      <c r="G13" s="129" t="s">
        <v>5615</v>
      </c>
      <c r="H13" s="129" t="s">
        <v>5614</v>
      </c>
      <c r="I13" s="129" t="s">
        <v>5614</v>
      </c>
      <c r="J13" s="129" t="s">
        <v>5614</v>
      </c>
      <c r="K13" s="131" t="s">
        <v>5616</v>
      </c>
      <c r="L13" s="131" t="s">
        <v>5616</v>
      </c>
      <c r="M13" s="131" t="s">
        <v>5616</v>
      </c>
      <c r="N13" s="132" t="s">
        <v>5616</v>
      </c>
      <c r="O13" s="129" t="s">
        <v>5614</v>
      </c>
      <c r="P13" s="129" t="s">
        <v>5614</v>
      </c>
      <c r="Q13" s="132" t="s">
        <v>5616</v>
      </c>
      <c r="R13" s="129" t="s">
        <v>5616</v>
      </c>
      <c r="S13" s="132" t="s">
        <v>5616</v>
      </c>
    </row>
    <row r="14">
      <c r="A14" s="135" t="s">
        <v>1304</v>
      </c>
      <c r="B14" s="129" t="s">
        <v>382</v>
      </c>
      <c r="C14" s="130" t="s">
        <v>5623</v>
      </c>
      <c r="D14" s="129" t="s">
        <v>5614</v>
      </c>
      <c r="E14" s="129" t="s">
        <v>5614</v>
      </c>
      <c r="F14" s="129" t="s">
        <v>3851</v>
      </c>
      <c r="G14" s="129" t="s">
        <v>5614</v>
      </c>
      <c r="H14" s="129" t="s">
        <v>5614</v>
      </c>
      <c r="I14" s="129" t="s">
        <v>5614</v>
      </c>
      <c r="J14" s="129" t="s">
        <v>5614</v>
      </c>
      <c r="K14" s="131" t="s">
        <v>5616</v>
      </c>
      <c r="L14" s="131" t="s">
        <v>5616</v>
      </c>
      <c r="M14" s="131" t="s">
        <v>5616</v>
      </c>
      <c r="N14" s="132" t="s">
        <v>5616</v>
      </c>
      <c r="O14" s="132" t="s">
        <v>5616</v>
      </c>
      <c r="P14" s="133" t="s">
        <v>5616</v>
      </c>
      <c r="Q14" s="132" t="s">
        <v>5616</v>
      </c>
      <c r="R14" s="129" t="s">
        <v>5616</v>
      </c>
      <c r="S14" s="132" t="s">
        <v>5616</v>
      </c>
    </row>
    <row r="15">
      <c r="A15" s="129" t="s">
        <v>821</v>
      </c>
      <c r="B15" s="136" t="s">
        <v>822</v>
      </c>
      <c r="C15" s="130" t="s">
        <v>5624</v>
      </c>
      <c r="D15" s="129" t="s">
        <v>5614</v>
      </c>
      <c r="E15" s="129" t="s">
        <v>5614</v>
      </c>
      <c r="F15" s="129" t="s">
        <v>3851</v>
      </c>
      <c r="G15" s="129" t="s">
        <v>5616</v>
      </c>
      <c r="H15" s="129" t="s">
        <v>5614</v>
      </c>
      <c r="I15" s="129" t="s">
        <v>5614</v>
      </c>
      <c r="J15" s="129" t="s">
        <v>5614</v>
      </c>
      <c r="K15" s="131" t="s">
        <v>5616</v>
      </c>
      <c r="L15" s="131" t="s">
        <v>5616</v>
      </c>
      <c r="M15" s="131" t="s">
        <v>5616</v>
      </c>
      <c r="N15" s="132" t="s">
        <v>5616</v>
      </c>
      <c r="O15" s="129" t="s">
        <v>5614</v>
      </c>
      <c r="P15" s="129" t="s">
        <v>5614</v>
      </c>
      <c r="Q15" s="132" t="s">
        <v>5616</v>
      </c>
      <c r="R15" s="129" t="s">
        <v>5616</v>
      </c>
      <c r="S15" s="132" t="s">
        <v>5616</v>
      </c>
    </row>
    <row r="16">
      <c r="A16" s="129" t="s">
        <v>3869</v>
      </c>
      <c r="B16" s="136" t="s">
        <v>3870</v>
      </c>
      <c r="C16" s="130" t="s">
        <v>5625</v>
      </c>
      <c r="D16" s="129" t="s">
        <v>5614</v>
      </c>
      <c r="E16" s="129" t="s">
        <v>5614</v>
      </c>
      <c r="F16" s="129" t="s">
        <v>3851</v>
      </c>
      <c r="G16" s="129" t="s">
        <v>5614</v>
      </c>
      <c r="H16" s="129" t="s">
        <v>5614</v>
      </c>
      <c r="I16" s="129" t="s">
        <v>5616</v>
      </c>
      <c r="J16" s="129" t="s">
        <v>5616</v>
      </c>
      <c r="K16" s="131" t="s">
        <v>5616</v>
      </c>
      <c r="L16" s="131" t="s">
        <v>5616</v>
      </c>
      <c r="M16" s="131" t="s">
        <v>5616</v>
      </c>
      <c r="N16" s="132" t="s">
        <v>5616</v>
      </c>
      <c r="O16" s="132" t="s">
        <v>5616</v>
      </c>
      <c r="P16" s="133" t="s">
        <v>5616</v>
      </c>
      <c r="Q16" s="132" t="s">
        <v>5616</v>
      </c>
      <c r="R16" s="129" t="s">
        <v>5616</v>
      </c>
      <c r="S16" s="132" t="s">
        <v>5616</v>
      </c>
    </row>
    <row r="17">
      <c r="A17" s="129" t="s">
        <v>107</v>
      </c>
      <c r="B17" s="129" t="s">
        <v>108</v>
      </c>
      <c r="C17" s="130">
        <v>45393.0</v>
      </c>
      <c r="D17" s="129" t="s">
        <v>5614</v>
      </c>
      <c r="E17" s="129" t="s">
        <v>5614</v>
      </c>
      <c r="F17" s="129" t="s">
        <v>3851</v>
      </c>
      <c r="G17" s="129" t="s">
        <v>5614</v>
      </c>
      <c r="H17" s="129" t="s">
        <v>5614</v>
      </c>
      <c r="I17" s="129" t="s">
        <v>5614</v>
      </c>
      <c r="J17" s="129" t="s">
        <v>5614</v>
      </c>
      <c r="K17" s="131" t="s">
        <v>5616</v>
      </c>
      <c r="L17" s="131" t="s">
        <v>5616</v>
      </c>
      <c r="M17" s="131" t="s">
        <v>5616</v>
      </c>
      <c r="N17" s="129" t="s">
        <v>5614</v>
      </c>
      <c r="O17" s="132" t="s">
        <v>5616</v>
      </c>
      <c r="P17" s="133" t="s">
        <v>5616</v>
      </c>
      <c r="Q17" s="132" t="s">
        <v>5616</v>
      </c>
      <c r="R17" s="129" t="s">
        <v>5616</v>
      </c>
      <c r="S17" s="132" t="s">
        <v>5616</v>
      </c>
    </row>
    <row r="18">
      <c r="A18" s="129" t="s">
        <v>869</v>
      </c>
      <c r="B18" s="129" t="s">
        <v>870</v>
      </c>
      <c r="C18" s="130">
        <v>45484.0</v>
      </c>
      <c r="D18" s="129" t="s">
        <v>5614</v>
      </c>
      <c r="E18" s="129" t="s">
        <v>5614</v>
      </c>
      <c r="F18" s="129" t="s">
        <v>3851</v>
      </c>
      <c r="G18" s="129" t="s">
        <v>5614</v>
      </c>
      <c r="H18" s="129" t="s">
        <v>5614</v>
      </c>
      <c r="I18" s="129" t="s">
        <v>5614</v>
      </c>
      <c r="J18" s="129" t="s">
        <v>5614</v>
      </c>
      <c r="K18" s="131" t="s">
        <v>5616</v>
      </c>
      <c r="L18" s="131" t="s">
        <v>5616</v>
      </c>
      <c r="M18" s="131" t="s">
        <v>5616</v>
      </c>
      <c r="N18" s="132" t="s">
        <v>5616</v>
      </c>
      <c r="O18" s="132" t="s">
        <v>5616</v>
      </c>
      <c r="P18" s="129" t="s">
        <v>5614</v>
      </c>
      <c r="Q18" s="132" t="s">
        <v>5616</v>
      </c>
      <c r="R18" s="129" t="s">
        <v>5616</v>
      </c>
      <c r="S18" s="132" t="s">
        <v>5616</v>
      </c>
    </row>
    <row r="19">
      <c r="A19" s="129" t="s">
        <v>575</v>
      </c>
      <c r="B19" s="129" t="s">
        <v>576</v>
      </c>
      <c r="C19" s="130">
        <v>45515.0</v>
      </c>
      <c r="D19" s="129" t="s">
        <v>5614</v>
      </c>
      <c r="E19" s="129" t="s">
        <v>5614</v>
      </c>
      <c r="F19" s="129" t="s">
        <v>3851</v>
      </c>
      <c r="G19" s="129" t="s">
        <v>5614</v>
      </c>
      <c r="H19" s="129" t="s">
        <v>5614</v>
      </c>
      <c r="I19" s="129" t="s">
        <v>5614</v>
      </c>
      <c r="J19" s="129" t="s">
        <v>5614</v>
      </c>
      <c r="K19" s="131" t="s">
        <v>5616</v>
      </c>
      <c r="L19" s="131" t="s">
        <v>5616</v>
      </c>
      <c r="M19" s="131" t="s">
        <v>5616</v>
      </c>
      <c r="N19" s="132" t="s">
        <v>5616</v>
      </c>
      <c r="O19" s="132" t="s">
        <v>5616</v>
      </c>
      <c r="P19" s="133" t="s">
        <v>5616</v>
      </c>
      <c r="Q19" s="132" t="s">
        <v>5616</v>
      </c>
      <c r="R19" s="129" t="s">
        <v>5616</v>
      </c>
      <c r="S19" s="132" t="s">
        <v>5616</v>
      </c>
    </row>
    <row r="20">
      <c r="A20" s="129" t="s">
        <v>187</v>
      </c>
      <c r="B20" s="129" t="s">
        <v>188</v>
      </c>
      <c r="C20" s="130">
        <v>45515.0</v>
      </c>
      <c r="D20" s="129" t="s">
        <v>5614</v>
      </c>
      <c r="E20" s="129" t="s">
        <v>5614</v>
      </c>
      <c r="F20" s="129" t="s">
        <v>3851</v>
      </c>
      <c r="G20" s="129" t="s">
        <v>5615</v>
      </c>
      <c r="H20" s="129" t="s">
        <v>5614</v>
      </c>
      <c r="I20" s="129" t="s">
        <v>5614</v>
      </c>
      <c r="J20" s="129" t="s">
        <v>5614</v>
      </c>
      <c r="K20" s="131" t="s">
        <v>5616</v>
      </c>
      <c r="L20" s="131" t="s">
        <v>5616</v>
      </c>
      <c r="M20" s="131" t="s">
        <v>5616</v>
      </c>
      <c r="N20" s="132" t="s">
        <v>5616</v>
      </c>
      <c r="O20" s="132" t="s">
        <v>5616</v>
      </c>
      <c r="P20" s="133" t="s">
        <v>5616</v>
      </c>
      <c r="Q20" s="132" t="s">
        <v>5616</v>
      </c>
      <c r="R20" s="129" t="s">
        <v>5616</v>
      </c>
      <c r="S20" s="132" t="s">
        <v>5616</v>
      </c>
    </row>
    <row r="21">
      <c r="A21" s="129" t="s">
        <v>507</v>
      </c>
      <c r="B21" s="129" t="s">
        <v>508</v>
      </c>
      <c r="C21" s="130">
        <v>45515.0</v>
      </c>
      <c r="D21" s="129" t="s">
        <v>5614</v>
      </c>
      <c r="E21" s="129" t="s">
        <v>5614</v>
      </c>
      <c r="F21" s="129" t="s">
        <v>3851</v>
      </c>
      <c r="G21" s="129" t="s">
        <v>5614</v>
      </c>
      <c r="H21" s="129" t="s">
        <v>5614</v>
      </c>
      <c r="I21" s="129" t="s">
        <v>5616</v>
      </c>
      <c r="J21" s="129" t="s">
        <v>5614</v>
      </c>
      <c r="K21" s="131" t="s">
        <v>5616</v>
      </c>
      <c r="L21" s="131" t="s">
        <v>5616</v>
      </c>
      <c r="M21" s="131" t="s">
        <v>5616</v>
      </c>
      <c r="N21" s="132" t="s">
        <v>5616</v>
      </c>
      <c r="O21" s="132" t="s">
        <v>5616</v>
      </c>
      <c r="P21" s="129" t="s">
        <v>5614</v>
      </c>
      <c r="Q21" s="132" t="s">
        <v>5616</v>
      </c>
      <c r="R21" s="129" t="s">
        <v>5616</v>
      </c>
      <c r="S21" s="132" t="s">
        <v>5616</v>
      </c>
    </row>
    <row r="22">
      <c r="A22" s="129" t="s">
        <v>813</v>
      </c>
      <c r="B22" s="129" t="s">
        <v>5626</v>
      </c>
      <c r="C22" s="130">
        <v>45607.0</v>
      </c>
      <c r="D22" s="129" t="s">
        <v>5614</v>
      </c>
      <c r="E22" s="129" t="s">
        <v>5614</v>
      </c>
      <c r="F22" s="129" t="s">
        <v>3851</v>
      </c>
      <c r="G22" s="129" t="s">
        <v>5614</v>
      </c>
      <c r="H22" s="129" t="s">
        <v>5614</v>
      </c>
      <c r="I22" s="129" t="s">
        <v>5616</v>
      </c>
      <c r="J22" s="129" t="s">
        <v>5614</v>
      </c>
      <c r="K22" s="131" t="s">
        <v>5616</v>
      </c>
      <c r="L22" s="131" t="s">
        <v>5616</v>
      </c>
      <c r="M22" s="131" t="s">
        <v>5616</v>
      </c>
      <c r="N22" s="132" t="s">
        <v>5616</v>
      </c>
      <c r="O22" s="132" t="s">
        <v>5616</v>
      </c>
      <c r="P22" s="133" t="s">
        <v>5616</v>
      </c>
      <c r="Q22" s="132" t="s">
        <v>5616</v>
      </c>
      <c r="R22" s="129" t="s">
        <v>5614</v>
      </c>
      <c r="S22" s="132" t="s">
        <v>5616</v>
      </c>
    </row>
    <row r="23">
      <c r="A23" s="135" t="s">
        <v>546</v>
      </c>
      <c r="B23" s="129" t="s">
        <v>547</v>
      </c>
      <c r="C23" s="130">
        <v>45610.0</v>
      </c>
      <c r="D23" s="129" t="s">
        <v>5614</v>
      </c>
      <c r="E23" s="129" t="s">
        <v>5614</v>
      </c>
      <c r="F23" s="129" t="s">
        <v>3851</v>
      </c>
      <c r="G23" s="129" t="s">
        <v>5615</v>
      </c>
      <c r="H23" s="129" t="s">
        <v>5614</v>
      </c>
      <c r="I23" s="129" t="s">
        <v>5616</v>
      </c>
      <c r="J23" s="129" t="s">
        <v>5614</v>
      </c>
      <c r="K23" s="131" t="s">
        <v>5616</v>
      </c>
      <c r="L23" s="131" t="s">
        <v>5616</v>
      </c>
      <c r="M23" s="131" t="s">
        <v>5616</v>
      </c>
      <c r="N23" s="132" t="s">
        <v>5616</v>
      </c>
      <c r="O23" s="132" t="s">
        <v>5616</v>
      </c>
      <c r="P23" s="129" t="s">
        <v>5614</v>
      </c>
      <c r="Q23" s="129" t="s">
        <v>5614</v>
      </c>
      <c r="R23" s="129" t="s">
        <v>5616</v>
      </c>
      <c r="S23" s="129" t="s">
        <v>5614</v>
      </c>
    </row>
    <row r="24">
      <c r="A24" s="135" t="s">
        <v>177</v>
      </c>
      <c r="B24" s="129" t="s">
        <v>178</v>
      </c>
      <c r="C24" s="130">
        <v>45610.0</v>
      </c>
      <c r="D24" s="129" t="s">
        <v>5614</v>
      </c>
      <c r="E24" s="129" t="s">
        <v>5614</v>
      </c>
      <c r="F24" s="129" t="s">
        <v>3851</v>
      </c>
      <c r="G24" s="129" t="s">
        <v>5616</v>
      </c>
      <c r="H24" s="129" t="s">
        <v>5614</v>
      </c>
      <c r="I24" s="129" t="s">
        <v>5616</v>
      </c>
      <c r="J24" s="129" t="s">
        <v>5614</v>
      </c>
      <c r="K24" s="131" t="s">
        <v>5616</v>
      </c>
      <c r="L24" s="131" t="s">
        <v>5616</v>
      </c>
      <c r="M24" s="131" t="s">
        <v>5616</v>
      </c>
      <c r="N24" s="132" t="s">
        <v>5616</v>
      </c>
      <c r="O24" s="132" t="s">
        <v>5616</v>
      </c>
      <c r="P24" s="133" t="s">
        <v>5616</v>
      </c>
      <c r="Q24" s="132" t="s">
        <v>5616</v>
      </c>
      <c r="R24" s="129" t="s">
        <v>5616</v>
      </c>
      <c r="S24" s="132" t="s">
        <v>5616</v>
      </c>
    </row>
    <row r="25">
      <c r="A25" s="129" t="s">
        <v>3871</v>
      </c>
      <c r="B25" s="137" t="s">
        <v>180</v>
      </c>
      <c r="C25" s="130" t="s">
        <v>5627</v>
      </c>
      <c r="D25" s="129" t="s">
        <v>5614</v>
      </c>
      <c r="E25" s="129" t="s">
        <v>5614</v>
      </c>
      <c r="F25" s="129" t="s">
        <v>3851</v>
      </c>
      <c r="G25" s="129" t="s">
        <v>5614</v>
      </c>
      <c r="H25" s="129" t="s">
        <v>5628</v>
      </c>
      <c r="I25" s="129" t="s">
        <v>5614</v>
      </c>
      <c r="J25" s="129" t="s">
        <v>5614</v>
      </c>
      <c r="K25" s="131" t="s">
        <v>5616</v>
      </c>
      <c r="L25" s="131" t="s">
        <v>5616</v>
      </c>
      <c r="M25" s="131" t="s">
        <v>5616</v>
      </c>
      <c r="N25" s="129" t="s">
        <v>5614</v>
      </c>
      <c r="O25" s="132" t="s">
        <v>5616</v>
      </c>
      <c r="P25" s="133" t="s">
        <v>5616</v>
      </c>
      <c r="Q25" s="132" t="s">
        <v>5616</v>
      </c>
      <c r="R25" s="129" t="s">
        <v>5616</v>
      </c>
      <c r="S25" s="132" t="s">
        <v>5616</v>
      </c>
    </row>
    <row r="26">
      <c r="A26" s="129" t="s">
        <v>3872</v>
      </c>
      <c r="B26" s="136" t="s">
        <v>995</v>
      </c>
      <c r="C26" s="130" t="s">
        <v>5627</v>
      </c>
      <c r="D26" s="129" t="s">
        <v>5614</v>
      </c>
      <c r="E26" s="129" t="s">
        <v>5614</v>
      </c>
      <c r="F26" s="129" t="s">
        <v>3851</v>
      </c>
      <c r="G26" s="129" t="s">
        <v>5614</v>
      </c>
      <c r="H26" s="129" t="s">
        <v>5628</v>
      </c>
      <c r="I26" s="129" t="s">
        <v>5616</v>
      </c>
      <c r="J26" s="129" t="s">
        <v>5614</v>
      </c>
      <c r="K26" s="131" t="s">
        <v>5616</v>
      </c>
      <c r="L26" s="131" t="s">
        <v>5616</v>
      </c>
      <c r="M26" s="131" t="s">
        <v>5616</v>
      </c>
      <c r="N26" s="132" t="s">
        <v>5616</v>
      </c>
      <c r="O26" s="132" t="s">
        <v>5616</v>
      </c>
      <c r="P26" s="133" t="s">
        <v>5616</v>
      </c>
      <c r="Q26" s="132" t="s">
        <v>5616</v>
      </c>
      <c r="R26" s="129" t="s">
        <v>5616</v>
      </c>
      <c r="S26" s="132" t="s">
        <v>5616</v>
      </c>
    </row>
    <row r="27">
      <c r="A27" s="129" t="s">
        <v>131</v>
      </c>
      <c r="B27" s="129" t="s">
        <v>132</v>
      </c>
      <c r="C27" s="130" t="s">
        <v>5629</v>
      </c>
      <c r="D27" s="129" t="s">
        <v>5614</v>
      </c>
      <c r="E27" s="129" t="s">
        <v>5614</v>
      </c>
      <c r="F27" s="129" t="s">
        <v>3851</v>
      </c>
      <c r="G27" s="129" t="s">
        <v>5616</v>
      </c>
      <c r="H27" s="129" t="s">
        <v>5628</v>
      </c>
      <c r="I27" s="129" t="s">
        <v>5616</v>
      </c>
      <c r="J27" s="129" t="s">
        <v>5614</v>
      </c>
      <c r="K27" s="131" t="s">
        <v>5616</v>
      </c>
      <c r="L27" s="131" t="s">
        <v>5616</v>
      </c>
      <c r="M27" s="131" t="s">
        <v>5616</v>
      </c>
      <c r="N27" s="132" t="s">
        <v>5616</v>
      </c>
      <c r="O27" s="129" t="s">
        <v>5614</v>
      </c>
      <c r="P27" s="129" t="s">
        <v>5614</v>
      </c>
      <c r="Q27" s="132" t="s">
        <v>5616</v>
      </c>
      <c r="R27" s="129" t="s">
        <v>5616</v>
      </c>
      <c r="S27" s="132" t="s">
        <v>5616</v>
      </c>
    </row>
    <row r="28">
      <c r="A28" s="129" t="s">
        <v>143</v>
      </c>
      <c r="B28" s="129" t="s">
        <v>144</v>
      </c>
      <c r="C28" s="130" t="s">
        <v>5629</v>
      </c>
      <c r="D28" s="129" t="s">
        <v>5614</v>
      </c>
      <c r="E28" s="129" t="s">
        <v>5614</v>
      </c>
      <c r="F28" s="129" t="s">
        <v>3851</v>
      </c>
      <c r="G28" s="129" t="s">
        <v>5614</v>
      </c>
      <c r="H28" s="129" t="s">
        <v>5628</v>
      </c>
      <c r="I28" s="129" t="s">
        <v>5614</v>
      </c>
      <c r="J28" s="129" t="s">
        <v>5614</v>
      </c>
      <c r="K28" s="131" t="s">
        <v>5616</v>
      </c>
      <c r="L28" s="131" t="s">
        <v>5616</v>
      </c>
      <c r="M28" s="131" t="s">
        <v>5616</v>
      </c>
      <c r="N28" s="129" t="s">
        <v>5614</v>
      </c>
      <c r="O28" s="129" t="s">
        <v>5614</v>
      </c>
      <c r="P28" s="133" t="s">
        <v>5616</v>
      </c>
      <c r="Q28" s="132" t="s">
        <v>5616</v>
      </c>
      <c r="R28" s="129" t="s">
        <v>5616</v>
      </c>
      <c r="S28" s="132" t="s">
        <v>5616</v>
      </c>
    </row>
    <row r="29">
      <c r="A29" s="129" t="s">
        <v>3873</v>
      </c>
      <c r="B29" s="129" t="s">
        <v>502</v>
      </c>
      <c r="C29" s="130" t="s">
        <v>5630</v>
      </c>
      <c r="D29" s="129" t="s">
        <v>5614</v>
      </c>
      <c r="E29" s="129" t="s">
        <v>5614</v>
      </c>
      <c r="F29" s="129" t="s">
        <v>3851</v>
      </c>
      <c r="G29" s="129" t="s">
        <v>5614</v>
      </c>
      <c r="H29" s="129" t="s">
        <v>5628</v>
      </c>
      <c r="I29" s="129" t="s">
        <v>5616</v>
      </c>
      <c r="J29" s="129" t="s">
        <v>5614</v>
      </c>
      <c r="K29" s="131" t="s">
        <v>5616</v>
      </c>
      <c r="L29" s="131" t="s">
        <v>5616</v>
      </c>
      <c r="M29" s="131" t="s">
        <v>5616</v>
      </c>
      <c r="N29" s="129" t="s">
        <v>5614</v>
      </c>
      <c r="O29" s="129" t="s">
        <v>5614</v>
      </c>
      <c r="P29" s="129" t="s">
        <v>5614</v>
      </c>
      <c r="Q29" s="132" t="s">
        <v>5616</v>
      </c>
      <c r="R29" s="129" t="s">
        <v>5616</v>
      </c>
      <c r="S29" s="132" t="s">
        <v>5616</v>
      </c>
    </row>
    <row r="30">
      <c r="A30" s="129" t="s">
        <v>865</v>
      </c>
      <c r="B30" s="129" t="s">
        <v>5631</v>
      </c>
      <c r="C30" s="130">
        <v>45625.0</v>
      </c>
      <c r="D30" s="138" t="s">
        <v>5614</v>
      </c>
      <c r="E30" s="138" t="s">
        <v>5614</v>
      </c>
      <c r="F30" s="138" t="s">
        <v>3851</v>
      </c>
      <c r="G30" s="138" t="s">
        <v>5614</v>
      </c>
      <c r="H30" s="138" t="s">
        <v>5614</v>
      </c>
      <c r="I30" s="138" t="s">
        <v>5616</v>
      </c>
      <c r="J30" s="138" t="s">
        <v>5614</v>
      </c>
      <c r="K30" s="131" t="s">
        <v>5616</v>
      </c>
      <c r="L30" s="131" t="s">
        <v>5616</v>
      </c>
      <c r="M30" s="131" t="s">
        <v>5616</v>
      </c>
      <c r="N30" s="138" t="s">
        <v>5614</v>
      </c>
      <c r="O30" s="138" t="s">
        <v>5614</v>
      </c>
      <c r="P30" s="138" t="s">
        <v>5614</v>
      </c>
      <c r="Q30" s="139" t="s">
        <v>5616</v>
      </c>
      <c r="R30" s="138" t="s">
        <v>5614</v>
      </c>
      <c r="S30" s="139" t="s">
        <v>5616</v>
      </c>
    </row>
    <row r="31">
      <c r="A31" s="138" t="s">
        <v>3874</v>
      </c>
      <c r="B31" s="140" t="s">
        <v>482</v>
      </c>
      <c r="C31" s="130">
        <v>45625.0</v>
      </c>
      <c r="D31" s="138" t="s">
        <v>5614</v>
      </c>
      <c r="E31" s="129" t="s">
        <v>5614</v>
      </c>
      <c r="F31" s="129" t="s">
        <v>3851</v>
      </c>
      <c r="G31" s="129" t="s">
        <v>5614</v>
      </c>
      <c r="H31" s="129" t="s">
        <v>5614</v>
      </c>
      <c r="I31" s="129" t="s">
        <v>5614</v>
      </c>
      <c r="J31" s="129" t="s">
        <v>5614</v>
      </c>
      <c r="K31" s="131" t="s">
        <v>5616</v>
      </c>
      <c r="L31" s="131" t="s">
        <v>5616</v>
      </c>
      <c r="M31" s="131" t="s">
        <v>5616</v>
      </c>
      <c r="N31" s="132" t="s">
        <v>5616</v>
      </c>
      <c r="O31" s="132" t="s">
        <v>5616</v>
      </c>
      <c r="P31" s="133" t="s">
        <v>5616</v>
      </c>
      <c r="Q31" s="132" t="s">
        <v>5616</v>
      </c>
      <c r="R31" s="129" t="s">
        <v>5614</v>
      </c>
      <c r="S31" s="132" t="s">
        <v>5616</v>
      </c>
    </row>
    <row r="32">
      <c r="A32" s="129" t="s">
        <v>3877</v>
      </c>
      <c r="B32" s="129" t="s">
        <v>947</v>
      </c>
      <c r="C32" s="130">
        <v>45628.0</v>
      </c>
      <c r="D32" s="129" t="s">
        <v>5614</v>
      </c>
      <c r="E32" s="129" t="s">
        <v>5614</v>
      </c>
      <c r="F32" s="129" t="s">
        <v>3851</v>
      </c>
      <c r="G32" s="129" t="s">
        <v>5616</v>
      </c>
      <c r="H32" s="129" t="s">
        <v>5614</v>
      </c>
      <c r="I32" s="129" t="s">
        <v>5616</v>
      </c>
      <c r="J32" s="129" t="s">
        <v>5614</v>
      </c>
      <c r="K32" s="131" t="s">
        <v>5616</v>
      </c>
      <c r="L32" s="131" t="s">
        <v>5616</v>
      </c>
      <c r="M32" s="131" t="s">
        <v>5616</v>
      </c>
      <c r="N32" s="129" t="s">
        <v>5614</v>
      </c>
      <c r="O32" s="132" t="s">
        <v>5616</v>
      </c>
      <c r="P32" s="133" t="s">
        <v>5616</v>
      </c>
      <c r="Q32" s="132" t="s">
        <v>5616</v>
      </c>
      <c r="R32" s="129" t="s">
        <v>5616</v>
      </c>
      <c r="S32" s="132" t="s">
        <v>5616</v>
      </c>
    </row>
    <row r="33">
      <c r="A33" s="132" t="s">
        <v>3878</v>
      </c>
      <c r="B33" s="132" t="s">
        <v>3879</v>
      </c>
      <c r="C33" s="141">
        <v>45629.0</v>
      </c>
      <c r="D33" s="132" t="s">
        <v>5614</v>
      </c>
      <c r="E33" s="132" t="s">
        <v>5632</v>
      </c>
      <c r="F33" s="129" t="s">
        <v>3851</v>
      </c>
      <c r="G33" s="132" t="s">
        <v>5614</v>
      </c>
      <c r="H33" s="132" t="s">
        <v>5614</v>
      </c>
      <c r="I33" s="129" t="s">
        <v>5616</v>
      </c>
      <c r="J33" s="132" t="s">
        <v>5614</v>
      </c>
      <c r="K33" s="131" t="s">
        <v>5616</v>
      </c>
      <c r="L33" s="131" t="s">
        <v>5616</v>
      </c>
      <c r="M33" s="131" t="s">
        <v>5616</v>
      </c>
      <c r="N33" s="132" t="s">
        <v>5616</v>
      </c>
      <c r="O33" s="132" t="s">
        <v>5616</v>
      </c>
      <c r="P33" s="132" t="s">
        <v>5614</v>
      </c>
      <c r="Q33" s="132" t="s">
        <v>5616</v>
      </c>
      <c r="R33" s="129" t="s">
        <v>5616</v>
      </c>
      <c r="S33" s="132" t="s">
        <v>5616</v>
      </c>
    </row>
    <row r="34">
      <c r="A34" s="132" t="s">
        <v>3857</v>
      </c>
      <c r="B34" s="132" t="s">
        <v>3858</v>
      </c>
      <c r="C34" s="141">
        <v>45394.0</v>
      </c>
      <c r="D34" s="132" t="s">
        <v>5614</v>
      </c>
      <c r="E34" s="132" t="s">
        <v>5614</v>
      </c>
      <c r="F34" s="129" t="s">
        <v>3851</v>
      </c>
      <c r="G34" s="132" t="s">
        <v>5615</v>
      </c>
      <c r="H34" s="132" t="s">
        <v>5614</v>
      </c>
      <c r="I34" s="129" t="s">
        <v>5616</v>
      </c>
      <c r="J34" s="129" t="s">
        <v>5616</v>
      </c>
      <c r="K34" s="131" t="s">
        <v>5616</v>
      </c>
      <c r="L34" s="131" t="s">
        <v>5616</v>
      </c>
      <c r="M34" s="131" t="s">
        <v>5616</v>
      </c>
      <c r="N34" s="132" t="s">
        <v>5614</v>
      </c>
      <c r="O34" s="129" t="s">
        <v>5614</v>
      </c>
      <c r="P34" s="133" t="s">
        <v>5616</v>
      </c>
      <c r="Q34" s="132" t="s">
        <v>5616</v>
      </c>
      <c r="R34" s="129" t="s">
        <v>5616</v>
      </c>
      <c r="S34" s="132" t="s">
        <v>5616</v>
      </c>
    </row>
    <row r="35">
      <c r="A35" s="132" t="s">
        <v>725</v>
      </c>
      <c r="B35" s="132" t="s">
        <v>726</v>
      </c>
      <c r="C35" s="141">
        <v>45630.0</v>
      </c>
      <c r="D35" s="132" t="s">
        <v>5614</v>
      </c>
      <c r="E35" s="132" t="s">
        <v>5614</v>
      </c>
      <c r="F35" s="129" t="s">
        <v>3851</v>
      </c>
      <c r="G35" s="132" t="s">
        <v>5614</v>
      </c>
      <c r="H35" s="132" t="s">
        <v>5614</v>
      </c>
      <c r="I35" s="132" t="s">
        <v>5614</v>
      </c>
      <c r="J35" s="132" t="s">
        <v>5614</v>
      </c>
      <c r="K35" s="131" t="s">
        <v>5616</v>
      </c>
      <c r="L35" s="131" t="s">
        <v>5616</v>
      </c>
      <c r="M35" s="131" t="s">
        <v>5616</v>
      </c>
      <c r="N35" s="132" t="s">
        <v>5616</v>
      </c>
      <c r="O35" s="129" t="s">
        <v>5614</v>
      </c>
      <c r="P35" s="132" t="s">
        <v>5614</v>
      </c>
      <c r="Q35" s="132" t="s">
        <v>5616</v>
      </c>
      <c r="R35" s="132" t="s">
        <v>5614</v>
      </c>
      <c r="S35" s="132" t="s">
        <v>5616</v>
      </c>
    </row>
    <row r="36">
      <c r="A36" s="132" t="s">
        <v>3859</v>
      </c>
      <c r="B36" s="132" t="s">
        <v>334</v>
      </c>
      <c r="C36" s="141">
        <v>45455.0</v>
      </c>
      <c r="D36" s="132" t="s">
        <v>5614</v>
      </c>
      <c r="E36" s="132" t="s">
        <v>5614</v>
      </c>
      <c r="F36" s="129" t="s">
        <v>3851</v>
      </c>
      <c r="G36" s="132" t="s">
        <v>5614</v>
      </c>
      <c r="H36" s="132" t="s">
        <v>5614</v>
      </c>
      <c r="I36" s="129" t="s">
        <v>5616</v>
      </c>
      <c r="J36" s="132" t="s">
        <v>5614</v>
      </c>
      <c r="K36" s="131" t="s">
        <v>5616</v>
      </c>
      <c r="L36" s="131" t="s">
        <v>5616</v>
      </c>
      <c r="M36" s="131" t="s">
        <v>5616</v>
      </c>
      <c r="N36" s="132" t="s">
        <v>5614</v>
      </c>
      <c r="O36" s="129" t="s">
        <v>5614</v>
      </c>
      <c r="P36" s="132" t="s">
        <v>5614</v>
      </c>
      <c r="Q36" s="132" t="s">
        <v>5614</v>
      </c>
      <c r="R36" s="132" t="s">
        <v>5614</v>
      </c>
      <c r="S36" s="132" t="s">
        <v>5616</v>
      </c>
    </row>
    <row r="37">
      <c r="A37" s="132" t="s">
        <v>1492</v>
      </c>
      <c r="B37" s="132" t="s">
        <v>1493</v>
      </c>
      <c r="C37" s="141" t="s">
        <v>5633</v>
      </c>
      <c r="D37" s="132" t="s">
        <v>5614</v>
      </c>
      <c r="E37" s="132" t="s">
        <v>5614</v>
      </c>
      <c r="F37" s="129" t="s">
        <v>3851</v>
      </c>
      <c r="G37" s="132" t="s">
        <v>5614</v>
      </c>
      <c r="H37" s="132" t="s">
        <v>5614</v>
      </c>
      <c r="I37" s="129" t="s">
        <v>5616</v>
      </c>
      <c r="J37" s="132" t="s">
        <v>5614</v>
      </c>
      <c r="K37" s="131" t="s">
        <v>5616</v>
      </c>
      <c r="L37" s="131" t="s">
        <v>5616</v>
      </c>
      <c r="M37" s="131" t="s">
        <v>5616</v>
      </c>
      <c r="N37" s="132" t="s">
        <v>5616</v>
      </c>
      <c r="O37" s="132" t="s">
        <v>5616</v>
      </c>
      <c r="P37" s="132" t="s">
        <v>5614</v>
      </c>
      <c r="Q37" s="132" t="s">
        <v>5616</v>
      </c>
      <c r="R37" s="129" t="s">
        <v>5616</v>
      </c>
      <c r="S37" s="132" t="s">
        <v>5616</v>
      </c>
    </row>
    <row r="38">
      <c r="A38" s="132" t="s">
        <v>561</v>
      </c>
      <c r="B38" s="132" t="s">
        <v>562</v>
      </c>
      <c r="C38" s="141" t="s">
        <v>5634</v>
      </c>
      <c r="D38" s="132" t="s">
        <v>5614</v>
      </c>
      <c r="E38" s="132" t="s">
        <v>5614</v>
      </c>
      <c r="F38" s="129" t="s">
        <v>3851</v>
      </c>
      <c r="G38" s="132" t="s">
        <v>5614</v>
      </c>
      <c r="H38" s="132" t="s">
        <v>5614</v>
      </c>
      <c r="I38" s="129" t="s">
        <v>5616</v>
      </c>
      <c r="J38" s="132" t="s">
        <v>5614</v>
      </c>
      <c r="K38" s="131" t="s">
        <v>5616</v>
      </c>
      <c r="L38" s="131" t="s">
        <v>5616</v>
      </c>
      <c r="M38" s="131" t="s">
        <v>5616</v>
      </c>
      <c r="N38" s="132" t="s">
        <v>5616</v>
      </c>
      <c r="O38" s="129" t="s">
        <v>5614</v>
      </c>
      <c r="P38" s="132" t="s">
        <v>5614</v>
      </c>
      <c r="Q38" s="132" t="s">
        <v>5616</v>
      </c>
      <c r="R38" s="132" t="s">
        <v>5614</v>
      </c>
      <c r="S38" s="132" t="s">
        <v>5616</v>
      </c>
    </row>
    <row r="39">
      <c r="A39" s="132" t="s">
        <v>235</v>
      </c>
      <c r="B39" s="132" t="s">
        <v>236</v>
      </c>
      <c r="C39" s="141" t="s">
        <v>5635</v>
      </c>
      <c r="D39" s="132" t="s">
        <v>5614</v>
      </c>
      <c r="E39" s="132" t="s">
        <v>5614</v>
      </c>
      <c r="F39" s="129" t="s">
        <v>3851</v>
      </c>
      <c r="G39" s="132" t="s">
        <v>5615</v>
      </c>
      <c r="H39" s="132" t="s">
        <v>5614</v>
      </c>
      <c r="I39" s="129" t="s">
        <v>5616</v>
      </c>
      <c r="J39" s="132" t="s">
        <v>5614</v>
      </c>
      <c r="K39" s="131" t="s">
        <v>5616</v>
      </c>
      <c r="L39" s="131" t="s">
        <v>5616</v>
      </c>
      <c r="M39" s="131" t="s">
        <v>5616</v>
      </c>
      <c r="N39" s="132" t="s">
        <v>5616</v>
      </c>
      <c r="O39" s="132" t="s">
        <v>5616</v>
      </c>
      <c r="P39" s="132" t="s">
        <v>5614</v>
      </c>
      <c r="Q39" s="132" t="s">
        <v>5616</v>
      </c>
      <c r="R39" s="132" t="s">
        <v>5614</v>
      </c>
      <c r="S39" s="132" t="s">
        <v>5616</v>
      </c>
    </row>
    <row r="40">
      <c r="A40" s="132" t="s">
        <v>399</v>
      </c>
      <c r="B40" s="132" t="s">
        <v>400</v>
      </c>
      <c r="C40" s="141">
        <v>45650.0</v>
      </c>
      <c r="D40" s="132" t="s">
        <v>5614</v>
      </c>
      <c r="E40" s="132" t="s">
        <v>5614</v>
      </c>
      <c r="F40" s="129" t="s">
        <v>3851</v>
      </c>
      <c r="G40" s="132" t="s">
        <v>5615</v>
      </c>
      <c r="H40" s="132" t="s">
        <v>5614</v>
      </c>
      <c r="I40" s="129" t="s">
        <v>5616</v>
      </c>
      <c r="J40" s="132" t="s">
        <v>5614</v>
      </c>
      <c r="K40" s="131" t="s">
        <v>5616</v>
      </c>
      <c r="L40" s="131" t="s">
        <v>5616</v>
      </c>
      <c r="M40" s="131" t="s">
        <v>5616</v>
      </c>
      <c r="N40" s="132" t="s">
        <v>5616</v>
      </c>
      <c r="O40" s="132" t="s">
        <v>5616</v>
      </c>
      <c r="P40" s="132" t="s">
        <v>5614</v>
      </c>
      <c r="Q40" s="132" t="s">
        <v>5616</v>
      </c>
      <c r="R40" s="132" t="s">
        <v>5614</v>
      </c>
      <c r="S40" s="132" t="s">
        <v>5616</v>
      </c>
    </row>
    <row r="41">
      <c r="A41" s="132" t="s">
        <v>1000</v>
      </c>
      <c r="B41" s="132" t="s">
        <v>1001</v>
      </c>
      <c r="C41" s="130">
        <v>45650.0</v>
      </c>
      <c r="D41" s="132" t="s">
        <v>5614</v>
      </c>
      <c r="E41" s="132" t="s">
        <v>5614</v>
      </c>
      <c r="F41" s="129" t="s">
        <v>3851</v>
      </c>
      <c r="G41" s="132" t="s">
        <v>5614</v>
      </c>
      <c r="H41" s="132" t="s">
        <v>5614</v>
      </c>
      <c r="I41" s="129" t="s">
        <v>5616</v>
      </c>
      <c r="J41" s="132" t="s">
        <v>5614</v>
      </c>
      <c r="K41" s="131" t="s">
        <v>5616</v>
      </c>
      <c r="L41" s="131" t="s">
        <v>5616</v>
      </c>
      <c r="M41" s="131" t="s">
        <v>5616</v>
      </c>
      <c r="N41" s="132" t="s">
        <v>5616</v>
      </c>
      <c r="O41" s="132" t="s">
        <v>5616</v>
      </c>
      <c r="P41" s="132" t="s">
        <v>5614</v>
      </c>
      <c r="Q41" s="132" t="s">
        <v>5616</v>
      </c>
      <c r="R41" s="129" t="s">
        <v>5616</v>
      </c>
      <c r="S41" s="132" t="s">
        <v>5616</v>
      </c>
    </row>
    <row r="42">
      <c r="A42" s="132" t="s">
        <v>952</v>
      </c>
      <c r="B42" s="136" t="s">
        <v>953</v>
      </c>
      <c r="C42" s="141" t="s">
        <v>5636</v>
      </c>
      <c r="D42" s="132" t="s">
        <v>5614</v>
      </c>
      <c r="E42" s="132" t="s">
        <v>5614</v>
      </c>
      <c r="F42" s="129" t="s">
        <v>3851</v>
      </c>
      <c r="G42" s="132" t="s">
        <v>5615</v>
      </c>
      <c r="H42" s="132" t="s">
        <v>5614</v>
      </c>
      <c r="I42" s="129" t="s">
        <v>5616</v>
      </c>
      <c r="J42" s="132" t="s">
        <v>5614</v>
      </c>
      <c r="K42" s="131" t="s">
        <v>5616</v>
      </c>
      <c r="L42" s="131" t="s">
        <v>5616</v>
      </c>
      <c r="M42" s="131" t="s">
        <v>5616</v>
      </c>
      <c r="N42" s="132" t="s">
        <v>5614</v>
      </c>
      <c r="O42" s="132" t="s">
        <v>5616</v>
      </c>
      <c r="P42" s="132" t="s">
        <v>5614</v>
      </c>
      <c r="Q42" s="132" t="s">
        <v>5616</v>
      </c>
      <c r="R42" s="129" t="s">
        <v>5616</v>
      </c>
      <c r="S42" s="132" t="s">
        <v>5616</v>
      </c>
    </row>
    <row r="43">
      <c r="A43" s="132" t="s">
        <v>255</v>
      </c>
      <c r="B43" s="132" t="s">
        <v>256</v>
      </c>
      <c r="C43" s="141" t="s">
        <v>5637</v>
      </c>
      <c r="D43" s="132" t="s">
        <v>5614</v>
      </c>
      <c r="E43" s="132" t="s">
        <v>5614</v>
      </c>
      <c r="F43" s="129" t="s">
        <v>3851</v>
      </c>
      <c r="G43" s="132" t="s">
        <v>5614</v>
      </c>
      <c r="H43" s="132" t="s">
        <v>5614</v>
      </c>
      <c r="I43" s="132" t="s">
        <v>5614</v>
      </c>
      <c r="J43" s="132" t="s">
        <v>5614</v>
      </c>
      <c r="K43" s="131" t="s">
        <v>5616</v>
      </c>
      <c r="L43" s="131" t="s">
        <v>5616</v>
      </c>
      <c r="M43" s="131" t="s">
        <v>5616</v>
      </c>
      <c r="N43" s="132" t="s">
        <v>5616</v>
      </c>
      <c r="O43" s="132" t="s">
        <v>5616</v>
      </c>
      <c r="P43" s="133" t="s">
        <v>5616</v>
      </c>
      <c r="Q43" s="132" t="s">
        <v>5616</v>
      </c>
      <c r="R43" s="129" t="s">
        <v>5616</v>
      </c>
      <c r="S43" s="132" t="s">
        <v>5616</v>
      </c>
    </row>
    <row r="44">
      <c r="A44" s="132" t="s">
        <v>443</v>
      </c>
      <c r="B44" s="132" t="s">
        <v>3880</v>
      </c>
      <c r="C44" s="141">
        <v>45660.0</v>
      </c>
      <c r="D44" s="132" t="s">
        <v>5614</v>
      </c>
      <c r="E44" s="132" t="s">
        <v>5614</v>
      </c>
      <c r="F44" s="129" t="s">
        <v>3851</v>
      </c>
      <c r="G44" s="132" t="s">
        <v>5615</v>
      </c>
      <c r="H44" s="132" t="s">
        <v>5614</v>
      </c>
      <c r="I44" s="132" t="s">
        <v>5614</v>
      </c>
      <c r="J44" s="132" t="s">
        <v>5614</v>
      </c>
      <c r="K44" s="131" t="s">
        <v>5616</v>
      </c>
      <c r="L44" s="131" t="s">
        <v>5616</v>
      </c>
      <c r="M44" s="131" t="s">
        <v>5616</v>
      </c>
      <c r="N44" s="132" t="s">
        <v>5614</v>
      </c>
      <c r="O44" s="132" t="s">
        <v>5614</v>
      </c>
      <c r="P44" s="132" t="s">
        <v>5614</v>
      </c>
      <c r="Q44" s="132" t="s">
        <v>5616</v>
      </c>
      <c r="R44" s="129" t="s">
        <v>5616</v>
      </c>
      <c r="S44" s="132" t="s">
        <v>5616</v>
      </c>
    </row>
    <row r="45">
      <c r="A45" s="132" t="s">
        <v>185</v>
      </c>
      <c r="B45" s="132" t="s">
        <v>3881</v>
      </c>
      <c r="C45" s="141">
        <v>45660.0</v>
      </c>
      <c r="D45" s="132" t="s">
        <v>5614</v>
      </c>
      <c r="E45" s="132" t="s">
        <v>5614</v>
      </c>
      <c r="F45" s="129" t="s">
        <v>3851</v>
      </c>
      <c r="G45" s="132" t="s">
        <v>5614</v>
      </c>
      <c r="H45" s="132" t="s">
        <v>5614</v>
      </c>
      <c r="I45" s="132" t="s">
        <v>5614</v>
      </c>
      <c r="J45" s="132" t="s">
        <v>5614</v>
      </c>
      <c r="K45" s="131" t="s">
        <v>5616</v>
      </c>
      <c r="L45" s="131" t="s">
        <v>5616</v>
      </c>
      <c r="M45" s="131" t="s">
        <v>5616</v>
      </c>
      <c r="N45" s="132" t="s">
        <v>5616</v>
      </c>
      <c r="O45" s="132" t="s">
        <v>5616</v>
      </c>
      <c r="P45" s="132" t="s">
        <v>5616</v>
      </c>
      <c r="Q45" s="132" t="s">
        <v>5616</v>
      </c>
      <c r="R45" s="129" t="s">
        <v>5616</v>
      </c>
      <c r="S45" s="132" t="s">
        <v>5616</v>
      </c>
    </row>
    <row r="46">
      <c r="A46" s="132" t="s">
        <v>253</v>
      </c>
      <c r="B46" s="132" t="s">
        <v>254</v>
      </c>
      <c r="C46" s="141">
        <v>45663.0</v>
      </c>
      <c r="D46" s="132" t="s">
        <v>5614</v>
      </c>
      <c r="E46" s="132" t="s">
        <v>5614</v>
      </c>
      <c r="F46" s="132" t="s">
        <v>3851</v>
      </c>
      <c r="G46" s="132" t="s">
        <v>5614</v>
      </c>
      <c r="H46" s="132" t="s">
        <v>5614</v>
      </c>
      <c r="I46" s="129" t="s">
        <v>5616</v>
      </c>
      <c r="J46" s="132" t="s">
        <v>5614</v>
      </c>
      <c r="K46" s="131" t="s">
        <v>5616</v>
      </c>
      <c r="L46" s="131" t="s">
        <v>5616</v>
      </c>
      <c r="M46" s="131" t="s">
        <v>5616</v>
      </c>
      <c r="N46" s="132" t="s">
        <v>5616</v>
      </c>
      <c r="O46" s="129" t="s">
        <v>5614</v>
      </c>
      <c r="P46" s="132" t="s">
        <v>5614</v>
      </c>
      <c r="Q46" s="132" t="s">
        <v>5616</v>
      </c>
      <c r="R46" s="129" t="s">
        <v>5616</v>
      </c>
      <c r="S46" s="132" t="s">
        <v>5616</v>
      </c>
    </row>
    <row r="47">
      <c r="A47" s="132" t="s">
        <v>3882</v>
      </c>
      <c r="B47" s="132" t="s">
        <v>3883</v>
      </c>
      <c r="C47" s="141">
        <v>45663.0</v>
      </c>
      <c r="D47" s="132" t="s">
        <v>5614</v>
      </c>
      <c r="E47" s="132" t="s">
        <v>5614</v>
      </c>
      <c r="F47" s="129" t="s">
        <v>3851</v>
      </c>
      <c r="G47" s="132" t="s">
        <v>5614</v>
      </c>
      <c r="H47" s="132" t="s">
        <v>5614</v>
      </c>
      <c r="I47" s="129" t="s">
        <v>5616</v>
      </c>
      <c r="J47" s="132" t="s">
        <v>5614</v>
      </c>
      <c r="K47" s="131" t="s">
        <v>5616</v>
      </c>
      <c r="L47" s="131" t="s">
        <v>5616</v>
      </c>
      <c r="M47" s="131" t="s">
        <v>5616</v>
      </c>
      <c r="N47" s="132" t="s">
        <v>5614</v>
      </c>
      <c r="O47" s="132" t="s">
        <v>5616</v>
      </c>
      <c r="P47" s="133" t="s">
        <v>5616</v>
      </c>
      <c r="Q47" s="132" t="s">
        <v>5616</v>
      </c>
      <c r="R47" s="129" t="s">
        <v>5616</v>
      </c>
      <c r="S47" s="132" t="s">
        <v>5616</v>
      </c>
    </row>
    <row r="48">
      <c r="A48" s="132" t="s">
        <v>515</v>
      </c>
      <c r="B48" s="132" t="s">
        <v>516</v>
      </c>
      <c r="C48" s="141">
        <v>45665.0</v>
      </c>
      <c r="D48" s="132" t="s">
        <v>5614</v>
      </c>
      <c r="E48" s="132" t="s">
        <v>5614</v>
      </c>
      <c r="F48" s="129" t="s">
        <v>3851</v>
      </c>
      <c r="G48" s="132" t="s">
        <v>5615</v>
      </c>
      <c r="H48" s="132" t="s">
        <v>5614</v>
      </c>
      <c r="I48" s="132" t="s">
        <v>5616</v>
      </c>
      <c r="J48" s="132" t="s">
        <v>5614</v>
      </c>
      <c r="K48" s="131" t="s">
        <v>5616</v>
      </c>
      <c r="L48" s="131" t="s">
        <v>5616</v>
      </c>
      <c r="M48" s="131" t="s">
        <v>5616</v>
      </c>
      <c r="N48" s="132" t="s">
        <v>5614</v>
      </c>
      <c r="O48" s="132" t="s">
        <v>5614</v>
      </c>
      <c r="P48" s="132" t="s">
        <v>5616</v>
      </c>
      <c r="Q48" s="132" t="s">
        <v>5616</v>
      </c>
      <c r="R48" s="129" t="s">
        <v>5616</v>
      </c>
      <c r="S48" s="132" t="s">
        <v>5616</v>
      </c>
    </row>
    <row r="49">
      <c r="A49" s="132" t="s">
        <v>3884</v>
      </c>
      <c r="B49" s="132" t="s">
        <v>3885</v>
      </c>
      <c r="C49" s="141">
        <v>45670.0</v>
      </c>
      <c r="D49" s="132" t="s">
        <v>5614</v>
      </c>
      <c r="E49" s="132" t="s">
        <v>5614</v>
      </c>
      <c r="F49" s="129" t="s">
        <v>3851</v>
      </c>
      <c r="G49" s="132" t="s">
        <v>5615</v>
      </c>
      <c r="H49" s="132" t="s">
        <v>5614</v>
      </c>
      <c r="I49" s="132" t="s">
        <v>5616</v>
      </c>
      <c r="J49" s="132" t="s">
        <v>5614</v>
      </c>
      <c r="K49" s="131" t="s">
        <v>5616</v>
      </c>
      <c r="L49" s="131" t="s">
        <v>5616</v>
      </c>
      <c r="M49" s="131" t="s">
        <v>5616</v>
      </c>
      <c r="N49" s="132" t="s">
        <v>5616</v>
      </c>
      <c r="O49" s="132" t="s">
        <v>5616</v>
      </c>
      <c r="P49" s="133" t="s">
        <v>5616</v>
      </c>
      <c r="Q49" s="132" t="s">
        <v>5616</v>
      </c>
      <c r="R49" s="129" t="s">
        <v>5616</v>
      </c>
      <c r="S49" s="132" t="s">
        <v>5616</v>
      </c>
    </row>
    <row r="50">
      <c r="A50" s="132" t="s">
        <v>263</v>
      </c>
      <c r="B50" s="132" t="s">
        <v>264</v>
      </c>
      <c r="C50" s="141" t="s">
        <v>5638</v>
      </c>
      <c r="D50" s="132" t="s">
        <v>5614</v>
      </c>
      <c r="E50" s="132" t="s">
        <v>5614</v>
      </c>
      <c r="F50" s="132" t="s">
        <v>3851</v>
      </c>
      <c r="G50" s="132" t="s">
        <v>5614</v>
      </c>
      <c r="H50" s="132" t="s">
        <v>5614</v>
      </c>
      <c r="I50" s="132" t="s">
        <v>5614</v>
      </c>
      <c r="J50" s="132" t="s">
        <v>5614</v>
      </c>
      <c r="K50" s="131" t="s">
        <v>5616</v>
      </c>
      <c r="L50" s="131" t="s">
        <v>5616</v>
      </c>
      <c r="M50" s="131" t="s">
        <v>5616</v>
      </c>
      <c r="N50" s="132" t="s">
        <v>5616</v>
      </c>
      <c r="O50" s="132" t="s">
        <v>5616</v>
      </c>
      <c r="P50" s="133" t="s">
        <v>5616</v>
      </c>
      <c r="Q50" s="132" t="s">
        <v>5616</v>
      </c>
      <c r="R50" s="129" t="s">
        <v>5616</v>
      </c>
      <c r="S50" s="132" t="s">
        <v>5614</v>
      </c>
    </row>
    <row r="51">
      <c r="A51" s="132" t="s">
        <v>149</v>
      </c>
      <c r="B51" s="132" t="s">
        <v>150</v>
      </c>
      <c r="C51" s="141" t="s">
        <v>5638</v>
      </c>
      <c r="D51" s="132" t="s">
        <v>5614</v>
      </c>
      <c r="E51" s="132" t="s">
        <v>5614</v>
      </c>
      <c r="F51" s="129" t="s">
        <v>3851</v>
      </c>
      <c r="G51" s="132" t="s">
        <v>5615</v>
      </c>
      <c r="H51" s="132" t="s">
        <v>5614</v>
      </c>
      <c r="I51" s="129" t="s">
        <v>5616</v>
      </c>
      <c r="J51" s="132" t="s">
        <v>5614</v>
      </c>
      <c r="K51" s="131" t="s">
        <v>5616</v>
      </c>
      <c r="L51" s="131" t="s">
        <v>5616</v>
      </c>
      <c r="M51" s="131" t="s">
        <v>5616</v>
      </c>
      <c r="N51" s="132" t="s">
        <v>5616</v>
      </c>
      <c r="O51" s="132" t="s">
        <v>5616</v>
      </c>
      <c r="P51" s="132" t="s">
        <v>5614</v>
      </c>
      <c r="Q51" s="132" t="s">
        <v>5616</v>
      </c>
      <c r="R51" s="132" t="s">
        <v>5614</v>
      </c>
      <c r="S51" s="132" t="s">
        <v>5614</v>
      </c>
    </row>
    <row r="52">
      <c r="A52" s="132" t="s">
        <v>391</v>
      </c>
      <c r="B52" s="132" t="s">
        <v>392</v>
      </c>
      <c r="C52" s="141" t="s">
        <v>5638</v>
      </c>
      <c r="D52" s="132" t="s">
        <v>5614</v>
      </c>
      <c r="E52" s="132" t="s">
        <v>5614</v>
      </c>
      <c r="F52" s="129" t="s">
        <v>3851</v>
      </c>
      <c r="G52" s="132" t="s">
        <v>5615</v>
      </c>
      <c r="H52" s="132" t="s">
        <v>5614</v>
      </c>
      <c r="I52" s="129" t="s">
        <v>5616</v>
      </c>
      <c r="J52" s="132" t="s">
        <v>5614</v>
      </c>
      <c r="K52" s="131" t="s">
        <v>5616</v>
      </c>
      <c r="L52" s="131" t="s">
        <v>5616</v>
      </c>
      <c r="M52" s="131" t="s">
        <v>5616</v>
      </c>
      <c r="N52" s="132" t="s">
        <v>5616</v>
      </c>
      <c r="O52" s="132" t="s">
        <v>5616</v>
      </c>
      <c r="P52" s="132" t="s">
        <v>5614</v>
      </c>
      <c r="Q52" s="132" t="s">
        <v>5616</v>
      </c>
      <c r="R52" s="129" t="s">
        <v>5616</v>
      </c>
      <c r="S52" s="132" t="s">
        <v>5614</v>
      </c>
    </row>
    <row r="53">
      <c r="A53" s="133" t="s">
        <v>753</v>
      </c>
      <c r="B53" s="133" t="s">
        <v>3886</v>
      </c>
      <c r="C53" s="142" t="s">
        <v>5639</v>
      </c>
      <c r="D53" s="133" t="s">
        <v>5614</v>
      </c>
      <c r="E53" s="133" t="s">
        <v>5614</v>
      </c>
      <c r="F53" s="133" t="s">
        <v>3851</v>
      </c>
      <c r="G53" s="133" t="s">
        <v>5614</v>
      </c>
      <c r="H53" s="133" t="s">
        <v>5614</v>
      </c>
      <c r="I53" s="133" t="s">
        <v>5614</v>
      </c>
      <c r="J53" s="133" t="s">
        <v>5614</v>
      </c>
      <c r="K53" s="131" t="s">
        <v>5616</v>
      </c>
      <c r="L53" s="131" t="s">
        <v>5616</v>
      </c>
      <c r="M53" s="131" t="s">
        <v>5616</v>
      </c>
      <c r="N53" s="132" t="s">
        <v>5616</v>
      </c>
      <c r="O53" s="132" t="s">
        <v>5616</v>
      </c>
      <c r="P53" s="133" t="s">
        <v>5616</v>
      </c>
      <c r="Q53" s="132" t="s">
        <v>5616</v>
      </c>
      <c r="R53" s="129" t="s">
        <v>5616</v>
      </c>
      <c r="S53" s="132" t="s">
        <v>5616</v>
      </c>
    </row>
    <row r="54">
      <c r="A54" s="132" t="s">
        <v>3895</v>
      </c>
      <c r="B54" s="132" t="s">
        <v>542</v>
      </c>
      <c r="C54" s="141">
        <v>45718.0</v>
      </c>
      <c r="D54" s="132" t="s">
        <v>5614</v>
      </c>
      <c r="E54" s="132" t="s">
        <v>5614</v>
      </c>
      <c r="F54" s="133" t="s">
        <v>3851</v>
      </c>
      <c r="G54" s="132" t="s">
        <v>5614</v>
      </c>
      <c r="H54" s="132" t="s">
        <v>5614</v>
      </c>
      <c r="I54" s="132" t="s">
        <v>5616</v>
      </c>
      <c r="J54" s="132" t="s">
        <v>5614</v>
      </c>
      <c r="K54" s="131" t="s">
        <v>5616</v>
      </c>
      <c r="L54" s="131" t="s">
        <v>5616</v>
      </c>
      <c r="M54" s="131" t="s">
        <v>5616</v>
      </c>
      <c r="N54" s="132" t="s">
        <v>5616</v>
      </c>
      <c r="O54" s="132" t="s">
        <v>5616</v>
      </c>
      <c r="P54" s="132" t="s">
        <v>5614</v>
      </c>
      <c r="Q54" s="132" t="s">
        <v>5616</v>
      </c>
      <c r="R54" s="129" t="s">
        <v>5616</v>
      </c>
      <c r="S54" s="132" t="s">
        <v>5616</v>
      </c>
    </row>
    <row r="55">
      <c r="A55" s="132" t="s">
        <v>783</v>
      </c>
      <c r="B55" s="132" t="s">
        <v>784</v>
      </c>
      <c r="C55" s="141">
        <v>45779.0</v>
      </c>
      <c r="D55" s="132" t="s">
        <v>5614</v>
      </c>
      <c r="E55" s="132" t="s">
        <v>5614</v>
      </c>
      <c r="F55" s="129" t="s">
        <v>3851</v>
      </c>
      <c r="G55" s="132" t="s">
        <v>5614</v>
      </c>
      <c r="H55" s="132" t="s">
        <v>5614</v>
      </c>
      <c r="I55" s="132" t="s">
        <v>5614</v>
      </c>
      <c r="J55" s="132" t="s">
        <v>5614</v>
      </c>
      <c r="K55" s="131" t="s">
        <v>5616</v>
      </c>
      <c r="L55" s="131" t="s">
        <v>5616</v>
      </c>
      <c r="M55" s="131" t="s">
        <v>5616</v>
      </c>
      <c r="N55" s="132" t="s">
        <v>5616</v>
      </c>
      <c r="O55" s="132" t="s">
        <v>5616</v>
      </c>
      <c r="P55" s="132" t="s">
        <v>5616</v>
      </c>
      <c r="Q55" s="132" t="s">
        <v>5616</v>
      </c>
      <c r="R55" s="132" t="s">
        <v>5616</v>
      </c>
      <c r="S55" s="132" t="s">
        <v>5616</v>
      </c>
    </row>
    <row r="56">
      <c r="A56" s="132" t="s">
        <v>3910</v>
      </c>
      <c r="B56" s="132" t="s">
        <v>913</v>
      </c>
      <c r="C56" s="141">
        <v>45810.0</v>
      </c>
      <c r="D56" s="132" t="s">
        <v>5614</v>
      </c>
      <c r="E56" s="132" t="s">
        <v>5614</v>
      </c>
      <c r="F56" s="129" t="s">
        <v>3851</v>
      </c>
      <c r="G56" s="132" t="s">
        <v>5616</v>
      </c>
      <c r="H56" s="132" t="s">
        <v>5614</v>
      </c>
      <c r="I56" s="132" t="s">
        <v>5616</v>
      </c>
      <c r="J56" s="132" t="s">
        <v>5614</v>
      </c>
      <c r="K56" s="131" t="s">
        <v>5616</v>
      </c>
      <c r="L56" s="131" t="s">
        <v>5616</v>
      </c>
      <c r="M56" s="131" t="s">
        <v>5616</v>
      </c>
      <c r="N56" s="132" t="s">
        <v>5614</v>
      </c>
      <c r="O56" s="132" t="s">
        <v>5614</v>
      </c>
      <c r="P56" s="132" t="s">
        <v>5616</v>
      </c>
      <c r="Q56" s="132" t="s">
        <v>5616</v>
      </c>
      <c r="R56" s="132" t="s">
        <v>5616</v>
      </c>
      <c r="S56" s="132" t="s">
        <v>5616</v>
      </c>
    </row>
    <row r="57">
      <c r="A57" s="132" t="s">
        <v>902</v>
      </c>
      <c r="B57" s="143" t="s">
        <v>5640</v>
      </c>
      <c r="C57" s="141">
        <v>45932.0</v>
      </c>
      <c r="D57" s="132" t="s">
        <v>5614</v>
      </c>
      <c r="E57" s="132" t="s">
        <v>5614</v>
      </c>
      <c r="F57" s="133" t="s">
        <v>3851</v>
      </c>
      <c r="G57" s="132" t="s">
        <v>5614</v>
      </c>
      <c r="H57" s="132" t="s">
        <v>5614</v>
      </c>
      <c r="I57" s="132" t="s">
        <v>5616</v>
      </c>
      <c r="J57" s="132" t="s">
        <v>5614</v>
      </c>
      <c r="K57" s="131" t="s">
        <v>5616</v>
      </c>
      <c r="L57" s="131" t="s">
        <v>5616</v>
      </c>
      <c r="M57" s="131" t="s">
        <v>5616</v>
      </c>
      <c r="N57" s="132" t="s">
        <v>5616</v>
      </c>
      <c r="O57" s="132" t="s">
        <v>5616</v>
      </c>
      <c r="P57" s="132" t="s">
        <v>5614</v>
      </c>
      <c r="Q57" s="132" t="s">
        <v>5616</v>
      </c>
      <c r="R57" s="132" t="s">
        <v>5616</v>
      </c>
      <c r="S57" s="132" t="s">
        <v>5616</v>
      </c>
    </row>
    <row r="58">
      <c r="A58" s="144" t="s">
        <v>845</v>
      </c>
      <c r="B58" s="144" t="s">
        <v>4008</v>
      </c>
      <c r="C58" s="145">
        <v>45932.0</v>
      </c>
      <c r="D58" s="132" t="s">
        <v>5614</v>
      </c>
      <c r="E58" s="144" t="s">
        <v>5614</v>
      </c>
      <c r="F58" s="133" t="s">
        <v>3851</v>
      </c>
      <c r="G58" s="144" t="s">
        <v>5614</v>
      </c>
      <c r="H58" s="132" t="s">
        <v>5614</v>
      </c>
      <c r="I58" s="144" t="s">
        <v>5616</v>
      </c>
      <c r="J58" s="144" t="s">
        <v>5614</v>
      </c>
      <c r="K58" s="131" t="s">
        <v>5616</v>
      </c>
      <c r="L58" s="131" t="s">
        <v>5616</v>
      </c>
      <c r="M58" s="131" t="s">
        <v>5616</v>
      </c>
      <c r="N58" s="132" t="s">
        <v>5616</v>
      </c>
      <c r="O58" s="144" t="s">
        <v>5616</v>
      </c>
      <c r="P58" s="144" t="s">
        <v>5616</v>
      </c>
      <c r="Q58" s="144" t="s">
        <v>5616</v>
      </c>
      <c r="R58" s="144" t="s">
        <v>5616</v>
      </c>
      <c r="S58" s="144" t="s">
        <v>5616</v>
      </c>
    </row>
    <row r="59">
      <c r="A59" s="132" t="s">
        <v>3889</v>
      </c>
      <c r="B59" s="144" t="s">
        <v>772</v>
      </c>
      <c r="C59" s="141">
        <v>45701.0</v>
      </c>
      <c r="D59" s="132" t="s">
        <v>5614</v>
      </c>
      <c r="E59" s="132" t="s">
        <v>5614</v>
      </c>
      <c r="F59" s="133" t="s">
        <v>3851</v>
      </c>
      <c r="G59" s="132" t="s">
        <v>5614</v>
      </c>
      <c r="H59" s="132" t="s">
        <v>5614</v>
      </c>
      <c r="I59" s="132" t="s">
        <v>5616</v>
      </c>
      <c r="J59" s="132" t="s">
        <v>5614</v>
      </c>
      <c r="K59" s="131" t="s">
        <v>5616</v>
      </c>
      <c r="L59" s="131" t="s">
        <v>5616</v>
      </c>
      <c r="M59" s="131" t="s">
        <v>5616</v>
      </c>
      <c r="N59" s="132" t="s">
        <v>5614</v>
      </c>
      <c r="O59" s="132" t="s">
        <v>5616</v>
      </c>
      <c r="P59" s="132" t="s">
        <v>5614</v>
      </c>
      <c r="Q59" s="132" t="s">
        <v>5616</v>
      </c>
      <c r="R59" s="132" t="s">
        <v>5616</v>
      </c>
      <c r="S59" s="132" t="s">
        <v>5616</v>
      </c>
    </row>
    <row r="60">
      <c r="A60" s="132" t="s">
        <v>3888</v>
      </c>
      <c r="B60" s="132" t="s">
        <v>250</v>
      </c>
      <c r="C60" s="141">
        <v>45701.0</v>
      </c>
      <c r="D60" s="132" t="s">
        <v>5614</v>
      </c>
      <c r="E60" s="132" t="s">
        <v>5614</v>
      </c>
      <c r="F60" s="133" t="s">
        <v>3851</v>
      </c>
      <c r="G60" s="132" t="s">
        <v>5614</v>
      </c>
      <c r="H60" s="132" t="s">
        <v>5614</v>
      </c>
      <c r="I60" s="132" t="s">
        <v>5614</v>
      </c>
      <c r="J60" s="132" t="s">
        <v>5614</v>
      </c>
      <c r="K60" s="131" t="s">
        <v>5616</v>
      </c>
      <c r="L60" s="131" t="s">
        <v>5616</v>
      </c>
      <c r="M60" s="131" t="s">
        <v>5616</v>
      </c>
      <c r="N60" s="132" t="s">
        <v>5614</v>
      </c>
      <c r="O60" s="132" t="s">
        <v>5616</v>
      </c>
      <c r="P60" s="132" t="s">
        <v>5616</v>
      </c>
      <c r="Q60" s="132" t="s">
        <v>5616</v>
      </c>
      <c r="R60" s="132" t="s">
        <v>5616</v>
      </c>
      <c r="S60" s="132" t="s">
        <v>5616</v>
      </c>
    </row>
    <row r="61">
      <c r="A61" s="132" t="s">
        <v>3890</v>
      </c>
      <c r="B61" s="132" t="s">
        <v>268</v>
      </c>
      <c r="C61" s="141">
        <v>45709.0</v>
      </c>
      <c r="D61" s="132" t="s">
        <v>5614</v>
      </c>
      <c r="E61" s="132" t="s">
        <v>5614</v>
      </c>
      <c r="F61" s="133" t="s">
        <v>3851</v>
      </c>
      <c r="G61" s="132" t="s">
        <v>5614</v>
      </c>
      <c r="H61" s="132" t="s">
        <v>5614</v>
      </c>
      <c r="I61" s="132" t="s">
        <v>5616</v>
      </c>
      <c r="J61" s="132" t="s">
        <v>5614</v>
      </c>
      <c r="K61" s="131" t="s">
        <v>5616</v>
      </c>
      <c r="L61" s="131" t="s">
        <v>5616</v>
      </c>
      <c r="M61" s="131" t="s">
        <v>5616</v>
      </c>
      <c r="N61" s="132" t="s">
        <v>5616</v>
      </c>
      <c r="O61" s="132" t="s">
        <v>5616</v>
      </c>
      <c r="P61" s="132" t="s">
        <v>5614</v>
      </c>
      <c r="Q61" s="132" t="s">
        <v>5616</v>
      </c>
      <c r="R61" s="132" t="s">
        <v>5616</v>
      </c>
      <c r="S61" s="132" t="s">
        <v>5614</v>
      </c>
    </row>
    <row r="62">
      <c r="A62" s="132" t="s">
        <v>3891</v>
      </c>
      <c r="B62" s="132" t="s">
        <v>176</v>
      </c>
      <c r="C62" s="141">
        <v>45714.0</v>
      </c>
      <c r="D62" s="132" t="s">
        <v>5614</v>
      </c>
      <c r="E62" s="132" t="s">
        <v>5614</v>
      </c>
      <c r="F62" s="133" t="s">
        <v>3851</v>
      </c>
      <c r="G62" s="132" t="s">
        <v>5614</v>
      </c>
      <c r="H62" s="132" t="s">
        <v>5614</v>
      </c>
      <c r="I62" s="132" t="s">
        <v>5616</v>
      </c>
      <c r="J62" s="132" t="s">
        <v>5614</v>
      </c>
      <c r="K62" s="131" t="s">
        <v>5616</v>
      </c>
      <c r="L62" s="131" t="s">
        <v>5616</v>
      </c>
      <c r="M62" s="131" t="s">
        <v>5616</v>
      </c>
      <c r="N62" s="132" t="s">
        <v>5616</v>
      </c>
      <c r="O62" s="132" t="s">
        <v>5616</v>
      </c>
      <c r="P62" s="132" t="s">
        <v>5614</v>
      </c>
      <c r="Q62" s="132" t="s">
        <v>5616</v>
      </c>
      <c r="R62" s="132" t="s">
        <v>5616</v>
      </c>
      <c r="S62" s="132" t="s">
        <v>5616</v>
      </c>
    </row>
    <row r="63">
      <c r="A63" s="132" t="s">
        <v>225</v>
      </c>
      <c r="B63" s="132" t="s">
        <v>226</v>
      </c>
      <c r="C63" s="141">
        <v>45715.0</v>
      </c>
      <c r="D63" s="132" t="s">
        <v>5614</v>
      </c>
      <c r="E63" s="132" t="s">
        <v>5614</v>
      </c>
      <c r="F63" s="133" t="s">
        <v>3851</v>
      </c>
      <c r="G63" s="132" t="s">
        <v>5614</v>
      </c>
      <c r="H63" s="132" t="s">
        <v>5614</v>
      </c>
      <c r="I63" s="132" t="s">
        <v>5614</v>
      </c>
      <c r="J63" s="132" t="s">
        <v>5614</v>
      </c>
      <c r="K63" s="131" t="s">
        <v>5616</v>
      </c>
      <c r="L63" s="131" t="s">
        <v>5616</v>
      </c>
      <c r="M63" s="131" t="s">
        <v>5616</v>
      </c>
      <c r="N63" s="132" t="s">
        <v>5614</v>
      </c>
      <c r="O63" s="132" t="s">
        <v>5616</v>
      </c>
      <c r="P63" s="132" t="s">
        <v>5614</v>
      </c>
      <c r="Q63" s="132" t="s">
        <v>5616</v>
      </c>
      <c r="R63" s="132" t="s">
        <v>5614</v>
      </c>
      <c r="S63" s="132" t="s">
        <v>5616</v>
      </c>
    </row>
    <row r="64">
      <c r="A64" s="132" t="s">
        <v>1006</v>
      </c>
      <c r="B64" s="132" t="s">
        <v>3892</v>
      </c>
      <c r="C64" s="141">
        <v>45716.0</v>
      </c>
      <c r="D64" s="132" t="s">
        <v>5614</v>
      </c>
      <c r="E64" s="132" t="s">
        <v>5614</v>
      </c>
      <c r="F64" s="133" t="s">
        <v>3851</v>
      </c>
      <c r="G64" s="132" t="s">
        <v>5614</v>
      </c>
      <c r="H64" s="132" t="s">
        <v>5614</v>
      </c>
      <c r="I64" s="132" t="s">
        <v>5614</v>
      </c>
      <c r="J64" s="132" t="s">
        <v>5614</v>
      </c>
      <c r="K64" s="131" t="s">
        <v>5616</v>
      </c>
      <c r="L64" s="131" t="s">
        <v>5616</v>
      </c>
      <c r="M64" s="131" t="s">
        <v>5616</v>
      </c>
      <c r="N64" s="132" t="s">
        <v>5616</v>
      </c>
      <c r="O64" s="132" t="s">
        <v>5616</v>
      </c>
      <c r="P64" s="132" t="s">
        <v>5616</v>
      </c>
      <c r="Q64" s="132" t="s">
        <v>5616</v>
      </c>
      <c r="R64" s="132" t="s">
        <v>5616</v>
      </c>
      <c r="S64" s="132" t="s">
        <v>5616</v>
      </c>
    </row>
    <row r="65">
      <c r="A65" s="132" t="s">
        <v>199</v>
      </c>
      <c r="B65" s="132" t="s">
        <v>3893</v>
      </c>
      <c r="C65" s="141">
        <v>45716.0</v>
      </c>
      <c r="D65" s="132" t="s">
        <v>5614</v>
      </c>
      <c r="E65" s="132" t="s">
        <v>5614</v>
      </c>
      <c r="F65" s="133" t="s">
        <v>3851</v>
      </c>
      <c r="G65" s="132" t="s">
        <v>5614</v>
      </c>
      <c r="H65" s="132" t="s">
        <v>5614</v>
      </c>
      <c r="I65" s="132" t="s">
        <v>5614</v>
      </c>
      <c r="J65" s="132" t="s">
        <v>5614</v>
      </c>
      <c r="K65" s="131" t="s">
        <v>5616</v>
      </c>
      <c r="L65" s="131" t="s">
        <v>5616</v>
      </c>
      <c r="M65" s="131" t="s">
        <v>5616</v>
      </c>
      <c r="N65" s="132" t="s">
        <v>5616</v>
      </c>
      <c r="O65" s="132" t="s">
        <v>5616</v>
      </c>
      <c r="P65" s="132" t="s">
        <v>5616</v>
      </c>
      <c r="Q65" s="132" t="s">
        <v>5616</v>
      </c>
      <c r="R65" s="132" t="s">
        <v>5616</v>
      </c>
      <c r="S65" s="132" t="s">
        <v>5616</v>
      </c>
    </row>
    <row r="66">
      <c r="A66" s="132" t="s">
        <v>546</v>
      </c>
      <c r="B66" s="132" t="s">
        <v>3894</v>
      </c>
      <c r="C66" s="141">
        <v>45716.0</v>
      </c>
      <c r="D66" s="132" t="s">
        <v>5614</v>
      </c>
      <c r="E66" s="132" t="s">
        <v>5614</v>
      </c>
      <c r="F66" s="133" t="s">
        <v>3851</v>
      </c>
      <c r="G66" s="132" t="s">
        <v>5614</v>
      </c>
      <c r="H66" s="132" t="s">
        <v>5614</v>
      </c>
      <c r="I66" s="132" t="s">
        <v>5616</v>
      </c>
      <c r="J66" s="132" t="s">
        <v>5614</v>
      </c>
      <c r="K66" s="131" t="s">
        <v>5616</v>
      </c>
      <c r="L66" s="131" t="s">
        <v>5616</v>
      </c>
      <c r="M66" s="131" t="s">
        <v>5616</v>
      </c>
      <c r="N66" s="132" t="s">
        <v>5616</v>
      </c>
      <c r="O66" s="132" t="s">
        <v>5616</v>
      </c>
      <c r="P66" s="132" t="s">
        <v>5614</v>
      </c>
      <c r="Q66" s="132" t="s">
        <v>5616</v>
      </c>
      <c r="R66" s="132" t="s">
        <v>5616</v>
      </c>
      <c r="S66" s="132" t="s">
        <v>5616</v>
      </c>
    </row>
    <row r="67">
      <c r="A67" s="132" t="s">
        <v>407</v>
      </c>
      <c r="B67" s="132" t="s">
        <v>5641</v>
      </c>
      <c r="C67" s="141">
        <v>45716.0</v>
      </c>
      <c r="D67" s="132" t="s">
        <v>5614</v>
      </c>
      <c r="E67" s="132" t="s">
        <v>5614</v>
      </c>
      <c r="F67" s="133" t="s">
        <v>3851</v>
      </c>
      <c r="G67" s="132" t="s">
        <v>5614</v>
      </c>
      <c r="H67" s="132" t="s">
        <v>5614</v>
      </c>
      <c r="I67" s="132" t="s">
        <v>5616</v>
      </c>
      <c r="J67" s="132" t="s">
        <v>5614</v>
      </c>
      <c r="K67" s="131" t="s">
        <v>5616</v>
      </c>
      <c r="L67" s="131" t="s">
        <v>5616</v>
      </c>
      <c r="M67" s="131" t="s">
        <v>5616</v>
      </c>
      <c r="N67" s="132" t="s">
        <v>5616</v>
      </c>
      <c r="O67" s="132" t="s">
        <v>5614</v>
      </c>
      <c r="P67" s="132" t="s">
        <v>5614</v>
      </c>
      <c r="Q67" s="132" t="s">
        <v>5616</v>
      </c>
      <c r="R67" s="132" t="s">
        <v>5616</v>
      </c>
      <c r="S67" s="132" t="s">
        <v>5616</v>
      </c>
    </row>
    <row r="68">
      <c r="A68" s="132" t="s">
        <v>5642</v>
      </c>
      <c r="B68" s="129" t="s">
        <v>626</v>
      </c>
      <c r="C68" s="141">
        <v>45719.0</v>
      </c>
      <c r="D68" s="139" t="s">
        <v>5614</v>
      </c>
      <c r="E68" s="139" t="s">
        <v>5614</v>
      </c>
      <c r="F68" s="146" t="s">
        <v>3851</v>
      </c>
      <c r="G68" s="139" t="s">
        <v>5614</v>
      </c>
      <c r="H68" s="139" t="s">
        <v>5614</v>
      </c>
      <c r="I68" s="139" t="s">
        <v>5614</v>
      </c>
      <c r="J68" s="139" t="s">
        <v>5614</v>
      </c>
      <c r="K68" s="131" t="s">
        <v>5616</v>
      </c>
      <c r="L68" s="131" t="s">
        <v>5616</v>
      </c>
      <c r="M68" s="131" t="s">
        <v>5616</v>
      </c>
      <c r="N68" s="139" t="s">
        <v>5616</v>
      </c>
      <c r="O68" s="139" t="s">
        <v>5616</v>
      </c>
      <c r="P68" s="139" t="s">
        <v>5616</v>
      </c>
      <c r="Q68" s="139" t="s">
        <v>5616</v>
      </c>
      <c r="R68" s="139" t="s">
        <v>5616</v>
      </c>
      <c r="S68" s="139" t="s">
        <v>5616</v>
      </c>
    </row>
    <row r="69">
      <c r="A69" s="139" t="s">
        <v>117</v>
      </c>
      <c r="B69" s="147" t="s">
        <v>5643</v>
      </c>
      <c r="C69" s="141">
        <v>45721.0</v>
      </c>
      <c r="D69" s="139" t="s">
        <v>5614</v>
      </c>
      <c r="E69" s="132" t="s">
        <v>5614</v>
      </c>
      <c r="F69" s="133" t="s">
        <v>3851</v>
      </c>
      <c r="G69" s="132" t="s">
        <v>5614</v>
      </c>
      <c r="H69" s="132" t="s">
        <v>5614</v>
      </c>
      <c r="I69" s="132" t="s">
        <v>5614</v>
      </c>
      <c r="J69" s="132" t="s">
        <v>5614</v>
      </c>
      <c r="K69" s="131" t="s">
        <v>5616</v>
      </c>
      <c r="L69" s="131" t="s">
        <v>5616</v>
      </c>
      <c r="M69" s="131" t="s">
        <v>5616</v>
      </c>
      <c r="N69" s="132" t="s">
        <v>5616</v>
      </c>
      <c r="O69" s="132" t="s">
        <v>5616</v>
      </c>
      <c r="P69" s="132" t="s">
        <v>5616</v>
      </c>
      <c r="Q69" s="132" t="s">
        <v>5616</v>
      </c>
      <c r="R69" s="132" t="s">
        <v>5616</v>
      </c>
      <c r="S69" s="132" t="s">
        <v>5616</v>
      </c>
    </row>
    <row r="70">
      <c r="A70" s="132" t="s">
        <v>707</v>
      </c>
      <c r="B70" s="132" t="s">
        <v>708</v>
      </c>
      <c r="C70" s="141">
        <v>45723.0</v>
      </c>
      <c r="D70" s="132" t="s">
        <v>5614</v>
      </c>
      <c r="E70" s="132" t="s">
        <v>5614</v>
      </c>
      <c r="F70" s="129" t="s">
        <v>3851</v>
      </c>
      <c r="G70" s="132" t="s">
        <v>5614</v>
      </c>
      <c r="H70" s="132" t="s">
        <v>5614</v>
      </c>
      <c r="I70" s="132" t="s">
        <v>5616</v>
      </c>
      <c r="J70" s="132" t="s">
        <v>5614</v>
      </c>
      <c r="K70" s="131" t="s">
        <v>5616</v>
      </c>
      <c r="L70" s="131" t="s">
        <v>5616</v>
      </c>
      <c r="M70" s="131" t="s">
        <v>5616</v>
      </c>
      <c r="N70" s="132" t="s">
        <v>5614</v>
      </c>
      <c r="O70" s="132" t="s">
        <v>5614</v>
      </c>
      <c r="P70" s="132" t="s">
        <v>5616</v>
      </c>
      <c r="Q70" s="132" t="s">
        <v>5616</v>
      </c>
      <c r="R70" s="132" t="s">
        <v>5616</v>
      </c>
      <c r="S70" s="132" t="s">
        <v>5616</v>
      </c>
    </row>
    <row r="71">
      <c r="A71" s="132" t="s">
        <v>345</v>
      </c>
      <c r="B71" s="132" t="s">
        <v>346</v>
      </c>
      <c r="C71" s="141">
        <v>45727.0</v>
      </c>
      <c r="D71" s="139" t="s">
        <v>5614</v>
      </c>
      <c r="E71" s="139" t="s">
        <v>5614</v>
      </c>
      <c r="F71" s="146" t="s">
        <v>3851</v>
      </c>
      <c r="G71" s="139" t="s">
        <v>5615</v>
      </c>
      <c r="H71" s="139" t="s">
        <v>5614</v>
      </c>
      <c r="I71" s="139" t="s">
        <v>5614</v>
      </c>
      <c r="J71" s="139" t="s">
        <v>5614</v>
      </c>
      <c r="K71" s="131" t="s">
        <v>5616</v>
      </c>
      <c r="L71" s="131" t="s">
        <v>5616</v>
      </c>
      <c r="M71" s="131" t="s">
        <v>5616</v>
      </c>
      <c r="N71" s="139" t="s">
        <v>5616</v>
      </c>
      <c r="O71" s="139" t="s">
        <v>5616</v>
      </c>
      <c r="P71" s="139" t="s">
        <v>5616</v>
      </c>
      <c r="Q71" s="139" t="s">
        <v>5616</v>
      </c>
      <c r="R71" s="139" t="s">
        <v>5616</v>
      </c>
      <c r="S71" s="139" t="s">
        <v>5616</v>
      </c>
    </row>
    <row r="72">
      <c r="A72" s="139" t="s">
        <v>891</v>
      </c>
      <c r="B72" s="147" t="s">
        <v>892</v>
      </c>
      <c r="C72" s="141">
        <v>45736.0</v>
      </c>
      <c r="D72" s="139" t="s">
        <v>5614</v>
      </c>
      <c r="E72" s="132" t="s">
        <v>5614</v>
      </c>
      <c r="F72" s="133" t="s">
        <v>3851</v>
      </c>
      <c r="G72" s="132" t="s">
        <v>5614</v>
      </c>
      <c r="H72" s="132" t="s">
        <v>5614</v>
      </c>
      <c r="I72" s="132" t="s">
        <v>5616</v>
      </c>
      <c r="J72" s="132" t="s">
        <v>5614</v>
      </c>
      <c r="K72" s="131" t="s">
        <v>5616</v>
      </c>
      <c r="L72" s="131" t="s">
        <v>5616</v>
      </c>
      <c r="M72" s="131" t="s">
        <v>5616</v>
      </c>
      <c r="N72" s="132" t="s">
        <v>5614</v>
      </c>
      <c r="O72" s="132" t="s">
        <v>5616</v>
      </c>
      <c r="P72" s="132" t="s">
        <v>5614</v>
      </c>
      <c r="Q72" s="132" t="s">
        <v>5616</v>
      </c>
      <c r="R72" s="132" t="s">
        <v>5616</v>
      </c>
      <c r="S72" s="132" t="s">
        <v>5616</v>
      </c>
    </row>
    <row r="73">
      <c r="A73" s="132" t="s">
        <v>3898</v>
      </c>
      <c r="B73" s="132" t="s">
        <v>390</v>
      </c>
      <c r="C73" s="141">
        <v>45736.0</v>
      </c>
      <c r="D73" s="132" t="s">
        <v>5614</v>
      </c>
      <c r="E73" s="132" t="s">
        <v>5614</v>
      </c>
      <c r="F73" s="133" t="s">
        <v>3851</v>
      </c>
      <c r="G73" s="132" t="s">
        <v>5614</v>
      </c>
      <c r="H73" s="132" t="s">
        <v>5614</v>
      </c>
      <c r="I73" s="132" t="s">
        <v>5614</v>
      </c>
      <c r="J73" s="132" t="s">
        <v>5614</v>
      </c>
      <c r="K73" s="131" t="s">
        <v>5616</v>
      </c>
      <c r="L73" s="131" t="s">
        <v>5616</v>
      </c>
      <c r="M73" s="131" t="s">
        <v>5616</v>
      </c>
      <c r="N73" s="132" t="s">
        <v>5616</v>
      </c>
      <c r="O73" s="132" t="s">
        <v>5616</v>
      </c>
      <c r="P73" s="132" t="s">
        <v>5614</v>
      </c>
      <c r="Q73" s="132" t="s">
        <v>5616</v>
      </c>
      <c r="R73" s="132" t="s">
        <v>5616</v>
      </c>
      <c r="S73" s="132" t="s">
        <v>5616</v>
      </c>
    </row>
    <row r="74">
      <c r="A74" s="132" t="s">
        <v>978</v>
      </c>
      <c r="B74" s="132" t="s">
        <v>5644</v>
      </c>
      <c r="C74" s="141">
        <v>45737.0</v>
      </c>
      <c r="D74" s="132" t="s">
        <v>5614</v>
      </c>
      <c r="E74" s="132" t="s">
        <v>5614</v>
      </c>
      <c r="F74" s="133" t="s">
        <v>3851</v>
      </c>
      <c r="G74" s="132" t="s">
        <v>5614</v>
      </c>
      <c r="H74" s="132" t="s">
        <v>5614</v>
      </c>
      <c r="I74" s="132" t="s">
        <v>5616</v>
      </c>
      <c r="J74" s="132" t="s">
        <v>5614</v>
      </c>
      <c r="K74" s="131" t="s">
        <v>5616</v>
      </c>
      <c r="L74" s="131" t="s">
        <v>5616</v>
      </c>
      <c r="M74" s="131" t="s">
        <v>5616</v>
      </c>
      <c r="N74" s="132" t="s">
        <v>5614</v>
      </c>
      <c r="O74" s="132" t="s">
        <v>5614</v>
      </c>
      <c r="P74" s="132" t="s">
        <v>5614</v>
      </c>
      <c r="Q74" s="132" t="s">
        <v>5614</v>
      </c>
      <c r="R74" s="132" t="s">
        <v>5614</v>
      </c>
      <c r="S74" s="132" t="s">
        <v>5616</v>
      </c>
    </row>
    <row r="75">
      <c r="A75" s="132" t="s">
        <v>3899</v>
      </c>
      <c r="B75" s="132" t="s">
        <v>650</v>
      </c>
      <c r="C75" s="141">
        <v>45741.0</v>
      </c>
      <c r="D75" s="132" t="s">
        <v>5614</v>
      </c>
      <c r="E75" s="132" t="s">
        <v>5614</v>
      </c>
      <c r="F75" s="133" t="s">
        <v>3851</v>
      </c>
      <c r="G75" s="132" t="s">
        <v>5614</v>
      </c>
      <c r="H75" s="132" t="s">
        <v>5614</v>
      </c>
      <c r="I75" s="132" t="s">
        <v>5616</v>
      </c>
      <c r="J75" s="132" t="s">
        <v>5614</v>
      </c>
      <c r="K75" s="131" t="s">
        <v>5616</v>
      </c>
      <c r="L75" s="131" t="s">
        <v>5616</v>
      </c>
      <c r="M75" s="131" t="s">
        <v>5616</v>
      </c>
      <c r="N75" s="132" t="s">
        <v>5616</v>
      </c>
      <c r="O75" s="132" t="s">
        <v>5616</v>
      </c>
      <c r="P75" s="132" t="s">
        <v>5614</v>
      </c>
      <c r="Q75" s="132" t="s">
        <v>5616</v>
      </c>
      <c r="R75" s="132" t="s">
        <v>5616</v>
      </c>
      <c r="S75" s="132" t="s">
        <v>5616</v>
      </c>
    </row>
    <row r="76">
      <c r="A76" s="132" t="s">
        <v>231</v>
      </c>
      <c r="B76" s="132" t="s">
        <v>232</v>
      </c>
      <c r="C76" s="141">
        <v>45744.0</v>
      </c>
      <c r="D76" s="132" t="s">
        <v>5614</v>
      </c>
      <c r="E76" s="132" t="s">
        <v>5614</v>
      </c>
      <c r="F76" s="133" t="s">
        <v>3851</v>
      </c>
      <c r="G76" s="132" t="s">
        <v>5614</v>
      </c>
      <c r="H76" s="132" t="s">
        <v>5614</v>
      </c>
      <c r="I76" s="132" t="s">
        <v>5616</v>
      </c>
      <c r="J76" s="132" t="s">
        <v>5614</v>
      </c>
      <c r="K76" s="131" t="s">
        <v>5616</v>
      </c>
      <c r="L76" s="131" t="s">
        <v>5616</v>
      </c>
      <c r="M76" s="131" t="s">
        <v>5616</v>
      </c>
      <c r="N76" s="132" t="s">
        <v>5616</v>
      </c>
      <c r="O76" s="132" t="s">
        <v>5616</v>
      </c>
      <c r="P76" s="132" t="s">
        <v>5614</v>
      </c>
      <c r="Q76" s="132" t="s">
        <v>5616</v>
      </c>
      <c r="R76" s="132" t="s">
        <v>5616</v>
      </c>
      <c r="S76" s="132" t="s">
        <v>5616</v>
      </c>
    </row>
    <row r="77">
      <c r="A77" s="132" t="s">
        <v>3900</v>
      </c>
      <c r="B77" s="132" t="s">
        <v>616</v>
      </c>
      <c r="C77" s="141">
        <v>45748.0</v>
      </c>
      <c r="D77" s="139" t="s">
        <v>5614</v>
      </c>
      <c r="E77" s="139" t="s">
        <v>5614</v>
      </c>
      <c r="F77" s="146" t="s">
        <v>3851</v>
      </c>
      <c r="G77" s="139" t="s">
        <v>5614</v>
      </c>
      <c r="H77" s="139" t="s">
        <v>5614</v>
      </c>
      <c r="I77" s="139" t="s">
        <v>5616</v>
      </c>
      <c r="J77" s="139" t="s">
        <v>5614</v>
      </c>
      <c r="K77" s="131" t="s">
        <v>5616</v>
      </c>
      <c r="L77" s="131" t="s">
        <v>5616</v>
      </c>
      <c r="M77" s="131" t="s">
        <v>5616</v>
      </c>
      <c r="N77" s="139" t="s">
        <v>5616</v>
      </c>
      <c r="O77" s="139" t="s">
        <v>5616</v>
      </c>
      <c r="P77" s="139" t="s">
        <v>5614</v>
      </c>
      <c r="Q77" s="139" t="s">
        <v>5616</v>
      </c>
      <c r="R77" s="139" t="s">
        <v>5616</v>
      </c>
      <c r="S77" s="139" t="s">
        <v>5616</v>
      </c>
    </row>
    <row r="78">
      <c r="A78" s="139" t="s">
        <v>3901</v>
      </c>
      <c r="B78" s="147" t="s">
        <v>5645</v>
      </c>
      <c r="C78" s="141">
        <v>45754.0</v>
      </c>
      <c r="D78" s="139" t="s">
        <v>5614</v>
      </c>
      <c r="E78" s="132" t="s">
        <v>5614</v>
      </c>
      <c r="F78" s="133" t="s">
        <v>3851</v>
      </c>
      <c r="G78" s="132" t="s">
        <v>5614</v>
      </c>
      <c r="H78" s="132" t="s">
        <v>5614</v>
      </c>
      <c r="I78" s="132" t="s">
        <v>5616</v>
      </c>
      <c r="J78" s="132" t="s">
        <v>5614</v>
      </c>
      <c r="K78" s="131" t="s">
        <v>5616</v>
      </c>
      <c r="L78" s="131" t="s">
        <v>5616</v>
      </c>
      <c r="M78" s="131" t="s">
        <v>5616</v>
      </c>
      <c r="N78" s="132" t="s">
        <v>5616</v>
      </c>
      <c r="O78" s="132" t="s">
        <v>5616</v>
      </c>
      <c r="P78" s="132" t="s">
        <v>5614</v>
      </c>
      <c r="Q78" s="132" t="s">
        <v>5616</v>
      </c>
      <c r="R78" s="132" t="s">
        <v>5616</v>
      </c>
      <c r="S78" s="132" t="s">
        <v>5616</v>
      </c>
    </row>
    <row r="79">
      <c r="A79" s="132" t="s">
        <v>305</v>
      </c>
      <c r="B79" s="132" t="s">
        <v>306</v>
      </c>
      <c r="C79" s="141">
        <v>45758.0</v>
      </c>
      <c r="D79" s="132" t="s">
        <v>5614</v>
      </c>
      <c r="E79" s="132" t="s">
        <v>5614</v>
      </c>
      <c r="F79" s="133" t="s">
        <v>3851</v>
      </c>
      <c r="G79" s="132" t="s">
        <v>5614</v>
      </c>
      <c r="H79" s="132" t="s">
        <v>5614</v>
      </c>
      <c r="I79" s="132" t="s">
        <v>5616</v>
      </c>
      <c r="J79" s="148" t="s">
        <v>5614</v>
      </c>
      <c r="K79" s="131" t="s">
        <v>5616</v>
      </c>
      <c r="L79" s="131" t="s">
        <v>5616</v>
      </c>
      <c r="M79" s="131" t="s">
        <v>5616</v>
      </c>
      <c r="N79" s="132" t="s">
        <v>5616</v>
      </c>
      <c r="O79" s="132" t="s">
        <v>5616</v>
      </c>
      <c r="P79" s="132" t="s">
        <v>5616</v>
      </c>
      <c r="Q79" s="132" t="s">
        <v>5616</v>
      </c>
      <c r="R79" s="132" t="s">
        <v>5616</v>
      </c>
      <c r="S79" s="132" t="s">
        <v>5614</v>
      </c>
    </row>
    <row r="80">
      <c r="A80" s="132" t="s">
        <v>589</v>
      </c>
      <c r="B80" s="132" t="s">
        <v>3902</v>
      </c>
      <c r="C80" s="141">
        <v>45762.0</v>
      </c>
      <c r="D80" s="132" t="s">
        <v>5614</v>
      </c>
      <c r="E80" s="132" t="s">
        <v>5614</v>
      </c>
      <c r="F80" s="129" t="s">
        <v>3851</v>
      </c>
      <c r="G80" s="132" t="s">
        <v>5614</v>
      </c>
      <c r="H80" s="132" t="s">
        <v>5614</v>
      </c>
      <c r="I80" s="132" t="s">
        <v>5616</v>
      </c>
      <c r="J80" s="132" t="s">
        <v>5614</v>
      </c>
      <c r="K80" s="131" t="s">
        <v>5616</v>
      </c>
      <c r="L80" s="131" t="s">
        <v>5616</v>
      </c>
      <c r="M80" s="131" t="s">
        <v>5616</v>
      </c>
      <c r="N80" s="132" t="s">
        <v>5616</v>
      </c>
      <c r="O80" s="132" t="s">
        <v>5616</v>
      </c>
      <c r="P80" s="132" t="s">
        <v>5614</v>
      </c>
      <c r="Q80" s="132" t="s">
        <v>5616</v>
      </c>
      <c r="R80" s="132" t="s">
        <v>5616</v>
      </c>
      <c r="S80" s="132" t="s">
        <v>5616</v>
      </c>
    </row>
    <row r="81">
      <c r="A81" s="132" t="s">
        <v>3903</v>
      </c>
      <c r="B81" s="132" t="s">
        <v>570</v>
      </c>
      <c r="C81" s="141">
        <v>45764.0</v>
      </c>
      <c r="D81" s="132" t="s">
        <v>5614</v>
      </c>
      <c r="E81" s="132" t="s">
        <v>5614</v>
      </c>
      <c r="F81" s="132" t="s">
        <v>3851</v>
      </c>
      <c r="G81" s="132" t="s">
        <v>5614</v>
      </c>
      <c r="H81" s="132" t="s">
        <v>5614</v>
      </c>
      <c r="I81" s="132" t="s">
        <v>5614</v>
      </c>
      <c r="J81" s="132" t="s">
        <v>5614</v>
      </c>
      <c r="K81" s="131" t="s">
        <v>5616</v>
      </c>
      <c r="L81" s="131" t="s">
        <v>5616</v>
      </c>
      <c r="M81" s="131" t="s">
        <v>5616</v>
      </c>
      <c r="N81" s="132" t="s">
        <v>5616</v>
      </c>
      <c r="O81" s="132" t="s">
        <v>5616</v>
      </c>
      <c r="P81" s="132" t="s">
        <v>5616</v>
      </c>
      <c r="Q81" s="132" t="s">
        <v>5616</v>
      </c>
      <c r="R81" s="132" t="s">
        <v>5616</v>
      </c>
      <c r="S81" s="132" t="s">
        <v>5616</v>
      </c>
    </row>
    <row r="82">
      <c r="A82" s="132" t="s">
        <v>3904</v>
      </c>
      <c r="B82" s="132" t="s">
        <v>222</v>
      </c>
      <c r="C82" s="141">
        <v>45764.0</v>
      </c>
      <c r="D82" s="139" t="s">
        <v>5614</v>
      </c>
      <c r="E82" s="139" t="s">
        <v>5614</v>
      </c>
      <c r="F82" s="139" t="s">
        <v>3851</v>
      </c>
      <c r="G82" s="139" t="s">
        <v>5614</v>
      </c>
      <c r="H82" s="139" t="s">
        <v>5614</v>
      </c>
      <c r="I82" s="139" t="s">
        <v>5616</v>
      </c>
      <c r="J82" s="139" t="s">
        <v>5614</v>
      </c>
      <c r="K82" s="131" t="s">
        <v>5616</v>
      </c>
      <c r="L82" s="131" t="s">
        <v>5616</v>
      </c>
      <c r="M82" s="131" t="s">
        <v>5616</v>
      </c>
      <c r="N82" s="139" t="s">
        <v>5616</v>
      </c>
      <c r="O82" s="139" t="s">
        <v>5616</v>
      </c>
      <c r="P82" s="139" t="s">
        <v>5616</v>
      </c>
      <c r="Q82" s="139" t="s">
        <v>5616</v>
      </c>
      <c r="R82" s="139" t="s">
        <v>5616</v>
      </c>
      <c r="S82" s="139" t="s">
        <v>5616</v>
      </c>
    </row>
    <row r="83">
      <c r="A83" s="139" t="s">
        <v>3905</v>
      </c>
      <c r="B83" s="147" t="s">
        <v>957</v>
      </c>
      <c r="C83" s="141">
        <v>45771.0</v>
      </c>
      <c r="D83" s="138"/>
      <c r="E83" s="132" t="s">
        <v>5614</v>
      </c>
      <c r="F83" s="132" t="s">
        <v>3851</v>
      </c>
      <c r="G83" s="132" t="s">
        <v>5615</v>
      </c>
      <c r="H83" s="129"/>
      <c r="I83" s="132" t="s">
        <v>5616</v>
      </c>
      <c r="J83" s="132" t="s">
        <v>5614</v>
      </c>
      <c r="K83" s="131" t="s">
        <v>5616</v>
      </c>
      <c r="L83" s="131" t="s">
        <v>5616</v>
      </c>
      <c r="M83" s="131" t="s">
        <v>5616</v>
      </c>
      <c r="N83" s="132" t="s">
        <v>5614</v>
      </c>
      <c r="O83" s="132" t="s">
        <v>5616</v>
      </c>
      <c r="P83" s="132" t="s">
        <v>5614</v>
      </c>
      <c r="Q83" s="132" t="s">
        <v>5616</v>
      </c>
      <c r="R83" s="132" t="s">
        <v>5614</v>
      </c>
      <c r="S83" s="132" t="s">
        <v>5616</v>
      </c>
    </row>
    <row r="84">
      <c r="A84" s="132" t="s">
        <v>153</v>
      </c>
      <c r="B84" s="132" t="s">
        <v>154</v>
      </c>
      <c r="C84" s="141">
        <v>45771.0</v>
      </c>
      <c r="D84" s="132" t="s">
        <v>5614</v>
      </c>
      <c r="E84" s="132" t="s">
        <v>5614</v>
      </c>
      <c r="F84" s="132" t="s">
        <v>3851</v>
      </c>
      <c r="G84" s="132" t="s">
        <v>5614</v>
      </c>
      <c r="H84" s="132" t="s">
        <v>5614</v>
      </c>
      <c r="I84" s="132" t="s">
        <v>5616</v>
      </c>
      <c r="J84" s="132" t="s">
        <v>5614</v>
      </c>
      <c r="K84" s="131" t="s">
        <v>5616</v>
      </c>
      <c r="L84" s="131" t="s">
        <v>5616</v>
      </c>
      <c r="M84" s="131" t="s">
        <v>5616</v>
      </c>
      <c r="N84" s="132" t="s">
        <v>5616</v>
      </c>
      <c r="O84" s="132" t="s">
        <v>5616</v>
      </c>
      <c r="P84" s="132" t="s">
        <v>5614</v>
      </c>
      <c r="Q84" s="132" t="s">
        <v>5616</v>
      </c>
      <c r="R84" s="132" t="s">
        <v>5616</v>
      </c>
      <c r="S84" s="132" t="s">
        <v>5616</v>
      </c>
    </row>
    <row r="85">
      <c r="A85" s="132" t="s">
        <v>587</v>
      </c>
      <c r="B85" s="132" t="s">
        <v>588</v>
      </c>
      <c r="C85" s="141">
        <v>45771.0</v>
      </c>
      <c r="D85" s="132" t="s">
        <v>5614</v>
      </c>
      <c r="E85" s="132" t="s">
        <v>5614</v>
      </c>
      <c r="F85" s="132" t="s">
        <v>3851</v>
      </c>
      <c r="G85" s="132" t="s">
        <v>5614</v>
      </c>
      <c r="H85" s="132" t="s">
        <v>5614</v>
      </c>
      <c r="I85" s="132" t="s">
        <v>5614</v>
      </c>
      <c r="J85" s="132" t="s">
        <v>5614</v>
      </c>
      <c r="K85" s="131" t="s">
        <v>5616</v>
      </c>
      <c r="L85" s="131" t="s">
        <v>5616</v>
      </c>
      <c r="M85" s="131" t="s">
        <v>5616</v>
      </c>
      <c r="N85" s="132" t="s">
        <v>5614</v>
      </c>
      <c r="O85" s="132" t="s">
        <v>5616</v>
      </c>
      <c r="P85" s="132" t="s">
        <v>5616</v>
      </c>
      <c r="Q85" s="132" t="s">
        <v>5616</v>
      </c>
      <c r="R85" s="132" t="s">
        <v>5616</v>
      </c>
      <c r="S85" s="132" t="s">
        <v>5616</v>
      </c>
    </row>
    <row r="86">
      <c r="A86" s="132" t="s">
        <v>3906</v>
      </c>
      <c r="B86" s="132" t="s">
        <v>3907</v>
      </c>
      <c r="C86" s="141">
        <v>45775.0</v>
      </c>
      <c r="D86" s="132" t="s">
        <v>5614</v>
      </c>
      <c r="E86" s="132" t="s">
        <v>5614</v>
      </c>
      <c r="F86" s="132" t="s">
        <v>3851</v>
      </c>
      <c r="G86" s="132" t="s">
        <v>5614</v>
      </c>
      <c r="H86" s="132" t="s">
        <v>5614</v>
      </c>
      <c r="I86" s="132" t="s">
        <v>5616</v>
      </c>
      <c r="J86" s="132" t="s">
        <v>5616</v>
      </c>
      <c r="K86" s="131" t="s">
        <v>5616</v>
      </c>
      <c r="L86" s="131" t="s">
        <v>5616</v>
      </c>
      <c r="M86" s="131" t="s">
        <v>5616</v>
      </c>
      <c r="N86" s="132" t="s">
        <v>5616</v>
      </c>
      <c r="O86" s="132" t="s">
        <v>5616</v>
      </c>
      <c r="P86" s="132" t="s">
        <v>5616</v>
      </c>
      <c r="Q86" s="132" t="s">
        <v>5616</v>
      </c>
      <c r="R86" s="132" t="s">
        <v>5616</v>
      </c>
      <c r="S86" s="132" t="s">
        <v>5616</v>
      </c>
    </row>
    <row r="87">
      <c r="A87" s="132" t="s">
        <v>3908</v>
      </c>
      <c r="B87" s="132" t="s">
        <v>378</v>
      </c>
      <c r="C87" s="141">
        <v>45775.0</v>
      </c>
      <c r="D87" s="132" t="s">
        <v>5614</v>
      </c>
      <c r="E87" s="132" t="s">
        <v>5614</v>
      </c>
      <c r="F87" s="132" t="s">
        <v>3851</v>
      </c>
      <c r="G87" s="132" t="s">
        <v>5614</v>
      </c>
      <c r="H87" s="132" t="s">
        <v>5614</v>
      </c>
      <c r="I87" s="132" t="s">
        <v>5616</v>
      </c>
      <c r="J87" s="132" t="s">
        <v>5614</v>
      </c>
      <c r="K87" s="131" t="s">
        <v>5616</v>
      </c>
      <c r="L87" s="131" t="s">
        <v>5616</v>
      </c>
      <c r="M87" s="131" t="s">
        <v>5616</v>
      </c>
      <c r="N87" s="132" t="s">
        <v>5614</v>
      </c>
      <c r="O87" s="132" t="s">
        <v>5614</v>
      </c>
      <c r="P87" s="132" t="s">
        <v>5614</v>
      </c>
      <c r="Q87" s="132" t="s">
        <v>5616</v>
      </c>
      <c r="R87" s="132" t="s">
        <v>5614</v>
      </c>
      <c r="S87" s="132" t="s">
        <v>5616</v>
      </c>
    </row>
    <row r="88">
      <c r="A88" s="132" t="s">
        <v>261</v>
      </c>
      <c r="B88" s="132" t="s">
        <v>262</v>
      </c>
      <c r="C88" s="141">
        <v>45777.0</v>
      </c>
      <c r="D88" s="139" t="s">
        <v>5632</v>
      </c>
      <c r="E88" s="132" t="s">
        <v>5614</v>
      </c>
      <c r="F88" s="132" t="s">
        <v>3851</v>
      </c>
      <c r="G88" s="132" t="s">
        <v>5614</v>
      </c>
      <c r="H88" s="139" t="s">
        <v>5632</v>
      </c>
      <c r="I88" s="132" t="s">
        <v>5616</v>
      </c>
      <c r="J88" s="132" t="s">
        <v>5614</v>
      </c>
      <c r="K88" s="131" t="s">
        <v>5616</v>
      </c>
      <c r="L88" s="131" t="s">
        <v>5616</v>
      </c>
      <c r="M88" s="131" t="s">
        <v>5616</v>
      </c>
      <c r="N88" s="132" t="s">
        <v>5614</v>
      </c>
      <c r="O88" s="132" t="s">
        <v>5614</v>
      </c>
      <c r="P88" s="132" t="s">
        <v>5614</v>
      </c>
      <c r="Q88" s="132" t="s">
        <v>5616</v>
      </c>
      <c r="R88" s="132" t="s">
        <v>5614</v>
      </c>
      <c r="S88" s="132" t="s">
        <v>5616</v>
      </c>
    </row>
    <row r="89">
      <c r="A89" s="132" t="s">
        <v>791</v>
      </c>
      <c r="B89" s="132" t="s">
        <v>792</v>
      </c>
      <c r="C89" s="141">
        <v>45777.0</v>
      </c>
      <c r="D89" s="132" t="s">
        <v>5632</v>
      </c>
      <c r="E89" s="132" t="s">
        <v>5614</v>
      </c>
      <c r="F89" s="132" t="s">
        <v>3851</v>
      </c>
      <c r="G89" s="132" t="s">
        <v>5614</v>
      </c>
      <c r="H89" s="132" t="s">
        <v>5632</v>
      </c>
      <c r="I89" s="132" t="s">
        <v>5616</v>
      </c>
      <c r="J89" s="132" t="s">
        <v>5614</v>
      </c>
      <c r="K89" s="131" t="s">
        <v>5616</v>
      </c>
      <c r="L89" s="131" t="s">
        <v>5616</v>
      </c>
      <c r="M89" s="131" t="s">
        <v>5616</v>
      </c>
      <c r="N89" s="132" t="s">
        <v>5616</v>
      </c>
      <c r="O89" s="132" t="s">
        <v>5616</v>
      </c>
      <c r="P89" s="132" t="s">
        <v>5614</v>
      </c>
      <c r="Q89" s="132" t="s">
        <v>5616</v>
      </c>
      <c r="R89" s="132" t="s">
        <v>5616</v>
      </c>
      <c r="S89" s="132" t="s">
        <v>5616</v>
      </c>
    </row>
    <row r="90">
      <c r="A90" s="132" t="s">
        <v>3909</v>
      </c>
      <c r="B90" s="132" t="s">
        <v>836</v>
      </c>
      <c r="C90" s="141">
        <v>45778.0</v>
      </c>
      <c r="D90" s="132" t="s">
        <v>5632</v>
      </c>
      <c r="E90" s="132" t="s">
        <v>5614</v>
      </c>
      <c r="F90" s="132" t="s">
        <v>3851</v>
      </c>
      <c r="G90" s="132" t="s">
        <v>5632</v>
      </c>
      <c r="H90" s="132" t="s">
        <v>5632</v>
      </c>
      <c r="I90" s="132" t="s">
        <v>5614</v>
      </c>
      <c r="J90" s="132" t="s">
        <v>5614</v>
      </c>
      <c r="K90" s="131" t="s">
        <v>5616</v>
      </c>
      <c r="L90" s="131" t="s">
        <v>5616</v>
      </c>
      <c r="M90" s="131" t="s">
        <v>5616</v>
      </c>
      <c r="N90" s="132" t="s">
        <v>5616</v>
      </c>
      <c r="O90" s="132" t="s">
        <v>5614</v>
      </c>
      <c r="P90" s="132" t="s">
        <v>5614</v>
      </c>
      <c r="Q90" s="132" t="s">
        <v>5616</v>
      </c>
      <c r="R90" s="132" t="s">
        <v>5616</v>
      </c>
      <c r="S90" s="132" t="s">
        <v>5616</v>
      </c>
    </row>
    <row r="91">
      <c r="A91" s="132" t="s">
        <v>944</v>
      </c>
      <c r="B91" s="132" t="s">
        <v>945</v>
      </c>
      <c r="C91" s="141">
        <v>45779.0</v>
      </c>
      <c r="D91" s="132" t="s">
        <v>5632</v>
      </c>
      <c r="E91" s="132" t="s">
        <v>5614</v>
      </c>
      <c r="F91" s="132" t="s">
        <v>3851</v>
      </c>
      <c r="G91" s="132" t="s">
        <v>5616</v>
      </c>
      <c r="H91" s="132" t="s">
        <v>5632</v>
      </c>
      <c r="I91" s="132" t="s">
        <v>5616</v>
      </c>
      <c r="J91" s="132" t="s">
        <v>5614</v>
      </c>
      <c r="K91" s="131" t="s">
        <v>5616</v>
      </c>
      <c r="L91" s="131" t="s">
        <v>5616</v>
      </c>
      <c r="M91" s="131" t="s">
        <v>5616</v>
      </c>
      <c r="N91" s="132" t="s">
        <v>5616</v>
      </c>
      <c r="O91" s="132" t="s">
        <v>5616</v>
      </c>
      <c r="P91" s="132" t="s">
        <v>5616</v>
      </c>
      <c r="Q91" s="132" t="s">
        <v>5616</v>
      </c>
      <c r="R91" s="132" t="s">
        <v>5616</v>
      </c>
      <c r="S91" s="132" t="s">
        <v>5616</v>
      </c>
    </row>
    <row r="92">
      <c r="A92" s="132" t="s">
        <v>924</v>
      </c>
      <c r="B92" s="132" t="s">
        <v>925</v>
      </c>
      <c r="C92" s="141">
        <v>45779.0</v>
      </c>
      <c r="D92" s="132" t="s">
        <v>5632</v>
      </c>
      <c r="E92" s="132" t="s">
        <v>5614</v>
      </c>
      <c r="F92" s="132" t="s">
        <v>3851</v>
      </c>
      <c r="G92" s="132" t="s">
        <v>5616</v>
      </c>
      <c r="H92" s="132" t="s">
        <v>5632</v>
      </c>
      <c r="I92" s="132" t="s">
        <v>5616</v>
      </c>
      <c r="J92" s="132" t="s">
        <v>5614</v>
      </c>
      <c r="K92" s="131" t="s">
        <v>5616</v>
      </c>
      <c r="L92" s="131" t="s">
        <v>5616</v>
      </c>
      <c r="M92" s="131" t="s">
        <v>5616</v>
      </c>
      <c r="N92" s="132" t="s">
        <v>5616</v>
      </c>
      <c r="O92" s="132" t="s">
        <v>5616</v>
      </c>
      <c r="P92" s="132" t="s">
        <v>5616</v>
      </c>
      <c r="Q92" s="132" t="s">
        <v>5616</v>
      </c>
      <c r="R92" s="132" t="s">
        <v>5616</v>
      </c>
      <c r="S92" s="132" t="s">
        <v>5616</v>
      </c>
    </row>
    <row r="93">
      <c r="A93" s="132" t="s">
        <v>289</v>
      </c>
      <c r="B93" s="132" t="s">
        <v>290</v>
      </c>
      <c r="C93" s="141">
        <v>45786.0</v>
      </c>
      <c r="D93" s="132" t="s">
        <v>5632</v>
      </c>
      <c r="E93" s="132" t="s">
        <v>5614</v>
      </c>
      <c r="F93" s="132" t="s">
        <v>3851</v>
      </c>
      <c r="G93" s="132" t="s">
        <v>5615</v>
      </c>
      <c r="H93" s="132" t="s">
        <v>5632</v>
      </c>
      <c r="I93" s="132" t="s">
        <v>5616</v>
      </c>
      <c r="J93" s="132" t="s">
        <v>5614</v>
      </c>
      <c r="K93" s="131" t="s">
        <v>5616</v>
      </c>
      <c r="L93" s="131" t="s">
        <v>5616</v>
      </c>
      <c r="M93" s="131" t="s">
        <v>5616</v>
      </c>
      <c r="N93" s="132" t="s">
        <v>5616</v>
      </c>
      <c r="O93" s="132" t="s">
        <v>5614</v>
      </c>
      <c r="P93" s="132" t="s">
        <v>5616</v>
      </c>
      <c r="Q93" s="132" t="s">
        <v>5616</v>
      </c>
      <c r="R93" s="132" t="s">
        <v>5616</v>
      </c>
      <c r="S93" s="132" t="s">
        <v>5616</v>
      </c>
    </row>
    <row r="94">
      <c r="A94" s="132" t="s">
        <v>3887</v>
      </c>
      <c r="B94" s="132" t="s">
        <v>756</v>
      </c>
      <c r="C94" s="141">
        <v>45694.0</v>
      </c>
      <c r="D94" s="132" t="s">
        <v>5632</v>
      </c>
      <c r="E94" s="132" t="s">
        <v>5614</v>
      </c>
      <c r="F94" s="132" t="s">
        <v>3851</v>
      </c>
      <c r="G94" s="132" t="s">
        <v>5632</v>
      </c>
      <c r="H94" s="132" t="s">
        <v>5632</v>
      </c>
      <c r="I94" s="132" t="s">
        <v>5616</v>
      </c>
      <c r="J94" s="132" t="s">
        <v>5632</v>
      </c>
      <c r="K94" s="131" t="s">
        <v>5616</v>
      </c>
      <c r="L94" s="131" t="s">
        <v>5616</v>
      </c>
      <c r="M94" s="131" t="s">
        <v>5616</v>
      </c>
      <c r="N94" s="132" t="s">
        <v>5616</v>
      </c>
      <c r="O94" s="132" t="s">
        <v>5616</v>
      </c>
      <c r="P94" s="132" t="s">
        <v>5614</v>
      </c>
      <c r="Q94" s="132" t="s">
        <v>5616</v>
      </c>
      <c r="R94" s="132" t="s">
        <v>5616</v>
      </c>
      <c r="S94" s="132" t="s">
        <v>5616</v>
      </c>
    </row>
    <row r="95">
      <c r="A95" s="132" t="s">
        <v>3897</v>
      </c>
      <c r="B95" s="132" t="s">
        <v>194</v>
      </c>
      <c r="C95" s="141">
        <v>45733.0</v>
      </c>
      <c r="D95" s="132" t="s">
        <v>5632</v>
      </c>
      <c r="E95" s="132" t="s">
        <v>5614</v>
      </c>
      <c r="F95" s="132" t="s">
        <v>3851</v>
      </c>
      <c r="G95" s="132" t="s">
        <v>5614</v>
      </c>
      <c r="H95" s="132" t="s">
        <v>5632</v>
      </c>
      <c r="I95" s="132" t="s">
        <v>5616</v>
      </c>
      <c r="J95" s="132" t="s">
        <v>5632</v>
      </c>
      <c r="K95" s="131" t="s">
        <v>5616</v>
      </c>
      <c r="L95" s="131" t="s">
        <v>5616</v>
      </c>
      <c r="M95" s="131" t="s">
        <v>5616</v>
      </c>
      <c r="N95" s="132" t="s">
        <v>5616</v>
      </c>
      <c r="O95" s="132" t="s">
        <v>5616</v>
      </c>
      <c r="P95" s="132" t="s">
        <v>5616</v>
      </c>
      <c r="Q95" s="132" t="s">
        <v>5616</v>
      </c>
      <c r="R95" s="132" t="s">
        <v>5616</v>
      </c>
      <c r="S95" s="132" t="s">
        <v>5616</v>
      </c>
    </row>
    <row r="96">
      <c r="A96" s="132" t="s">
        <v>5646</v>
      </c>
      <c r="B96" s="132" t="s">
        <v>654</v>
      </c>
      <c r="C96" s="141">
        <v>45793.0</v>
      </c>
      <c r="D96" s="132" t="s">
        <v>5632</v>
      </c>
      <c r="E96" s="132" t="s">
        <v>5614</v>
      </c>
      <c r="F96" s="132" t="s">
        <v>3851</v>
      </c>
      <c r="G96" s="132" t="s">
        <v>5614</v>
      </c>
      <c r="H96" s="132" t="s">
        <v>5632</v>
      </c>
      <c r="I96" s="132" t="s">
        <v>5616</v>
      </c>
      <c r="J96" s="132" t="s">
        <v>5632</v>
      </c>
      <c r="K96" s="131" t="s">
        <v>5616</v>
      </c>
      <c r="L96" s="131" t="s">
        <v>5616</v>
      </c>
      <c r="M96" s="131" t="s">
        <v>5616</v>
      </c>
      <c r="N96" s="132" t="s">
        <v>5616</v>
      </c>
      <c r="O96" s="132" t="s">
        <v>5616</v>
      </c>
      <c r="P96" s="132" t="s">
        <v>5616</v>
      </c>
      <c r="Q96" s="132" t="s">
        <v>5616</v>
      </c>
      <c r="R96" s="132" t="s">
        <v>5616</v>
      </c>
      <c r="S96" s="132" t="s">
        <v>5616</v>
      </c>
    </row>
    <row r="97">
      <c r="A97" s="132" t="s">
        <v>867</v>
      </c>
      <c r="B97" s="132" t="s">
        <v>868</v>
      </c>
      <c r="C97" s="141">
        <v>45796.0</v>
      </c>
      <c r="D97" s="132" t="s">
        <v>5632</v>
      </c>
      <c r="E97" s="132" t="s">
        <v>5614</v>
      </c>
      <c r="F97" s="132" t="s">
        <v>3851</v>
      </c>
      <c r="G97" s="132" t="s">
        <v>5616</v>
      </c>
      <c r="H97" s="132" t="s">
        <v>5632</v>
      </c>
      <c r="I97" s="132" t="s">
        <v>5616</v>
      </c>
      <c r="J97" s="132" t="s">
        <v>5614</v>
      </c>
      <c r="K97" s="131" t="s">
        <v>5616</v>
      </c>
      <c r="L97" s="131" t="s">
        <v>5616</v>
      </c>
      <c r="M97" s="131" t="s">
        <v>5616</v>
      </c>
      <c r="N97" s="132" t="s">
        <v>5616</v>
      </c>
      <c r="O97" s="132" t="s">
        <v>5616</v>
      </c>
      <c r="P97" s="132" t="s">
        <v>5616</v>
      </c>
      <c r="Q97" s="132" t="s">
        <v>5616</v>
      </c>
      <c r="R97" s="132" t="s">
        <v>5616</v>
      </c>
      <c r="S97" s="132" t="s">
        <v>5616</v>
      </c>
    </row>
    <row r="98">
      <c r="A98" s="129" t="s">
        <v>992</v>
      </c>
      <c r="B98" s="129" t="s">
        <v>993</v>
      </c>
      <c r="C98" s="130">
        <v>45800.0</v>
      </c>
      <c r="D98" s="132" t="s">
        <v>5632</v>
      </c>
      <c r="E98" s="132" t="s">
        <v>5614</v>
      </c>
      <c r="F98" s="132" t="s">
        <v>3851</v>
      </c>
      <c r="G98" s="129" t="s">
        <v>5614</v>
      </c>
      <c r="H98" s="132" t="s">
        <v>5632</v>
      </c>
      <c r="I98" s="129" t="s">
        <v>5616</v>
      </c>
      <c r="J98" s="129" t="s">
        <v>5614</v>
      </c>
      <c r="K98" s="131" t="s">
        <v>5616</v>
      </c>
      <c r="L98" s="131" t="s">
        <v>5616</v>
      </c>
      <c r="M98" s="131" t="s">
        <v>5616</v>
      </c>
      <c r="N98" s="132" t="s">
        <v>5616</v>
      </c>
      <c r="O98" s="129" t="s">
        <v>5616</v>
      </c>
      <c r="P98" s="129" t="s">
        <v>5614</v>
      </c>
      <c r="Q98" s="129" t="s">
        <v>5616</v>
      </c>
      <c r="R98" s="129" t="s">
        <v>5616</v>
      </c>
      <c r="S98" s="129" t="s">
        <v>5616</v>
      </c>
    </row>
    <row r="99">
      <c r="A99" s="129" t="s">
        <v>111</v>
      </c>
      <c r="B99" s="129" t="s">
        <v>5647</v>
      </c>
      <c r="C99" s="130">
        <v>45807.0</v>
      </c>
      <c r="D99" s="132" t="s">
        <v>5632</v>
      </c>
      <c r="E99" s="129" t="s">
        <v>5614</v>
      </c>
      <c r="F99" s="129" t="s">
        <v>3851</v>
      </c>
      <c r="G99" s="129" t="s">
        <v>5616</v>
      </c>
      <c r="H99" s="132" t="s">
        <v>5632</v>
      </c>
      <c r="I99" s="129" t="s">
        <v>5616</v>
      </c>
      <c r="J99" s="129" t="s">
        <v>5614</v>
      </c>
      <c r="K99" s="131" t="s">
        <v>5616</v>
      </c>
      <c r="L99" s="131" t="s">
        <v>5616</v>
      </c>
      <c r="M99" s="131" t="s">
        <v>5616</v>
      </c>
      <c r="N99" s="129" t="s">
        <v>5616</v>
      </c>
      <c r="O99" s="129" t="s">
        <v>5616</v>
      </c>
      <c r="P99" s="129" t="s">
        <v>5614</v>
      </c>
      <c r="Q99" s="129" t="s">
        <v>5616</v>
      </c>
      <c r="R99" s="129" t="s">
        <v>5616</v>
      </c>
      <c r="S99" s="129" t="s">
        <v>5616</v>
      </c>
    </row>
    <row r="100">
      <c r="A100" s="129" t="s">
        <v>729</v>
      </c>
      <c r="B100" s="129" t="s">
        <v>730</v>
      </c>
      <c r="C100" s="130">
        <v>45810.0</v>
      </c>
      <c r="D100" s="132" t="s">
        <v>5632</v>
      </c>
      <c r="E100" s="129" t="s">
        <v>5614</v>
      </c>
      <c r="F100" s="132" t="s">
        <v>3851</v>
      </c>
      <c r="G100" s="129" t="s">
        <v>5616</v>
      </c>
      <c r="H100" s="132" t="s">
        <v>5632</v>
      </c>
      <c r="I100" s="129" t="s">
        <v>5616</v>
      </c>
      <c r="J100" s="129" t="s">
        <v>5614</v>
      </c>
      <c r="K100" s="131" t="s">
        <v>5616</v>
      </c>
      <c r="L100" s="131" t="s">
        <v>5616</v>
      </c>
      <c r="M100" s="131" t="s">
        <v>5616</v>
      </c>
      <c r="N100" s="132" t="s">
        <v>5616</v>
      </c>
      <c r="O100" s="129" t="s">
        <v>5616</v>
      </c>
      <c r="P100" s="129" t="s">
        <v>5614</v>
      </c>
      <c r="Q100" s="132" t="s">
        <v>5616</v>
      </c>
      <c r="R100" s="132" t="s">
        <v>5616</v>
      </c>
      <c r="S100" s="129" t="s">
        <v>5616</v>
      </c>
    </row>
    <row r="101">
      <c r="A101" s="129" t="s">
        <v>3911</v>
      </c>
      <c r="B101" s="129" t="s">
        <v>748</v>
      </c>
      <c r="C101" s="130">
        <v>45812.0</v>
      </c>
      <c r="D101" s="132" t="s">
        <v>5632</v>
      </c>
      <c r="E101" s="129" t="s">
        <v>5614</v>
      </c>
      <c r="F101" s="132" t="s">
        <v>3851</v>
      </c>
      <c r="G101" s="129" t="s">
        <v>5616</v>
      </c>
      <c r="H101" s="132" t="s">
        <v>5632</v>
      </c>
      <c r="I101" s="129" t="s">
        <v>5616</v>
      </c>
      <c r="J101" s="129" t="s">
        <v>5614</v>
      </c>
      <c r="K101" s="131" t="s">
        <v>5616</v>
      </c>
      <c r="L101" s="131" t="s">
        <v>5616</v>
      </c>
      <c r="M101" s="131" t="s">
        <v>5616</v>
      </c>
      <c r="N101" s="129" t="s">
        <v>5614</v>
      </c>
      <c r="O101" s="129" t="s">
        <v>5616</v>
      </c>
      <c r="P101" s="129" t="s">
        <v>5616</v>
      </c>
      <c r="Q101" s="132" t="s">
        <v>5616</v>
      </c>
      <c r="R101" s="132" t="s">
        <v>5616</v>
      </c>
      <c r="S101" s="129" t="s">
        <v>5616</v>
      </c>
    </row>
    <row r="102">
      <c r="A102" s="129" t="s">
        <v>115</v>
      </c>
      <c r="B102" s="149" t="s">
        <v>116</v>
      </c>
      <c r="C102" s="130">
        <v>45812.0</v>
      </c>
      <c r="D102" s="132" t="s">
        <v>5632</v>
      </c>
      <c r="E102" s="129" t="s">
        <v>5614</v>
      </c>
      <c r="F102" s="132" t="s">
        <v>3851</v>
      </c>
      <c r="G102" s="129" t="s">
        <v>5614</v>
      </c>
      <c r="H102" s="132" t="s">
        <v>5632</v>
      </c>
      <c r="I102" s="129" t="s">
        <v>5616</v>
      </c>
      <c r="J102" s="129" t="s">
        <v>5614</v>
      </c>
      <c r="K102" s="131" t="s">
        <v>5616</v>
      </c>
      <c r="L102" s="131" t="s">
        <v>5616</v>
      </c>
      <c r="M102" s="131" t="s">
        <v>5616</v>
      </c>
      <c r="N102" s="129" t="s">
        <v>5614</v>
      </c>
      <c r="O102" s="129" t="s">
        <v>5616</v>
      </c>
      <c r="P102" s="129" t="s">
        <v>5614</v>
      </c>
      <c r="Q102" s="132" t="s">
        <v>5616</v>
      </c>
      <c r="R102" s="132" t="s">
        <v>5616</v>
      </c>
      <c r="S102" s="129" t="s">
        <v>5616</v>
      </c>
    </row>
    <row r="103">
      <c r="A103" s="129" t="s">
        <v>3912</v>
      </c>
      <c r="B103" s="136" t="s">
        <v>518</v>
      </c>
      <c r="C103" s="130">
        <v>45813.0</v>
      </c>
      <c r="D103" s="132" t="s">
        <v>5632</v>
      </c>
      <c r="E103" s="129" t="s">
        <v>5614</v>
      </c>
      <c r="F103" s="132" t="s">
        <v>3851</v>
      </c>
      <c r="G103" s="129" t="s">
        <v>5616</v>
      </c>
      <c r="H103" s="132" t="s">
        <v>5632</v>
      </c>
      <c r="I103" s="129" t="s">
        <v>5616</v>
      </c>
      <c r="J103" s="129" t="s">
        <v>5614</v>
      </c>
      <c r="K103" s="131" t="s">
        <v>5616</v>
      </c>
      <c r="L103" s="131" t="s">
        <v>5616</v>
      </c>
      <c r="M103" s="131" t="s">
        <v>5616</v>
      </c>
      <c r="N103" s="132" t="s">
        <v>5616</v>
      </c>
      <c r="O103" s="129" t="s">
        <v>5616</v>
      </c>
      <c r="P103" s="129" t="s">
        <v>5614</v>
      </c>
      <c r="Q103" s="132" t="s">
        <v>5616</v>
      </c>
      <c r="R103" s="132" t="s">
        <v>5616</v>
      </c>
      <c r="S103" s="129" t="s">
        <v>5616</v>
      </c>
    </row>
    <row r="104">
      <c r="A104" s="129" t="s">
        <v>711</v>
      </c>
      <c r="B104" s="136" t="s">
        <v>712</v>
      </c>
      <c r="C104" s="130">
        <v>45814.0</v>
      </c>
      <c r="D104" s="139" t="s">
        <v>5632</v>
      </c>
      <c r="E104" s="138" t="s">
        <v>5614</v>
      </c>
      <c r="F104" s="139" t="s">
        <v>3851</v>
      </c>
      <c r="G104" s="138" t="s">
        <v>5614</v>
      </c>
      <c r="H104" s="139" t="s">
        <v>5632</v>
      </c>
      <c r="I104" s="138" t="s">
        <v>5616</v>
      </c>
      <c r="J104" s="138" t="s">
        <v>5614</v>
      </c>
      <c r="K104" s="131" t="s">
        <v>5616</v>
      </c>
      <c r="L104" s="131" t="s">
        <v>5616</v>
      </c>
      <c r="M104" s="131" t="s">
        <v>5616</v>
      </c>
      <c r="N104" s="138" t="s">
        <v>5614</v>
      </c>
      <c r="O104" s="138" t="s">
        <v>5616</v>
      </c>
      <c r="P104" s="138" t="s">
        <v>5614</v>
      </c>
      <c r="Q104" s="139" t="s">
        <v>5616</v>
      </c>
      <c r="R104" s="138" t="s">
        <v>5614</v>
      </c>
      <c r="S104" s="138" t="s">
        <v>5616</v>
      </c>
    </row>
    <row r="105">
      <c r="A105" s="138" t="s">
        <v>974</v>
      </c>
      <c r="B105" s="150" t="s">
        <v>975</v>
      </c>
      <c r="C105" s="130">
        <v>45817.0</v>
      </c>
      <c r="D105" s="139" t="s">
        <v>5632</v>
      </c>
      <c r="E105" s="129" t="s">
        <v>5614</v>
      </c>
      <c r="F105" s="132" t="s">
        <v>3851</v>
      </c>
      <c r="G105" s="129" t="s">
        <v>5616</v>
      </c>
      <c r="H105" s="132" t="s">
        <v>5632</v>
      </c>
      <c r="I105" s="129" t="s">
        <v>5616</v>
      </c>
      <c r="J105" s="129" t="s">
        <v>5614</v>
      </c>
      <c r="K105" s="131" t="s">
        <v>5616</v>
      </c>
      <c r="L105" s="131" t="s">
        <v>5616</v>
      </c>
      <c r="M105" s="131" t="s">
        <v>5616</v>
      </c>
      <c r="N105" s="132" t="s">
        <v>5616</v>
      </c>
      <c r="O105" s="129" t="s">
        <v>5616</v>
      </c>
      <c r="P105" s="129" t="s">
        <v>5614</v>
      </c>
      <c r="Q105" s="132" t="s">
        <v>5616</v>
      </c>
      <c r="R105" s="132" t="s">
        <v>5616</v>
      </c>
      <c r="S105" s="129" t="s">
        <v>5616</v>
      </c>
    </row>
    <row r="106">
      <c r="A106" s="129" t="s">
        <v>3913</v>
      </c>
      <c r="B106" s="136" t="s">
        <v>560</v>
      </c>
      <c r="C106" s="130">
        <v>45818.0</v>
      </c>
      <c r="D106" s="132" t="s">
        <v>5632</v>
      </c>
      <c r="E106" s="129" t="s">
        <v>5614</v>
      </c>
      <c r="F106" s="132" t="s">
        <v>3851</v>
      </c>
      <c r="G106" s="129" t="s">
        <v>5614</v>
      </c>
      <c r="H106" s="132" t="s">
        <v>5632</v>
      </c>
      <c r="I106" s="129" t="s">
        <v>5614</v>
      </c>
      <c r="J106" s="129" t="s">
        <v>5614</v>
      </c>
      <c r="K106" s="131" t="s">
        <v>5616</v>
      </c>
      <c r="L106" s="131" t="s">
        <v>5616</v>
      </c>
      <c r="M106" s="131" t="s">
        <v>5616</v>
      </c>
      <c r="N106" s="132" t="s">
        <v>5616</v>
      </c>
      <c r="O106" s="129" t="s">
        <v>5616</v>
      </c>
      <c r="P106" s="129" t="s">
        <v>5614</v>
      </c>
      <c r="Q106" s="132" t="s">
        <v>5616</v>
      </c>
      <c r="R106" s="132" t="s">
        <v>5616</v>
      </c>
      <c r="S106" s="129" t="s">
        <v>5616</v>
      </c>
    </row>
    <row r="107">
      <c r="A107" s="151" t="s">
        <v>3916</v>
      </c>
      <c r="B107" s="151" t="s">
        <v>923</v>
      </c>
      <c r="C107" s="152">
        <v>45821.0</v>
      </c>
      <c r="D107" s="153" t="s">
        <v>5632</v>
      </c>
      <c r="E107" s="154" t="s">
        <v>5614</v>
      </c>
      <c r="F107" s="153" t="s">
        <v>3851</v>
      </c>
      <c r="G107" s="154" t="s">
        <v>5616</v>
      </c>
      <c r="H107" s="154" t="s">
        <v>5614</v>
      </c>
      <c r="I107" s="154" t="s">
        <v>5616</v>
      </c>
      <c r="J107" s="154" t="s">
        <v>5614</v>
      </c>
      <c r="K107" s="155" t="s">
        <v>5616</v>
      </c>
      <c r="L107" s="155" t="s">
        <v>5616</v>
      </c>
      <c r="M107" s="155" t="s">
        <v>5616</v>
      </c>
      <c r="N107" s="154" t="s">
        <v>5616</v>
      </c>
      <c r="O107" s="154" t="s">
        <v>5616</v>
      </c>
      <c r="P107" s="154" t="s">
        <v>5616</v>
      </c>
      <c r="Q107" s="154" t="s">
        <v>5616</v>
      </c>
      <c r="R107" s="154" t="s">
        <v>5616</v>
      </c>
      <c r="S107" s="129" t="s">
        <v>5616</v>
      </c>
    </row>
    <row r="108">
      <c r="A108" s="156" t="s">
        <v>3914</v>
      </c>
      <c r="B108" s="156" t="s">
        <v>826</v>
      </c>
      <c r="C108" s="157">
        <v>45821.0</v>
      </c>
      <c r="D108" s="158" t="s">
        <v>5632</v>
      </c>
      <c r="E108" s="159" t="s">
        <v>5614</v>
      </c>
      <c r="F108" s="158" t="s">
        <v>3851</v>
      </c>
      <c r="G108" s="159" t="s">
        <v>5614</v>
      </c>
      <c r="H108" s="159" t="s">
        <v>5614</v>
      </c>
      <c r="I108" s="159" t="s">
        <v>5614</v>
      </c>
      <c r="J108" s="159" t="s">
        <v>5614</v>
      </c>
      <c r="K108" s="160" t="s">
        <v>5616</v>
      </c>
      <c r="L108" s="160" t="s">
        <v>5616</v>
      </c>
      <c r="M108" s="160" t="s">
        <v>5616</v>
      </c>
      <c r="N108" s="159" t="s">
        <v>5616</v>
      </c>
      <c r="O108" s="159" t="s">
        <v>5616</v>
      </c>
      <c r="P108" s="159" t="s">
        <v>5616</v>
      </c>
      <c r="Q108" s="159" t="s">
        <v>5616</v>
      </c>
      <c r="R108" s="159" t="s">
        <v>5616</v>
      </c>
      <c r="S108" s="129" t="s">
        <v>5616</v>
      </c>
    </row>
    <row r="109">
      <c r="A109" s="151" t="s">
        <v>3915</v>
      </c>
      <c r="B109" s="151" t="s">
        <v>234</v>
      </c>
      <c r="C109" s="152">
        <v>45821.0</v>
      </c>
      <c r="D109" s="153" t="s">
        <v>5632</v>
      </c>
      <c r="E109" s="154" t="s">
        <v>5614</v>
      </c>
      <c r="F109" s="153" t="s">
        <v>3851</v>
      </c>
      <c r="G109" s="154" t="s">
        <v>5614</v>
      </c>
      <c r="H109" s="154" t="s">
        <v>5614</v>
      </c>
      <c r="I109" s="154" t="s">
        <v>5614</v>
      </c>
      <c r="J109" s="154" t="s">
        <v>5614</v>
      </c>
      <c r="K109" s="155" t="s">
        <v>5616</v>
      </c>
      <c r="L109" s="155" t="s">
        <v>5616</v>
      </c>
      <c r="M109" s="155" t="s">
        <v>5616</v>
      </c>
      <c r="N109" s="154" t="s">
        <v>5616</v>
      </c>
      <c r="O109" s="154" t="s">
        <v>5616</v>
      </c>
      <c r="P109" s="154" t="s">
        <v>5616</v>
      </c>
      <c r="Q109" s="154" t="s">
        <v>5616</v>
      </c>
      <c r="R109" s="154" t="s">
        <v>5616</v>
      </c>
      <c r="S109" s="129" t="s">
        <v>5616</v>
      </c>
    </row>
    <row r="110">
      <c r="A110" s="156" t="s">
        <v>3917</v>
      </c>
      <c r="B110" s="156" t="s">
        <v>660</v>
      </c>
      <c r="C110" s="157">
        <v>45821.0</v>
      </c>
      <c r="D110" s="158" t="s">
        <v>5632</v>
      </c>
      <c r="E110" s="159" t="s">
        <v>5614</v>
      </c>
      <c r="F110" s="158" t="s">
        <v>3851</v>
      </c>
      <c r="G110" s="159" t="s">
        <v>5614</v>
      </c>
      <c r="H110" s="159" t="s">
        <v>5614</v>
      </c>
      <c r="I110" s="159" t="s">
        <v>5616</v>
      </c>
      <c r="J110" s="159" t="s">
        <v>5614</v>
      </c>
      <c r="K110" s="160" t="s">
        <v>5616</v>
      </c>
      <c r="L110" s="160" t="s">
        <v>5616</v>
      </c>
      <c r="M110" s="160" t="s">
        <v>5616</v>
      </c>
      <c r="N110" s="159" t="s">
        <v>5616</v>
      </c>
      <c r="O110" s="159" t="s">
        <v>5616</v>
      </c>
      <c r="P110" s="159" t="s">
        <v>5614</v>
      </c>
      <c r="Q110" s="159" t="s">
        <v>5616</v>
      </c>
      <c r="R110" s="159" t="s">
        <v>5616</v>
      </c>
      <c r="S110" s="129" t="s">
        <v>5616</v>
      </c>
    </row>
    <row r="111">
      <c r="A111" s="154" t="s">
        <v>849</v>
      </c>
      <c r="B111" s="151" t="s">
        <v>850</v>
      </c>
      <c r="C111" s="152">
        <v>45824.0</v>
      </c>
      <c r="D111" s="153" t="s">
        <v>5632</v>
      </c>
      <c r="E111" s="154" t="s">
        <v>5614</v>
      </c>
      <c r="F111" s="154"/>
      <c r="G111" s="154" t="s">
        <v>5616</v>
      </c>
      <c r="H111" s="154" t="s">
        <v>5614</v>
      </c>
      <c r="I111" s="154" t="s">
        <v>5616</v>
      </c>
      <c r="J111" s="154" t="s">
        <v>5614</v>
      </c>
      <c r="K111" s="155" t="s">
        <v>5616</v>
      </c>
      <c r="L111" s="155" t="s">
        <v>5616</v>
      </c>
      <c r="M111" s="155" t="s">
        <v>5616</v>
      </c>
      <c r="N111" s="154"/>
      <c r="O111" s="154"/>
      <c r="P111" s="154"/>
      <c r="Q111" s="154"/>
      <c r="R111" s="154"/>
      <c r="S111" s="129"/>
    </row>
    <row r="112">
      <c r="A112" s="156" t="s">
        <v>3033</v>
      </c>
      <c r="B112" s="156" t="s">
        <v>410</v>
      </c>
      <c r="C112" s="157">
        <v>45824.0</v>
      </c>
      <c r="D112" s="158" t="s">
        <v>5632</v>
      </c>
      <c r="E112" s="159" t="s">
        <v>5614</v>
      </c>
      <c r="F112" s="158" t="s">
        <v>3851</v>
      </c>
      <c r="G112" s="159" t="s">
        <v>5616</v>
      </c>
      <c r="H112" s="159" t="s">
        <v>5614</v>
      </c>
      <c r="I112" s="159" t="s">
        <v>5614</v>
      </c>
      <c r="J112" s="159" t="s">
        <v>5614</v>
      </c>
      <c r="K112" s="160" t="s">
        <v>5616</v>
      </c>
      <c r="L112" s="160" t="s">
        <v>5616</v>
      </c>
      <c r="M112" s="160" t="s">
        <v>5616</v>
      </c>
      <c r="N112" s="159"/>
      <c r="O112" s="159"/>
      <c r="P112" s="159"/>
      <c r="Q112" s="159"/>
      <c r="R112" s="159"/>
      <c r="S112" s="129"/>
    </row>
    <row r="113">
      <c r="A113" s="151" t="s">
        <v>1426</v>
      </c>
      <c r="B113" s="161" t="s">
        <v>1427</v>
      </c>
      <c r="C113" s="162">
        <v>45832.0</v>
      </c>
      <c r="D113" s="153" t="s">
        <v>5632</v>
      </c>
      <c r="E113" s="154" t="s">
        <v>5614</v>
      </c>
      <c r="F113" s="153" t="s">
        <v>3851</v>
      </c>
      <c r="G113" s="161" t="s">
        <v>5615</v>
      </c>
      <c r="H113" s="154" t="s">
        <v>5614</v>
      </c>
      <c r="I113" s="161" t="s">
        <v>5616</v>
      </c>
      <c r="J113" s="161" t="s">
        <v>5614</v>
      </c>
      <c r="K113" s="154"/>
      <c r="L113" s="154"/>
      <c r="M113" s="154"/>
      <c r="N113" s="161" t="s">
        <v>5616</v>
      </c>
      <c r="O113" s="161" t="s">
        <v>5614</v>
      </c>
      <c r="P113" s="154"/>
      <c r="Q113" s="161" t="s">
        <v>5616</v>
      </c>
      <c r="R113" s="161" t="s">
        <v>5616</v>
      </c>
      <c r="S113" s="129"/>
    </row>
    <row r="114">
      <c r="A114" s="156" t="s">
        <v>1169</v>
      </c>
      <c r="B114" s="163" t="s">
        <v>1170</v>
      </c>
      <c r="C114" s="164">
        <v>45828.0</v>
      </c>
      <c r="D114" s="163" t="s">
        <v>5614</v>
      </c>
      <c r="E114" s="163" t="s">
        <v>5614</v>
      </c>
      <c r="F114" s="158" t="s">
        <v>3851</v>
      </c>
      <c r="G114" s="163" t="s">
        <v>5615</v>
      </c>
      <c r="H114" s="163" t="s">
        <v>5614</v>
      </c>
      <c r="I114" s="163" t="s">
        <v>5614</v>
      </c>
      <c r="J114" s="163" t="s">
        <v>5614</v>
      </c>
      <c r="K114" s="163" t="s">
        <v>5616</v>
      </c>
      <c r="L114" s="163" t="s">
        <v>5616</v>
      </c>
      <c r="M114" s="163" t="s">
        <v>5616</v>
      </c>
      <c r="N114" s="163" t="s">
        <v>5616</v>
      </c>
      <c r="O114" s="163" t="s">
        <v>5614</v>
      </c>
      <c r="P114" s="163" t="s">
        <v>5614</v>
      </c>
      <c r="Q114" s="163" t="s">
        <v>5616</v>
      </c>
      <c r="R114" s="163" t="s">
        <v>5616</v>
      </c>
      <c r="S114" s="115" t="s">
        <v>5616</v>
      </c>
    </row>
    <row r="115">
      <c r="A115" s="151" t="s">
        <v>1337</v>
      </c>
      <c r="B115" s="161" t="s">
        <v>1338</v>
      </c>
      <c r="C115" s="162">
        <v>45831.0</v>
      </c>
      <c r="D115" s="161"/>
      <c r="E115" s="161" t="s">
        <v>5614</v>
      </c>
      <c r="F115" s="153" t="s">
        <v>3851</v>
      </c>
      <c r="G115" s="161" t="s">
        <v>5614</v>
      </c>
      <c r="H115" s="161" t="s">
        <v>5614</v>
      </c>
      <c r="I115" s="161" t="s">
        <v>5616</v>
      </c>
      <c r="J115" s="161" t="s">
        <v>5614</v>
      </c>
      <c r="K115" s="161" t="s">
        <v>5616</v>
      </c>
      <c r="L115" s="161" t="s">
        <v>5616</v>
      </c>
      <c r="M115" s="161" t="s">
        <v>5616</v>
      </c>
      <c r="N115" s="161" t="s">
        <v>5614</v>
      </c>
      <c r="O115" s="161" t="s">
        <v>5614</v>
      </c>
      <c r="P115" s="161" t="s">
        <v>5614</v>
      </c>
      <c r="Q115" s="161" t="s">
        <v>5616</v>
      </c>
      <c r="R115" s="161" t="s">
        <v>5616</v>
      </c>
      <c r="S115" s="115" t="s">
        <v>5616</v>
      </c>
    </row>
    <row r="116">
      <c r="A116" s="156" t="s">
        <v>1612</v>
      </c>
      <c r="B116" s="163" t="s">
        <v>1613</v>
      </c>
      <c r="C116" s="164">
        <v>45842.0</v>
      </c>
      <c r="D116" s="163"/>
      <c r="E116" s="163"/>
      <c r="F116" s="163" t="s">
        <v>5648</v>
      </c>
      <c r="G116" s="163" t="s">
        <v>5648</v>
      </c>
      <c r="H116" s="163" t="s">
        <v>5648</v>
      </c>
      <c r="I116" s="163" t="s">
        <v>5648</v>
      </c>
      <c r="J116" s="163"/>
      <c r="K116" s="163"/>
      <c r="L116" s="163"/>
      <c r="M116" s="163"/>
      <c r="N116" s="163"/>
      <c r="O116" s="163"/>
      <c r="P116" s="163"/>
      <c r="Q116" s="163"/>
      <c r="R116" s="163"/>
      <c r="S116" s="115"/>
    </row>
    <row r="117">
      <c r="A117" s="165" t="s">
        <v>1386</v>
      </c>
      <c r="B117" s="161" t="s">
        <v>1387</v>
      </c>
      <c r="C117" s="162">
        <v>45824.0</v>
      </c>
      <c r="D117" s="161"/>
      <c r="E117" s="161" t="s">
        <v>5614</v>
      </c>
      <c r="F117" s="153" t="s">
        <v>3851</v>
      </c>
      <c r="G117" s="161" t="s">
        <v>5615</v>
      </c>
      <c r="H117" s="161" t="s">
        <v>5614</v>
      </c>
      <c r="I117" s="161" t="s">
        <v>5616</v>
      </c>
      <c r="J117" s="161" t="s">
        <v>5614</v>
      </c>
      <c r="K117" s="166"/>
      <c r="L117" s="166"/>
      <c r="M117" s="166"/>
      <c r="N117" s="166"/>
      <c r="O117" s="166"/>
      <c r="P117" s="166"/>
      <c r="Q117" s="166"/>
      <c r="R117" s="166"/>
      <c r="S117" s="114"/>
    </row>
    <row r="118">
      <c r="A118" s="167" t="s">
        <v>1495</v>
      </c>
      <c r="B118" s="163" t="s">
        <v>1496</v>
      </c>
      <c r="C118" s="164">
        <v>45838.0</v>
      </c>
      <c r="D118" s="163"/>
      <c r="E118" s="163" t="s">
        <v>5614</v>
      </c>
      <c r="F118" s="158" t="s">
        <v>3851</v>
      </c>
      <c r="G118" s="163" t="s">
        <v>5616</v>
      </c>
      <c r="H118" s="163" t="s">
        <v>5648</v>
      </c>
      <c r="I118" s="163" t="s">
        <v>5614</v>
      </c>
      <c r="J118" s="163"/>
      <c r="K118" s="168"/>
      <c r="L118" s="168"/>
      <c r="M118" s="168"/>
      <c r="N118" s="168"/>
      <c r="O118" s="168"/>
      <c r="P118" s="168"/>
      <c r="Q118" s="168"/>
      <c r="R118" s="168"/>
      <c r="S118" s="114"/>
    </row>
    <row r="119">
      <c r="A119" s="165" t="s">
        <v>1834</v>
      </c>
      <c r="B119" s="161" t="s">
        <v>1835</v>
      </c>
      <c r="C119" s="162">
        <v>45839.0</v>
      </c>
      <c r="D119" s="166"/>
      <c r="E119" s="161" t="s">
        <v>5614</v>
      </c>
      <c r="F119" s="153" t="s">
        <v>3851</v>
      </c>
      <c r="G119" s="161" t="s">
        <v>5614</v>
      </c>
      <c r="H119" s="161" t="s">
        <v>5614</v>
      </c>
      <c r="I119" s="161" t="s">
        <v>5616</v>
      </c>
      <c r="J119" s="166"/>
      <c r="K119" s="166"/>
      <c r="L119" s="166"/>
      <c r="M119" s="166"/>
      <c r="N119" s="166"/>
      <c r="O119" s="166"/>
      <c r="P119" s="166"/>
      <c r="Q119" s="166"/>
      <c r="R119" s="166"/>
      <c r="S119" s="114"/>
    </row>
    <row r="120">
      <c r="A120" s="167" t="s">
        <v>1282</v>
      </c>
      <c r="B120" s="163" t="s">
        <v>1283</v>
      </c>
      <c r="C120" s="164">
        <v>45839.0</v>
      </c>
      <c r="D120" s="168"/>
      <c r="E120" s="163" t="s">
        <v>5614</v>
      </c>
      <c r="F120" s="158" t="s">
        <v>3851</v>
      </c>
      <c r="G120" s="163" t="s">
        <v>5614</v>
      </c>
      <c r="H120" s="163" t="s">
        <v>5614</v>
      </c>
      <c r="I120" s="163" t="s">
        <v>5616</v>
      </c>
      <c r="J120" s="168"/>
      <c r="K120" s="168"/>
      <c r="L120" s="168"/>
      <c r="M120" s="168"/>
      <c r="N120" s="168"/>
      <c r="O120" s="168"/>
      <c r="P120" s="168"/>
      <c r="Q120" s="168"/>
      <c r="R120" s="168"/>
      <c r="S120" s="114"/>
    </row>
    <row r="121">
      <c r="A121" s="114"/>
      <c r="B121" s="114"/>
      <c r="C121" s="123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</row>
    <row r="122">
      <c r="A122" s="114"/>
      <c r="B122" s="114"/>
      <c r="C122" s="123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</row>
    <row r="123">
      <c r="A123" s="114"/>
      <c r="B123" s="114"/>
      <c r="C123" s="123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</row>
    <row r="124">
      <c r="A124" s="114"/>
      <c r="B124" s="114"/>
      <c r="C124" s="123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</row>
    <row r="125">
      <c r="A125" s="114"/>
      <c r="B125" s="114"/>
      <c r="C125" s="123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</row>
    <row r="126">
      <c r="A126" s="114"/>
      <c r="B126" s="114"/>
      <c r="C126" s="123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</row>
    <row r="127">
      <c r="A127" s="114"/>
      <c r="B127" s="114"/>
      <c r="C127" s="123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</row>
    <row r="128">
      <c r="A128" s="114"/>
      <c r="B128" s="114"/>
      <c r="C128" s="123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</row>
    <row r="129">
      <c r="A129" s="114"/>
      <c r="B129" s="114"/>
      <c r="C129" s="123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</row>
    <row r="130">
      <c r="A130" s="114"/>
      <c r="B130" s="114"/>
      <c r="C130" s="123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</row>
    <row r="131">
      <c r="A131" s="114"/>
      <c r="B131" s="114"/>
      <c r="C131" s="123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</row>
    <row r="132">
      <c r="A132" s="114"/>
      <c r="B132" s="114"/>
      <c r="C132" s="123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</row>
    <row r="133">
      <c r="A133" s="114"/>
      <c r="B133" s="114"/>
      <c r="C133" s="123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</row>
    <row r="134">
      <c r="A134" s="114"/>
      <c r="B134" s="114"/>
      <c r="C134" s="123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</row>
    <row r="135">
      <c r="A135" s="114"/>
      <c r="B135" s="114"/>
      <c r="C135" s="123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</row>
    <row r="136">
      <c r="A136" s="114"/>
      <c r="B136" s="114"/>
      <c r="C136" s="123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</row>
    <row r="137">
      <c r="A137" s="114"/>
      <c r="B137" s="114"/>
      <c r="C137" s="123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</row>
    <row r="138">
      <c r="A138" s="114"/>
      <c r="B138" s="114"/>
      <c r="C138" s="123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</row>
    <row r="139">
      <c r="A139" s="114"/>
      <c r="B139" s="114"/>
      <c r="C139" s="123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</row>
    <row r="140">
      <c r="A140" s="114"/>
      <c r="B140" s="114"/>
      <c r="C140" s="123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</row>
    <row r="141">
      <c r="A141" s="114"/>
      <c r="B141" s="114"/>
      <c r="C141" s="123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</row>
    <row r="142">
      <c r="A142" s="114"/>
      <c r="B142" s="114"/>
      <c r="C142" s="123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</row>
    <row r="143">
      <c r="A143" s="114"/>
      <c r="B143" s="114"/>
      <c r="C143" s="123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</row>
    <row r="144">
      <c r="A144" s="114"/>
      <c r="B144" s="114"/>
      <c r="C144" s="123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</row>
    <row r="145">
      <c r="A145" s="114"/>
      <c r="B145" s="114"/>
      <c r="C145" s="123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</row>
    <row r="146">
      <c r="A146" s="114"/>
      <c r="B146" s="114"/>
      <c r="C146" s="123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</row>
    <row r="147">
      <c r="A147" s="114"/>
      <c r="B147" s="114"/>
      <c r="C147" s="123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</row>
    <row r="148">
      <c r="A148" s="114"/>
      <c r="B148" s="114"/>
      <c r="C148" s="123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</row>
    <row r="149">
      <c r="A149" s="114"/>
      <c r="B149" s="114"/>
      <c r="C149" s="123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</row>
    <row r="150">
      <c r="A150" s="114"/>
      <c r="B150" s="114"/>
      <c r="C150" s="123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</row>
    <row r="151">
      <c r="A151" s="114"/>
      <c r="B151" s="114"/>
      <c r="C151" s="123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</row>
    <row r="152">
      <c r="A152" s="114"/>
      <c r="B152" s="114"/>
      <c r="C152" s="123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</row>
    <row r="153">
      <c r="A153" s="114"/>
      <c r="B153" s="114"/>
      <c r="C153" s="123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</row>
    <row r="154">
      <c r="A154" s="114"/>
      <c r="B154" s="114"/>
      <c r="C154" s="123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</row>
    <row r="155">
      <c r="A155" s="114"/>
      <c r="B155" s="114"/>
      <c r="C155" s="123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</row>
    <row r="156">
      <c r="A156" s="114"/>
      <c r="B156" s="114"/>
      <c r="C156" s="123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</row>
    <row r="157">
      <c r="A157" s="114"/>
      <c r="B157" s="114"/>
      <c r="C157" s="123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</row>
    <row r="158">
      <c r="A158" s="114"/>
      <c r="B158" s="114"/>
      <c r="C158" s="123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</row>
    <row r="159">
      <c r="A159" s="114"/>
      <c r="B159" s="114"/>
      <c r="C159" s="123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</row>
    <row r="160">
      <c r="A160" s="114"/>
      <c r="B160" s="114"/>
      <c r="C160" s="123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</row>
    <row r="161">
      <c r="A161" s="114"/>
      <c r="B161" s="114"/>
      <c r="C161" s="123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</row>
    <row r="162">
      <c r="A162" s="114"/>
      <c r="B162" s="114"/>
      <c r="C162" s="123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</row>
    <row r="163">
      <c r="A163" s="114"/>
      <c r="B163" s="114"/>
      <c r="C163" s="123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</row>
    <row r="164">
      <c r="A164" s="114"/>
      <c r="B164" s="114"/>
      <c r="C164" s="123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</row>
    <row r="165">
      <c r="A165" s="114"/>
      <c r="B165" s="114"/>
      <c r="C165" s="123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</row>
    <row r="166">
      <c r="A166" s="114"/>
      <c r="B166" s="114"/>
      <c r="C166" s="123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</row>
    <row r="167">
      <c r="A167" s="114"/>
      <c r="B167" s="114"/>
      <c r="C167" s="123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</row>
    <row r="168">
      <c r="A168" s="114"/>
      <c r="B168" s="114"/>
      <c r="C168" s="123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</row>
    <row r="169">
      <c r="A169" s="114"/>
      <c r="B169" s="114"/>
      <c r="C169" s="123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</row>
    <row r="170">
      <c r="A170" s="114"/>
      <c r="B170" s="114"/>
      <c r="C170" s="123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</row>
    <row r="171">
      <c r="A171" s="114"/>
      <c r="B171" s="114"/>
      <c r="C171" s="123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</row>
    <row r="172">
      <c r="A172" s="114"/>
      <c r="B172" s="114"/>
      <c r="C172" s="123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</row>
    <row r="173">
      <c r="A173" s="114"/>
      <c r="B173" s="114"/>
      <c r="C173" s="123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</row>
    <row r="174">
      <c r="A174" s="114"/>
      <c r="B174" s="114"/>
      <c r="C174" s="123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</row>
    <row r="175">
      <c r="A175" s="114"/>
      <c r="B175" s="114"/>
      <c r="C175" s="123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</row>
    <row r="176">
      <c r="A176" s="114"/>
      <c r="B176" s="114"/>
      <c r="C176" s="123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</row>
    <row r="177">
      <c r="A177" s="114"/>
      <c r="B177" s="114"/>
      <c r="C177" s="123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</row>
    <row r="178">
      <c r="A178" s="114"/>
      <c r="B178" s="114"/>
      <c r="C178" s="123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</row>
    <row r="179">
      <c r="A179" s="114"/>
      <c r="B179" s="114"/>
      <c r="C179" s="123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</row>
    <row r="180">
      <c r="A180" s="114"/>
      <c r="B180" s="114"/>
      <c r="C180" s="123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</row>
    <row r="181">
      <c r="A181" s="114"/>
      <c r="B181" s="114"/>
      <c r="C181" s="123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</row>
    <row r="182">
      <c r="A182" s="114"/>
      <c r="B182" s="114"/>
      <c r="C182" s="123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</row>
    <row r="183">
      <c r="A183" s="114"/>
      <c r="B183" s="114"/>
      <c r="C183" s="123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</row>
    <row r="184">
      <c r="A184" s="114"/>
      <c r="B184" s="114"/>
      <c r="C184" s="123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</row>
    <row r="185">
      <c r="A185" s="114"/>
      <c r="B185" s="114"/>
      <c r="C185" s="123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</row>
    <row r="186">
      <c r="A186" s="114"/>
      <c r="B186" s="114"/>
      <c r="C186" s="123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</row>
    <row r="187">
      <c r="A187" s="114"/>
      <c r="B187" s="114"/>
      <c r="C187" s="123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</row>
    <row r="188">
      <c r="A188" s="114"/>
      <c r="B188" s="114"/>
      <c r="C188" s="123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</row>
    <row r="189">
      <c r="A189" s="114"/>
      <c r="B189" s="114"/>
      <c r="C189" s="123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</row>
    <row r="190">
      <c r="A190" s="114"/>
      <c r="B190" s="114"/>
      <c r="C190" s="123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</row>
    <row r="191">
      <c r="A191" s="114"/>
      <c r="B191" s="114"/>
      <c r="C191" s="123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</row>
    <row r="192">
      <c r="A192" s="114"/>
      <c r="B192" s="114"/>
      <c r="C192" s="123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</row>
    <row r="193">
      <c r="A193" s="114"/>
      <c r="B193" s="114"/>
      <c r="C193" s="123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</row>
    <row r="194">
      <c r="A194" s="114"/>
      <c r="B194" s="114"/>
      <c r="C194" s="123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</row>
    <row r="195">
      <c r="A195" s="114"/>
      <c r="B195" s="114"/>
      <c r="C195" s="123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</row>
    <row r="196">
      <c r="A196" s="114"/>
      <c r="B196" s="114"/>
      <c r="C196" s="123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</row>
    <row r="197">
      <c r="A197" s="114"/>
      <c r="B197" s="114"/>
      <c r="C197" s="123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</row>
    <row r="198">
      <c r="A198" s="114"/>
      <c r="B198" s="114"/>
      <c r="C198" s="123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</row>
    <row r="199">
      <c r="A199" s="114"/>
      <c r="B199" s="114"/>
      <c r="C199" s="123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</row>
    <row r="200">
      <c r="A200" s="114"/>
      <c r="B200" s="114"/>
      <c r="C200" s="123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</row>
    <row r="201">
      <c r="A201" s="114"/>
      <c r="B201" s="114"/>
      <c r="C201" s="123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</row>
    <row r="202">
      <c r="A202" s="114"/>
      <c r="B202" s="114"/>
      <c r="C202" s="123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</row>
    <row r="203">
      <c r="A203" s="114"/>
      <c r="B203" s="114"/>
      <c r="C203" s="123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</row>
    <row r="204">
      <c r="A204" s="114"/>
      <c r="B204" s="114"/>
      <c r="C204" s="123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</row>
    <row r="205">
      <c r="A205" s="114"/>
      <c r="B205" s="114"/>
      <c r="C205" s="123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</row>
    <row r="206">
      <c r="A206" s="114"/>
      <c r="B206" s="114"/>
      <c r="C206" s="123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</row>
    <row r="207">
      <c r="A207" s="114"/>
      <c r="B207" s="114"/>
      <c r="C207" s="123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</row>
    <row r="208">
      <c r="A208" s="114"/>
      <c r="B208" s="114"/>
      <c r="C208" s="123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</row>
    <row r="209">
      <c r="A209" s="114"/>
      <c r="B209" s="114"/>
      <c r="C209" s="123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</row>
    <row r="210">
      <c r="A210" s="114"/>
      <c r="B210" s="114"/>
      <c r="C210" s="123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</row>
    <row r="211">
      <c r="A211" s="114"/>
      <c r="B211" s="114"/>
      <c r="C211" s="123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</row>
    <row r="212">
      <c r="A212" s="114"/>
      <c r="B212" s="114"/>
      <c r="C212" s="123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</row>
    <row r="213">
      <c r="A213" s="114"/>
      <c r="B213" s="114"/>
      <c r="C213" s="123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</row>
    <row r="214">
      <c r="A214" s="114"/>
      <c r="B214" s="114"/>
      <c r="C214" s="123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</row>
    <row r="215">
      <c r="A215" s="114"/>
      <c r="B215" s="114"/>
      <c r="C215" s="123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</row>
    <row r="216">
      <c r="A216" s="114"/>
      <c r="B216" s="114"/>
      <c r="C216" s="123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</row>
    <row r="217">
      <c r="A217" s="114"/>
      <c r="B217" s="114"/>
      <c r="C217" s="123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</row>
    <row r="218">
      <c r="A218" s="114"/>
      <c r="B218" s="114"/>
      <c r="C218" s="123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</row>
    <row r="219">
      <c r="A219" s="114"/>
      <c r="B219" s="114"/>
      <c r="C219" s="123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</row>
    <row r="220">
      <c r="A220" s="114"/>
      <c r="B220" s="114"/>
      <c r="C220" s="123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</row>
    <row r="221">
      <c r="A221" s="114"/>
      <c r="B221" s="114"/>
      <c r="C221" s="123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</row>
    <row r="222">
      <c r="A222" s="114"/>
      <c r="B222" s="114"/>
      <c r="C222" s="123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</row>
    <row r="223">
      <c r="A223" s="114"/>
      <c r="B223" s="114"/>
      <c r="C223" s="123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</row>
    <row r="224">
      <c r="A224" s="114"/>
      <c r="B224" s="114"/>
      <c r="C224" s="123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</row>
    <row r="225">
      <c r="A225" s="114"/>
      <c r="B225" s="114"/>
      <c r="C225" s="123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</row>
    <row r="226">
      <c r="A226" s="114"/>
      <c r="B226" s="114"/>
      <c r="C226" s="123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</row>
    <row r="227">
      <c r="A227" s="114"/>
      <c r="B227" s="114"/>
      <c r="C227" s="123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</row>
    <row r="228">
      <c r="A228" s="114"/>
      <c r="B228" s="114"/>
      <c r="C228" s="123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</row>
    <row r="229">
      <c r="A229" s="114"/>
      <c r="B229" s="114"/>
      <c r="C229" s="123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</row>
    <row r="230">
      <c r="A230" s="114"/>
      <c r="B230" s="114"/>
      <c r="C230" s="123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</row>
    <row r="231">
      <c r="A231" s="114"/>
      <c r="B231" s="114"/>
      <c r="C231" s="123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</row>
    <row r="232">
      <c r="A232" s="114"/>
      <c r="B232" s="114"/>
      <c r="C232" s="123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</row>
    <row r="233">
      <c r="A233" s="114"/>
      <c r="B233" s="114"/>
      <c r="C233" s="123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</row>
    <row r="234">
      <c r="A234" s="114"/>
      <c r="B234" s="114"/>
      <c r="C234" s="123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</row>
    <row r="235">
      <c r="A235" s="114"/>
      <c r="B235" s="114"/>
      <c r="C235" s="123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</row>
    <row r="236">
      <c r="A236" s="114"/>
      <c r="B236" s="114"/>
      <c r="C236" s="123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</row>
    <row r="237">
      <c r="A237" s="114"/>
      <c r="B237" s="114"/>
      <c r="C237" s="123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</row>
    <row r="238">
      <c r="A238" s="114"/>
      <c r="B238" s="114"/>
      <c r="C238" s="123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</row>
    <row r="239">
      <c r="A239" s="114"/>
      <c r="B239" s="114"/>
      <c r="C239" s="123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</row>
    <row r="240">
      <c r="A240" s="114"/>
      <c r="B240" s="114"/>
      <c r="C240" s="123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</row>
    <row r="241">
      <c r="A241" s="114"/>
      <c r="B241" s="114"/>
      <c r="C241" s="123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</row>
    <row r="242">
      <c r="A242" s="114"/>
      <c r="B242" s="114"/>
      <c r="C242" s="123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</row>
    <row r="243">
      <c r="A243" s="114"/>
      <c r="B243" s="114"/>
      <c r="C243" s="123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</row>
    <row r="244">
      <c r="A244" s="114"/>
      <c r="B244" s="114"/>
      <c r="C244" s="123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</row>
    <row r="245">
      <c r="A245" s="114"/>
      <c r="B245" s="114"/>
      <c r="C245" s="123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</row>
    <row r="246">
      <c r="A246" s="114"/>
      <c r="B246" s="114"/>
      <c r="C246" s="123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</row>
    <row r="247">
      <c r="A247" s="114"/>
      <c r="B247" s="114"/>
      <c r="C247" s="123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</row>
    <row r="248">
      <c r="A248" s="114"/>
      <c r="B248" s="114"/>
      <c r="C248" s="123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</row>
    <row r="249">
      <c r="A249" s="114"/>
      <c r="B249" s="114"/>
      <c r="C249" s="123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</row>
    <row r="250">
      <c r="A250" s="114"/>
      <c r="B250" s="114"/>
      <c r="C250" s="123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</row>
    <row r="251">
      <c r="A251" s="114"/>
      <c r="B251" s="114"/>
      <c r="C251" s="123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</row>
    <row r="252">
      <c r="A252" s="114"/>
      <c r="B252" s="114"/>
      <c r="C252" s="123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</row>
    <row r="253">
      <c r="A253" s="114"/>
      <c r="B253" s="114"/>
      <c r="C253" s="123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</row>
    <row r="254">
      <c r="A254" s="114"/>
      <c r="B254" s="114"/>
      <c r="C254" s="123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</row>
    <row r="255">
      <c r="A255" s="114"/>
      <c r="B255" s="114"/>
      <c r="C255" s="123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</row>
    <row r="256">
      <c r="A256" s="114"/>
      <c r="B256" s="114"/>
      <c r="C256" s="123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</row>
    <row r="257">
      <c r="A257" s="114"/>
      <c r="B257" s="114"/>
      <c r="C257" s="123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</row>
    <row r="258">
      <c r="A258" s="114"/>
      <c r="B258" s="114"/>
      <c r="C258" s="123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</row>
    <row r="259">
      <c r="A259" s="114"/>
      <c r="B259" s="114"/>
      <c r="C259" s="123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</row>
    <row r="260">
      <c r="A260" s="114"/>
      <c r="B260" s="114"/>
      <c r="C260" s="123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</row>
    <row r="261">
      <c r="A261" s="114"/>
      <c r="B261" s="114"/>
      <c r="C261" s="123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</row>
    <row r="262">
      <c r="A262" s="114"/>
      <c r="B262" s="114"/>
      <c r="C262" s="123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</row>
    <row r="263">
      <c r="A263" s="114"/>
      <c r="B263" s="114"/>
      <c r="C263" s="123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</row>
    <row r="264">
      <c r="A264" s="114"/>
      <c r="B264" s="114"/>
      <c r="C264" s="123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</row>
    <row r="265">
      <c r="A265" s="114"/>
      <c r="B265" s="114"/>
      <c r="C265" s="123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</row>
    <row r="266">
      <c r="A266" s="114"/>
      <c r="B266" s="114"/>
      <c r="C266" s="123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</row>
    <row r="267">
      <c r="A267" s="114"/>
      <c r="B267" s="114"/>
      <c r="C267" s="123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</row>
    <row r="268">
      <c r="A268" s="114"/>
      <c r="B268" s="114"/>
      <c r="C268" s="123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</row>
    <row r="269">
      <c r="A269" s="114"/>
      <c r="B269" s="114"/>
      <c r="C269" s="123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</row>
    <row r="270">
      <c r="A270" s="114"/>
      <c r="B270" s="114"/>
      <c r="C270" s="123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</row>
    <row r="271">
      <c r="A271" s="114"/>
      <c r="B271" s="114"/>
      <c r="C271" s="123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</row>
    <row r="272">
      <c r="A272" s="114"/>
      <c r="B272" s="114"/>
      <c r="C272" s="123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</row>
    <row r="273">
      <c r="A273" s="114"/>
      <c r="B273" s="114"/>
      <c r="C273" s="123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</row>
    <row r="274">
      <c r="A274" s="114"/>
      <c r="B274" s="114"/>
      <c r="C274" s="123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</row>
    <row r="275">
      <c r="A275" s="114"/>
      <c r="B275" s="114"/>
      <c r="C275" s="123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</row>
    <row r="276">
      <c r="A276" s="114"/>
      <c r="B276" s="114"/>
      <c r="C276" s="123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</row>
    <row r="277">
      <c r="A277" s="114"/>
      <c r="B277" s="114"/>
      <c r="C277" s="123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</row>
    <row r="278">
      <c r="A278" s="114"/>
      <c r="B278" s="114"/>
      <c r="C278" s="123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</row>
    <row r="279">
      <c r="A279" s="114"/>
      <c r="B279" s="114"/>
      <c r="C279" s="123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</row>
    <row r="280">
      <c r="A280" s="114"/>
      <c r="B280" s="114"/>
      <c r="C280" s="123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</row>
    <row r="281">
      <c r="A281" s="114"/>
      <c r="B281" s="114"/>
      <c r="C281" s="123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</row>
    <row r="282">
      <c r="A282" s="114"/>
      <c r="B282" s="114"/>
      <c r="C282" s="123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</row>
    <row r="283">
      <c r="A283" s="114"/>
      <c r="B283" s="114"/>
      <c r="C283" s="123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</row>
    <row r="284">
      <c r="A284" s="114"/>
      <c r="B284" s="114"/>
      <c r="C284" s="123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</row>
    <row r="285">
      <c r="A285" s="114"/>
      <c r="B285" s="114"/>
      <c r="C285" s="123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</row>
    <row r="286">
      <c r="A286" s="114"/>
      <c r="B286" s="114"/>
      <c r="C286" s="123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</row>
    <row r="287">
      <c r="A287" s="114"/>
      <c r="B287" s="114"/>
      <c r="C287" s="123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</row>
    <row r="288">
      <c r="A288" s="114"/>
      <c r="B288" s="114"/>
      <c r="C288" s="123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</row>
    <row r="289">
      <c r="A289" s="114"/>
      <c r="B289" s="114"/>
      <c r="C289" s="123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</row>
    <row r="290">
      <c r="A290" s="114"/>
      <c r="B290" s="114"/>
      <c r="C290" s="123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</row>
    <row r="291">
      <c r="A291" s="114"/>
      <c r="B291" s="114"/>
      <c r="C291" s="123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</row>
    <row r="292">
      <c r="A292" s="114"/>
      <c r="B292" s="114"/>
      <c r="C292" s="123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</row>
    <row r="293">
      <c r="A293" s="114"/>
      <c r="B293" s="114"/>
      <c r="C293" s="123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</row>
    <row r="294">
      <c r="A294" s="114"/>
      <c r="B294" s="114"/>
      <c r="C294" s="123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</row>
    <row r="295">
      <c r="A295" s="114"/>
      <c r="B295" s="114"/>
      <c r="C295" s="123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</row>
    <row r="296">
      <c r="A296" s="114"/>
      <c r="B296" s="114"/>
      <c r="C296" s="123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</row>
    <row r="297">
      <c r="A297" s="114"/>
      <c r="B297" s="114"/>
      <c r="C297" s="123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</row>
    <row r="298">
      <c r="A298" s="114"/>
      <c r="B298" s="114"/>
      <c r="C298" s="123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</row>
    <row r="299">
      <c r="A299" s="114"/>
      <c r="B299" s="114"/>
      <c r="C299" s="123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</row>
    <row r="300">
      <c r="A300" s="114"/>
      <c r="B300" s="114"/>
      <c r="C300" s="123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</row>
    <row r="301">
      <c r="A301" s="114"/>
      <c r="B301" s="114"/>
      <c r="C301" s="123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</row>
    <row r="302">
      <c r="A302" s="114"/>
      <c r="B302" s="114"/>
      <c r="C302" s="123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</row>
    <row r="303">
      <c r="A303" s="114"/>
      <c r="B303" s="114"/>
      <c r="C303" s="123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</row>
    <row r="304">
      <c r="A304" s="114"/>
      <c r="B304" s="114"/>
      <c r="C304" s="123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</row>
    <row r="305">
      <c r="A305" s="114"/>
      <c r="B305" s="114"/>
      <c r="C305" s="123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</row>
    <row r="306">
      <c r="A306" s="114"/>
      <c r="B306" s="114"/>
      <c r="C306" s="123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</row>
    <row r="307">
      <c r="A307" s="114"/>
      <c r="B307" s="114"/>
      <c r="C307" s="123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</row>
    <row r="308">
      <c r="A308" s="114"/>
      <c r="B308" s="114"/>
      <c r="C308" s="123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</row>
    <row r="309">
      <c r="A309" s="114"/>
      <c r="B309" s="114"/>
      <c r="C309" s="123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</row>
    <row r="310">
      <c r="A310" s="114"/>
      <c r="B310" s="114"/>
      <c r="C310" s="123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</row>
    <row r="311">
      <c r="A311" s="114"/>
      <c r="B311" s="114"/>
      <c r="C311" s="123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</row>
    <row r="312">
      <c r="A312" s="114"/>
      <c r="B312" s="114"/>
      <c r="C312" s="123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</row>
    <row r="313">
      <c r="A313" s="114"/>
      <c r="B313" s="114"/>
      <c r="C313" s="123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</row>
    <row r="314">
      <c r="A314" s="114"/>
      <c r="B314" s="114"/>
      <c r="C314" s="123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</row>
    <row r="315">
      <c r="A315" s="114"/>
      <c r="B315" s="114"/>
      <c r="C315" s="123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</row>
    <row r="316">
      <c r="A316" s="114"/>
      <c r="B316" s="114"/>
      <c r="C316" s="123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</row>
    <row r="317">
      <c r="A317" s="114"/>
      <c r="B317" s="114"/>
      <c r="C317" s="123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</row>
    <row r="318">
      <c r="A318" s="114"/>
      <c r="B318" s="114"/>
      <c r="C318" s="123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</row>
    <row r="319">
      <c r="A319" s="114"/>
      <c r="B319" s="114"/>
      <c r="C319" s="123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</row>
    <row r="320">
      <c r="A320" s="114"/>
      <c r="B320" s="114"/>
      <c r="C320" s="123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</row>
    <row r="321">
      <c r="A321" s="114"/>
      <c r="B321" s="114"/>
      <c r="C321" s="123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</row>
    <row r="322">
      <c r="A322" s="114"/>
      <c r="B322" s="114"/>
      <c r="C322" s="123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</row>
    <row r="323">
      <c r="A323" s="114"/>
      <c r="B323" s="114"/>
      <c r="C323" s="123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</row>
    <row r="324">
      <c r="A324" s="114"/>
      <c r="B324" s="114"/>
      <c r="C324" s="123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</row>
    <row r="325">
      <c r="A325" s="114"/>
      <c r="B325" s="114"/>
      <c r="C325" s="123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</row>
    <row r="326">
      <c r="A326" s="114"/>
      <c r="B326" s="114"/>
      <c r="C326" s="123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</row>
    <row r="327">
      <c r="A327" s="114"/>
      <c r="B327" s="114"/>
      <c r="C327" s="123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</row>
    <row r="328">
      <c r="A328" s="114"/>
      <c r="B328" s="114"/>
      <c r="C328" s="123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</row>
    <row r="329">
      <c r="A329" s="114"/>
      <c r="B329" s="114"/>
      <c r="C329" s="123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</row>
    <row r="330">
      <c r="A330" s="114"/>
      <c r="B330" s="114"/>
      <c r="C330" s="123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</row>
    <row r="331">
      <c r="A331" s="114"/>
      <c r="B331" s="114"/>
      <c r="C331" s="123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</row>
    <row r="332">
      <c r="A332" s="114"/>
      <c r="B332" s="114"/>
      <c r="C332" s="123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</row>
    <row r="333">
      <c r="A333" s="114"/>
      <c r="B333" s="114"/>
      <c r="C333" s="123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</row>
    <row r="334">
      <c r="A334" s="114"/>
      <c r="B334" s="114"/>
      <c r="C334" s="123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</row>
    <row r="335">
      <c r="A335" s="114"/>
      <c r="B335" s="114"/>
      <c r="C335" s="123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</row>
    <row r="336">
      <c r="A336" s="114"/>
      <c r="B336" s="114"/>
      <c r="C336" s="123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</row>
    <row r="337">
      <c r="A337" s="114"/>
      <c r="B337" s="114"/>
      <c r="C337" s="123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</row>
    <row r="338">
      <c r="A338" s="114"/>
      <c r="B338" s="114"/>
      <c r="C338" s="123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</row>
    <row r="339">
      <c r="A339" s="114"/>
      <c r="B339" s="114"/>
      <c r="C339" s="123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</row>
    <row r="340">
      <c r="A340" s="114"/>
      <c r="B340" s="114"/>
      <c r="C340" s="123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</row>
    <row r="341">
      <c r="A341" s="114"/>
      <c r="B341" s="114"/>
      <c r="C341" s="123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</row>
    <row r="342">
      <c r="A342" s="114"/>
      <c r="B342" s="114"/>
      <c r="C342" s="123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</row>
    <row r="343">
      <c r="A343" s="114"/>
      <c r="B343" s="114"/>
      <c r="C343" s="123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</row>
    <row r="344">
      <c r="A344" s="114"/>
      <c r="B344" s="114"/>
      <c r="C344" s="123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</row>
    <row r="345">
      <c r="A345" s="114"/>
      <c r="B345" s="114"/>
      <c r="C345" s="123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</row>
    <row r="346">
      <c r="A346" s="114"/>
      <c r="B346" s="114"/>
      <c r="C346" s="123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</row>
    <row r="347">
      <c r="A347" s="114"/>
      <c r="B347" s="114"/>
      <c r="C347" s="123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</row>
    <row r="348">
      <c r="A348" s="114"/>
      <c r="B348" s="114"/>
      <c r="C348" s="123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</row>
    <row r="349">
      <c r="A349" s="114"/>
      <c r="B349" s="114"/>
      <c r="C349" s="123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</row>
    <row r="350">
      <c r="A350" s="114"/>
      <c r="B350" s="114"/>
      <c r="C350" s="123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</row>
    <row r="351">
      <c r="A351" s="114"/>
      <c r="B351" s="114"/>
      <c r="C351" s="123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</row>
    <row r="352">
      <c r="A352" s="114"/>
      <c r="B352" s="114"/>
      <c r="C352" s="123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</row>
    <row r="353">
      <c r="A353" s="114"/>
      <c r="B353" s="114"/>
      <c r="C353" s="123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</row>
    <row r="354">
      <c r="A354" s="114"/>
      <c r="B354" s="114"/>
      <c r="C354" s="123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</row>
    <row r="355">
      <c r="A355" s="114"/>
      <c r="B355" s="114"/>
      <c r="C355" s="123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</row>
    <row r="356">
      <c r="A356" s="114"/>
      <c r="B356" s="114"/>
      <c r="C356" s="123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</row>
    <row r="357">
      <c r="A357" s="114"/>
      <c r="B357" s="114"/>
      <c r="C357" s="123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</row>
    <row r="358">
      <c r="A358" s="114"/>
      <c r="B358" s="114"/>
      <c r="C358" s="123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</row>
    <row r="359">
      <c r="A359" s="114"/>
      <c r="B359" s="114"/>
      <c r="C359" s="123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</row>
    <row r="360">
      <c r="A360" s="114"/>
      <c r="B360" s="114"/>
      <c r="C360" s="123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</row>
    <row r="361">
      <c r="A361" s="114"/>
      <c r="B361" s="114"/>
      <c r="C361" s="123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</row>
    <row r="362">
      <c r="A362" s="114"/>
      <c r="B362" s="114"/>
      <c r="C362" s="123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</row>
    <row r="363">
      <c r="A363" s="114"/>
      <c r="B363" s="114"/>
      <c r="C363" s="123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</row>
    <row r="364">
      <c r="A364" s="114"/>
      <c r="B364" s="114"/>
      <c r="C364" s="123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</row>
    <row r="365">
      <c r="A365" s="114"/>
      <c r="B365" s="114"/>
      <c r="C365" s="123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</row>
    <row r="366">
      <c r="A366" s="114"/>
      <c r="B366" s="114"/>
      <c r="C366" s="123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</row>
    <row r="367">
      <c r="A367" s="114"/>
      <c r="B367" s="114"/>
      <c r="C367" s="123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</row>
    <row r="368">
      <c r="A368" s="114"/>
      <c r="B368" s="114"/>
      <c r="C368" s="123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</row>
    <row r="369">
      <c r="A369" s="114"/>
      <c r="B369" s="114"/>
      <c r="C369" s="123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</row>
    <row r="370">
      <c r="A370" s="114"/>
      <c r="B370" s="114"/>
      <c r="C370" s="123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</row>
    <row r="371">
      <c r="A371" s="114"/>
      <c r="B371" s="114"/>
      <c r="C371" s="123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</row>
    <row r="372">
      <c r="A372" s="114"/>
      <c r="B372" s="114"/>
      <c r="C372" s="123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</row>
    <row r="373">
      <c r="A373" s="114"/>
      <c r="B373" s="114"/>
      <c r="C373" s="123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</row>
    <row r="374">
      <c r="A374" s="114"/>
      <c r="B374" s="114"/>
      <c r="C374" s="123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</row>
    <row r="375">
      <c r="A375" s="114"/>
      <c r="B375" s="114"/>
      <c r="C375" s="123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</row>
    <row r="376">
      <c r="A376" s="114"/>
      <c r="B376" s="114"/>
      <c r="C376" s="123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</row>
    <row r="377">
      <c r="A377" s="114"/>
      <c r="B377" s="114"/>
      <c r="C377" s="123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</row>
    <row r="378">
      <c r="A378" s="114"/>
      <c r="B378" s="114"/>
      <c r="C378" s="123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</row>
    <row r="379">
      <c r="A379" s="114"/>
      <c r="B379" s="114"/>
      <c r="C379" s="123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</row>
    <row r="380">
      <c r="A380" s="114"/>
      <c r="B380" s="114"/>
      <c r="C380" s="123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</row>
    <row r="381">
      <c r="A381" s="114"/>
      <c r="B381" s="114"/>
      <c r="C381" s="123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</row>
    <row r="382">
      <c r="A382" s="114"/>
      <c r="B382" s="114"/>
      <c r="C382" s="123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</row>
    <row r="383">
      <c r="A383" s="114"/>
      <c r="B383" s="114"/>
      <c r="C383" s="123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</row>
    <row r="384">
      <c r="A384" s="114"/>
      <c r="B384" s="114"/>
      <c r="C384" s="123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</row>
    <row r="385">
      <c r="A385" s="114"/>
      <c r="B385" s="114"/>
      <c r="C385" s="123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</row>
    <row r="386">
      <c r="A386" s="114"/>
      <c r="B386" s="114"/>
      <c r="C386" s="123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</row>
    <row r="387">
      <c r="A387" s="114"/>
      <c r="B387" s="114"/>
      <c r="C387" s="123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</row>
    <row r="388">
      <c r="A388" s="114"/>
      <c r="B388" s="114"/>
      <c r="C388" s="123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</row>
    <row r="389">
      <c r="A389" s="114"/>
      <c r="B389" s="114"/>
      <c r="C389" s="123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</row>
    <row r="390">
      <c r="A390" s="114"/>
      <c r="B390" s="114"/>
      <c r="C390" s="123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</row>
    <row r="391">
      <c r="A391" s="114"/>
      <c r="B391" s="114"/>
      <c r="C391" s="123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</row>
    <row r="392">
      <c r="A392" s="114"/>
      <c r="B392" s="114"/>
      <c r="C392" s="123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</row>
    <row r="393">
      <c r="A393" s="114"/>
      <c r="B393" s="114"/>
      <c r="C393" s="123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</row>
    <row r="394">
      <c r="A394" s="114"/>
      <c r="B394" s="114"/>
      <c r="C394" s="123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</row>
    <row r="395">
      <c r="A395" s="114"/>
      <c r="B395" s="114"/>
      <c r="C395" s="123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</row>
    <row r="396">
      <c r="A396" s="114"/>
      <c r="B396" s="114"/>
      <c r="C396" s="123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</row>
    <row r="397">
      <c r="A397" s="114"/>
      <c r="B397" s="114"/>
      <c r="C397" s="123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</row>
    <row r="398">
      <c r="A398" s="114"/>
      <c r="B398" s="114"/>
      <c r="C398" s="123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</row>
    <row r="399">
      <c r="A399" s="114"/>
      <c r="B399" s="114"/>
      <c r="C399" s="123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</row>
    <row r="400">
      <c r="A400" s="114"/>
      <c r="B400" s="114"/>
      <c r="C400" s="123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</row>
    <row r="401">
      <c r="A401" s="114"/>
      <c r="B401" s="114"/>
      <c r="C401" s="123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</row>
    <row r="402">
      <c r="A402" s="114"/>
      <c r="B402" s="114"/>
      <c r="C402" s="123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</row>
    <row r="403">
      <c r="A403" s="114"/>
      <c r="B403" s="114"/>
      <c r="C403" s="123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</row>
    <row r="404">
      <c r="A404" s="114"/>
      <c r="B404" s="114"/>
      <c r="C404" s="123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</row>
    <row r="405">
      <c r="A405" s="114"/>
      <c r="B405" s="114"/>
      <c r="C405" s="123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</row>
    <row r="406">
      <c r="A406" s="114"/>
      <c r="B406" s="114"/>
      <c r="C406" s="123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</row>
    <row r="407">
      <c r="A407" s="114"/>
      <c r="B407" s="114"/>
      <c r="C407" s="123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</row>
    <row r="408">
      <c r="A408" s="114"/>
      <c r="B408" s="114"/>
      <c r="C408" s="123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</row>
    <row r="409">
      <c r="A409" s="114"/>
      <c r="B409" s="114"/>
      <c r="C409" s="123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</row>
    <row r="410">
      <c r="A410" s="114"/>
      <c r="B410" s="114"/>
      <c r="C410" s="123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</row>
    <row r="411">
      <c r="A411" s="114"/>
      <c r="B411" s="114"/>
      <c r="C411" s="123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</row>
    <row r="412">
      <c r="A412" s="114"/>
      <c r="B412" s="114"/>
      <c r="C412" s="123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</row>
    <row r="413">
      <c r="A413" s="114"/>
      <c r="B413" s="114"/>
      <c r="C413" s="123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</row>
    <row r="414">
      <c r="A414" s="114"/>
      <c r="B414" s="114"/>
      <c r="C414" s="123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</row>
    <row r="415">
      <c r="A415" s="114"/>
      <c r="B415" s="114"/>
      <c r="C415" s="123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</row>
    <row r="416">
      <c r="A416" s="114"/>
      <c r="B416" s="114"/>
      <c r="C416" s="123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</row>
    <row r="417">
      <c r="A417" s="114"/>
      <c r="B417" s="114"/>
      <c r="C417" s="123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</row>
    <row r="418">
      <c r="A418" s="114"/>
      <c r="B418" s="114"/>
      <c r="C418" s="123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</row>
    <row r="419">
      <c r="A419" s="114"/>
      <c r="B419" s="114"/>
      <c r="C419" s="123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</row>
    <row r="420">
      <c r="A420" s="114"/>
      <c r="B420" s="114"/>
      <c r="C420" s="123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</row>
    <row r="421">
      <c r="A421" s="114"/>
      <c r="B421" s="114"/>
      <c r="C421" s="123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</row>
    <row r="422">
      <c r="A422" s="114"/>
      <c r="B422" s="114"/>
      <c r="C422" s="123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</row>
    <row r="423">
      <c r="A423" s="114"/>
      <c r="B423" s="114"/>
      <c r="C423" s="123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</row>
    <row r="424">
      <c r="A424" s="114"/>
      <c r="B424" s="114"/>
      <c r="C424" s="123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</row>
    <row r="425">
      <c r="A425" s="114"/>
      <c r="B425" s="114"/>
      <c r="C425" s="123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</row>
    <row r="426">
      <c r="A426" s="114"/>
      <c r="B426" s="114"/>
      <c r="C426" s="123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</row>
    <row r="427">
      <c r="A427" s="114"/>
      <c r="B427" s="114"/>
      <c r="C427" s="123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</row>
    <row r="428">
      <c r="A428" s="114"/>
      <c r="B428" s="114"/>
      <c r="C428" s="123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</row>
    <row r="429">
      <c r="A429" s="114"/>
      <c r="B429" s="114"/>
      <c r="C429" s="123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</row>
    <row r="430">
      <c r="A430" s="114"/>
      <c r="B430" s="114"/>
      <c r="C430" s="123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</row>
    <row r="431">
      <c r="A431" s="114"/>
      <c r="B431" s="114"/>
      <c r="C431" s="123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</row>
    <row r="432">
      <c r="A432" s="114"/>
      <c r="B432" s="114"/>
      <c r="C432" s="123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</row>
    <row r="433">
      <c r="A433" s="114"/>
      <c r="B433" s="114"/>
      <c r="C433" s="123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</row>
    <row r="434">
      <c r="A434" s="114"/>
      <c r="B434" s="114"/>
      <c r="C434" s="123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</row>
    <row r="435">
      <c r="A435" s="114"/>
      <c r="B435" s="114"/>
      <c r="C435" s="123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</row>
    <row r="436">
      <c r="A436" s="114"/>
      <c r="B436" s="114"/>
      <c r="C436" s="123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</row>
    <row r="437">
      <c r="A437" s="114"/>
      <c r="B437" s="114"/>
      <c r="C437" s="123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</row>
    <row r="438">
      <c r="A438" s="114"/>
      <c r="B438" s="114"/>
      <c r="C438" s="123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</row>
    <row r="439">
      <c r="A439" s="114"/>
      <c r="B439" s="114"/>
      <c r="C439" s="123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</row>
    <row r="440">
      <c r="A440" s="114"/>
      <c r="B440" s="114"/>
      <c r="C440" s="123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</row>
    <row r="441">
      <c r="A441" s="114"/>
      <c r="B441" s="114"/>
      <c r="C441" s="123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</row>
    <row r="442">
      <c r="A442" s="114"/>
      <c r="B442" s="114"/>
      <c r="C442" s="123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</row>
    <row r="443">
      <c r="A443" s="114"/>
      <c r="B443" s="114"/>
      <c r="C443" s="123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</row>
    <row r="444">
      <c r="A444" s="114"/>
      <c r="B444" s="114"/>
      <c r="C444" s="123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</row>
    <row r="445">
      <c r="A445" s="114"/>
      <c r="B445" s="114"/>
      <c r="C445" s="123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</row>
    <row r="446">
      <c r="A446" s="114"/>
      <c r="B446" s="114"/>
      <c r="C446" s="123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</row>
    <row r="447">
      <c r="A447" s="114"/>
      <c r="B447" s="114"/>
      <c r="C447" s="123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</row>
    <row r="448">
      <c r="A448" s="114"/>
      <c r="B448" s="114"/>
      <c r="C448" s="123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</row>
    <row r="449">
      <c r="A449" s="114"/>
      <c r="B449" s="114"/>
      <c r="C449" s="123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</row>
    <row r="450">
      <c r="A450" s="114"/>
      <c r="B450" s="114"/>
      <c r="C450" s="123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</row>
    <row r="451">
      <c r="A451" s="114"/>
      <c r="B451" s="114"/>
      <c r="C451" s="123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</row>
    <row r="452">
      <c r="A452" s="114"/>
      <c r="B452" s="114"/>
      <c r="C452" s="123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</row>
    <row r="453">
      <c r="A453" s="114"/>
      <c r="B453" s="114"/>
      <c r="C453" s="123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</row>
    <row r="454">
      <c r="A454" s="114"/>
      <c r="B454" s="114"/>
      <c r="C454" s="123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</row>
    <row r="455">
      <c r="A455" s="114"/>
      <c r="B455" s="114"/>
      <c r="C455" s="123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</row>
    <row r="456">
      <c r="A456" s="114"/>
      <c r="B456" s="114"/>
      <c r="C456" s="123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</row>
    <row r="457">
      <c r="A457" s="114"/>
      <c r="B457" s="114"/>
      <c r="C457" s="123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</row>
    <row r="458">
      <c r="A458" s="114"/>
      <c r="B458" s="114"/>
      <c r="C458" s="123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</row>
    <row r="459">
      <c r="A459" s="114"/>
      <c r="B459" s="114"/>
      <c r="C459" s="123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</row>
    <row r="460">
      <c r="A460" s="114"/>
      <c r="B460" s="114"/>
      <c r="C460" s="123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</row>
    <row r="461">
      <c r="A461" s="114"/>
      <c r="B461" s="114"/>
      <c r="C461" s="123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</row>
    <row r="462">
      <c r="A462" s="114"/>
      <c r="B462" s="114"/>
      <c r="C462" s="123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</row>
    <row r="463">
      <c r="A463" s="114"/>
      <c r="B463" s="114"/>
      <c r="C463" s="123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</row>
    <row r="464">
      <c r="A464" s="114"/>
      <c r="B464" s="114"/>
      <c r="C464" s="123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</row>
    <row r="465">
      <c r="A465" s="114"/>
      <c r="B465" s="114"/>
      <c r="C465" s="123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</row>
    <row r="466">
      <c r="A466" s="114"/>
      <c r="B466" s="114"/>
      <c r="C466" s="123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</row>
    <row r="467">
      <c r="A467" s="114"/>
      <c r="B467" s="114"/>
      <c r="C467" s="123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</row>
    <row r="468">
      <c r="A468" s="114"/>
      <c r="B468" s="114"/>
      <c r="C468" s="123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</row>
    <row r="469">
      <c r="A469" s="114"/>
      <c r="B469" s="114"/>
      <c r="C469" s="123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</row>
    <row r="470">
      <c r="A470" s="114"/>
      <c r="B470" s="114"/>
      <c r="C470" s="123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</row>
    <row r="471">
      <c r="A471" s="114"/>
      <c r="B471" s="114"/>
      <c r="C471" s="123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</row>
    <row r="472">
      <c r="A472" s="114"/>
      <c r="B472" s="114"/>
      <c r="C472" s="123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</row>
    <row r="473">
      <c r="A473" s="114"/>
      <c r="B473" s="114"/>
      <c r="C473" s="123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</row>
    <row r="474">
      <c r="A474" s="114"/>
      <c r="B474" s="114"/>
      <c r="C474" s="123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</row>
    <row r="475">
      <c r="A475" s="114"/>
      <c r="B475" s="114"/>
      <c r="C475" s="123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</row>
    <row r="476">
      <c r="A476" s="114"/>
      <c r="B476" s="114"/>
      <c r="C476" s="123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</row>
    <row r="477">
      <c r="A477" s="114"/>
      <c r="B477" s="114"/>
      <c r="C477" s="123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</row>
    <row r="478">
      <c r="A478" s="114"/>
      <c r="B478" s="114"/>
      <c r="C478" s="123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</row>
    <row r="479">
      <c r="A479" s="114"/>
      <c r="B479" s="114"/>
      <c r="C479" s="123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</row>
    <row r="480">
      <c r="A480" s="114"/>
      <c r="B480" s="114"/>
      <c r="C480" s="123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</row>
    <row r="481">
      <c r="A481" s="114"/>
      <c r="B481" s="114"/>
      <c r="C481" s="123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</row>
    <row r="482">
      <c r="A482" s="114"/>
      <c r="B482" s="114"/>
      <c r="C482" s="123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</row>
    <row r="483">
      <c r="A483" s="114"/>
      <c r="B483" s="114"/>
      <c r="C483" s="123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</row>
    <row r="484">
      <c r="A484" s="114"/>
      <c r="B484" s="114"/>
      <c r="C484" s="123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</row>
    <row r="485">
      <c r="A485" s="114"/>
      <c r="B485" s="114"/>
      <c r="C485" s="123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</row>
    <row r="486">
      <c r="A486" s="114"/>
      <c r="B486" s="114"/>
      <c r="C486" s="123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</row>
    <row r="487">
      <c r="A487" s="114"/>
      <c r="B487" s="114"/>
      <c r="C487" s="123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</row>
    <row r="488">
      <c r="A488" s="114"/>
      <c r="B488" s="114"/>
      <c r="C488" s="123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</row>
    <row r="489">
      <c r="A489" s="114"/>
      <c r="B489" s="114"/>
      <c r="C489" s="123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</row>
    <row r="490">
      <c r="A490" s="114"/>
      <c r="B490" s="114"/>
      <c r="C490" s="123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</row>
    <row r="491">
      <c r="A491" s="114"/>
      <c r="B491" s="114"/>
      <c r="C491" s="123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</row>
    <row r="492">
      <c r="A492" s="114"/>
      <c r="B492" s="114"/>
      <c r="C492" s="123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</row>
    <row r="493">
      <c r="A493" s="114"/>
      <c r="B493" s="114"/>
      <c r="C493" s="123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</row>
    <row r="494">
      <c r="A494" s="114"/>
      <c r="B494" s="114"/>
      <c r="C494" s="123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</row>
    <row r="495">
      <c r="A495" s="114"/>
      <c r="B495" s="114"/>
      <c r="C495" s="123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</row>
    <row r="496">
      <c r="A496" s="114"/>
      <c r="B496" s="114"/>
      <c r="C496" s="123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</row>
    <row r="497">
      <c r="A497" s="114"/>
      <c r="B497" s="114"/>
      <c r="C497" s="123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</row>
    <row r="498">
      <c r="A498" s="114"/>
      <c r="B498" s="114"/>
      <c r="C498" s="123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</row>
    <row r="499">
      <c r="A499" s="114"/>
      <c r="B499" s="114"/>
      <c r="C499" s="123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</row>
    <row r="500">
      <c r="A500" s="114"/>
      <c r="B500" s="114"/>
      <c r="C500" s="123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</row>
    <row r="501">
      <c r="A501" s="114"/>
      <c r="B501" s="114"/>
      <c r="C501" s="123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</row>
    <row r="502">
      <c r="A502" s="114"/>
      <c r="B502" s="114"/>
      <c r="C502" s="123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</row>
    <row r="503">
      <c r="A503" s="114"/>
      <c r="B503" s="114"/>
      <c r="C503" s="123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</row>
    <row r="504">
      <c r="A504" s="114"/>
      <c r="B504" s="114"/>
      <c r="C504" s="123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</row>
    <row r="505">
      <c r="A505" s="114"/>
      <c r="B505" s="114"/>
      <c r="C505" s="123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</row>
    <row r="506">
      <c r="A506" s="114"/>
      <c r="B506" s="114"/>
      <c r="C506" s="123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</row>
    <row r="507">
      <c r="A507" s="114"/>
      <c r="B507" s="114"/>
      <c r="C507" s="123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</row>
    <row r="508">
      <c r="A508" s="114"/>
      <c r="B508" s="114"/>
      <c r="C508" s="123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</row>
    <row r="509">
      <c r="A509" s="114"/>
      <c r="B509" s="114"/>
      <c r="C509" s="123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</row>
    <row r="510">
      <c r="A510" s="114"/>
      <c r="B510" s="114"/>
      <c r="C510" s="123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</row>
    <row r="511">
      <c r="A511" s="114"/>
      <c r="B511" s="114"/>
      <c r="C511" s="123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</row>
    <row r="512">
      <c r="A512" s="114"/>
      <c r="B512" s="114"/>
      <c r="C512" s="123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</row>
    <row r="513">
      <c r="A513" s="114"/>
      <c r="B513" s="114"/>
      <c r="C513" s="123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</row>
    <row r="514">
      <c r="A514" s="114"/>
      <c r="B514" s="114"/>
      <c r="C514" s="123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</row>
    <row r="515">
      <c r="A515" s="114"/>
      <c r="B515" s="114"/>
      <c r="C515" s="123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</row>
    <row r="516">
      <c r="A516" s="114"/>
      <c r="B516" s="114"/>
      <c r="C516" s="123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</row>
    <row r="517">
      <c r="A517" s="114"/>
      <c r="B517" s="114"/>
      <c r="C517" s="123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</row>
    <row r="518">
      <c r="A518" s="114"/>
      <c r="B518" s="114"/>
      <c r="C518" s="123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</row>
    <row r="519">
      <c r="A519" s="114"/>
      <c r="B519" s="114"/>
      <c r="C519" s="123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</row>
    <row r="520">
      <c r="A520" s="114"/>
      <c r="B520" s="114"/>
      <c r="C520" s="123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</row>
    <row r="521">
      <c r="A521" s="114"/>
      <c r="B521" s="114"/>
      <c r="C521" s="123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</row>
    <row r="522">
      <c r="A522" s="114"/>
      <c r="B522" s="114"/>
      <c r="C522" s="123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</row>
    <row r="523">
      <c r="A523" s="114"/>
      <c r="B523" s="114"/>
      <c r="C523" s="123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</row>
    <row r="524">
      <c r="A524" s="114"/>
      <c r="B524" s="114"/>
      <c r="C524" s="123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</row>
    <row r="525">
      <c r="A525" s="114"/>
      <c r="B525" s="114"/>
      <c r="C525" s="123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</row>
    <row r="526">
      <c r="A526" s="114"/>
      <c r="B526" s="114"/>
      <c r="C526" s="123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</row>
    <row r="527">
      <c r="A527" s="114"/>
      <c r="B527" s="114"/>
      <c r="C527" s="123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</row>
    <row r="528">
      <c r="A528" s="114"/>
      <c r="B528" s="114"/>
      <c r="C528" s="123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</row>
    <row r="529">
      <c r="A529" s="114"/>
      <c r="B529" s="114"/>
      <c r="C529" s="123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</row>
    <row r="530">
      <c r="A530" s="114"/>
      <c r="B530" s="114"/>
      <c r="C530" s="123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</row>
    <row r="531">
      <c r="A531" s="114"/>
      <c r="B531" s="114"/>
      <c r="C531" s="123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</row>
    <row r="532">
      <c r="A532" s="114"/>
      <c r="B532" s="114"/>
      <c r="C532" s="123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</row>
    <row r="533">
      <c r="A533" s="114"/>
      <c r="B533" s="114"/>
      <c r="C533" s="123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</row>
    <row r="534">
      <c r="A534" s="114"/>
      <c r="B534" s="114"/>
      <c r="C534" s="123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</row>
    <row r="535">
      <c r="A535" s="114"/>
      <c r="B535" s="114"/>
      <c r="C535" s="123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</row>
    <row r="536">
      <c r="A536" s="114"/>
      <c r="B536" s="114"/>
      <c r="C536" s="123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</row>
    <row r="537">
      <c r="A537" s="114"/>
      <c r="B537" s="114"/>
      <c r="C537" s="123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</row>
    <row r="538">
      <c r="A538" s="114"/>
      <c r="B538" s="114"/>
      <c r="C538" s="123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</row>
    <row r="539">
      <c r="A539" s="114"/>
      <c r="B539" s="114"/>
      <c r="C539" s="123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</row>
    <row r="540">
      <c r="A540" s="114"/>
      <c r="B540" s="114"/>
      <c r="C540" s="123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</row>
    <row r="541">
      <c r="A541" s="114"/>
      <c r="B541" s="114"/>
      <c r="C541" s="123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</row>
    <row r="542">
      <c r="A542" s="114"/>
      <c r="B542" s="114"/>
      <c r="C542" s="123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</row>
    <row r="543">
      <c r="A543" s="114"/>
      <c r="B543" s="114"/>
      <c r="C543" s="123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</row>
    <row r="544">
      <c r="A544" s="114"/>
      <c r="B544" s="114"/>
      <c r="C544" s="123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</row>
    <row r="545">
      <c r="A545" s="114"/>
      <c r="B545" s="114"/>
      <c r="C545" s="123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</row>
    <row r="546">
      <c r="A546" s="114"/>
      <c r="B546" s="114"/>
      <c r="C546" s="123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</row>
    <row r="547">
      <c r="A547" s="114"/>
      <c r="B547" s="114"/>
      <c r="C547" s="123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</row>
    <row r="548">
      <c r="A548" s="114"/>
      <c r="B548" s="114"/>
      <c r="C548" s="123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</row>
    <row r="549">
      <c r="A549" s="114"/>
      <c r="B549" s="114"/>
      <c r="C549" s="123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</row>
    <row r="550">
      <c r="A550" s="114"/>
      <c r="B550" s="114"/>
      <c r="C550" s="123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</row>
    <row r="551">
      <c r="A551" s="114"/>
      <c r="B551" s="114"/>
      <c r="C551" s="123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</row>
    <row r="552">
      <c r="A552" s="114"/>
      <c r="B552" s="114"/>
      <c r="C552" s="123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</row>
    <row r="553">
      <c r="A553" s="114"/>
      <c r="B553" s="114"/>
      <c r="C553" s="123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</row>
    <row r="554">
      <c r="A554" s="114"/>
      <c r="B554" s="114"/>
      <c r="C554" s="123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</row>
    <row r="555">
      <c r="A555" s="114"/>
      <c r="B555" s="114"/>
      <c r="C555" s="123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</row>
    <row r="556">
      <c r="A556" s="114"/>
      <c r="B556" s="114"/>
      <c r="C556" s="123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</row>
    <row r="557">
      <c r="A557" s="114"/>
      <c r="B557" s="114"/>
      <c r="C557" s="123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</row>
    <row r="558">
      <c r="A558" s="114"/>
      <c r="B558" s="114"/>
      <c r="C558" s="123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</row>
    <row r="559">
      <c r="A559" s="114"/>
      <c r="B559" s="114"/>
      <c r="C559" s="123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</row>
    <row r="560">
      <c r="A560" s="114"/>
      <c r="B560" s="114"/>
      <c r="C560" s="123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</row>
    <row r="561">
      <c r="A561" s="114"/>
      <c r="B561" s="114"/>
      <c r="C561" s="123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</row>
    <row r="562">
      <c r="A562" s="114"/>
      <c r="B562" s="114"/>
      <c r="C562" s="123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</row>
    <row r="563">
      <c r="A563" s="114"/>
      <c r="B563" s="114"/>
      <c r="C563" s="123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</row>
    <row r="564">
      <c r="A564" s="114"/>
      <c r="B564" s="114"/>
      <c r="C564" s="123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</row>
    <row r="565">
      <c r="A565" s="114"/>
      <c r="B565" s="114"/>
      <c r="C565" s="123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</row>
    <row r="566">
      <c r="A566" s="114"/>
      <c r="B566" s="114"/>
      <c r="C566" s="123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</row>
    <row r="567">
      <c r="A567" s="114"/>
      <c r="B567" s="114"/>
      <c r="C567" s="123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</row>
    <row r="568">
      <c r="A568" s="114"/>
      <c r="B568" s="114"/>
      <c r="C568" s="123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</row>
    <row r="569">
      <c r="A569" s="114"/>
      <c r="B569" s="114"/>
      <c r="C569" s="123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</row>
    <row r="570">
      <c r="A570" s="114"/>
      <c r="B570" s="114"/>
      <c r="C570" s="123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</row>
    <row r="571">
      <c r="A571" s="114"/>
      <c r="B571" s="114"/>
      <c r="C571" s="123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</row>
    <row r="572">
      <c r="A572" s="114"/>
      <c r="B572" s="114"/>
      <c r="C572" s="123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</row>
    <row r="573">
      <c r="A573" s="114"/>
      <c r="B573" s="114"/>
      <c r="C573" s="123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</row>
    <row r="574">
      <c r="A574" s="114"/>
      <c r="B574" s="114"/>
      <c r="C574" s="123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</row>
    <row r="575">
      <c r="A575" s="114"/>
      <c r="B575" s="114"/>
      <c r="C575" s="123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</row>
    <row r="576">
      <c r="A576" s="114"/>
      <c r="B576" s="114"/>
      <c r="C576" s="123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</row>
    <row r="577">
      <c r="A577" s="114"/>
      <c r="B577" s="114"/>
      <c r="C577" s="123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</row>
    <row r="578">
      <c r="A578" s="114"/>
      <c r="B578" s="114"/>
      <c r="C578" s="123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</row>
    <row r="579">
      <c r="A579" s="114"/>
      <c r="B579" s="114"/>
      <c r="C579" s="123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</row>
    <row r="580">
      <c r="A580" s="114"/>
      <c r="B580" s="114"/>
      <c r="C580" s="123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</row>
    <row r="581">
      <c r="A581" s="114"/>
      <c r="B581" s="114"/>
      <c r="C581" s="123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</row>
    <row r="582">
      <c r="A582" s="114"/>
      <c r="B582" s="114"/>
      <c r="C582" s="123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</row>
    <row r="583">
      <c r="A583" s="114"/>
      <c r="B583" s="114"/>
      <c r="C583" s="123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</row>
    <row r="584">
      <c r="A584" s="114"/>
      <c r="B584" s="114"/>
      <c r="C584" s="123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</row>
    <row r="585">
      <c r="A585" s="114"/>
      <c r="B585" s="114"/>
      <c r="C585" s="123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</row>
    <row r="586">
      <c r="A586" s="114"/>
      <c r="B586" s="114"/>
      <c r="C586" s="123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</row>
    <row r="587">
      <c r="A587" s="114"/>
      <c r="B587" s="114"/>
      <c r="C587" s="123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</row>
    <row r="588">
      <c r="A588" s="114"/>
      <c r="B588" s="114"/>
      <c r="C588" s="123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</row>
    <row r="589">
      <c r="A589" s="114"/>
      <c r="B589" s="114"/>
      <c r="C589" s="123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</row>
    <row r="590">
      <c r="A590" s="114"/>
      <c r="B590" s="114"/>
      <c r="C590" s="123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</row>
    <row r="591">
      <c r="A591" s="114"/>
      <c r="B591" s="114"/>
      <c r="C591" s="123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</row>
    <row r="592">
      <c r="A592" s="114"/>
      <c r="B592" s="114"/>
      <c r="C592" s="123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</row>
    <row r="593">
      <c r="A593" s="114"/>
      <c r="B593" s="114"/>
      <c r="C593" s="123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</row>
    <row r="594">
      <c r="A594" s="114"/>
      <c r="B594" s="114"/>
      <c r="C594" s="123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</row>
    <row r="595">
      <c r="A595" s="114"/>
      <c r="B595" s="114"/>
      <c r="C595" s="123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</row>
    <row r="596">
      <c r="A596" s="114"/>
      <c r="B596" s="114"/>
      <c r="C596" s="123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</row>
    <row r="597">
      <c r="A597" s="114"/>
      <c r="B597" s="114"/>
      <c r="C597" s="123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</row>
    <row r="598">
      <c r="A598" s="114"/>
      <c r="B598" s="114"/>
      <c r="C598" s="123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</row>
    <row r="599">
      <c r="A599" s="114"/>
      <c r="B599" s="114"/>
      <c r="C599" s="123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</row>
    <row r="600">
      <c r="A600" s="114"/>
      <c r="B600" s="114"/>
      <c r="C600" s="123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</row>
    <row r="601">
      <c r="A601" s="114"/>
      <c r="B601" s="114"/>
      <c r="C601" s="123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</row>
    <row r="602">
      <c r="A602" s="114"/>
      <c r="B602" s="114"/>
      <c r="C602" s="123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</row>
    <row r="603">
      <c r="A603" s="114"/>
      <c r="B603" s="114"/>
      <c r="C603" s="123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</row>
    <row r="604">
      <c r="A604" s="114"/>
      <c r="B604" s="114"/>
      <c r="C604" s="123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</row>
    <row r="605">
      <c r="A605" s="114"/>
      <c r="B605" s="114"/>
      <c r="C605" s="123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</row>
    <row r="606">
      <c r="A606" s="114"/>
      <c r="B606" s="114"/>
      <c r="C606" s="123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</row>
    <row r="607">
      <c r="A607" s="114"/>
      <c r="B607" s="114"/>
      <c r="C607" s="123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</row>
    <row r="608">
      <c r="A608" s="114"/>
      <c r="B608" s="114"/>
      <c r="C608" s="123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</row>
    <row r="609">
      <c r="A609" s="114"/>
      <c r="B609" s="114"/>
      <c r="C609" s="123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</row>
    <row r="610">
      <c r="A610" s="114"/>
      <c r="B610" s="114"/>
      <c r="C610" s="123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</row>
    <row r="611">
      <c r="A611" s="114"/>
      <c r="B611" s="114"/>
      <c r="C611" s="123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</row>
    <row r="612">
      <c r="A612" s="114"/>
      <c r="B612" s="114"/>
      <c r="C612" s="123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</row>
    <row r="613">
      <c r="A613" s="114"/>
      <c r="B613" s="114"/>
      <c r="C613" s="123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</row>
    <row r="614">
      <c r="A614" s="114"/>
      <c r="B614" s="114"/>
      <c r="C614" s="123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</row>
    <row r="615">
      <c r="A615" s="114"/>
      <c r="B615" s="114"/>
      <c r="C615" s="123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</row>
    <row r="616">
      <c r="A616" s="114"/>
      <c r="B616" s="114"/>
      <c r="C616" s="123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</row>
    <row r="617">
      <c r="A617" s="114"/>
      <c r="B617" s="114"/>
      <c r="C617" s="123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</row>
    <row r="618">
      <c r="A618" s="114"/>
      <c r="B618" s="114"/>
      <c r="C618" s="123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</row>
    <row r="619">
      <c r="A619" s="114"/>
      <c r="B619" s="114"/>
      <c r="C619" s="123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</row>
    <row r="620">
      <c r="A620" s="114"/>
      <c r="B620" s="114"/>
      <c r="C620" s="123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</row>
    <row r="621">
      <c r="A621" s="114"/>
      <c r="B621" s="114"/>
      <c r="C621" s="123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</row>
    <row r="622">
      <c r="A622" s="114"/>
      <c r="B622" s="114"/>
      <c r="C622" s="123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</row>
    <row r="623">
      <c r="A623" s="114"/>
      <c r="B623" s="114"/>
      <c r="C623" s="123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</row>
    <row r="624">
      <c r="A624" s="114"/>
      <c r="B624" s="114"/>
      <c r="C624" s="123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</row>
    <row r="625">
      <c r="A625" s="114"/>
      <c r="B625" s="114"/>
      <c r="C625" s="123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</row>
    <row r="626">
      <c r="A626" s="114"/>
      <c r="B626" s="114"/>
      <c r="C626" s="123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</row>
    <row r="627">
      <c r="A627" s="114"/>
      <c r="B627" s="114"/>
      <c r="C627" s="123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</row>
    <row r="628">
      <c r="A628" s="114"/>
      <c r="B628" s="114"/>
      <c r="C628" s="123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</row>
    <row r="629">
      <c r="A629" s="114"/>
      <c r="B629" s="114"/>
      <c r="C629" s="123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</row>
    <row r="630">
      <c r="A630" s="114"/>
      <c r="B630" s="114"/>
      <c r="C630" s="123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</row>
    <row r="631">
      <c r="A631" s="114"/>
      <c r="B631" s="114"/>
      <c r="C631" s="123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</row>
    <row r="632">
      <c r="A632" s="114"/>
      <c r="B632" s="114"/>
      <c r="C632" s="123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</row>
    <row r="633">
      <c r="A633" s="114"/>
      <c r="B633" s="114"/>
      <c r="C633" s="123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</row>
    <row r="634">
      <c r="A634" s="114"/>
      <c r="B634" s="114"/>
      <c r="C634" s="123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</row>
    <row r="635">
      <c r="A635" s="114"/>
      <c r="B635" s="114"/>
      <c r="C635" s="123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</row>
    <row r="636">
      <c r="A636" s="114"/>
      <c r="B636" s="114"/>
      <c r="C636" s="123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</row>
    <row r="637">
      <c r="A637" s="114"/>
      <c r="B637" s="114"/>
      <c r="C637" s="123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</row>
    <row r="638">
      <c r="A638" s="114"/>
      <c r="B638" s="114"/>
      <c r="C638" s="123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</row>
    <row r="639">
      <c r="A639" s="114"/>
      <c r="B639" s="114"/>
      <c r="C639" s="123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</row>
    <row r="640">
      <c r="A640" s="114"/>
      <c r="B640" s="114"/>
      <c r="C640" s="123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</row>
    <row r="641">
      <c r="A641" s="114"/>
      <c r="B641" s="114"/>
      <c r="C641" s="123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</row>
    <row r="642">
      <c r="A642" s="114"/>
      <c r="B642" s="114"/>
      <c r="C642" s="123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</row>
    <row r="643">
      <c r="A643" s="114"/>
      <c r="B643" s="114"/>
      <c r="C643" s="123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</row>
    <row r="644">
      <c r="A644" s="114"/>
      <c r="B644" s="114"/>
      <c r="C644" s="123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</row>
    <row r="645">
      <c r="A645" s="114"/>
      <c r="B645" s="114"/>
      <c r="C645" s="123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</row>
    <row r="646">
      <c r="A646" s="114"/>
      <c r="B646" s="114"/>
      <c r="C646" s="123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</row>
    <row r="647">
      <c r="A647" s="114"/>
      <c r="B647" s="114"/>
      <c r="C647" s="123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</row>
    <row r="648">
      <c r="A648" s="114"/>
      <c r="B648" s="114"/>
      <c r="C648" s="123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</row>
    <row r="649">
      <c r="A649" s="114"/>
      <c r="B649" s="114"/>
      <c r="C649" s="123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</row>
    <row r="650">
      <c r="A650" s="114"/>
      <c r="B650" s="114"/>
      <c r="C650" s="123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</row>
    <row r="651">
      <c r="A651" s="114"/>
      <c r="B651" s="114"/>
      <c r="C651" s="123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</row>
    <row r="652">
      <c r="A652" s="114"/>
      <c r="B652" s="114"/>
      <c r="C652" s="123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</row>
    <row r="653">
      <c r="A653" s="114"/>
      <c r="B653" s="114"/>
      <c r="C653" s="123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</row>
    <row r="654">
      <c r="A654" s="114"/>
      <c r="B654" s="114"/>
      <c r="C654" s="123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</row>
    <row r="655">
      <c r="A655" s="114"/>
      <c r="B655" s="114"/>
      <c r="C655" s="123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</row>
    <row r="656">
      <c r="A656" s="114"/>
      <c r="B656" s="114"/>
      <c r="C656" s="123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</row>
    <row r="657">
      <c r="A657" s="114"/>
      <c r="B657" s="114"/>
      <c r="C657" s="123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</row>
    <row r="658">
      <c r="A658" s="114"/>
      <c r="B658" s="114"/>
      <c r="C658" s="123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</row>
    <row r="659">
      <c r="A659" s="114"/>
      <c r="B659" s="114"/>
      <c r="C659" s="123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</row>
    <row r="660">
      <c r="A660" s="114"/>
      <c r="B660" s="114"/>
      <c r="C660" s="123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</row>
    <row r="661">
      <c r="A661" s="114"/>
      <c r="B661" s="114"/>
      <c r="C661" s="123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</row>
    <row r="662">
      <c r="A662" s="114"/>
      <c r="B662" s="114"/>
      <c r="C662" s="123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</row>
    <row r="663">
      <c r="A663" s="114"/>
      <c r="B663" s="114"/>
      <c r="C663" s="123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</row>
    <row r="664">
      <c r="A664" s="114"/>
      <c r="B664" s="114"/>
      <c r="C664" s="123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</row>
    <row r="665">
      <c r="A665" s="114"/>
      <c r="B665" s="114"/>
      <c r="C665" s="123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</row>
    <row r="666">
      <c r="A666" s="114"/>
      <c r="B666" s="114"/>
      <c r="C666" s="123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</row>
    <row r="667">
      <c r="A667" s="114"/>
      <c r="B667" s="114"/>
      <c r="C667" s="123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</row>
    <row r="668">
      <c r="A668" s="114"/>
      <c r="B668" s="114"/>
      <c r="C668" s="123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</row>
    <row r="669">
      <c r="A669" s="114"/>
      <c r="B669" s="114"/>
      <c r="C669" s="123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</row>
    <row r="670">
      <c r="A670" s="114"/>
      <c r="B670" s="114"/>
      <c r="C670" s="123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</row>
    <row r="671">
      <c r="A671" s="114"/>
      <c r="B671" s="114"/>
      <c r="C671" s="123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</row>
    <row r="672">
      <c r="A672" s="114"/>
      <c r="B672" s="114"/>
      <c r="C672" s="123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</row>
    <row r="673">
      <c r="A673" s="114"/>
      <c r="B673" s="114"/>
      <c r="C673" s="123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</row>
    <row r="674">
      <c r="A674" s="114"/>
      <c r="B674" s="114"/>
      <c r="C674" s="123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</row>
    <row r="675">
      <c r="A675" s="114"/>
      <c r="B675" s="114"/>
      <c r="C675" s="123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</row>
    <row r="676">
      <c r="A676" s="114"/>
      <c r="B676" s="114"/>
      <c r="C676" s="123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</row>
    <row r="677">
      <c r="A677" s="114"/>
      <c r="B677" s="114"/>
      <c r="C677" s="123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</row>
    <row r="678">
      <c r="A678" s="114"/>
      <c r="B678" s="114"/>
      <c r="C678" s="123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</row>
    <row r="679">
      <c r="A679" s="114"/>
      <c r="B679" s="114"/>
      <c r="C679" s="123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</row>
    <row r="680">
      <c r="A680" s="114"/>
      <c r="B680" s="114"/>
      <c r="C680" s="123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</row>
    <row r="681">
      <c r="A681" s="114"/>
      <c r="B681" s="114"/>
      <c r="C681" s="123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</row>
    <row r="682">
      <c r="A682" s="114"/>
      <c r="B682" s="114"/>
      <c r="C682" s="123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</row>
    <row r="683">
      <c r="A683" s="114"/>
      <c r="B683" s="114"/>
      <c r="C683" s="123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</row>
    <row r="684">
      <c r="A684" s="114"/>
      <c r="B684" s="114"/>
      <c r="C684" s="123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</row>
    <row r="685">
      <c r="A685" s="114"/>
      <c r="B685" s="114"/>
      <c r="C685" s="123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</row>
    <row r="686">
      <c r="A686" s="114"/>
      <c r="B686" s="114"/>
      <c r="C686" s="123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</row>
    <row r="687">
      <c r="A687" s="114"/>
      <c r="B687" s="114"/>
      <c r="C687" s="123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</row>
    <row r="688">
      <c r="A688" s="114"/>
      <c r="B688" s="114"/>
      <c r="C688" s="123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</row>
    <row r="689">
      <c r="A689" s="114"/>
      <c r="B689" s="114"/>
      <c r="C689" s="123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</row>
    <row r="690">
      <c r="A690" s="114"/>
      <c r="B690" s="114"/>
      <c r="C690" s="123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</row>
    <row r="691">
      <c r="A691" s="114"/>
      <c r="B691" s="114"/>
      <c r="C691" s="123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</row>
    <row r="692">
      <c r="A692" s="114"/>
      <c r="B692" s="114"/>
      <c r="C692" s="123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</row>
    <row r="693">
      <c r="A693" s="114"/>
      <c r="B693" s="114"/>
      <c r="C693" s="123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</row>
    <row r="694">
      <c r="A694" s="114"/>
      <c r="B694" s="114"/>
      <c r="C694" s="123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</row>
    <row r="695">
      <c r="A695" s="114"/>
      <c r="B695" s="114"/>
      <c r="C695" s="123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</row>
    <row r="696">
      <c r="A696" s="114"/>
      <c r="B696" s="114"/>
      <c r="C696" s="123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</row>
    <row r="697">
      <c r="A697" s="114"/>
      <c r="B697" s="114"/>
      <c r="C697" s="123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</row>
    <row r="698">
      <c r="A698" s="114"/>
      <c r="B698" s="114"/>
      <c r="C698" s="123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</row>
    <row r="699">
      <c r="A699" s="114"/>
      <c r="B699" s="114"/>
      <c r="C699" s="123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</row>
    <row r="700">
      <c r="A700" s="114"/>
      <c r="B700" s="114"/>
      <c r="C700" s="123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</row>
    <row r="701">
      <c r="A701" s="114"/>
      <c r="B701" s="114"/>
      <c r="C701" s="123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</row>
    <row r="702">
      <c r="A702" s="114"/>
      <c r="B702" s="114"/>
      <c r="C702" s="123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</row>
    <row r="703">
      <c r="A703" s="114"/>
      <c r="B703" s="114"/>
      <c r="C703" s="123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</row>
    <row r="704">
      <c r="A704" s="114"/>
      <c r="B704" s="114"/>
      <c r="C704" s="123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</row>
    <row r="705">
      <c r="A705" s="114"/>
      <c r="B705" s="114"/>
      <c r="C705" s="123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</row>
    <row r="706">
      <c r="A706" s="114"/>
      <c r="B706" s="114"/>
      <c r="C706" s="123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</row>
    <row r="707">
      <c r="A707" s="114"/>
      <c r="B707" s="114"/>
      <c r="C707" s="123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</row>
    <row r="708">
      <c r="A708" s="114"/>
      <c r="B708" s="114"/>
      <c r="C708" s="123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</row>
    <row r="709">
      <c r="A709" s="114"/>
      <c r="B709" s="114"/>
      <c r="C709" s="123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</row>
    <row r="710">
      <c r="A710" s="114"/>
      <c r="B710" s="114"/>
      <c r="C710" s="123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</row>
    <row r="711">
      <c r="A711" s="114"/>
      <c r="B711" s="114"/>
      <c r="C711" s="123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</row>
    <row r="712">
      <c r="A712" s="114"/>
      <c r="B712" s="114"/>
      <c r="C712" s="123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</row>
    <row r="713">
      <c r="A713" s="114"/>
      <c r="B713" s="114"/>
      <c r="C713" s="123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</row>
    <row r="714">
      <c r="A714" s="114"/>
      <c r="B714" s="114"/>
      <c r="C714" s="123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</row>
    <row r="715">
      <c r="A715" s="114"/>
      <c r="B715" s="114"/>
      <c r="C715" s="123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</row>
    <row r="716">
      <c r="A716" s="114"/>
      <c r="B716" s="114"/>
      <c r="C716" s="123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</row>
    <row r="717">
      <c r="A717" s="114"/>
      <c r="B717" s="114"/>
      <c r="C717" s="123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</row>
    <row r="718">
      <c r="A718" s="114"/>
      <c r="B718" s="114"/>
      <c r="C718" s="123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</row>
    <row r="719">
      <c r="A719" s="114"/>
      <c r="B719" s="114"/>
      <c r="C719" s="123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</row>
    <row r="720">
      <c r="A720" s="114"/>
      <c r="B720" s="114"/>
      <c r="C720" s="123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</row>
    <row r="721">
      <c r="A721" s="114"/>
      <c r="B721" s="114"/>
      <c r="C721" s="123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</row>
    <row r="722">
      <c r="A722" s="114"/>
      <c r="B722" s="114"/>
      <c r="C722" s="123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</row>
    <row r="723">
      <c r="A723" s="114"/>
      <c r="B723" s="114"/>
      <c r="C723" s="123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</row>
    <row r="724">
      <c r="A724" s="114"/>
      <c r="B724" s="114"/>
      <c r="C724" s="123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</row>
    <row r="725">
      <c r="A725" s="114"/>
      <c r="B725" s="114"/>
      <c r="C725" s="123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</row>
    <row r="726">
      <c r="A726" s="114"/>
      <c r="B726" s="114"/>
      <c r="C726" s="123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</row>
    <row r="727">
      <c r="A727" s="114"/>
      <c r="B727" s="114"/>
      <c r="C727" s="123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</row>
    <row r="728">
      <c r="A728" s="114"/>
      <c r="B728" s="114"/>
      <c r="C728" s="123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</row>
    <row r="729">
      <c r="A729" s="114"/>
      <c r="B729" s="114"/>
      <c r="C729" s="123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</row>
    <row r="730">
      <c r="A730" s="114"/>
      <c r="B730" s="114"/>
      <c r="C730" s="123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</row>
    <row r="731">
      <c r="A731" s="114"/>
      <c r="B731" s="114"/>
      <c r="C731" s="123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</row>
    <row r="732">
      <c r="A732" s="114"/>
      <c r="B732" s="114"/>
      <c r="C732" s="123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</row>
    <row r="733">
      <c r="A733" s="114"/>
      <c r="B733" s="114"/>
      <c r="C733" s="123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</row>
    <row r="734">
      <c r="A734" s="114"/>
      <c r="B734" s="114"/>
      <c r="C734" s="123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</row>
    <row r="735">
      <c r="A735" s="114"/>
      <c r="B735" s="114"/>
      <c r="C735" s="123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</row>
    <row r="736">
      <c r="A736" s="114"/>
      <c r="B736" s="114"/>
      <c r="C736" s="123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</row>
    <row r="737">
      <c r="A737" s="114"/>
      <c r="B737" s="114"/>
      <c r="C737" s="123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</row>
    <row r="738">
      <c r="A738" s="114"/>
      <c r="B738" s="114"/>
      <c r="C738" s="123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</row>
    <row r="739">
      <c r="A739" s="114"/>
      <c r="B739" s="114"/>
      <c r="C739" s="123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</row>
    <row r="740">
      <c r="A740" s="114"/>
      <c r="B740" s="114"/>
      <c r="C740" s="123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</row>
    <row r="741">
      <c r="A741" s="114"/>
      <c r="B741" s="114"/>
      <c r="C741" s="123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</row>
    <row r="742">
      <c r="A742" s="114"/>
      <c r="B742" s="114"/>
      <c r="C742" s="123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</row>
    <row r="743">
      <c r="A743" s="114"/>
      <c r="B743" s="114"/>
      <c r="C743" s="123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</row>
    <row r="744">
      <c r="A744" s="114"/>
      <c r="B744" s="114"/>
      <c r="C744" s="123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</row>
    <row r="745">
      <c r="A745" s="114"/>
      <c r="B745" s="114"/>
      <c r="C745" s="123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</row>
    <row r="746">
      <c r="A746" s="114"/>
      <c r="B746" s="114"/>
      <c r="C746" s="123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</row>
    <row r="747">
      <c r="A747" s="114"/>
      <c r="B747" s="114"/>
      <c r="C747" s="123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</row>
    <row r="748">
      <c r="A748" s="114"/>
      <c r="B748" s="114"/>
      <c r="C748" s="123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</row>
    <row r="749">
      <c r="A749" s="114"/>
      <c r="B749" s="114"/>
      <c r="C749" s="123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</row>
    <row r="750">
      <c r="A750" s="114"/>
      <c r="B750" s="114"/>
      <c r="C750" s="123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</row>
    <row r="751">
      <c r="A751" s="114"/>
      <c r="B751" s="114"/>
      <c r="C751" s="123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</row>
    <row r="752">
      <c r="A752" s="114"/>
      <c r="B752" s="114"/>
      <c r="C752" s="123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</row>
    <row r="753">
      <c r="A753" s="114"/>
      <c r="B753" s="114"/>
      <c r="C753" s="123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</row>
    <row r="754">
      <c r="A754" s="114"/>
      <c r="B754" s="114"/>
      <c r="C754" s="123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</row>
    <row r="755">
      <c r="A755" s="114"/>
      <c r="B755" s="114"/>
      <c r="C755" s="123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</row>
    <row r="756">
      <c r="A756" s="114"/>
      <c r="B756" s="114"/>
      <c r="C756" s="123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</row>
    <row r="757">
      <c r="A757" s="114"/>
      <c r="B757" s="114"/>
      <c r="C757" s="123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</row>
    <row r="758">
      <c r="A758" s="114"/>
      <c r="B758" s="114"/>
      <c r="C758" s="123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</row>
    <row r="759">
      <c r="A759" s="114"/>
      <c r="B759" s="114"/>
      <c r="C759" s="123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</row>
    <row r="760">
      <c r="A760" s="114"/>
      <c r="B760" s="114"/>
      <c r="C760" s="123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</row>
    <row r="761">
      <c r="A761" s="114"/>
      <c r="B761" s="114"/>
      <c r="C761" s="123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</row>
    <row r="762">
      <c r="A762" s="114"/>
      <c r="B762" s="114"/>
      <c r="C762" s="123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</row>
    <row r="763">
      <c r="A763" s="114"/>
      <c r="B763" s="114"/>
      <c r="C763" s="123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</row>
    <row r="764">
      <c r="A764" s="114"/>
      <c r="B764" s="114"/>
      <c r="C764" s="123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</row>
    <row r="765">
      <c r="A765" s="114"/>
      <c r="B765" s="114"/>
      <c r="C765" s="123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</row>
    <row r="766">
      <c r="A766" s="114"/>
      <c r="B766" s="114"/>
      <c r="C766" s="123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</row>
    <row r="767">
      <c r="A767" s="114"/>
      <c r="B767" s="114"/>
      <c r="C767" s="123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</row>
    <row r="768">
      <c r="A768" s="114"/>
      <c r="B768" s="114"/>
      <c r="C768" s="123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</row>
    <row r="769">
      <c r="A769" s="114"/>
      <c r="B769" s="114"/>
      <c r="C769" s="123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</row>
    <row r="770">
      <c r="A770" s="114"/>
      <c r="B770" s="114"/>
      <c r="C770" s="123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</row>
    <row r="771">
      <c r="A771" s="114"/>
      <c r="B771" s="114"/>
      <c r="C771" s="123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</row>
    <row r="772">
      <c r="A772" s="114"/>
      <c r="B772" s="114"/>
      <c r="C772" s="123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</row>
    <row r="773">
      <c r="A773" s="114"/>
      <c r="B773" s="114"/>
      <c r="C773" s="123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</row>
    <row r="774">
      <c r="A774" s="114"/>
      <c r="B774" s="114"/>
      <c r="C774" s="123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</row>
    <row r="775">
      <c r="A775" s="114"/>
      <c r="B775" s="114"/>
      <c r="C775" s="123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</row>
    <row r="776">
      <c r="A776" s="114"/>
      <c r="B776" s="114"/>
      <c r="C776" s="123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</row>
    <row r="777">
      <c r="A777" s="114"/>
      <c r="B777" s="114"/>
      <c r="C777" s="123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</row>
    <row r="778">
      <c r="A778" s="114"/>
      <c r="B778" s="114"/>
      <c r="C778" s="123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</row>
    <row r="779">
      <c r="A779" s="114"/>
      <c r="B779" s="114"/>
      <c r="C779" s="123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</row>
    <row r="780">
      <c r="A780" s="114"/>
      <c r="B780" s="114"/>
      <c r="C780" s="123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</row>
    <row r="781">
      <c r="A781" s="114"/>
      <c r="B781" s="114"/>
      <c r="C781" s="123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</row>
    <row r="782">
      <c r="A782" s="114"/>
      <c r="B782" s="114"/>
      <c r="C782" s="123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</row>
    <row r="783">
      <c r="A783" s="114"/>
      <c r="B783" s="114"/>
      <c r="C783" s="123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</row>
    <row r="784">
      <c r="A784" s="114"/>
      <c r="B784" s="114"/>
      <c r="C784" s="123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</row>
    <row r="785">
      <c r="A785" s="114"/>
      <c r="B785" s="114"/>
      <c r="C785" s="123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</row>
    <row r="786">
      <c r="A786" s="114"/>
      <c r="B786" s="114"/>
      <c r="C786" s="123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</row>
    <row r="787">
      <c r="A787" s="114"/>
      <c r="B787" s="114"/>
      <c r="C787" s="123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</row>
    <row r="788">
      <c r="A788" s="114"/>
      <c r="B788" s="114"/>
      <c r="C788" s="123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</row>
    <row r="789">
      <c r="A789" s="114"/>
      <c r="B789" s="114"/>
      <c r="C789" s="123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</row>
    <row r="790">
      <c r="A790" s="114"/>
      <c r="B790" s="114"/>
      <c r="C790" s="123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</row>
    <row r="791">
      <c r="A791" s="114"/>
      <c r="B791" s="114"/>
      <c r="C791" s="123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</row>
    <row r="792">
      <c r="A792" s="114"/>
      <c r="B792" s="114"/>
      <c r="C792" s="123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</row>
    <row r="793">
      <c r="A793" s="114"/>
      <c r="B793" s="114"/>
      <c r="C793" s="123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</row>
    <row r="794">
      <c r="A794" s="114"/>
      <c r="B794" s="114"/>
      <c r="C794" s="123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</row>
    <row r="795">
      <c r="A795" s="114"/>
      <c r="B795" s="114"/>
      <c r="C795" s="123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</row>
    <row r="796">
      <c r="A796" s="114"/>
      <c r="B796" s="114"/>
      <c r="C796" s="123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</row>
    <row r="797">
      <c r="A797" s="114"/>
      <c r="B797" s="114"/>
      <c r="C797" s="123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</row>
    <row r="798">
      <c r="A798" s="114"/>
      <c r="B798" s="114"/>
      <c r="C798" s="123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</row>
    <row r="799">
      <c r="A799" s="114"/>
      <c r="B799" s="114"/>
      <c r="C799" s="123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</row>
    <row r="800">
      <c r="A800" s="114"/>
      <c r="B800" s="114"/>
      <c r="C800" s="123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</row>
    <row r="801">
      <c r="A801" s="114"/>
      <c r="B801" s="114"/>
      <c r="C801" s="123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</row>
    <row r="802">
      <c r="A802" s="114"/>
      <c r="B802" s="114"/>
      <c r="C802" s="123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</row>
    <row r="803">
      <c r="A803" s="114"/>
      <c r="B803" s="114"/>
      <c r="C803" s="123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</row>
    <row r="804">
      <c r="A804" s="114"/>
      <c r="B804" s="114"/>
      <c r="C804" s="123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</row>
    <row r="805">
      <c r="A805" s="114"/>
      <c r="B805" s="114"/>
      <c r="C805" s="123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</row>
    <row r="806">
      <c r="A806" s="114"/>
      <c r="B806" s="114"/>
      <c r="C806" s="123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</row>
    <row r="807">
      <c r="A807" s="114"/>
      <c r="B807" s="114"/>
      <c r="C807" s="123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</row>
    <row r="808">
      <c r="A808" s="114"/>
      <c r="B808" s="114"/>
      <c r="C808" s="123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</row>
    <row r="809">
      <c r="A809" s="114"/>
      <c r="B809" s="114"/>
      <c r="C809" s="123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</row>
    <row r="810">
      <c r="A810" s="114"/>
      <c r="B810" s="114"/>
      <c r="C810" s="123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</row>
    <row r="811">
      <c r="A811" s="114"/>
      <c r="B811" s="114"/>
      <c r="C811" s="123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</row>
    <row r="812">
      <c r="A812" s="114"/>
      <c r="B812" s="114"/>
      <c r="C812" s="123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</row>
    <row r="813">
      <c r="A813" s="114"/>
      <c r="B813" s="114"/>
      <c r="C813" s="123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</row>
    <row r="814">
      <c r="A814" s="114"/>
      <c r="B814" s="114"/>
      <c r="C814" s="123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</row>
    <row r="815">
      <c r="A815" s="114"/>
      <c r="B815" s="114"/>
      <c r="C815" s="123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</row>
    <row r="816">
      <c r="A816" s="114"/>
      <c r="B816" s="114"/>
      <c r="C816" s="123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</row>
    <row r="817">
      <c r="A817" s="114"/>
      <c r="B817" s="114"/>
      <c r="C817" s="123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</row>
    <row r="818">
      <c r="A818" s="114"/>
      <c r="B818" s="114"/>
      <c r="C818" s="123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</row>
    <row r="819">
      <c r="A819" s="114"/>
      <c r="B819" s="114"/>
      <c r="C819" s="123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</row>
    <row r="820">
      <c r="A820" s="114"/>
      <c r="B820" s="114"/>
      <c r="C820" s="123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</row>
    <row r="821">
      <c r="A821" s="114"/>
      <c r="B821" s="114"/>
      <c r="C821" s="123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</row>
    <row r="822">
      <c r="A822" s="114"/>
      <c r="B822" s="114"/>
      <c r="C822" s="123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</row>
    <row r="823">
      <c r="A823" s="114"/>
      <c r="B823" s="114"/>
      <c r="C823" s="123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</row>
    <row r="824">
      <c r="A824" s="114"/>
      <c r="B824" s="114"/>
      <c r="C824" s="123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</row>
    <row r="825">
      <c r="A825" s="114"/>
      <c r="B825" s="114"/>
      <c r="C825" s="123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</row>
    <row r="826">
      <c r="A826" s="114"/>
      <c r="B826" s="114"/>
      <c r="C826" s="123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</row>
    <row r="827">
      <c r="A827" s="114"/>
      <c r="B827" s="114"/>
      <c r="C827" s="123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</row>
    <row r="828">
      <c r="A828" s="114"/>
      <c r="B828" s="114"/>
      <c r="C828" s="123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</row>
    <row r="829">
      <c r="A829" s="114"/>
      <c r="B829" s="114"/>
      <c r="C829" s="123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</row>
    <row r="830">
      <c r="A830" s="114"/>
      <c r="B830" s="114"/>
      <c r="C830" s="123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</row>
    <row r="831">
      <c r="A831" s="114"/>
      <c r="B831" s="114"/>
      <c r="C831" s="123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</row>
    <row r="832">
      <c r="A832" s="114"/>
      <c r="B832" s="114"/>
      <c r="C832" s="123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</row>
    <row r="833">
      <c r="A833" s="114"/>
      <c r="B833" s="114"/>
      <c r="C833" s="123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</row>
    <row r="834">
      <c r="A834" s="114"/>
      <c r="B834" s="114"/>
      <c r="C834" s="123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</row>
    <row r="835">
      <c r="A835" s="114"/>
      <c r="B835" s="114"/>
      <c r="C835" s="123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</row>
    <row r="836">
      <c r="A836" s="114"/>
      <c r="B836" s="114"/>
      <c r="C836" s="123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</row>
    <row r="837">
      <c r="A837" s="114"/>
      <c r="B837" s="114"/>
      <c r="C837" s="123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</row>
    <row r="838">
      <c r="A838" s="114"/>
      <c r="B838" s="114"/>
      <c r="C838" s="123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</row>
    <row r="839">
      <c r="A839" s="114"/>
      <c r="B839" s="114"/>
      <c r="C839" s="123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</row>
    <row r="840">
      <c r="A840" s="114"/>
      <c r="B840" s="114"/>
      <c r="C840" s="123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</row>
    <row r="841">
      <c r="A841" s="114"/>
      <c r="B841" s="114"/>
      <c r="C841" s="123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</row>
    <row r="842">
      <c r="A842" s="114"/>
      <c r="B842" s="114"/>
      <c r="C842" s="123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</row>
    <row r="843">
      <c r="A843" s="114"/>
      <c r="B843" s="114"/>
      <c r="C843" s="123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</row>
    <row r="844">
      <c r="A844" s="114"/>
      <c r="B844" s="114"/>
      <c r="C844" s="123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</row>
    <row r="845">
      <c r="A845" s="114"/>
      <c r="B845" s="114"/>
      <c r="C845" s="123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</row>
    <row r="846">
      <c r="A846" s="114"/>
      <c r="B846" s="114"/>
      <c r="C846" s="123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</row>
    <row r="847">
      <c r="A847" s="114"/>
      <c r="B847" s="114"/>
      <c r="C847" s="123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</row>
    <row r="848">
      <c r="A848" s="114"/>
      <c r="B848" s="114"/>
      <c r="C848" s="123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</row>
    <row r="849">
      <c r="A849" s="114"/>
      <c r="B849" s="114"/>
      <c r="C849" s="123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</row>
    <row r="850">
      <c r="A850" s="114"/>
      <c r="B850" s="114"/>
      <c r="C850" s="123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</row>
    <row r="851">
      <c r="A851" s="114"/>
      <c r="B851" s="114"/>
      <c r="C851" s="123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</row>
    <row r="852">
      <c r="A852" s="114"/>
      <c r="B852" s="114"/>
      <c r="C852" s="123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</row>
    <row r="853">
      <c r="A853" s="114"/>
      <c r="B853" s="114"/>
      <c r="C853" s="123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</row>
    <row r="854">
      <c r="A854" s="114"/>
      <c r="B854" s="114"/>
      <c r="C854" s="123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</row>
    <row r="855">
      <c r="A855" s="114"/>
      <c r="B855" s="114"/>
      <c r="C855" s="123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</row>
    <row r="856">
      <c r="A856" s="114"/>
      <c r="B856" s="114"/>
      <c r="C856" s="123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</row>
    <row r="857">
      <c r="A857" s="114"/>
      <c r="B857" s="114"/>
      <c r="C857" s="123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</row>
    <row r="858">
      <c r="A858" s="114"/>
      <c r="B858" s="114"/>
      <c r="C858" s="123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</row>
    <row r="859">
      <c r="A859" s="114"/>
      <c r="B859" s="114"/>
      <c r="C859" s="123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</row>
    <row r="860">
      <c r="A860" s="114"/>
      <c r="B860" s="114"/>
      <c r="C860" s="123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</row>
    <row r="861">
      <c r="A861" s="114"/>
      <c r="B861" s="114"/>
      <c r="C861" s="123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</row>
    <row r="862">
      <c r="A862" s="114"/>
      <c r="B862" s="114"/>
      <c r="C862" s="123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</row>
    <row r="863">
      <c r="A863" s="114"/>
      <c r="B863" s="114"/>
      <c r="C863" s="123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</row>
    <row r="864">
      <c r="A864" s="114"/>
      <c r="B864" s="114"/>
      <c r="C864" s="123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</row>
    <row r="865">
      <c r="A865" s="114"/>
      <c r="B865" s="114"/>
      <c r="C865" s="123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</row>
    <row r="866">
      <c r="A866" s="114"/>
      <c r="B866" s="114"/>
      <c r="C866" s="123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</row>
    <row r="867">
      <c r="A867" s="114"/>
      <c r="B867" s="114"/>
      <c r="C867" s="123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</row>
    <row r="868">
      <c r="A868" s="114"/>
      <c r="B868" s="114"/>
      <c r="C868" s="123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</row>
    <row r="869">
      <c r="A869" s="114"/>
      <c r="B869" s="114"/>
      <c r="C869" s="123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</row>
    <row r="870">
      <c r="A870" s="114"/>
      <c r="B870" s="114"/>
      <c r="C870" s="123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</row>
    <row r="871">
      <c r="A871" s="114"/>
      <c r="B871" s="114"/>
      <c r="C871" s="123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</row>
    <row r="872">
      <c r="A872" s="114"/>
      <c r="B872" s="114"/>
      <c r="C872" s="123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</row>
    <row r="873">
      <c r="A873" s="114"/>
      <c r="B873" s="114"/>
      <c r="C873" s="123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</row>
    <row r="874">
      <c r="A874" s="114"/>
      <c r="B874" s="114"/>
      <c r="C874" s="123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</row>
    <row r="875">
      <c r="A875" s="114"/>
      <c r="B875" s="114"/>
      <c r="C875" s="123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</row>
    <row r="876">
      <c r="A876" s="114"/>
      <c r="B876" s="114"/>
      <c r="C876" s="123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</row>
    <row r="877">
      <c r="A877" s="114"/>
      <c r="B877" s="114"/>
      <c r="C877" s="123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</row>
    <row r="878">
      <c r="A878" s="114"/>
      <c r="B878" s="114"/>
      <c r="C878" s="123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</row>
    <row r="879">
      <c r="A879" s="114"/>
      <c r="B879" s="114"/>
      <c r="C879" s="123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</row>
    <row r="880">
      <c r="A880" s="114"/>
      <c r="B880" s="114"/>
      <c r="C880" s="123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</row>
    <row r="881">
      <c r="A881" s="114"/>
      <c r="B881" s="114"/>
      <c r="C881" s="123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</row>
    <row r="882">
      <c r="A882" s="114"/>
      <c r="B882" s="114"/>
      <c r="C882" s="123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</row>
    <row r="883">
      <c r="A883" s="114"/>
      <c r="B883" s="114"/>
      <c r="C883" s="123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</row>
    <row r="884">
      <c r="A884" s="114"/>
      <c r="B884" s="114"/>
      <c r="C884" s="123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</row>
    <row r="885">
      <c r="A885" s="114"/>
      <c r="B885" s="114"/>
      <c r="C885" s="123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</row>
    <row r="886">
      <c r="A886" s="114"/>
      <c r="B886" s="114"/>
      <c r="C886" s="123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</row>
    <row r="887">
      <c r="A887" s="114"/>
      <c r="B887" s="114"/>
      <c r="C887" s="123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</row>
    <row r="888">
      <c r="A888" s="114"/>
      <c r="B888" s="114"/>
      <c r="C888" s="123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</row>
    <row r="889">
      <c r="A889" s="114"/>
      <c r="B889" s="114"/>
      <c r="C889" s="123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</row>
    <row r="890">
      <c r="A890" s="114"/>
      <c r="B890" s="114"/>
      <c r="C890" s="123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</row>
    <row r="891">
      <c r="A891" s="114"/>
      <c r="B891" s="114"/>
      <c r="C891" s="123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</row>
    <row r="892">
      <c r="A892" s="114"/>
      <c r="B892" s="114"/>
      <c r="C892" s="123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</row>
    <row r="893">
      <c r="A893" s="114"/>
      <c r="B893" s="114"/>
      <c r="C893" s="123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</row>
    <row r="894">
      <c r="A894" s="114"/>
      <c r="B894" s="114"/>
      <c r="C894" s="123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</row>
    <row r="895">
      <c r="A895" s="114"/>
      <c r="B895" s="114"/>
      <c r="C895" s="123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</row>
    <row r="896">
      <c r="A896" s="114"/>
      <c r="B896" s="114"/>
      <c r="C896" s="123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</row>
    <row r="897">
      <c r="A897" s="114"/>
      <c r="B897" s="114"/>
      <c r="C897" s="123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</row>
    <row r="898">
      <c r="A898" s="114"/>
      <c r="B898" s="114"/>
      <c r="C898" s="123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</row>
    <row r="899">
      <c r="A899" s="114"/>
      <c r="B899" s="114"/>
      <c r="C899" s="123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</row>
    <row r="900">
      <c r="A900" s="114"/>
      <c r="B900" s="114"/>
      <c r="C900" s="123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</row>
    <row r="901">
      <c r="A901" s="114"/>
      <c r="B901" s="114"/>
      <c r="C901" s="123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</row>
    <row r="902">
      <c r="A902" s="114"/>
      <c r="B902" s="114"/>
      <c r="C902" s="123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</row>
    <row r="903">
      <c r="A903" s="114"/>
      <c r="B903" s="114"/>
      <c r="C903" s="123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</row>
    <row r="904">
      <c r="A904" s="114"/>
      <c r="B904" s="114"/>
      <c r="C904" s="123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</row>
    <row r="905">
      <c r="A905" s="114"/>
      <c r="B905" s="114"/>
      <c r="C905" s="123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</row>
    <row r="906">
      <c r="A906" s="114"/>
      <c r="B906" s="114"/>
      <c r="C906" s="123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</row>
    <row r="907">
      <c r="A907" s="114"/>
      <c r="B907" s="114"/>
      <c r="C907" s="123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</row>
    <row r="908">
      <c r="A908" s="114"/>
      <c r="B908" s="114"/>
      <c r="C908" s="123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</row>
    <row r="909">
      <c r="A909" s="114"/>
      <c r="B909" s="114"/>
      <c r="C909" s="123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</row>
    <row r="910">
      <c r="A910" s="114"/>
      <c r="B910" s="114"/>
      <c r="C910" s="123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</row>
    <row r="911">
      <c r="A911" s="114"/>
      <c r="B911" s="114"/>
      <c r="C911" s="123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</row>
    <row r="912">
      <c r="A912" s="114"/>
      <c r="B912" s="114"/>
      <c r="C912" s="123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</row>
    <row r="913">
      <c r="A913" s="114"/>
      <c r="B913" s="114"/>
      <c r="C913" s="123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</row>
    <row r="914">
      <c r="A914" s="114"/>
      <c r="B914" s="114"/>
      <c r="C914" s="123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</row>
    <row r="915">
      <c r="A915" s="114"/>
      <c r="B915" s="114"/>
      <c r="C915" s="123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</row>
    <row r="916">
      <c r="A916" s="114"/>
      <c r="B916" s="114"/>
      <c r="C916" s="123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</row>
    <row r="917">
      <c r="A917" s="114"/>
      <c r="B917" s="114"/>
      <c r="C917" s="123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</row>
    <row r="918">
      <c r="A918" s="114"/>
      <c r="B918" s="114"/>
      <c r="C918" s="123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</row>
    <row r="919">
      <c r="A919" s="114"/>
      <c r="B919" s="114"/>
      <c r="C919" s="123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</row>
    <row r="920">
      <c r="A920" s="114"/>
      <c r="B920" s="114"/>
      <c r="C920" s="123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</row>
    <row r="921">
      <c r="A921" s="114"/>
      <c r="B921" s="114"/>
      <c r="C921" s="123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</row>
    <row r="922">
      <c r="A922" s="114"/>
      <c r="B922" s="114"/>
      <c r="C922" s="123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</row>
    <row r="923">
      <c r="A923" s="114"/>
      <c r="B923" s="114"/>
      <c r="C923" s="123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</row>
    <row r="924">
      <c r="A924" s="114"/>
      <c r="B924" s="114"/>
      <c r="C924" s="123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</row>
    <row r="925">
      <c r="A925" s="114"/>
      <c r="B925" s="114"/>
      <c r="C925" s="123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</row>
    <row r="926">
      <c r="A926" s="114"/>
      <c r="B926" s="114"/>
      <c r="C926" s="123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</row>
    <row r="927">
      <c r="A927" s="114"/>
      <c r="B927" s="114"/>
      <c r="C927" s="123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</row>
    <row r="928">
      <c r="A928" s="114"/>
      <c r="B928" s="114"/>
      <c r="C928" s="123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</row>
    <row r="929">
      <c r="A929" s="114"/>
      <c r="B929" s="114"/>
      <c r="C929" s="123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</row>
    <row r="930">
      <c r="A930" s="114"/>
      <c r="B930" s="114"/>
      <c r="C930" s="123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</row>
    <row r="931">
      <c r="A931" s="114"/>
      <c r="B931" s="114"/>
      <c r="C931" s="123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</row>
    <row r="932">
      <c r="A932" s="114"/>
      <c r="B932" s="114"/>
      <c r="C932" s="123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</row>
    <row r="933">
      <c r="A933" s="114"/>
      <c r="B933" s="114"/>
      <c r="C933" s="123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</row>
    <row r="934">
      <c r="A934" s="114"/>
      <c r="B934" s="114"/>
      <c r="C934" s="123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</row>
    <row r="935">
      <c r="A935" s="114"/>
      <c r="B935" s="114"/>
      <c r="C935" s="123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</row>
    <row r="936">
      <c r="A936" s="114"/>
      <c r="B936" s="114"/>
      <c r="C936" s="123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</row>
    <row r="937">
      <c r="A937" s="114"/>
      <c r="B937" s="114"/>
      <c r="C937" s="123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</row>
    <row r="938">
      <c r="A938" s="114"/>
      <c r="B938" s="114"/>
      <c r="C938" s="123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</row>
    <row r="939">
      <c r="A939" s="114"/>
      <c r="B939" s="114"/>
      <c r="C939" s="123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</row>
    <row r="940">
      <c r="A940" s="114"/>
      <c r="B940" s="114"/>
      <c r="C940" s="123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</row>
    <row r="941">
      <c r="A941" s="114"/>
      <c r="B941" s="114"/>
      <c r="C941" s="123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</row>
    <row r="942">
      <c r="A942" s="114"/>
      <c r="B942" s="114"/>
      <c r="C942" s="123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</row>
    <row r="943">
      <c r="A943" s="114"/>
      <c r="B943" s="114"/>
      <c r="C943" s="123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</row>
    <row r="944">
      <c r="A944" s="114"/>
      <c r="B944" s="114"/>
      <c r="C944" s="123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</row>
    <row r="945">
      <c r="A945" s="114"/>
      <c r="B945" s="114"/>
      <c r="C945" s="123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</row>
    <row r="946">
      <c r="A946" s="114"/>
      <c r="B946" s="114"/>
      <c r="C946" s="123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</row>
    <row r="947">
      <c r="A947" s="114"/>
      <c r="B947" s="114"/>
      <c r="C947" s="123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</row>
    <row r="948">
      <c r="A948" s="114"/>
      <c r="B948" s="114"/>
      <c r="C948" s="123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</row>
    <row r="949">
      <c r="A949" s="114"/>
      <c r="B949" s="114"/>
      <c r="C949" s="123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</row>
    <row r="950">
      <c r="A950" s="114"/>
      <c r="B950" s="114"/>
      <c r="C950" s="123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</row>
    <row r="951">
      <c r="A951" s="114"/>
      <c r="B951" s="114"/>
      <c r="C951" s="123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</row>
    <row r="952">
      <c r="A952" s="114"/>
      <c r="B952" s="114"/>
      <c r="C952" s="123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</row>
    <row r="953">
      <c r="A953" s="114"/>
      <c r="B953" s="114"/>
      <c r="C953" s="123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</row>
    <row r="954">
      <c r="A954" s="114"/>
      <c r="B954" s="114"/>
      <c r="C954" s="123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</row>
    <row r="955">
      <c r="A955" s="114"/>
      <c r="B955" s="114"/>
      <c r="C955" s="123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</row>
    <row r="956">
      <c r="A956" s="114"/>
      <c r="B956" s="114"/>
      <c r="C956" s="123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</row>
    <row r="957">
      <c r="A957" s="114"/>
      <c r="B957" s="114"/>
      <c r="C957" s="123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</row>
    <row r="958">
      <c r="A958" s="114"/>
      <c r="B958" s="114"/>
      <c r="C958" s="123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</row>
    <row r="959">
      <c r="A959" s="114"/>
      <c r="B959" s="114"/>
      <c r="C959" s="123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</row>
    <row r="960">
      <c r="A960" s="114"/>
      <c r="B960" s="114"/>
      <c r="C960" s="123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</row>
    <row r="961">
      <c r="A961" s="114"/>
      <c r="B961" s="114"/>
      <c r="C961" s="123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</row>
    <row r="962">
      <c r="A962" s="114"/>
      <c r="B962" s="114"/>
      <c r="C962" s="123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</row>
    <row r="963">
      <c r="A963" s="114"/>
      <c r="B963" s="114"/>
      <c r="C963" s="123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</row>
    <row r="964">
      <c r="A964" s="114"/>
      <c r="B964" s="114"/>
      <c r="C964" s="123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</row>
    <row r="965">
      <c r="A965" s="114"/>
      <c r="B965" s="114"/>
      <c r="C965" s="123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</row>
    <row r="966">
      <c r="A966" s="114"/>
      <c r="B966" s="114"/>
      <c r="C966" s="123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</row>
    <row r="967">
      <c r="A967" s="114"/>
      <c r="B967" s="114"/>
      <c r="C967" s="123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</row>
    <row r="968">
      <c r="A968" s="114"/>
      <c r="B968" s="114"/>
      <c r="C968" s="123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</row>
    <row r="969">
      <c r="A969" s="114"/>
      <c r="B969" s="114"/>
      <c r="C969" s="123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</row>
    <row r="970">
      <c r="A970" s="114"/>
      <c r="B970" s="114"/>
      <c r="C970" s="123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</row>
    <row r="971">
      <c r="A971" s="114"/>
      <c r="B971" s="114"/>
      <c r="C971" s="123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</row>
    <row r="972">
      <c r="A972" s="114"/>
      <c r="B972" s="114"/>
      <c r="C972" s="123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</row>
    <row r="973">
      <c r="A973" s="114"/>
      <c r="B973" s="114"/>
      <c r="C973" s="123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</row>
    <row r="974">
      <c r="A974" s="114"/>
      <c r="B974" s="114"/>
      <c r="C974" s="123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</row>
    <row r="975">
      <c r="A975" s="114"/>
      <c r="B975" s="114"/>
      <c r="C975" s="123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</row>
    <row r="976">
      <c r="A976" s="114"/>
      <c r="B976" s="114"/>
      <c r="C976" s="123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</row>
    <row r="977">
      <c r="A977" s="114"/>
      <c r="B977" s="114"/>
      <c r="C977" s="123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</row>
    <row r="978">
      <c r="A978" s="114"/>
      <c r="B978" s="114"/>
      <c r="C978" s="123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</row>
    <row r="979">
      <c r="A979" s="114"/>
      <c r="B979" s="114"/>
      <c r="C979" s="123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</row>
    <row r="980">
      <c r="A980" s="114"/>
      <c r="B980" s="114"/>
      <c r="C980" s="123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</row>
    <row r="981">
      <c r="A981" s="114"/>
      <c r="B981" s="114"/>
      <c r="C981" s="123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</row>
    <row r="982">
      <c r="A982" s="114"/>
      <c r="B982" s="114"/>
      <c r="C982" s="123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</row>
    <row r="983">
      <c r="A983" s="114"/>
      <c r="B983" s="114"/>
      <c r="C983" s="123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</row>
    <row r="984">
      <c r="A984" s="114"/>
      <c r="B984" s="114"/>
      <c r="C984" s="123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</row>
    <row r="985">
      <c r="A985" s="114"/>
      <c r="B985" s="114"/>
      <c r="C985" s="123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</row>
    <row r="986">
      <c r="A986" s="114"/>
      <c r="B986" s="114"/>
      <c r="C986" s="123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</row>
    <row r="987">
      <c r="A987" s="114"/>
      <c r="B987" s="114"/>
      <c r="C987" s="123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</row>
    <row r="988">
      <c r="A988" s="114"/>
      <c r="B988" s="114"/>
      <c r="C988" s="123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</row>
    <row r="989">
      <c r="A989" s="114"/>
      <c r="B989" s="114"/>
      <c r="C989" s="123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</row>
    <row r="990">
      <c r="A990" s="114"/>
      <c r="B990" s="114"/>
      <c r="C990" s="123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</row>
    <row r="991">
      <c r="A991" s="114"/>
      <c r="B991" s="114"/>
      <c r="C991" s="123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</row>
    <row r="992">
      <c r="A992" s="114"/>
      <c r="B992" s="114"/>
      <c r="C992" s="123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</row>
    <row r="993">
      <c r="A993" s="114"/>
      <c r="B993" s="114"/>
      <c r="C993" s="123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</row>
    <row r="994">
      <c r="A994" s="114"/>
      <c r="B994" s="114"/>
      <c r="C994" s="123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</row>
    <row r="995">
      <c r="A995" s="114"/>
      <c r="B995" s="114"/>
      <c r="C995" s="123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</row>
    <row r="996">
      <c r="A996" s="114"/>
      <c r="B996" s="114"/>
      <c r="C996" s="123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</row>
    <row r="997">
      <c r="A997" s="114"/>
      <c r="B997" s="114"/>
      <c r="C997" s="123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</row>
    <row r="998">
      <c r="A998" s="114"/>
      <c r="B998" s="114"/>
      <c r="C998" s="123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</row>
    <row r="999">
      <c r="A999" s="114"/>
      <c r="B999" s="114"/>
      <c r="C999" s="123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</row>
    <row r="1000">
      <c r="A1000" s="114"/>
      <c r="B1000" s="114"/>
      <c r="C1000" s="123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</row>
  </sheetData>
  <autoFilter ref="$A$1:$S$1000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8.0"/>
    <col customWidth="1" min="2" max="3" width="12.13"/>
    <col customWidth="1" min="4" max="4" width="26.25"/>
    <col customWidth="1" min="5" max="5" width="28.0"/>
    <col customWidth="1" min="6" max="6" width="18.0"/>
    <col customWidth="1" min="7" max="7" width="37.75"/>
    <col customWidth="1" min="8" max="8" width="25.88"/>
    <col customWidth="1" min="9" max="9" width="17.5"/>
    <col customWidth="1" min="10" max="10" width="12.5"/>
  </cols>
  <sheetData>
    <row r="1">
      <c r="A1" s="169" t="s">
        <v>5649</v>
      </c>
      <c r="B1" s="169" t="s">
        <v>5650</v>
      </c>
      <c r="C1" s="169" t="s">
        <v>5651</v>
      </c>
      <c r="D1" s="169" t="s">
        <v>3833</v>
      </c>
      <c r="E1" s="169" t="s">
        <v>60</v>
      </c>
      <c r="F1" s="169" t="s">
        <v>5652</v>
      </c>
      <c r="G1" s="169" t="s">
        <v>5653</v>
      </c>
      <c r="H1" s="169" t="s">
        <v>5654</v>
      </c>
      <c r="I1" s="170" t="s">
        <v>5590</v>
      </c>
      <c r="J1" s="169" t="s">
        <v>2</v>
      </c>
    </row>
    <row r="2">
      <c r="A2" s="138" t="s">
        <v>2374</v>
      </c>
      <c r="B2" s="138" t="s">
        <v>4147</v>
      </c>
      <c r="C2" s="138" t="s">
        <v>4550</v>
      </c>
      <c r="D2" s="138" t="s">
        <v>2375</v>
      </c>
      <c r="E2" s="138" t="s">
        <v>21</v>
      </c>
      <c r="F2" s="138" t="s">
        <v>5655</v>
      </c>
      <c r="G2" s="138" t="s">
        <v>5656</v>
      </c>
      <c r="H2" s="138" t="s">
        <v>5657</v>
      </c>
      <c r="I2" s="138" t="s">
        <v>5658</v>
      </c>
      <c r="J2" s="138" t="s">
        <v>5594</v>
      </c>
    </row>
    <row r="3">
      <c r="A3" s="138" t="s">
        <v>5659</v>
      </c>
      <c r="B3" s="138" t="s">
        <v>5660</v>
      </c>
      <c r="C3" s="138" t="s">
        <v>5661</v>
      </c>
      <c r="D3" s="138" t="s">
        <v>1082</v>
      </c>
      <c r="E3" s="138" t="s">
        <v>28</v>
      </c>
      <c r="F3" s="138" t="s">
        <v>5662</v>
      </c>
      <c r="G3" s="138" t="s">
        <v>5663</v>
      </c>
      <c r="H3" s="138" t="s">
        <v>5657</v>
      </c>
      <c r="I3" s="138" t="s">
        <v>5664</v>
      </c>
      <c r="J3" s="138" t="s">
        <v>5594</v>
      </c>
    </row>
    <row r="4">
      <c r="A4" s="138" t="s">
        <v>1034</v>
      </c>
      <c r="B4" s="138" t="s">
        <v>4147</v>
      </c>
      <c r="C4" s="138" t="s">
        <v>4290</v>
      </c>
      <c r="D4" s="138" t="s">
        <v>1054</v>
      </c>
      <c r="E4" s="138" t="s">
        <v>14</v>
      </c>
      <c r="F4" s="138" t="s">
        <v>5665</v>
      </c>
      <c r="G4" s="138" t="s">
        <v>5666</v>
      </c>
      <c r="H4" s="138" t="s">
        <v>5657</v>
      </c>
      <c r="I4" s="138" t="s">
        <v>5667</v>
      </c>
      <c r="J4" s="138" t="s">
        <v>5594</v>
      </c>
    </row>
    <row r="5">
      <c r="A5" s="138" t="s">
        <v>1074</v>
      </c>
      <c r="B5" s="138" t="s">
        <v>3975</v>
      </c>
      <c r="C5" s="138" t="s">
        <v>4195</v>
      </c>
      <c r="D5" s="138" t="s">
        <v>5668</v>
      </c>
      <c r="E5" s="138" t="s">
        <v>28</v>
      </c>
      <c r="F5" s="138" t="s">
        <v>5669</v>
      </c>
      <c r="G5" s="138" t="s">
        <v>5670</v>
      </c>
      <c r="H5" s="138" t="s">
        <v>5657</v>
      </c>
      <c r="I5" s="138" t="s">
        <v>5671</v>
      </c>
      <c r="J5" s="138" t="s">
        <v>5594</v>
      </c>
    </row>
    <row r="6" hidden="1">
      <c r="A6" s="138" t="s">
        <v>5672</v>
      </c>
      <c r="B6" s="138" t="s">
        <v>4421</v>
      </c>
      <c r="C6" s="138" t="s">
        <v>5673</v>
      </c>
      <c r="D6" s="138" t="s">
        <v>5674</v>
      </c>
      <c r="E6" s="138" t="s">
        <v>21</v>
      </c>
      <c r="F6" s="138" t="s">
        <v>5675</v>
      </c>
      <c r="G6" s="138" t="s">
        <v>5676</v>
      </c>
      <c r="H6" s="138" t="s">
        <v>5657</v>
      </c>
      <c r="I6" s="138" t="s">
        <v>5677</v>
      </c>
      <c r="J6" s="171" t="s">
        <v>3851</v>
      </c>
    </row>
    <row r="7" hidden="1">
      <c r="A7" s="138" t="s">
        <v>5678</v>
      </c>
      <c r="B7" s="138" t="s">
        <v>5679</v>
      </c>
      <c r="C7" s="138" t="s">
        <v>5680</v>
      </c>
      <c r="D7" s="138" t="s">
        <v>1079</v>
      </c>
      <c r="E7" s="138" t="s">
        <v>28</v>
      </c>
      <c r="F7" s="138" t="s">
        <v>5681</v>
      </c>
      <c r="G7" s="138" t="s">
        <v>5682</v>
      </c>
      <c r="H7" s="138" t="s">
        <v>5657</v>
      </c>
      <c r="I7" s="138" t="s">
        <v>5683</v>
      </c>
      <c r="J7" s="171" t="s">
        <v>3851</v>
      </c>
    </row>
    <row r="8">
      <c r="A8" s="138" t="s">
        <v>1914</v>
      </c>
      <c r="B8" s="138" t="s">
        <v>5028</v>
      </c>
      <c r="C8" s="138" t="s">
        <v>5029</v>
      </c>
      <c r="D8" s="138" t="s">
        <v>1905</v>
      </c>
      <c r="E8" s="138" t="s">
        <v>28</v>
      </c>
      <c r="F8" s="138" t="s">
        <v>5684</v>
      </c>
      <c r="G8" s="138" t="s">
        <v>5685</v>
      </c>
      <c r="H8" s="138" t="s">
        <v>5657</v>
      </c>
      <c r="I8" s="138" t="s">
        <v>5686</v>
      </c>
      <c r="J8" s="138" t="s">
        <v>5594</v>
      </c>
    </row>
    <row r="9" hidden="1">
      <c r="A9" s="138" t="s">
        <v>5687</v>
      </c>
      <c r="B9" s="138" t="s">
        <v>5688</v>
      </c>
      <c r="C9" s="138" t="s">
        <v>4725</v>
      </c>
      <c r="D9" s="138" t="s">
        <v>5689</v>
      </c>
      <c r="E9" s="138"/>
      <c r="F9" s="138"/>
      <c r="G9" s="138" t="s">
        <v>5690</v>
      </c>
      <c r="H9" s="138" t="s">
        <v>5657</v>
      </c>
      <c r="I9" s="138" t="s">
        <v>5691</v>
      </c>
      <c r="J9" s="138" t="s">
        <v>3851</v>
      </c>
    </row>
    <row r="10">
      <c r="A10" s="138" t="s">
        <v>2032</v>
      </c>
      <c r="B10" s="138" t="s">
        <v>4301</v>
      </c>
      <c r="C10" s="138" t="s">
        <v>5057</v>
      </c>
      <c r="D10" s="138" t="s">
        <v>2033</v>
      </c>
      <c r="E10" s="138" t="s">
        <v>21</v>
      </c>
      <c r="F10" s="138" t="s">
        <v>5692</v>
      </c>
      <c r="G10" s="138" t="s">
        <v>5693</v>
      </c>
      <c r="H10" s="138" t="s">
        <v>5657</v>
      </c>
      <c r="I10" s="138" t="s">
        <v>5694</v>
      </c>
      <c r="J10" s="138" t="s">
        <v>5594</v>
      </c>
    </row>
    <row r="11" hidden="1">
      <c r="A11" s="138" t="s">
        <v>1101</v>
      </c>
      <c r="B11" s="138" t="s">
        <v>4301</v>
      </c>
      <c r="C11" s="138" t="s">
        <v>4302</v>
      </c>
      <c r="D11" s="138" t="s">
        <v>1066</v>
      </c>
      <c r="E11" s="138" t="s">
        <v>21</v>
      </c>
      <c r="F11" s="138" t="s">
        <v>5695</v>
      </c>
      <c r="G11" s="138" t="s">
        <v>5696</v>
      </c>
      <c r="H11" s="138" t="s">
        <v>5657</v>
      </c>
      <c r="I11" s="138" t="s">
        <v>5697</v>
      </c>
      <c r="J11" s="171" t="s">
        <v>3851</v>
      </c>
    </row>
    <row r="12">
      <c r="A12" s="138" t="s">
        <v>5698</v>
      </c>
      <c r="B12" s="138" t="s">
        <v>4301</v>
      </c>
      <c r="C12" s="138" t="s">
        <v>5067</v>
      </c>
      <c r="D12" s="138" t="s">
        <v>1658</v>
      </c>
      <c r="E12" s="138" t="s">
        <v>14</v>
      </c>
      <c r="F12" s="138" t="s">
        <v>5699</v>
      </c>
      <c r="G12" s="138" t="s">
        <v>5700</v>
      </c>
      <c r="H12" s="138" t="s">
        <v>5657</v>
      </c>
      <c r="I12" s="138" t="s">
        <v>5701</v>
      </c>
      <c r="J12" s="138" t="s">
        <v>5594</v>
      </c>
    </row>
    <row r="13">
      <c r="A13" s="138" t="s">
        <v>2507</v>
      </c>
      <c r="B13" s="138" t="s">
        <v>4301</v>
      </c>
      <c r="C13" s="138" t="s">
        <v>4511</v>
      </c>
      <c r="D13" s="138" t="s">
        <v>1784</v>
      </c>
      <c r="E13" s="138" t="s">
        <v>33</v>
      </c>
      <c r="F13" s="138" t="s">
        <v>5702</v>
      </c>
      <c r="G13" s="138" t="s">
        <v>5703</v>
      </c>
      <c r="H13" s="138" t="s">
        <v>5657</v>
      </c>
      <c r="I13" s="138" t="s">
        <v>5704</v>
      </c>
      <c r="J13" s="138" t="s">
        <v>5594</v>
      </c>
    </row>
    <row r="14">
      <c r="A14" s="138" t="s">
        <v>2243</v>
      </c>
      <c r="B14" s="138" t="s">
        <v>4626</v>
      </c>
      <c r="C14" s="138" t="s">
        <v>4128</v>
      </c>
      <c r="D14" s="138" t="s">
        <v>2244</v>
      </c>
      <c r="E14" s="138" t="s">
        <v>14</v>
      </c>
      <c r="F14" s="138" t="s">
        <v>5705</v>
      </c>
      <c r="G14" s="138" t="s">
        <v>5706</v>
      </c>
      <c r="H14" s="138" t="s">
        <v>5657</v>
      </c>
      <c r="I14" s="138" t="s">
        <v>5707</v>
      </c>
      <c r="J14" s="138" t="s">
        <v>5594</v>
      </c>
    </row>
    <row r="15">
      <c r="A15" s="138" t="s">
        <v>1952</v>
      </c>
      <c r="B15" s="138" t="s">
        <v>4797</v>
      </c>
      <c r="C15" s="138" t="s">
        <v>4798</v>
      </c>
      <c r="D15" s="138" t="s">
        <v>5708</v>
      </c>
      <c r="E15" s="138" t="s">
        <v>22</v>
      </c>
      <c r="F15" s="138" t="s">
        <v>5709</v>
      </c>
      <c r="G15" s="138" t="s">
        <v>5710</v>
      </c>
      <c r="H15" s="138" t="s">
        <v>5657</v>
      </c>
      <c r="I15" s="138" t="s">
        <v>5711</v>
      </c>
      <c r="J15" s="138" t="s">
        <v>5594</v>
      </c>
    </row>
    <row r="16">
      <c r="A16" s="138" t="s">
        <v>2437</v>
      </c>
      <c r="B16" s="138" t="s">
        <v>4398</v>
      </c>
      <c r="C16" s="138" t="s">
        <v>4171</v>
      </c>
      <c r="D16" s="138" t="s">
        <v>1534</v>
      </c>
      <c r="E16" s="138" t="s">
        <v>44</v>
      </c>
      <c r="F16" s="138" t="s">
        <v>5712</v>
      </c>
      <c r="G16" s="138" t="s">
        <v>5713</v>
      </c>
      <c r="H16" s="138" t="s">
        <v>5657</v>
      </c>
      <c r="I16" s="138" t="s">
        <v>5714</v>
      </c>
      <c r="J16" s="138" t="s">
        <v>5594</v>
      </c>
    </row>
    <row r="17" hidden="1">
      <c r="A17" s="138" t="s">
        <v>1117</v>
      </c>
      <c r="B17" s="138" t="s">
        <v>5186</v>
      </c>
      <c r="C17" s="138" t="s">
        <v>5187</v>
      </c>
      <c r="D17" s="138" t="s">
        <v>1118</v>
      </c>
      <c r="E17" s="138" t="s">
        <v>22</v>
      </c>
      <c r="F17" s="138" t="s">
        <v>5715</v>
      </c>
      <c r="G17" s="138" t="s">
        <v>5716</v>
      </c>
      <c r="H17" s="138" t="s">
        <v>5657</v>
      </c>
      <c r="I17" s="138" t="s">
        <v>5717</v>
      </c>
      <c r="J17" s="171" t="s">
        <v>3851</v>
      </c>
    </row>
    <row r="18">
      <c r="A18" s="138" t="s">
        <v>2155</v>
      </c>
      <c r="B18" s="138" t="s">
        <v>4751</v>
      </c>
      <c r="C18" s="138" t="s">
        <v>4752</v>
      </c>
      <c r="D18" s="138" t="s">
        <v>2156</v>
      </c>
      <c r="E18" s="138" t="s">
        <v>22</v>
      </c>
      <c r="F18" s="138" t="s">
        <v>5718</v>
      </c>
      <c r="G18" s="138" t="s">
        <v>5719</v>
      </c>
      <c r="H18" s="138" t="s">
        <v>5657</v>
      </c>
      <c r="I18" s="138" t="s">
        <v>5720</v>
      </c>
      <c r="J18" s="138" t="s">
        <v>5594</v>
      </c>
    </row>
    <row r="19" hidden="1">
      <c r="A19" s="138" t="s">
        <v>1130</v>
      </c>
      <c r="B19" s="138" t="s">
        <v>4256</v>
      </c>
      <c r="C19" s="138" t="s">
        <v>4257</v>
      </c>
      <c r="D19" s="138" t="s">
        <v>1131</v>
      </c>
      <c r="E19" s="138" t="s">
        <v>28</v>
      </c>
      <c r="F19" s="138" t="s">
        <v>5721</v>
      </c>
      <c r="G19" s="138" t="s">
        <v>5722</v>
      </c>
      <c r="H19" s="138" t="s">
        <v>5657</v>
      </c>
      <c r="I19" s="138" t="s">
        <v>5723</v>
      </c>
      <c r="J19" s="171" t="s">
        <v>3851</v>
      </c>
    </row>
    <row r="20">
      <c r="A20" s="138" t="s">
        <v>2479</v>
      </c>
      <c r="B20" s="138" t="s">
        <v>4222</v>
      </c>
      <c r="C20" s="138" t="s">
        <v>4223</v>
      </c>
      <c r="D20" s="138" t="s">
        <v>1553</v>
      </c>
      <c r="E20" s="138" t="s">
        <v>33</v>
      </c>
      <c r="F20" s="138" t="s">
        <v>5724</v>
      </c>
      <c r="G20" s="138" t="s">
        <v>5725</v>
      </c>
      <c r="H20" s="138" t="s">
        <v>5657</v>
      </c>
      <c r="I20" s="138" t="s">
        <v>5726</v>
      </c>
      <c r="J20" s="138" t="s">
        <v>5594</v>
      </c>
    </row>
    <row r="21">
      <c r="A21" s="138" t="s">
        <v>2567</v>
      </c>
      <c r="B21" s="138" t="s">
        <v>4222</v>
      </c>
      <c r="C21" s="138" t="s">
        <v>4403</v>
      </c>
      <c r="D21" s="138" t="s">
        <v>1135</v>
      </c>
      <c r="E21" s="138" t="s">
        <v>33</v>
      </c>
      <c r="F21" s="138" t="s">
        <v>5727</v>
      </c>
      <c r="G21" s="138" t="s">
        <v>5728</v>
      </c>
      <c r="H21" s="138" t="s">
        <v>5657</v>
      </c>
      <c r="I21" s="138" t="s">
        <v>5729</v>
      </c>
      <c r="J21" s="138" t="s">
        <v>5594</v>
      </c>
    </row>
    <row r="22">
      <c r="A22" s="138" t="s">
        <v>5730</v>
      </c>
      <c r="B22" s="138" t="s">
        <v>5731</v>
      </c>
      <c r="C22" s="138" t="s">
        <v>5732</v>
      </c>
      <c r="D22" s="138" t="s">
        <v>2041</v>
      </c>
      <c r="E22" s="138" t="s">
        <v>16</v>
      </c>
      <c r="F22" s="138" t="s">
        <v>5733</v>
      </c>
      <c r="G22" s="138" t="s">
        <v>5734</v>
      </c>
      <c r="H22" s="138" t="s">
        <v>5657</v>
      </c>
      <c r="I22" s="138" t="s">
        <v>5735</v>
      </c>
      <c r="J22" s="138" t="s">
        <v>5594</v>
      </c>
    </row>
    <row r="23" hidden="1">
      <c r="A23" s="138" t="s">
        <v>5736</v>
      </c>
      <c r="B23" s="138" t="s">
        <v>5737</v>
      </c>
      <c r="C23" s="138" t="s">
        <v>5738</v>
      </c>
      <c r="D23" s="138" t="s">
        <v>1133</v>
      </c>
      <c r="E23" s="138" t="s">
        <v>33</v>
      </c>
      <c r="F23" s="138" t="s">
        <v>5739</v>
      </c>
      <c r="G23" s="138" t="s">
        <v>5740</v>
      </c>
      <c r="H23" s="138" t="s">
        <v>5657</v>
      </c>
      <c r="I23" s="138" t="s">
        <v>5741</v>
      </c>
      <c r="J23" s="171" t="s">
        <v>3851</v>
      </c>
    </row>
    <row r="24" hidden="1">
      <c r="A24" s="138" t="s">
        <v>5742</v>
      </c>
      <c r="B24" s="138" t="s">
        <v>5423</v>
      </c>
      <c r="C24" s="138" t="s">
        <v>5743</v>
      </c>
      <c r="D24" s="138" t="s">
        <v>1137</v>
      </c>
      <c r="E24" s="138" t="s">
        <v>22</v>
      </c>
      <c r="F24" s="138" t="s">
        <v>5744</v>
      </c>
      <c r="G24" s="138" t="s">
        <v>5745</v>
      </c>
      <c r="H24" s="138" t="s">
        <v>5657</v>
      </c>
      <c r="I24" s="138" t="s">
        <v>5746</v>
      </c>
      <c r="J24" s="171" t="s">
        <v>3851</v>
      </c>
    </row>
    <row r="25" hidden="1">
      <c r="A25" s="138" t="s">
        <v>1139</v>
      </c>
      <c r="B25" s="138" t="s">
        <v>4537</v>
      </c>
      <c r="C25" s="138" t="s">
        <v>4538</v>
      </c>
      <c r="D25" s="138" t="s">
        <v>1140</v>
      </c>
      <c r="E25" s="138" t="s">
        <v>21</v>
      </c>
      <c r="F25" s="138" t="s">
        <v>5747</v>
      </c>
      <c r="G25" s="138" t="s">
        <v>5748</v>
      </c>
      <c r="H25" s="138" t="s">
        <v>5657</v>
      </c>
      <c r="I25" s="138" t="s">
        <v>5749</v>
      </c>
      <c r="J25" s="171" t="s">
        <v>3851</v>
      </c>
    </row>
    <row r="26" hidden="1">
      <c r="A26" s="138" t="s">
        <v>5750</v>
      </c>
      <c r="B26" s="138" t="s">
        <v>4525</v>
      </c>
      <c r="C26" s="138" t="s">
        <v>5751</v>
      </c>
      <c r="D26" s="138" t="s">
        <v>1153</v>
      </c>
      <c r="E26" s="138" t="s">
        <v>21</v>
      </c>
      <c r="F26" s="138" t="s">
        <v>5752</v>
      </c>
      <c r="G26" s="138" t="s">
        <v>5753</v>
      </c>
      <c r="H26" s="138" t="s">
        <v>5657</v>
      </c>
      <c r="I26" s="138" t="s">
        <v>5754</v>
      </c>
      <c r="J26" s="171" t="s">
        <v>3851</v>
      </c>
    </row>
    <row r="27">
      <c r="A27" s="138" t="s">
        <v>5755</v>
      </c>
      <c r="B27" s="138" t="s">
        <v>5756</v>
      </c>
      <c r="C27" s="138" t="s">
        <v>4129</v>
      </c>
      <c r="D27" s="138" t="s">
        <v>2290</v>
      </c>
      <c r="E27" s="138" t="s">
        <v>47</v>
      </c>
      <c r="F27" s="138" t="s">
        <v>5757</v>
      </c>
      <c r="G27" s="138" t="s">
        <v>5758</v>
      </c>
      <c r="H27" s="138" t="s">
        <v>5657</v>
      </c>
      <c r="I27" s="138" t="s">
        <v>5759</v>
      </c>
      <c r="J27" s="138" t="s">
        <v>5594</v>
      </c>
    </row>
    <row r="28" hidden="1">
      <c r="A28" s="138" t="s">
        <v>5760</v>
      </c>
      <c r="B28" s="138" t="s">
        <v>5761</v>
      </c>
      <c r="C28" s="138" t="s">
        <v>5762</v>
      </c>
      <c r="D28" s="138" t="s">
        <v>1166</v>
      </c>
      <c r="E28" s="138" t="s">
        <v>21</v>
      </c>
      <c r="F28" s="138" t="s">
        <v>5763</v>
      </c>
      <c r="G28" s="138" t="s">
        <v>5764</v>
      </c>
      <c r="H28" s="138" t="s">
        <v>5657</v>
      </c>
      <c r="I28" s="138" t="s">
        <v>5765</v>
      </c>
      <c r="J28" s="171" t="s">
        <v>3851</v>
      </c>
    </row>
    <row r="29">
      <c r="A29" s="138" t="s">
        <v>2194</v>
      </c>
      <c r="B29" s="138" t="s">
        <v>4932</v>
      </c>
      <c r="C29" s="138" t="s">
        <v>4933</v>
      </c>
      <c r="D29" s="138" t="s">
        <v>1981</v>
      </c>
      <c r="E29" s="138" t="s">
        <v>39</v>
      </c>
      <c r="F29" s="138" t="s">
        <v>5766</v>
      </c>
      <c r="G29" s="138" t="s">
        <v>5767</v>
      </c>
      <c r="H29" s="138" t="s">
        <v>5657</v>
      </c>
      <c r="I29" s="138" t="s">
        <v>5768</v>
      </c>
      <c r="J29" s="138" t="s">
        <v>5594</v>
      </c>
    </row>
    <row r="30" hidden="1">
      <c r="A30" s="138" t="s">
        <v>1169</v>
      </c>
      <c r="B30" s="138" t="s">
        <v>5769</v>
      </c>
      <c r="C30" s="138" t="s">
        <v>5207</v>
      </c>
      <c r="D30" s="138" t="s">
        <v>1170</v>
      </c>
      <c r="E30" s="138" t="s">
        <v>30</v>
      </c>
      <c r="F30" s="138" t="s">
        <v>5770</v>
      </c>
      <c r="G30" s="138" t="s">
        <v>5771</v>
      </c>
      <c r="H30" s="138" t="s">
        <v>5657</v>
      </c>
      <c r="I30" s="138" t="s">
        <v>5772</v>
      </c>
      <c r="J30" s="171" t="s">
        <v>3851</v>
      </c>
    </row>
    <row r="31">
      <c r="A31" s="138" t="s">
        <v>5773</v>
      </c>
      <c r="B31" s="138" t="s">
        <v>5774</v>
      </c>
      <c r="C31" s="138" t="s">
        <v>5775</v>
      </c>
      <c r="D31" s="138" t="s">
        <v>2586</v>
      </c>
      <c r="E31" s="138" t="s">
        <v>22</v>
      </c>
      <c r="F31" s="138" t="s">
        <v>5776</v>
      </c>
      <c r="G31" s="138" t="s">
        <v>5777</v>
      </c>
      <c r="H31" s="138" t="s">
        <v>5657</v>
      </c>
      <c r="I31" s="138" t="s">
        <v>5778</v>
      </c>
      <c r="J31" s="138" t="s">
        <v>5594</v>
      </c>
    </row>
    <row r="32" hidden="1">
      <c r="A32" s="138" t="s">
        <v>5779</v>
      </c>
      <c r="B32" s="138" t="s">
        <v>5780</v>
      </c>
      <c r="C32" s="138" t="s">
        <v>5781</v>
      </c>
      <c r="D32" s="138" t="s">
        <v>1173</v>
      </c>
      <c r="E32" s="138" t="s">
        <v>33</v>
      </c>
      <c r="F32" s="138" t="s">
        <v>5782</v>
      </c>
      <c r="G32" s="138" t="s">
        <v>5783</v>
      </c>
      <c r="H32" s="138" t="s">
        <v>5657</v>
      </c>
      <c r="I32" s="138" t="s">
        <v>5784</v>
      </c>
      <c r="J32" s="171" t="s">
        <v>3851</v>
      </c>
    </row>
    <row r="33" hidden="1">
      <c r="A33" s="138" t="s">
        <v>5785</v>
      </c>
      <c r="B33" s="138" t="s">
        <v>5023</v>
      </c>
      <c r="C33" s="138" t="s">
        <v>4290</v>
      </c>
      <c r="D33" s="138" t="s">
        <v>1177</v>
      </c>
      <c r="E33" s="138" t="s">
        <v>16</v>
      </c>
      <c r="F33" s="138" t="s">
        <v>5786</v>
      </c>
      <c r="G33" s="138" t="s">
        <v>5787</v>
      </c>
      <c r="H33" s="138" t="s">
        <v>5657</v>
      </c>
      <c r="I33" s="138" t="s">
        <v>5788</v>
      </c>
      <c r="J33" s="171" t="s">
        <v>3851</v>
      </c>
    </row>
    <row r="34">
      <c r="A34" s="138" t="s">
        <v>5789</v>
      </c>
      <c r="B34" s="138" t="s">
        <v>5790</v>
      </c>
      <c r="C34" s="138" t="s">
        <v>5791</v>
      </c>
      <c r="D34" s="138" t="s">
        <v>2692</v>
      </c>
      <c r="E34" s="138" t="s">
        <v>22</v>
      </c>
      <c r="F34" s="138" t="s">
        <v>5792</v>
      </c>
      <c r="G34" s="138" t="s">
        <v>5793</v>
      </c>
      <c r="H34" s="138" t="s">
        <v>5657</v>
      </c>
      <c r="I34" s="138" t="s">
        <v>5794</v>
      </c>
      <c r="J34" s="138" t="s">
        <v>5594</v>
      </c>
    </row>
    <row r="35" hidden="1">
      <c r="A35" s="138" t="s">
        <v>1181</v>
      </c>
      <c r="B35" s="138" t="s">
        <v>4543</v>
      </c>
      <c r="C35" s="138" t="s">
        <v>4544</v>
      </c>
      <c r="D35" s="138" t="s">
        <v>1182</v>
      </c>
      <c r="E35" s="138" t="s">
        <v>21</v>
      </c>
      <c r="F35" s="138" t="s">
        <v>5795</v>
      </c>
      <c r="G35" s="138" t="s">
        <v>5796</v>
      </c>
      <c r="H35" s="138" t="s">
        <v>5657</v>
      </c>
      <c r="I35" s="138" t="s">
        <v>5797</v>
      </c>
      <c r="J35" s="171" t="s">
        <v>3851</v>
      </c>
    </row>
    <row r="36">
      <c r="A36" s="138" t="s">
        <v>2486</v>
      </c>
      <c r="B36" s="138" t="s">
        <v>5572</v>
      </c>
      <c r="C36" s="138" t="s">
        <v>4976</v>
      </c>
      <c r="D36" s="138" t="s">
        <v>2487</v>
      </c>
      <c r="E36" s="138" t="s">
        <v>21</v>
      </c>
      <c r="F36" s="138" t="s">
        <v>5798</v>
      </c>
      <c r="G36" s="138" t="s">
        <v>5799</v>
      </c>
      <c r="H36" s="138" t="s">
        <v>5657</v>
      </c>
      <c r="I36" s="138" t="s">
        <v>5800</v>
      </c>
      <c r="J36" s="138" t="s">
        <v>5594</v>
      </c>
    </row>
    <row r="37">
      <c r="A37" s="138" t="s">
        <v>5801</v>
      </c>
      <c r="B37" s="138" t="s">
        <v>5133</v>
      </c>
      <c r="C37" s="138" t="s">
        <v>5133</v>
      </c>
      <c r="D37" s="138" t="s">
        <v>2686</v>
      </c>
      <c r="E37" s="138" t="s">
        <v>33</v>
      </c>
      <c r="F37" s="138" t="s">
        <v>5802</v>
      </c>
      <c r="G37" s="138" t="s">
        <v>5803</v>
      </c>
      <c r="H37" s="138" t="s">
        <v>5657</v>
      </c>
      <c r="I37" s="138" t="s">
        <v>5804</v>
      </c>
      <c r="J37" s="138" t="s">
        <v>5594</v>
      </c>
    </row>
    <row r="38">
      <c r="A38" s="138" t="s">
        <v>5805</v>
      </c>
      <c r="B38" s="138" t="s">
        <v>5806</v>
      </c>
      <c r="C38" s="138" t="s">
        <v>5807</v>
      </c>
      <c r="D38" s="138" t="s">
        <v>2316</v>
      </c>
      <c r="E38" s="138" t="s">
        <v>21</v>
      </c>
      <c r="F38" s="138" t="s">
        <v>5808</v>
      </c>
      <c r="G38" s="138" t="s">
        <v>5809</v>
      </c>
      <c r="H38" s="138" t="s">
        <v>5657</v>
      </c>
      <c r="I38" s="138" t="s">
        <v>5810</v>
      </c>
      <c r="J38" s="138" t="s">
        <v>5594</v>
      </c>
    </row>
    <row r="39" hidden="1">
      <c r="A39" s="138" t="s">
        <v>1217</v>
      </c>
      <c r="B39" s="138" t="s">
        <v>4166</v>
      </c>
      <c r="C39" s="138" t="s">
        <v>5321</v>
      </c>
      <c r="D39" s="138" t="s">
        <v>1218</v>
      </c>
      <c r="E39" s="138" t="s">
        <v>21</v>
      </c>
      <c r="F39" s="138" t="s">
        <v>5811</v>
      </c>
      <c r="G39" s="138" t="s">
        <v>5812</v>
      </c>
      <c r="H39" s="138" t="s">
        <v>5657</v>
      </c>
      <c r="I39" s="138" t="s">
        <v>5813</v>
      </c>
      <c r="J39" s="171" t="s">
        <v>3851</v>
      </c>
    </row>
    <row r="40" hidden="1">
      <c r="A40" s="138" t="s">
        <v>5814</v>
      </c>
      <c r="B40" s="138" t="s">
        <v>4259</v>
      </c>
      <c r="C40" s="138" t="s">
        <v>5815</v>
      </c>
      <c r="D40" s="138" t="s">
        <v>1224</v>
      </c>
      <c r="E40" s="138" t="s">
        <v>22</v>
      </c>
      <c r="F40" s="138" t="s">
        <v>5816</v>
      </c>
      <c r="G40" s="138" t="s">
        <v>5817</v>
      </c>
      <c r="H40" s="138" t="s">
        <v>5657</v>
      </c>
      <c r="I40" s="138" t="s">
        <v>5818</v>
      </c>
      <c r="J40" s="171" t="s">
        <v>3851</v>
      </c>
    </row>
    <row r="41" hidden="1">
      <c r="A41" s="138" t="s">
        <v>1232</v>
      </c>
      <c r="B41" s="138" t="s">
        <v>4265</v>
      </c>
      <c r="C41" s="138" t="s">
        <v>4266</v>
      </c>
      <c r="D41" s="138" t="s">
        <v>5819</v>
      </c>
      <c r="E41" s="138" t="s">
        <v>22</v>
      </c>
      <c r="F41" s="138" t="s">
        <v>5820</v>
      </c>
      <c r="G41" s="138" t="s">
        <v>5821</v>
      </c>
      <c r="H41" s="138" t="s">
        <v>5657</v>
      </c>
      <c r="I41" s="138" t="s">
        <v>5822</v>
      </c>
      <c r="J41" s="171" t="s">
        <v>3851</v>
      </c>
    </row>
    <row r="42">
      <c r="A42" s="138" t="s">
        <v>1235</v>
      </c>
      <c r="B42" s="138" t="s">
        <v>4614</v>
      </c>
      <c r="C42" s="138" t="s">
        <v>4615</v>
      </c>
      <c r="D42" s="138" t="s">
        <v>1236</v>
      </c>
      <c r="E42" s="138" t="s">
        <v>39</v>
      </c>
      <c r="F42" s="138" t="s">
        <v>5823</v>
      </c>
      <c r="G42" s="138" t="s">
        <v>5824</v>
      </c>
      <c r="H42" s="138" t="s">
        <v>5657</v>
      </c>
      <c r="I42" s="138" t="s">
        <v>5825</v>
      </c>
      <c r="J42" s="138" t="s">
        <v>5594</v>
      </c>
    </row>
    <row r="43" hidden="1">
      <c r="A43" s="138" t="s">
        <v>1239</v>
      </c>
      <c r="B43" s="138" t="s">
        <v>4684</v>
      </c>
      <c r="C43" s="138" t="s">
        <v>4526</v>
      </c>
      <c r="D43" s="138" t="s">
        <v>1240</v>
      </c>
      <c r="E43" s="138" t="s">
        <v>22</v>
      </c>
      <c r="F43" s="138" t="s">
        <v>5826</v>
      </c>
      <c r="G43" s="138" t="s">
        <v>5827</v>
      </c>
      <c r="H43" s="138" t="s">
        <v>5657</v>
      </c>
      <c r="I43" s="138" t="s">
        <v>5828</v>
      </c>
      <c r="J43" s="171" t="s">
        <v>3851</v>
      </c>
    </row>
    <row r="44" hidden="1">
      <c r="A44" s="138" t="s">
        <v>5829</v>
      </c>
      <c r="B44" s="138" t="s">
        <v>5830</v>
      </c>
      <c r="C44" s="138" t="s">
        <v>5831</v>
      </c>
      <c r="D44" s="138" t="s">
        <v>1245</v>
      </c>
      <c r="E44" s="138" t="s">
        <v>21</v>
      </c>
      <c r="F44" s="138" t="s">
        <v>5832</v>
      </c>
      <c r="G44" s="138" t="s">
        <v>5833</v>
      </c>
      <c r="H44" s="138" t="s">
        <v>5657</v>
      </c>
      <c r="I44" s="138" t="s">
        <v>5834</v>
      </c>
      <c r="J44" s="171" t="s">
        <v>3851</v>
      </c>
    </row>
    <row r="45">
      <c r="A45" s="138" t="s">
        <v>2218</v>
      </c>
      <c r="B45" s="138" t="s">
        <v>4212</v>
      </c>
      <c r="C45" s="138" t="s">
        <v>4213</v>
      </c>
      <c r="D45" s="138" t="s">
        <v>2219</v>
      </c>
      <c r="E45" s="138" t="s">
        <v>33</v>
      </c>
      <c r="F45" s="138" t="s">
        <v>5835</v>
      </c>
      <c r="G45" s="138" t="s">
        <v>5836</v>
      </c>
      <c r="H45" s="138" t="s">
        <v>5657</v>
      </c>
      <c r="I45" s="138" t="s">
        <v>5837</v>
      </c>
      <c r="J45" s="138" t="s">
        <v>5594</v>
      </c>
    </row>
    <row r="46">
      <c r="A46" s="138" t="s">
        <v>1864</v>
      </c>
      <c r="B46" s="138" t="s">
        <v>5838</v>
      </c>
      <c r="C46" s="138" t="s">
        <v>5839</v>
      </c>
      <c r="D46" s="138" t="s">
        <v>1056</v>
      </c>
      <c r="E46" s="138" t="s">
        <v>10</v>
      </c>
      <c r="F46" s="138" t="s">
        <v>5840</v>
      </c>
      <c r="G46" s="138" t="s">
        <v>5841</v>
      </c>
      <c r="H46" s="138" t="s">
        <v>5657</v>
      </c>
      <c r="I46" s="138" t="s">
        <v>5842</v>
      </c>
      <c r="J46" s="138" t="s">
        <v>5594</v>
      </c>
    </row>
    <row r="47">
      <c r="A47" s="138" t="s">
        <v>2457</v>
      </c>
      <c r="B47" s="138" t="s">
        <v>4194</v>
      </c>
      <c r="C47" s="138" t="s">
        <v>4195</v>
      </c>
      <c r="D47" s="138" t="s">
        <v>2458</v>
      </c>
      <c r="E47" s="138" t="s">
        <v>33</v>
      </c>
      <c r="F47" s="138" t="s">
        <v>5843</v>
      </c>
      <c r="G47" s="138" t="s">
        <v>5844</v>
      </c>
      <c r="H47" s="138" t="s">
        <v>5657</v>
      </c>
      <c r="I47" s="138" t="s">
        <v>5845</v>
      </c>
      <c r="J47" s="138" t="s">
        <v>5594</v>
      </c>
    </row>
    <row r="48">
      <c r="A48" s="138" t="s">
        <v>5846</v>
      </c>
      <c r="B48" s="138" t="s">
        <v>3981</v>
      </c>
      <c r="C48" s="138" t="s">
        <v>5847</v>
      </c>
      <c r="D48" s="138" t="s">
        <v>1214</v>
      </c>
      <c r="E48" s="138" t="s">
        <v>21</v>
      </c>
      <c r="F48" s="138" t="s">
        <v>5848</v>
      </c>
      <c r="G48" s="138" t="s">
        <v>5849</v>
      </c>
      <c r="H48" s="138" t="s">
        <v>5657</v>
      </c>
      <c r="I48" s="138" t="s">
        <v>5850</v>
      </c>
      <c r="J48" s="138" t="s">
        <v>5594</v>
      </c>
    </row>
    <row r="49">
      <c r="A49" s="138" t="s">
        <v>2272</v>
      </c>
      <c r="B49" s="138" t="s">
        <v>4004</v>
      </c>
      <c r="C49" s="138" t="s">
        <v>4188</v>
      </c>
      <c r="D49" s="138" t="s">
        <v>1967</v>
      </c>
      <c r="E49" s="138" t="s">
        <v>12</v>
      </c>
      <c r="F49" s="138" t="s">
        <v>5851</v>
      </c>
      <c r="G49" s="138" t="s">
        <v>5852</v>
      </c>
      <c r="H49" s="138" t="s">
        <v>5657</v>
      </c>
      <c r="I49" s="138" t="s">
        <v>5853</v>
      </c>
      <c r="J49" s="138" t="s">
        <v>5594</v>
      </c>
    </row>
    <row r="50" hidden="1">
      <c r="A50" s="138" t="s">
        <v>1275</v>
      </c>
      <c r="B50" s="138" t="s">
        <v>4004</v>
      </c>
      <c r="C50" s="138" t="s">
        <v>5200</v>
      </c>
      <c r="D50" s="138" t="s">
        <v>1276</v>
      </c>
      <c r="E50" s="138" t="s">
        <v>22</v>
      </c>
      <c r="F50" s="138" t="s">
        <v>5854</v>
      </c>
      <c r="G50" s="138" t="s">
        <v>5855</v>
      </c>
      <c r="H50" s="138" t="s">
        <v>5657</v>
      </c>
      <c r="I50" s="138" t="s">
        <v>5856</v>
      </c>
      <c r="J50" s="171" t="s">
        <v>3851</v>
      </c>
    </row>
    <row r="51">
      <c r="A51" s="138" t="s">
        <v>1906</v>
      </c>
      <c r="B51" s="138" t="s">
        <v>4935</v>
      </c>
      <c r="C51" s="138" t="s">
        <v>4745</v>
      </c>
      <c r="D51" s="138" t="s">
        <v>1549</v>
      </c>
      <c r="E51" s="138" t="s">
        <v>10</v>
      </c>
      <c r="F51" s="138" t="s">
        <v>5857</v>
      </c>
      <c r="G51" s="138" t="s">
        <v>5858</v>
      </c>
      <c r="H51" s="138" t="s">
        <v>5657</v>
      </c>
      <c r="I51" s="138" t="s">
        <v>5859</v>
      </c>
      <c r="J51" s="138" t="s">
        <v>5594</v>
      </c>
    </row>
    <row r="52">
      <c r="A52" s="138" t="s">
        <v>2110</v>
      </c>
      <c r="B52" s="138" t="s">
        <v>4519</v>
      </c>
      <c r="C52" s="138" t="s">
        <v>4520</v>
      </c>
      <c r="D52" s="138" t="s">
        <v>2111</v>
      </c>
      <c r="E52" s="138" t="s">
        <v>16</v>
      </c>
      <c r="F52" s="138" t="s">
        <v>5860</v>
      </c>
      <c r="G52" s="138" t="s">
        <v>5861</v>
      </c>
      <c r="H52" s="138" t="s">
        <v>5657</v>
      </c>
      <c r="I52" s="138" t="s">
        <v>5862</v>
      </c>
      <c r="J52" s="138" t="s">
        <v>5594</v>
      </c>
    </row>
    <row r="53">
      <c r="A53" s="138" t="s">
        <v>2158</v>
      </c>
      <c r="B53" s="138" t="s">
        <v>4688</v>
      </c>
      <c r="C53" s="138" t="s">
        <v>4689</v>
      </c>
      <c r="D53" s="138" t="s">
        <v>2159</v>
      </c>
      <c r="E53" s="138" t="s">
        <v>39</v>
      </c>
      <c r="F53" s="138" t="s">
        <v>5863</v>
      </c>
      <c r="G53" s="138" t="s">
        <v>5864</v>
      </c>
      <c r="H53" s="138" t="s">
        <v>5657</v>
      </c>
      <c r="I53" s="138" t="s">
        <v>5865</v>
      </c>
      <c r="J53" s="138" t="s">
        <v>5594</v>
      </c>
    </row>
    <row r="54">
      <c r="A54" s="138" t="s">
        <v>2097</v>
      </c>
      <c r="B54" s="138" t="s">
        <v>4951</v>
      </c>
      <c r="C54" s="138" t="s">
        <v>4952</v>
      </c>
      <c r="D54" s="138" t="s">
        <v>1380</v>
      </c>
      <c r="E54" s="138" t="s">
        <v>33</v>
      </c>
      <c r="F54" s="138" t="s">
        <v>5866</v>
      </c>
      <c r="G54" s="138" t="s">
        <v>5867</v>
      </c>
      <c r="H54" s="138" t="s">
        <v>5657</v>
      </c>
      <c r="I54" s="138" t="s">
        <v>5868</v>
      </c>
      <c r="J54" s="138" t="s">
        <v>5594</v>
      </c>
    </row>
    <row r="55" hidden="1">
      <c r="A55" s="138" t="s">
        <v>409</v>
      </c>
      <c r="B55" s="138" t="s">
        <v>5869</v>
      </c>
      <c r="C55" s="138" t="s">
        <v>5870</v>
      </c>
      <c r="D55" s="138" t="s">
        <v>410</v>
      </c>
      <c r="E55" s="138"/>
      <c r="F55" s="138" t="s">
        <v>5871</v>
      </c>
      <c r="G55" s="138" t="s">
        <v>5872</v>
      </c>
      <c r="H55" s="138" t="s">
        <v>5657</v>
      </c>
      <c r="I55" s="138" t="s">
        <v>5873</v>
      </c>
      <c r="J55" s="171" t="s">
        <v>3851</v>
      </c>
    </row>
    <row r="56">
      <c r="A56" s="138" t="s">
        <v>2012</v>
      </c>
      <c r="B56" s="138" t="s">
        <v>4496</v>
      </c>
      <c r="C56" s="138" t="s">
        <v>4497</v>
      </c>
      <c r="D56" s="138" t="s">
        <v>1077</v>
      </c>
      <c r="E56" s="138" t="s">
        <v>28</v>
      </c>
      <c r="F56" s="138" t="s">
        <v>5874</v>
      </c>
      <c r="G56" s="138" t="s">
        <v>5875</v>
      </c>
      <c r="H56" s="138" t="s">
        <v>5657</v>
      </c>
      <c r="I56" s="138" t="s">
        <v>5876</v>
      </c>
      <c r="J56" s="138" t="s">
        <v>5594</v>
      </c>
    </row>
    <row r="57" hidden="1">
      <c r="A57" s="138" t="s">
        <v>1362</v>
      </c>
      <c r="B57" s="138" t="s">
        <v>3982</v>
      </c>
      <c r="C57" s="138" t="s">
        <v>4191</v>
      </c>
      <c r="D57" s="138" t="s">
        <v>1363</v>
      </c>
      <c r="E57" s="138" t="s">
        <v>33</v>
      </c>
      <c r="F57" s="138" t="s">
        <v>5877</v>
      </c>
      <c r="G57" s="138" t="s">
        <v>5878</v>
      </c>
      <c r="H57" s="138" t="s">
        <v>5657</v>
      </c>
      <c r="I57" s="138" t="s">
        <v>5879</v>
      </c>
      <c r="J57" s="171" t="s">
        <v>3851</v>
      </c>
    </row>
    <row r="58">
      <c r="A58" s="138" t="s">
        <v>5880</v>
      </c>
      <c r="B58" s="138" t="s">
        <v>5881</v>
      </c>
      <c r="C58" s="138" t="s">
        <v>5882</v>
      </c>
      <c r="D58" s="138" t="s">
        <v>1017</v>
      </c>
      <c r="E58" s="138" t="s">
        <v>16</v>
      </c>
      <c r="F58" s="138" t="s">
        <v>5883</v>
      </c>
      <c r="G58" s="138" t="s">
        <v>5884</v>
      </c>
      <c r="H58" s="138" t="s">
        <v>5657</v>
      </c>
      <c r="I58" s="138" t="s">
        <v>5885</v>
      </c>
      <c r="J58" s="138" t="s">
        <v>5594</v>
      </c>
    </row>
    <row r="59" hidden="1">
      <c r="A59" s="138" t="s">
        <v>1381</v>
      </c>
      <c r="B59" s="138" t="s">
        <v>4654</v>
      </c>
      <c r="C59" s="138" t="s">
        <v>4432</v>
      </c>
      <c r="D59" s="138" t="s">
        <v>1382</v>
      </c>
      <c r="E59" s="138" t="s">
        <v>16</v>
      </c>
      <c r="F59" s="138" t="s">
        <v>5886</v>
      </c>
      <c r="G59" s="138" t="s">
        <v>5887</v>
      </c>
      <c r="H59" s="138" t="s">
        <v>5657</v>
      </c>
      <c r="I59" s="138" t="s">
        <v>5888</v>
      </c>
      <c r="J59" s="171" t="s">
        <v>3851</v>
      </c>
    </row>
    <row r="60">
      <c r="A60" s="138" t="s">
        <v>5889</v>
      </c>
      <c r="B60" s="138" t="s">
        <v>5890</v>
      </c>
      <c r="C60" s="138" t="s">
        <v>5891</v>
      </c>
      <c r="D60" s="138" t="s">
        <v>5892</v>
      </c>
      <c r="E60" s="138" t="s">
        <v>30</v>
      </c>
      <c r="F60" s="138" t="s">
        <v>5893</v>
      </c>
      <c r="G60" s="138" t="s">
        <v>5894</v>
      </c>
      <c r="H60" s="138" t="s">
        <v>5657</v>
      </c>
      <c r="I60" s="138" t="s">
        <v>5895</v>
      </c>
      <c r="J60" s="138" t="s">
        <v>5594</v>
      </c>
    </row>
    <row r="61">
      <c r="A61" s="138" t="s">
        <v>1917</v>
      </c>
      <c r="B61" s="138" t="s">
        <v>4924</v>
      </c>
      <c r="C61" s="138" t="s">
        <v>4925</v>
      </c>
      <c r="D61" s="138" t="s">
        <v>1315</v>
      </c>
      <c r="E61" s="138" t="s">
        <v>25</v>
      </c>
      <c r="F61" s="138" t="s">
        <v>5896</v>
      </c>
      <c r="G61" s="138" t="s">
        <v>5897</v>
      </c>
      <c r="H61" s="138" t="s">
        <v>5657</v>
      </c>
      <c r="I61" s="138" t="s">
        <v>5898</v>
      </c>
      <c r="J61" s="138" t="s">
        <v>5594</v>
      </c>
    </row>
    <row r="62">
      <c r="A62" s="138" t="s">
        <v>2247</v>
      </c>
      <c r="B62" s="138" t="s">
        <v>4205</v>
      </c>
      <c r="C62" s="138" t="s">
        <v>4206</v>
      </c>
      <c r="D62" s="138" t="s">
        <v>2248</v>
      </c>
      <c r="E62" s="138" t="s">
        <v>33</v>
      </c>
      <c r="F62" s="138" t="s">
        <v>5899</v>
      </c>
      <c r="G62" s="138" t="s">
        <v>5900</v>
      </c>
      <c r="H62" s="138" t="s">
        <v>5657</v>
      </c>
      <c r="I62" s="138" t="s">
        <v>5901</v>
      </c>
      <c r="J62" s="138" t="s">
        <v>5594</v>
      </c>
    </row>
    <row r="63">
      <c r="A63" s="138" t="s">
        <v>2412</v>
      </c>
      <c r="B63" s="138" t="s">
        <v>4165</v>
      </c>
      <c r="C63" s="138" t="s">
        <v>4166</v>
      </c>
      <c r="D63" s="138" t="s">
        <v>2413</v>
      </c>
      <c r="E63" s="138" t="s">
        <v>25</v>
      </c>
      <c r="F63" s="138" t="s">
        <v>5902</v>
      </c>
      <c r="G63" s="138" t="s">
        <v>5903</v>
      </c>
      <c r="H63" s="138" t="s">
        <v>5657</v>
      </c>
      <c r="I63" s="138" t="s">
        <v>5904</v>
      </c>
      <c r="J63" s="138" t="s">
        <v>5594</v>
      </c>
    </row>
    <row r="64" hidden="1">
      <c r="A64" s="138" t="s">
        <v>5905</v>
      </c>
      <c r="B64" s="138" t="s">
        <v>4455</v>
      </c>
      <c r="C64" s="138" t="s">
        <v>4457</v>
      </c>
      <c r="D64" s="138" t="s">
        <v>1443</v>
      </c>
      <c r="E64" s="138" t="s">
        <v>22</v>
      </c>
      <c r="F64" s="138" t="s">
        <v>5906</v>
      </c>
      <c r="G64" s="138" t="s">
        <v>5907</v>
      </c>
      <c r="H64" s="138" t="s">
        <v>5657</v>
      </c>
      <c r="I64" s="138" t="s">
        <v>5908</v>
      </c>
      <c r="J64" s="171" t="s">
        <v>3851</v>
      </c>
    </row>
    <row r="65" hidden="1">
      <c r="A65" s="138" t="s">
        <v>1449</v>
      </c>
      <c r="B65" s="138" t="s">
        <v>4181</v>
      </c>
      <c r="C65" s="138" t="s">
        <v>4182</v>
      </c>
      <c r="D65" s="138" t="s">
        <v>1192</v>
      </c>
      <c r="E65" s="138" t="s">
        <v>21</v>
      </c>
      <c r="F65" s="138" t="s">
        <v>5909</v>
      </c>
      <c r="G65" s="138" t="s">
        <v>5910</v>
      </c>
      <c r="H65" s="138" t="s">
        <v>5657</v>
      </c>
      <c r="I65" s="138" t="s">
        <v>5911</v>
      </c>
      <c r="J65" s="171" t="s">
        <v>3851</v>
      </c>
    </row>
    <row r="66" hidden="1">
      <c r="A66" s="138" t="s">
        <v>1453</v>
      </c>
      <c r="B66" s="138" t="s">
        <v>3994</v>
      </c>
      <c r="C66" s="138" t="s">
        <v>4587</v>
      </c>
      <c r="D66" s="138" t="s">
        <v>5912</v>
      </c>
      <c r="E66" s="138" t="s">
        <v>22</v>
      </c>
      <c r="F66" s="138" t="s">
        <v>5913</v>
      </c>
      <c r="G66" s="138" t="s">
        <v>5914</v>
      </c>
      <c r="H66" s="138" t="s">
        <v>5657</v>
      </c>
      <c r="I66" s="138" t="s">
        <v>5915</v>
      </c>
      <c r="J66" s="171" t="s">
        <v>3851</v>
      </c>
    </row>
    <row r="67">
      <c r="A67" s="138" t="s">
        <v>2008</v>
      </c>
      <c r="B67" s="138" t="s">
        <v>3994</v>
      </c>
      <c r="C67" s="138" t="s">
        <v>4428</v>
      </c>
      <c r="D67" s="138" t="s">
        <v>2009</v>
      </c>
      <c r="E67" s="138" t="s">
        <v>33</v>
      </c>
      <c r="F67" s="138" t="s">
        <v>5916</v>
      </c>
      <c r="G67" s="138" t="s">
        <v>5917</v>
      </c>
      <c r="H67" s="138" t="s">
        <v>5657</v>
      </c>
      <c r="I67" s="138" t="s">
        <v>5918</v>
      </c>
      <c r="J67" s="138" t="s">
        <v>5594</v>
      </c>
    </row>
    <row r="68">
      <c r="A68" s="138" t="s">
        <v>5919</v>
      </c>
      <c r="B68" s="138" t="s">
        <v>3994</v>
      </c>
      <c r="C68" s="138" t="s">
        <v>5920</v>
      </c>
      <c r="D68" s="138" t="s">
        <v>3811</v>
      </c>
      <c r="E68" s="138" t="s">
        <v>30</v>
      </c>
      <c r="F68" s="138" t="s">
        <v>5921</v>
      </c>
      <c r="G68" s="138" t="s">
        <v>5922</v>
      </c>
      <c r="H68" s="138" t="s">
        <v>5657</v>
      </c>
      <c r="I68" s="138" t="s">
        <v>5923</v>
      </c>
      <c r="J68" s="138" t="s">
        <v>5594</v>
      </c>
    </row>
    <row r="69" hidden="1">
      <c r="A69" s="138" t="s">
        <v>1458</v>
      </c>
      <c r="B69" s="138" t="s">
        <v>4606</v>
      </c>
      <c r="C69" s="138" t="s">
        <v>4132</v>
      </c>
      <c r="D69" s="138" t="s">
        <v>1053</v>
      </c>
      <c r="E69" s="138" t="s">
        <v>21</v>
      </c>
      <c r="F69" s="138" t="s">
        <v>5924</v>
      </c>
      <c r="G69" s="138" t="s">
        <v>5925</v>
      </c>
      <c r="H69" s="138" t="s">
        <v>5657</v>
      </c>
      <c r="I69" s="138" t="s">
        <v>5926</v>
      </c>
      <c r="J69" s="171" t="s">
        <v>3851</v>
      </c>
    </row>
    <row r="70">
      <c r="A70" s="138" t="s">
        <v>5927</v>
      </c>
      <c r="B70" s="138" t="s">
        <v>4179</v>
      </c>
      <c r="C70" s="138" t="s">
        <v>5067</v>
      </c>
      <c r="D70" s="138" t="s">
        <v>1164</v>
      </c>
      <c r="E70" s="138" t="s">
        <v>21</v>
      </c>
      <c r="F70" s="138" t="s">
        <v>5928</v>
      </c>
      <c r="G70" s="138" t="s">
        <v>5929</v>
      </c>
      <c r="H70" s="138" t="s">
        <v>5657</v>
      </c>
      <c r="I70" s="138" t="s">
        <v>5930</v>
      </c>
      <c r="J70" s="138" t="s">
        <v>5594</v>
      </c>
    </row>
    <row r="71" hidden="1">
      <c r="A71" s="138" t="s">
        <v>1472</v>
      </c>
      <c r="B71" s="138" t="s">
        <v>3538</v>
      </c>
      <c r="C71" s="138" t="s">
        <v>4202</v>
      </c>
      <c r="D71" s="138" t="s">
        <v>1473</v>
      </c>
      <c r="E71" s="138" t="s">
        <v>33</v>
      </c>
      <c r="F71" s="138" t="s">
        <v>5931</v>
      </c>
      <c r="G71" s="138" t="s">
        <v>5932</v>
      </c>
      <c r="H71" s="138" t="s">
        <v>5657</v>
      </c>
      <c r="I71" s="138" t="s">
        <v>5933</v>
      </c>
      <c r="J71" s="171" t="s">
        <v>3851</v>
      </c>
    </row>
    <row r="72">
      <c r="A72" s="138" t="s">
        <v>1948</v>
      </c>
      <c r="B72" s="138" t="s">
        <v>4134</v>
      </c>
      <c r="C72" s="138" t="s">
        <v>5032</v>
      </c>
      <c r="D72" s="138" t="s">
        <v>1210</v>
      </c>
      <c r="E72" s="138" t="s">
        <v>47</v>
      </c>
      <c r="F72" s="138" t="s">
        <v>5934</v>
      </c>
      <c r="G72" s="138" t="s">
        <v>5935</v>
      </c>
      <c r="H72" s="138" t="s">
        <v>5657</v>
      </c>
      <c r="I72" s="138" t="s">
        <v>5936</v>
      </c>
      <c r="J72" s="138" t="s">
        <v>5594</v>
      </c>
    </row>
    <row r="73" hidden="1">
      <c r="A73" s="138" t="s">
        <v>1487</v>
      </c>
      <c r="B73" s="138" t="s">
        <v>4134</v>
      </c>
      <c r="C73" s="138" t="s">
        <v>4132</v>
      </c>
      <c r="D73" s="138" t="s">
        <v>1488</v>
      </c>
      <c r="E73" s="138" t="s">
        <v>36</v>
      </c>
      <c r="F73" s="138" t="s">
        <v>5937</v>
      </c>
      <c r="G73" s="138" t="s">
        <v>5938</v>
      </c>
      <c r="H73" s="172" t="s">
        <v>5939</v>
      </c>
      <c r="I73" s="138" t="s">
        <v>5940</v>
      </c>
      <c r="J73" s="171" t="s">
        <v>3851</v>
      </c>
    </row>
    <row r="74" hidden="1">
      <c r="A74" s="138" t="s">
        <v>5941</v>
      </c>
      <c r="B74" s="138" t="s">
        <v>1487</v>
      </c>
      <c r="C74" s="138" t="s">
        <v>1487</v>
      </c>
      <c r="D74" s="138" t="s">
        <v>2147</v>
      </c>
      <c r="E74" s="138" t="s">
        <v>36</v>
      </c>
      <c r="F74" s="138"/>
      <c r="G74" s="138" t="s">
        <v>5942</v>
      </c>
      <c r="H74" s="172" t="s">
        <v>5943</v>
      </c>
      <c r="I74" s="138" t="s">
        <v>5944</v>
      </c>
      <c r="J74" s="138" t="s">
        <v>3851</v>
      </c>
    </row>
    <row r="75" hidden="1">
      <c r="A75" s="138" t="s">
        <v>5945</v>
      </c>
      <c r="B75" s="138" t="s">
        <v>4134</v>
      </c>
      <c r="C75" s="138" t="s">
        <v>5946</v>
      </c>
      <c r="D75" s="138" t="s">
        <v>1481</v>
      </c>
      <c r="E75" s="138" t="s">
        <v>22</v>
      </c>
      <c r="F75" s="138" t="s">
        <v>5947</v>
      </c>
      <c r="G75" s="138" t="s">
        <v>5948</v>
      </c>
      <c r="H75" s="138" t="s">
        <v>5657</v>
      </c>
      <c r="I75" s="138" t="s">
        <v>5949</v>
      </c>
      <c r="J75" s="171" t="s">
        <v>3851</v>
      </c>
    </row>
    <row r="76" hidden="1">
      <c r="A76" s="138" t="s">
        <v>1495</v>
      </c>
      <c r="B76" s="138" t="s">
        <v>4677</v>
      </c>
      <c r="C76" s="138" t="s">
        <v>4678</v>
      </c>
      <c r="D76" s="138" t="s">
        <v>1496</v>
      </c>
      <c r="E76" s="138" t="s">
        <v>25</v>
      </c>
      <c r="F76" s="138" t="s">
        <v>5950</v>
      </c>
      <c r="G76" s="138" t="s">
        <v>5951</v>
      </c>
      <c r="H76" s="138" t="s">
        <v>5657</v>
      </c>
      <c r="I76" s="138" t="s">
        <v>5952</v>
      </c>
      <c r="J76" s="171" t="s">
        <v>3851</v>
      </c>
    </row>
    <row r="77">
      <c r="A77" s="138" t="s">
        <v>5953</v>
      </c>
      <c r="B77" s="138" t="s">
        <v>4609</v>
      </c>
      <c r="C77" s="138" t="s">
        <v>5954</v>
      </c>
      <c r="D77" s="138" t="s">
        <v>2346</v>
      </c>
      <c r="E77" s="138" t="s">
        <v>22</v>
      </c>
      <c r="F77" s="138" t="s">
        <v>5955</v>
      </c>
      <c r="G77" s="138" t="s">
        <v>5956</v>
      </c>
      <c r="H77" s="138" t="s">
        <v>5657</v>
      </c>
      <c r="I77" s="138" t="s">
        <v>5957</v>
      </c>
      <c r="J77" s="138" t="s">
        <v>5594</v>
      </c>
    </row>
    <row r="78" hidden="1">
      <c r="A78" s="138" t="s">
        <v>1504</v>
      </c>
      <c r="B78" s="138" t="s">
        <v>5162</v>
      </c>
      <c r="C78" s="138" t="s">
        <v>5163</v>
      </c>
      <c r="D78" s="138" t="s">
        <v>1505</v>
      </c>
      <c r="E78" s="138" t="s">
        <v>16</v>
      </c>
      <c r="F78" s="138" t="s">
        <v>5958</v>
      </c>
      <c r="G78" s="138" t="s">
        <v>5959</v>
      </c>
      <c r="H78" s="138" t="s">
        <v>5657</v>
      </c>
      <c r="I78" s="138" t="s">
        <v>5960</v>
      </c>
      <c r="J78" s="171" t="s">
        <v>3851</v>
      </c>
    </row>
    <row r="79" hidden="1">
      <c r="A79" s="138" t="s">
        <v>3913</v>
      </c>
      <c r="B79" s="138" t="s">
        <v>559</v>
      </c>
      <c r="C79" s="138" t="s">
        <v>5961</v>
      </c>
      <c r="D79" s="138" t="s">
        <v>560</v>
      </c>
      <c r="E79" s="138"/>
      <c r="F79" s="138" t="s">
        <v>5962</v>
      </c>
      <c r="G79" s="138" t="s">
        <v>5963</v>
      </c>
      <c r="H79" s="138" t="s">
        <v>5657</v>
      </c>
      <c r="I79" s="138" t="s">
        <v>5964</v>
      </c>
      <c r="J79" s="171" t="s">
        <v>3851</v>
      </c>
    </row>
    <row r="80">
      <c r="A80" s="138" t="s">
        <v>1936</v>
      </c>
      <c r="B80" s="138" t="s">
        <v>4662</v>
      </c>
      <c r="C80" s="138" t="s">
        <v>4270</v>
      </c>
      <c r="D80" s="138" t="s">
        <v>5965</v>
      </c>
      <c r="E80" s="138" t="s">
        <v>30</v>
      </c>
      <c r="F80" s="138" t="s">
        <v>5966</v>
      </c>
      <c r="G80" s="138" t="s">
        <v>5967</v>
      </c>
      <c r="H80" s="138" t="s">
        <v>5657</v>
      </c>
      <c r="I80" s="138" t="s">
        <v>5968</v>
      </c>
      <c r="J80" s="138" t="s">
        <v>5594</v>
      </c>
    </row>
    <row r="81">
      <c r="A81" s="138" t="s">
        <v>2112</v>
      </c>
      <c r="B81" s="138" t="s">
        <v>5089</v>
      </c>
      <c r="C81" s="138" t="s">
        <v>4202</v>
      </c>
      <c r="D81" s="138" t="s">
        <v>1763</v>
      </c>
      <c r="E81" s="138" t="s">
        <v>22</v>
      </c>
      <c r="F81" s="138" t="s">
        <v>5969</v>
      </c>
      <c r="G81" s="138" t="s">
        <v>5970</v>
      </c>
      <c r="H81" s="138" t="s">
        <v>5657</v>
      </c>
      <c r="I81" s="138" t="s">
        <v>5971</v>
      </c>
      <c r="J81" s="138" t="s">
        <v>5594</v>
      </c>
    </row>
    <row r="82" hidden="1">
      <c r="A82" s="138" t="s">
        <v>569</v>
      </c>
      <c r="B82" s="138" t="s">
        <v>5972</v>
      </c>
      <c r="C82" s="138" t="s">
        <v>4617</v>
      </c>
      <c r="D82" s="138" t="s">
        <v>570</v>
      </c>
      <c r="E82" s="138"/>
      <c r="F82" s="138"/>
      <c r="G82" s="138" t="s">
        <v>5973</v>
      </c>
      <c r="H82" s="138" t="s">
        <v>5657</v>
      </c>
      <c r="I82" s="138" t="s">
        <v>5974</v>
      </c>
      <c r="J82" s="171" t="s">
        <v>3851</v>
      </c>
    </row>
    <row r="83" hidden="1">
      <c r="A83" s="138" t="s">
        <v>5975</v>
      </c>
      <c r="B83" s="138" t="s">
        <v>5976</v>
      </c>
      <c r="C83" s="138" t="s">
        <v>5791</v>
      </c>
      <c r="D83" s="138" t="s">
        <v>1518</v>
      </c>
      <c r="E83" s="138" t="s">
        <v>22</v>
      </c>
      <c r="F83" s="138" t="s">
        <v>5977</v>
      </c>
      <c r="G83" s="138" t="s">
        <v>5978</v>
      </c>
      <c r="H83" s="138" t="s">
        <v>5657</v>
      </c>
      <c r="I83" s="138" t="s">
        <v>5979</v>
      </c>
      <c r="J83" s="171" t="s">
        <v>3851</v>
      </c>
    </row>
    <row r="84">
      <c r="A84" s="138" t="s">
        <v>5980</v>
      </c>
      <c r="B84" s="138" t="s">
        <v>4229</v>
      </c>
      <c r="C84" s="138" t="s">
        <v>5981</v>
      </c>
      <c r="D84" s="138" t="s">
        <v>1121</v>
      </c>
      <c r="E84" s="138" t="s">
        <v>22</v>
      </c>
      <c r="F84" s="138" t="s">
        <v>5982</v>
      </c>
      <c r="G84" s="138" t="s">
        <v>5983</v>
      </c>
      <c r="H84" s="138" t="s">
        <v>5657</v>
      </c>
      <c r="I84" s="138" t="s">
        <v>5984</v>
      </c>
      <c r="J84" s="138" t="s">
        <v>5594</v>
      </c>
    </row>
    <row r="85" hidden="1">
      <c r="A85" s="138" t="s">
        <v>587</v>
      </c>
      <c r="B85" s="138" t="s">
        <v>5985</v>
      </c>
      <c r="C85" s="138" t="s">
        <v>5986</v>
      </c>
      <c r="D85" s="138" t="s">
        <v>588</v>
      </c>
      <c r="E85" s="138"/>
      <c r="F85" s="138"/>
      <c r="G85" s="138" t="s">
        <v>5987</v>
      </c>
      <c r="H85" s="138" t="s">
        <v>5657</v>
      </c>
      <c r="I85" s="138" t="s">
        <v>5988</v>
      </c>
      <c r="J85" s="171" t="s">
        <v>3851</v>
      </c>
    </row>
    <row r="86" hidden="1">
      <c r="A86" s="138" t="s">
        <v>1519</v>
      </c>
      <c r="B86" s="138" t="s">
        <v>5989</v>
      </c>
      <c r="C86" s="138" t="s">
        <v>5990</v>
      </c>
      <c r="D86" s="138" t="s">
        <v>1520</v>
      </c>
      <c r="E86" s="138" t="s">
        <v>21</v>
      </c>
      <c r="F86" s="138" t="s">
        <v>5991</v>
      </c>
      <c r="G86" s="138" t="s">
        <v>5992</v>
      </c>
      <c r="H86" s="138" t="s">
        <v>5657</v>
      </c>
      <c r="I86" s="138" t="s">
        <v>5993</v>
      </c>
      <c r="J86" s="171" t="s">
        <v>3851</v>
      </c>
    </row>
    <row r="87">
      <c r="A87" s="138" t="s">
        <v>1922</v>
      </c>
      <c r="B87" s="138" t="s">
        <v>5258</v>
      </c>
      <c r="C87" s="138" t="s">
        <v>5259</v>
      </c>
      <c r="D87" s="138" t="s">
        <v>1923</v>
      </c>
      <c r="E87" s="138" t="s">
        <v>21</v>
      </c>
      <c r="F87" s="138" t="s">
        <v>5994</v>
      </c>
      <c r="G87" s="138" t="s">
        <v>5995</v>
      </c>
      <c r="H87" s="138" t="s">
        <v>5657</v>
      </c>
      <c r="I87" s="138" t="s">
        <v>5996</v>
      </c>
      <c r="J87" s="138" t="s">
        <v>5594</v>
      </c>
    </row>
    <row r="88" hidden="1">
      <c r="A88" s="138" t="s">
        <v>5997</v>
      </c>
      <c r="B88" s="138" t="s">
        <v>5998</v>
      </c>
      <c r="C88" s="138" t="s">
        <v>5999</v>
      </c>
      <c r="D88" s="138" t="s">
        <v>1530</v>
      </c>
      <c r="E88" s="138" t="s">
        <v>44</v>
      </c>
      <c r="F88" s="138" t="s">
        <v>6000</v>
      </c>
      <c r="G88" s="138" t="s">
        <v>6001</v>
      </c>
      <c r="H88" s="138" t="s">
        <v>5657</v>
      </c>
      <c r="I88" s="138" t="s">
        <v>6002</v>
      </c>
      <c r="J88" s="171" t="s">
        <v>3851</v>
      </c>
    </row>
    <row r="89">
      <c r="A89" s="138" t="s">
        <v>6003</v>
      </c>
      <c r="B89" s="138" t="s">
        <v>6004</v>
      </c>
      <c r="C89" s="138" t="s">
        <v>5067</v>
      </c>
      <c r="D89" s="138" t="s">
        <v>2108</v>
      </c>
      <c r="E89" s="138" t="s">
        <v>22</v>
      </c>
      <c r="F89" s="138" t="s">
        <v>6005</v>
      </c>
      <c r="G89" s="138" t="s">
        <v>6006</v>
      </c>
      <c r="H89" s="138" t="s">
        <v>5657</v>
      </c>
      <c r="I89" s="138" t="s">
        <v>6007</v>
      </c>
      <c r="J89" s="138" t="s">
        <v>5594</v>
      </c>
    </row>
    <row r="90">
      <c r="A90" s="138" t="s">
        <v>2249</v>
      </c>
      <c r="B90" s="138" t="s">
        <v>4248</v>
      </c>
      <c r="C90" s="138" t="s">
        <v>4249</v>
      </c>
      <c r="D90" s="138" t="s">
        <v>6008</v>
      </c>
      <c r="E90" s="138" t="s">
        <v>28</v>
      </c>
      <c r="F90" s="138" t="s">
        <v>6009</v>
      </c>
      <c r="G90" s="138" t="s">
        <v>6010</v>
      </c>
      <c r="H90" s="138" t="s">
        <v>5657</v>
      </c>
      <c r="I90" s="138" t="s">
        <v>6011</v>
      </c>
      <c r="J90" s="138" t="s">
        <v>5594</v>
      </c>
    </row>
    <row r="91" hidden="1">
      <c r="A91" s="138" t="s">
        <v>1551</v>
      </c>
      <c r="B91" s="138" t="s">
        <v>4671</v>
      </c>
      <c r="C91" s="138" t="s">
        <v>4162</v>
      </c>
      <c r="D91" s="138" t="s">
        <v>1552</v>
      </c>
      <c r="E91" s="138" t="s">
        <v>33</v>
      </c>
      <c r="F91" s="138" t="s">
        <v>6012</v>
      </c>
      <c r="G91" s="138" t="s">
        <v>6013</v>
      </c>
      <c r="H91" s="138" t="s">
        <v>5657</v>
      </c>
      <c r="I91" s="138" t="s">
        <v>6014</v>
      </c>
      <c r="J91" s="171" t="s">
        <v>3851</v>
      </c>
    </row>
    <row r="92">
      <c r="A92" s="138" t="s">
        <v>1561</v>
      </c>
      <c r="B92" s="138" t="s">
        <v>4445</v>
      </c>
      <c r="C92" s="138" t="s">
        <v>4446</v>
      </c>
      <c r="D92" s="138" t="s">
        <v>1129</v>
      </c>
      <c r="E92" s="138" t="s">
        <v>33</v>
      </c>
      <c r="F92" s="138" t="s">
        <v>6015</v>
      </c>
      <c r="G92" s="138" t="s">
        <v>6016</v>
      </c>
      <c r="H92" s="138" t="s">
        <v>5657</v>
      </c>
      <c r="I92" s="138" t="s">
        <v>6017</v>
      </c>
      <c r="J92" s="138" t="s">
        <v>5594</v>
      </c>
    </row>
    <row r="93">
      <c r="A93" s="138" t="s">
        <v>6018</v>
      </c>
      <c r="B93" s="138" t="s">
        <v>4342</v>
      </c>
      <c r="C93" s="138" t="s">
        <v>6019</v>
      </c>
      <c r="D93" s="138" t="s">
        <v>2390</v>
      </c>
      <c r="E93" s="138" t="s">
        <v>33</v>
      </c>
      <c r="F93" s="138" t="s">
        <v>6020</v>
      </c>
      <c r="G93" s="138" t="s">
        <v>6021</v>
      </c>
      <c r="H93" s="138" t="s">
        <v>5657</v>
      </c>
      <c r="I93" s="138" t="s">
        <v>6022</v>
      </c>
      <c r="J93" s="138" t="s">
        <v>5594</v>
      </c>
    </row>
    <row r="94" hidden="1">
      <c r="A94" s="138" t="s">
        <v>6023</v>
      </c>
      <c r="B94" s="138" t="s">
        <v>6024</v>
      </c>
      <c r="C94" s="138" t="s">
        <v>5920</v>
      </c>
      <c r="D94" s="138" t="s">
        <v>1564</v>
      </c>
      <c r="E94" s="138" t="s">
        <v>33</v>
      </c>
      <c r="F94" s="138" t="s">
        <v>6025</v>
      </c>
      <c r="G94" s="138" t="s">
        <v>6026</v>
      </c>
      <c r="H94" s="138" t="s">
        <v>5657</v>
      </c>
      <c r="I94" s="138" t="s">
        <v>6027</v>
      </c>
      <c r="J94" s="171" t="s">
        <v>3851</v>
      </c>
    </row>
    <row r="95" hidden="1">
      <c r="A95" s="138" t="s">
        <v>6028</v>
      </c>
      <c r="B95" s="138" t="s">
        <v>6029</v>
      </c>
      <c r="C95" s="138" t="s">
        <v>6030</v>
      </c>
      <c r="D95" s="138" t="s">
        <v>654</v>
      </c>
      <c r="E95" s="138"/>
      <c r="F95" s="138" t="s">
        <v>6031</v>
      </c>
      <c r="G95" s="138" t="s">
        <v>6032</v>
      </c>
      <c r="H95" s="138" t="s">
        <v>5657</v>
      </c>
      <c r="I95" s="138" t="s">
        <v>6033</v>
      </c>
      <c r="J95" s="171" t="s">
        <v>3851</v>
      </c>
    </row>
    <row r="96">
      <c r="A96" s="138" t="s">
        <v>6034</v>
      </c>
      <c r="B96" s="138" t="s">
        <v>4819</v>
      </c>
      <c r="C96" s="138" t="s">
        <v>6035</v>
      </c>
      <c r="D96" s="138" t="s">
        <v>2028</v>
      </c>
      <c r="E96" s="138" t="s">
        <v>47</v>
      </c>
      <c r="F96" s="138" t="s">
        <v>6036</v>
      </c>
      <c r="G96" s="138" t="s">
        <v>6037</v>
      </c>
      <c r="H96" s="138" t="s">
        <v>5657</v>
      </c>
      <c r="I96" s="138" t="s">
        <v>6038</v>
      </c>
      <c r="J96" s="138" t="s">
        <v>5594</v>
      </c>
    </row>
    <row r="97" hidden="1">
      <c r="A97" s="138" t="s">
        <v>1593</v>
      </c>
      <c r="B97" s="138" t="s">
        <v>4143</v>
      </c>
      <c r="C97" s="138" t="s">
        <v>4968</v>
      </c>
      <c r="D97" s="138" t="s">
        <v>1594</v>
      </c>
      <c r="E97" s="138" t="s">
        <v>21</v>
      </c>
      <c r="F97" s="138" t="s">
        <v>6039</v>
      </c>
      <c r="G97" s="138" t="s">
        <v>6040</v>
      </c>
      <c r="H97" s="138" t="s">
        <v>5657</v>
      </c>
      <c r="I97" s="138" t="s">
        <v>6041</v>
      </c>
      <c r="J97" s="171" t="s">
        <v>3851</v>
      </c>
    </row>
    <row r="98">
      <c r="A98" s="138" t="s">
        <v>6042</v>
      </c>
      <c r="B98" s="138" t="s">
        <v>6043</v>
      </c>
      <c r="C98" s="138" t="s">
        <v>6044</v>
      </c>
      <c r="D98" s="138" t="s">
        <v>1356</v>
      </c>
      <c r="E98" s="138" t="s">
        <v>33</v>
      </c>
      <c r="F98" s="138" t="s">
        <v>6045</v>
      </c>
      <c r="G98" s="138" t="s">
        <v>6046</v>
      </c>
      <c r="H98" s="138" t="s">
        <v>5657</v>
      </c>
      <c r="I98" s="138" t="s">
        <v>6047</v>
      </c>
      <c r="J98" s="138" t="s">
        <v>5594</v>
      </c>
    </row>
    <row r="99">
      <c r="A99" s="138" t="s">
        <v>6048</v>
      </c>
      <c r="B99" s="138" t="s">
        <v>6043</v>
      </c>
      <c r="C99" s="138" t="s">
        <v>6019</v>
      </c>
      <c r="D99" s="138" t="s">
        <v>1029</v>
      </c>
      <c r="E99" s="138" t="s">
        <v>14</v>
      </c>
      <c r="F99" s="138" t="s">
        <v>6049</v>
      </c>
      <c r="G99" s="138" t="s">
        <v>6050</v>
      </c>
      <c r="H99" s="138" t="s">
        <v>5657</v>
      </c>
      <c r="I99" s="138" t="s">
        <v>6051</v>
      </c>
      <c r="J99" s="138" t="s">
        <v>5594</v>
      </c>
    </row>
    <row r="100">
      <c r="A100" s="138" t="s">
        <v>2569</v>
      </c>
      <c r="B100" s="138" t="s">
        <v>4245</v>
      </c>
      <c r="C100" s="138" t="s">
        <v>3943</v>
      </c>
      <c r="D100" s="138" t="s">
        <v>2570</v>
      </c>
      <c r="E100" s="138" t="s">
        <v>22</v>
      </c>
      <c r="F100" s="138" t="s">
        <v>6052</v>
      </c>
      <c r="G100" s="138" t="s">
        <v>6053</v>
      </c>
      <c r="H100" s="138" t="s">
        <v>5657</v>
      </c>
      <c r="I100" s="138" t="s">
        <v>6054</v>
      </c>
      <c r="J100" s="138" t="s">
        <v>5594</v>
      </c>
    </row>
    <row r="101">
      <c r="A101" s="138" t="s">
        <v>2308</v>
      </c>
      <c r="B101" s="138" t="s">
        <v>4245</v>
      </c>
      <c r="C101" s="138" t="s">
        <v>4331</v>
      </c>
      <c r="D101" s="138" t="s">
        <v>2309</v>
      </c>
      <c r="E101" s="138" t="s">
        <v>22</v>
      </c>
      <c r="F101" s="138" t="s">
        <v>6055</v>
      </c>
      <c r="G101" s="138" t="s">
        <v>6056</v>
      </c>
      <c r="H101" s="138" t="s">
        <v>5657</v>
      </c>
      <c r="I101" s="138" t="s">
        <v>6057</v>
      </c>
      <c r="J101" s="138" t="s">
        <v>5594</v>
      </c>
    </row>
    <row r="102">
      <c r="A102" s="138" t="s">
        <v>2273</v>
      </c>
      <c r="B102" s="138" t="s">
        <v>4127</v>
      </c>
      <c r="C102" s="138" t="s">
        <v>4128</v>
      </c>
      <c r="D102" s="138" t="s">
        <v>1491</v>
      </c>
      <c r="E102" s="138" t="s">
        <v>36</v>
      </c>
      <c r="F102" s="138" t="s">
        <v>6058</v>
      </c>
      <c r="G102" s="138" t="s">
        <v>6059</v>
      </c>
      <c r="H102" s="138" t="s">
        <v>5657</v>
      </c>
      <c r="I102" s="138" t="s">
        <v>6060</v>
      </c>
      <c r="J102" s="172" t="s">
        <v>5594</v>
      </c>
    </row>
    <row r="103">
      <c r="A103" s="138" t="s">
        <v>6061</v>
      </c>
      <c r="B103" s="138" t="s">
        <v>6062</v>
      </c>
      <c r="C103" s="138" t="s">
        <v>5946</v>
      </c>
      <c r="D103" s="138" t="s">
        <v>1411</v>
      </c>
      <c r="E103" s="138" t="s">
        <v>25</v>
      </c>
      <c r="F103" s="138" t="s">
        <v>6063</v>
      </c>
      <c r="G103" s="138" t="s">
        <v>6064</v>
      </c>
      <c r="H103" s="138" t="s">
        <v>5657</v>
      </c>
      <c r="I103" s="138" t="s">
        <v>6065</v>
      </c>
      <c r="J103" s="138" t="s">
        <v>5594</v>
      </c>
    </row>
    <row r="104" hidden="1">
      <c r="A104" s="138" t="s">
        <v>2241</v>
      </c>
      <c r="B104" s="138" t="s">
        <v>4131</v>
      </c>
      <c r="C104" s="138" t="s">
        <v>4132</v>
      </c>
      <c r="D104" s="138" t="s">
        <v>2242</v>
      </c>
      <c r="E104" s="138" t="s">
        <v>36</v>
      </c>
      <c r="F104" s="138" t="s">
        <v>6066</v>
      </c>
      <c r="G104" s="138" t="s">
        <v>6067</v>
      </c>
      <c r="H104" s="172" t="s">
        <v>5943</v>
      </c>
      <c r="I104" s="138" t="s">
        <v>6068</v>
      </c>
      <c r="J104" s="138" t="s">
        <v>3851</v>
      </c>
    </row>
    <row r="105">
      <c r="A105" s="138" t="s">
        <v>6069</v>
      </c>
      <c r="B105" s="138" t="s">
        <v>4848</v>
      </c>
      <c r="C105" s="138" t="s">
        <v>6070</v>
      </c>
      <c r="D105" s="138" t="s">
        <v>1226</v>
      </c>
      <c r="E105" s="138" t="s">
        <v>22</v>
      </c>
      <c r="F105" s="138" t="s">
        <v>6071</v>
      </c>
      <c r="G105" s="138" t="s">
        <v>6072</v>
      </c>
      <c r="H105" s="138" t="s">
        <v>5657</v>
      </c>
      <c r="I105" s="138" t="s">
        <v>6073</v>
      </c>
      <c r="J105" s="138" t="s">
        <v>5594</v>
      </c>
    </row>
    <row r="106">
      <c r="A106" s="138" t="s">
        <v>6074</v>
      </c>
      <c r="B106" s="138" t="s">
        <v>4438</v>
      </c>
      <c r="C106" s="138" t="s">
        <v>6075</v>
      </c>
      <c r="D106" s="138" t="s">
        <v>2361</v>
      </c>
      <c r="E106" s="138" t="s">
        <v>4090</v>
      </c>
      <c r="F106" s="138" t="s">
        <v>6076</v>
      </c>
      <c r="G106" s="138" t="s">
        <v>6077</v>
      </c>
      <c r="H106" s="138" t="s">
        <v>5657</v>
      </c>
      <c r="I106" s="138" t="s">
        <v>6078</v>
      </c>
      <c r="J106" s="138" t="s">
        <v>5594</v>
      </c>
    </row>
    <row r="107">
      <c r="A107" s="138" t="s">
        <v>6079</v>
      </c>
      <c r="B107" s="138" t="s">
        <v>6080</v>
      </c>
      <c r="C107" s="138" t="s">
        <v>6019</v>
      </c>
      <c r="D107" s="138" t="s">
        <v>2363</v>
      </c>
      <c r="E107" s="138" t="s">
        <v>25</v>
      </c>
      <c r="F107" s="138" t="s">
        <v>6081</v>
      </c>
      <c r="G107" s="138" t="s">
        <v>6082</v>
      </c>
      <c r="H107" s="138" t="s">
        <v>5657</v>
      </c>
      <c r="I107" s="138" t="s">
        <v>6083</v>
      </c>
      <c r="J107" s="138" t="s">
        <v>5594</v>
      </c>
    </row>
    <row r="108">
      <c r="A108" s="138" t="s">
        <v>6084</v>
      </c>
      <c r="B108" s="138" t="s">
        <v>4728</v>
      </c>
      <c r="C108" s="138" t="s">
        <v>6019</v>
      </c>
      <c r="D108" s="138" t="s">
        <v>2332</v>
      </c>
      <c r="E108" s="138" t="s">
        <v>22</v>
      </c>
      <c r="F108" s="138" t="s">
        <v>6085</v>
      </c>
      <c r="G108" s="138" t="s">
        <v>6086</v>
      </c>
      <c r="H108" s="138" t="s">
        <v>5657</v>
      </c>
      <c r="I108" s="138" t="s">
        <v>6087</v>
      </c>
      <c r="J108" s="138" t="s">
        <v>5594</v>
      </c>
    </row>
    <row r="109" hidden="1">
      <c r="A109" s="138" t="s">
        <v>1633</v>
      </c>
      <c r="B109" s="138" t="s">
        <v>4413</v>
      </c>
      <c r="C109" s="138" t="s">
        <v>4414</v>
      </c>
      <c r="D109" s="138" t="s">
        <v>1040</v>
      </c>
      <c r="E109" s="138" t="s">
        <v>30</v>
      </c>
      <c r="F109" s="138" t="s">
        <v>6088</v>
      </c>
      <c r="G109" s="138" t="s">
        <v>6089</v>
      </c>
      <c r="H109" s="138" t="s">
        <v>5657</v>
      </c>
      <c r="I109" s="138" t="s">
        <v>6090</v>
      </c>
      <c r="J109" s="171" t="s">
        <v>3851</v>
      </c>
    </row>
    <row r="110">
      <c r="A110" s="138" t="s">
        <v>6091</v>
      </c>
      <c r="B110" s="138" t="s">
        <v>6092</v>
      </c>
      <c r="C110" s="138" t="s">
        <v>6093</v>
      </c>
      <c r="D110" s="138" t="s">
        <v>1048</v>
      </c>
      <c r="E110" s="138" t="s">
        <v>14</v>
      </c>
      <c r="F110" s="138" t="s">
        <v>6094</v>
      </c>
      <c r="G110" s="138" t="s">
        <v>6095</v>
      </c>
      <c r="H110" s="138" t="s">
        <v>5657</v>
      </c>
      <c r="I110" s="138" t="s">
        <v>6096</v>
      </c>
      <c r="J110" s="138" t="s">
        <v>5594</v>
      </c>
    </row>
    <row r="111">
      <c r="A111" s="138" t="s">
        <v>6097</v>
      </c>
      <c r="B111" s="138" t="s">
        <v>6098</v>
      </c>
      <c r="C111" s="138" t="s">
        <v>6099</v>
      </c>
      <c r="D111" s="138" t="s">
        <v>2228</v>
      </c>
      <c r="E111" s="138" t="s">
        <v>22</v>
      </c>
      <c r="F111" s="138" t="s">
        <v>6100</v>
      </c>
      <c r="G111" s="138" t="s">
        <v>6101</v>
      </c>
      <c r="H111" s="138" t="s">
        <v>5657</v>
      </c>
      <c r="I111" s="138" t="s">
        <v>6102</v>
      </c>
      <c r="J111" s="138" t="s">
        <v>5594</v>
      </c>
    </row>
    <row r="112">
      <c r="A112" s="138" t="s">
        <v>2535</v>
      </c>
      <c r="B112" s="138" t="s">
        <v>4744</v>
      </c>
      <c r="C112" s="138" t="s">
        <v>4745</v>
      </c>
      <c r="D112" s="138" t="s">
        <v>2536</v>
      </c>
      <c r="E112" s="138" t="s">
        <v>22</v>
      </c>
      <c r="F112" s="138" t="s">
        <v>6103</v>
      </c>
      <c r="G112" s="138" t="s">
        <v>6104</v>
      </c>
      <c r="H112" s="138" t="s">
        <v>5657</v>
      </c>
      <c r="I112" s="138" t="s">
        <v>6105</v>
      </c>
      <c r="J112" s="138" t="s">
        <v>5594</v>
      </c>
    </row>
    <row r="113" hidden="1">
      <c r="A113" s="138" t="s">
        <v>1668</v>
      </c>
      <c r="B113" s="138" t="s">
        <v>4348</v>
      </c>
      <c r="C113" s="138" t="s">
        <v>4132</v>
      </c>
      <c r="D113" s="138" t="s">
        <v>1400</v>
      </c>
      <c r="E113" s="138" t="s">
        <v>21</v>
      </c>
      <c r="F113" s="138" t="s">
        <v>6106</v>
      </c>
      <c r="G113" s="138" t="s">
        <v>6107</v>
      </c>
      <c r="H113" s="138" t="s">
        <v>5657</v>
      </c>
      <c r="I113" s="138" t="s">
        <v>6108</v>
      </c>
      <c r="J113" s="171" t="s">
        <v>3851</v>
      </c>
    </row>
    <row r="114">
      <c r="A114" s="138" t="s">
        <v>6109</v>
      </c>
      <c r="B114" s="138" t="s">
        <v>6110</v>
      </c>
      <c r="C114" s="138" t="s">
        <v>6111</v>
      </c>
      <c r="D114" s="138" t="s">
        <v>2530</v>
      </c>
      <c r="E114" s="138" t="s">
        <v>21</v>
      </c>
      <c r="F114" s="138" t="s">
        <v>6112</v>
      </c>
      <c r="G114" s="138" t="s">
        <v>6113</v>
      </c>
      <c r="H114" s="138" t="s">
        <v>5657</v>
      </c>
      <c r="I114" s="138" t="s">
        <v>6114</v>
      </c>
      <c r="J114" s="138" t="s">
        <v>5594</v>
      </c>
    </row>
    <row r="115" hidden="1">
      <c r="A115" s="138" t="s">
        <v>6115</v>
      </c>
      <c r="B115" s="138" t="s">
        <v>4423</v>
      </c>
      <c r="C115" s="138" t="s">
        <v>5954</v>
      </c>
      <c r="D115" s="138" t="s">
        <v>1672</v>
      </c>
      <c r="E115" s="138" t="s">
        <v>28</v>
      </c>
      <c r="F115" s="138" t="s">
        <v>6116</v>
      </c>
      <c r="G115" s="138" t="s">
        <v>6117</v>
      </c>
      <c r="H115" s="138" t="s">
        <v>5657</v>
      </c>
      <c r="I115" s="138" t="s">
        <v>6118</v>
      </c>
      <c r="J115" s="171" t="s">
        <v>3851</v>
      </c>
    </row>
    <row r="116">
      <c r="A116" s="138" t="s">
        <v>2334</v>
      </c>
      <c r="B116" s="138" t="s">
        <v>4269</v>
      </c>
      <c r="C116" s="138" t="s">
        <v>4128</v>
      </c>
      <c r="D116" s="138" t="s">
        <v>2335</v>
      </c>
      <c r="E116" s="138" t="s">
        <v>30</v>
      </c>
      <c r="F116" s="138" t="s">
        <v>6119</v>
      </c>
      <c r="G116" s="138" t="s">
        <v>6120</v>
      </c>
      <c r="H116" s="138" t="s">
        <v>5657</v>
      </c>
      <c r="I116" s="138" t="s">
        <v>6121</v>
      </c>
      <c r="J116" s="138" t="s">
        <v>5594</v>
      </c>
    </row>
    <row r="117">
      <c r="A117" s="138" t="s">
        <v>1961</v>
      </c>
      <c r="B117" s="138" t="s">
        <v>5170</v>
      </c>
      <c r="C117" s="138" t="s">
        <v>5171</v>
      </c>
      <c r="D117" s="138" t="s">
        <v>1445</v>
      </c>
      <c r="E117" s="138" t="s">
        <v>22</v>
      </c>
      <c r="F117" s="138" t="s">
        <v>6122</v>
      </c>
      <c r="G117" s="138" t="s">
        <v>6123</v>
      </c>
      <c r="H117" s="138" t="s">
        <v>5657</v>
      </c>
      <c r="I117" s="138" t="s">
        <v>6124</v>
      </c>
      <c r="J117" s="138" t="s">
        <v>5594</v>
      </c>
    </row>
    <row r="118">
      <c r="A118" s="138" t="s">
        <v>2425</v>
      </c>
      <c r="B118" s="138" t="s">
        <v>4516</v>
      </c>
      <c r="C118" s="138" t="s">
        <v>4290</v>
      </c>
      <c r="D118" s="138" t="s">
        <v>1175</v>
      </c>
      <c r="E118" s="138" t="s">
        <v>33</v>
      </c>
      <c r="F118" s="138" t="s">
        <v>6125</v>
      </c>
      <c r="G118" s="138" t="s">
        <v>6126</v>
      </c>
      <c r="H118" s="138" t="s">
        <v>5657</v>
      </c>
      <c r="I118" s="138" t="s">
        <v>6127</v>
      </c>
      <c r="J118" s="138" t="s">
        <v>5594</v>
      </c>
    </row>
    <row r="119" hidden="1">
      <c r="A119" s="138" t="s">
        <v>1696</v>
      </c>
      <c r="B119" s="138" t="s">
        <v>4427</v>
      </c>
      <c r="C119" s="138" t="s">
        <v>4428</v>
      </c>
      <c r="D119" s="138" t="s">
        <v>1697</v>
      </c>
      <c r="E119" s="138" t="s">
        <v>33</v>
      </c>
      <c r="F119" s="138" t="s">
        <v>6128</v>
      </c>
      <c r="G119" s="138" t="s">
        <v>6129</v>
      </c>
      <c r="H119" s="138" t="s">
        <v>5657</v>
      </c>
      <c r="I119" s="138" t="s">
        <v>6130</v>
      </c>
      <c r="J119" s="171" t="s">
        <v>3851</v>
      </c>
    </row>
    <row r="120" hidden="1">
      <c r="A120" s="138" t="s">
        <v>3059</v>
      </c>
      <c r="B120" s="138" t="s">
        <v>4136</v>
      </c>
      <c r="C120" s="138" t="s">
        <v>4132</v>
      </c>
      <c r="D120" s="138" t="s">
        <v>2313</v>
      </c>
      <c r="E120" s="138" t="s">
        <v>36</v>
      </c>
      <c r="F120" s="138" t="s">
        <v>6131</v>
      </c>
      <c r="G120" s="138" t="s">
        <v>6132</v>
      </c>
      <c r="H120" s="138" t="s">
        <v>5657</v>
      </c>
      <c r="I120" s="138" t="s">
        <v>6133</v>
      </c>
      <c r="J120" s="138" t="s">
        <v>3851</v>
      </c>
    </row>
    <row r="121" hidden="1">
      <c r="A121" s="138" t="s">
        <v>1706</v>
      </c>
      <c r="B121" s="138" t="s">
        <v>3986</v>
      </c>
      <c r="C121" s="138" t="s">
        <v>4322</v>
      </c>
      <c r="D121" s="138" t="s">
        <v>1187</v>
      </c>
      <c r="E121" s="138" t="s">
        <v>21</v>
      </c>
      <c r="F121" s="138" t="s">
        <v>6134</v>
      </c>
      <c r="G121" s="138" t="s">
        <v>6135</v>
      </c>
      <c r="H121" s="138" t="s">
        <v>5657</v>
      </c>
      <c r="I121" s="138" t="s">
        <v>6136</v>
      </c>
      <c r="J121" s="171" t="s">
        <v>3851</v>
      </c>
    </row>
    <row r="122" hidden="1">
      <c r="A122" s="138" t="s">
        <v>6137</v>
      </c>
      <c r="B122" s="138" t="s">
        <v>3986</v>
      </c>
      <c r="C122" s="138" t="s">
        <v>6019</v>
      </c>
      <c r="D122" s="138" t="s">
        <v>5689</v>
      </c>
      <c r="E122" s="138"/>
      <c r="F122" s="138"/>
      <c r="G122" s="138" t="s">
        <v>6138</v>
      </c>
      <c r="H122" s="138" t="s">
        <v>5657</v>
      </c>
      <c r="I122" s="138" t="s">
        <v>6139</v>
      </c>
      <c r="J122" s="138" t="s">
        <v>3851</v>
      </c>
    </row>
    <row r="123">
      <c r="A123" s="138" t="s">
        <v>6140</v>
      </c>
      <c r="B123" s="138" t="s">
        <v>4155</v>
      </c>
      <c r="C123" s="138" t="s">
        <v>6141</v>
      </c>
      <c r="D123" s="138" t="s">
        <v>2358</v>
      </c>
      <c r="E123" s="138" t="s">
        <v>25</v>
      </c>
      <c r="F123" s="138" t="s">
        <v>6142</v>
      </c>
      <c r="G123" s="138" t="s">
        <v>6143</v>
      </c>
      <c r="H123" s="138" t="s">
        <v>5657</v>
      </c>
      <c r="I123" s="138" t="s">
        <v>6144</v>
      </c>
      <c r="J123" s="138" t="s">
        <v>5594</v>
      </c>
    </row>
    <row r="124">
      <c r="A124" s="138" t="s">
        <v>6145</v>
      </c>
      <c r="B124" s="138" t="s">
        <v>6146</v>
      </c>
      <c r="C124" s="138" t="s">
        <v>6147</v>
      </c>
      <c r="D124" s="138" t="s">
        <v>6148</v>
      </c>
      <c r="E124" s="138" t="s">
        <v>21</v>
      </c>
      <c r="F124" s="138" t="s">
        <v>6149</v>
      </c>
      <c r="G124" s="138" t="s">
        <v>6150</v>
      </c>
      <c r="H124" s="138" t="s">
        <v>5657</v>
      </c>
      <c r="I124" s="138" t="s">
        <v>6151</v>
      </c>
      <c r="J124" s="138" t="s">
        <v>5594</v>
      </c>
    </row>
    <row r="125">
      <c r="A125" s="138" t="s">
        <v>2254</v>
      </c>
      <c r="B125" s="138" t="s">
        <v>4602</v>
      </c>
      <c r="C125" s="138" t="s">
        <v>4603</v>
      </c>
      <c r="D125" s="138" t="s">
        <v>2255</v>
      </c>
      <c r="E125" s="138" t="s">
        <v>22</v>
      </c>
      <c r="F125" s="138" t="s">
        <v>6152</v>
      </c>
      <c r="G125" s="138" t="s">
        <v>6153</v>
      </c>
      <c r="H125" s="138" t="s">
        <v>5657</v>
      </c>
      <c r="I125" s="138" t="s">
        <v>6154</v>
      </c>
      <c r="J125" s="138" t="s">
        <v>5594</v>
      </c>
    </row>
    <row r="126">
      <c r="A126" s="138" t="s">
        <v>2498</v>
      </c>
      <c r="B126" s="138" t="s">
        <v>4832</v>
      </c>
      <c r="C126" s="138" t="s">
        <v>4162</v>
      </c>
      <c r="D126" s="138" t="s">
        <v>2499</v>
      </c>
      <c r="E126" s="138" t="s">
        <v>22</v>
      </c>
      <c r="F126" s="138" t="s">
        <v>6155</v>
      </c>
      <c r="G126" s="138" t="s">
        <v>6156</v>
      </c>
      <c r="H126" s="138" t="s">
        <v>5657</v>
      </c>
      <c r="I126" s="138" t="s">
        <v>6157</v>
      </c>
      <c r="J126" s="138" t="s">
        <v>5594</v>
      </c>
    </row>
    <row r="127" hidden="1">
      <c r="A127" s="138" t="s">
        <v>835</v>
      </c>
      <c r="B127" s="138" t="s">
        <v>4209</v>
      </c>
      <c r="C127" s="138" t="s">
        <v>4290</v>
      </c>
      <c r="D127" s="138" t="s">
        <v>6158</v>
      </c>
      <c r="E127" s="138"/>
      <c r="F127" s="138"/>
      <c r="G127" s="138" t="s">
        <v>6159</v>
      </c>
      <c r="H127" s="138" t="s">
        <v>5657</v>
      </c>
      <c r="I127" s="138" t="s">
        <v>6160</v>
      </c>
      <c r="J127" s="171" t="s">
        <v>3851</v>
      </c>
    </row>
    <row r="128">
      <c r="A128" s="138" t="s">
        <v>2213</v>
      </c>
      <c r="B128" s="138" t="s">
        <v>4209</v>
      </c>
      <c r="C128" s="138" t="s">
        <v>4128</v>
      </c>
      <c r="D128" s="138" t="s">
        <v>2214</v>
      </c>
      <c r="E128" s="138" t="s">
        <v>28</v>
      </c>
      <c r="F128" s="138" t="s">
        <v>6161</v>
      </c>
      <c r="G128" s="138" t="s">
        <v>6162</v>
      </c>
      <c r="H128" s="138" t="s">
        <v>5657</v>
      </c>
      <c r="I128" s="138" t="s">
        <v>6163</v>
      </c>
      <c r="J128" s="138" t="s">
        <v>5594</v>
      </c>
    </row>
    <row r="129" hidden="1">
      <c r="A129" s="138" t="s">
        <v>3923</v>
      </c>
      <c r="B129" s="138" t="s">
        <v>4209</v>
      </c>
      <c r="C129" s="138" t="s">
        <v>4381</v>
      </c>
      <c r="D129" s="138" t="s">
        <v>1722</v>
      </c>
      <c r="E129" s="138" t="s">
        <v>33</v>
      </c>
      <c r="F129" s="138" t="s">
        <v>6164</v>
      </c>
      <c r="G129" s="138" t="s">
        <v>6165</v>
      </c>
      <c r="H129" s="138" t="s">
        <v>5657</v>
      </c>
      <c r="I129" s="138" t="s">
        <v>6166</v>
      </c>
      <c r="J129" s="171" t="s">
        <v>3851</v>
      </c>
    </row>
    <row r="130">
      <c r="A130" s="138" t="s">
        <v>6167</v>
      </c>
      <c r="B130" s="138" t="s">
        <v>4198</v>
      </c>
      <c r="C130" s="138" t="s">
        <v>6168</v>
      </c>
      <c r="D130" s="138" t="s">
        <v>2405</v>
      </c>
      <c r="E130" s="138" t="s">
        <v>10</v>
      </c>
      <c r="F130" s="138" t="s">
        <v>6169</v>
      </c>
      <c r="G130" s="138" t="s">
        <v>6170</v>
      </c>
      <c r="H130" s="138" t="s">
        <v>5657</v>
      </c>
      <c r="I130" s="138" t="s">
        <v>6171</v>
      </c>
      <c r="J130" s="138" t="s">
        <v>5594</v>
      </c>
    </row>
    <row r="131" hidden="1">
      <c r="A131" s="138" t="s">
        <v>1736</v>
      </c>
      <c r="B131" s="138" t="s">
        <v>4502</v>
      </c>
      <c r="C131" s="138" t="s">
        <v>4503</v>
      </c>
      <c r="D131" s="138" t="s">
        <v>1287</v>
      </c>
      <c r="E131" s="138" t="s">
        <v>33</v>
      </c>
      <c r="F131" s="138" t="s">
        <v>6172</v>
      </c>
      <c r="G131" s="138" t="s">
        <v>6173</v>
      </c>
      <c r="H131" s="138" t="s">
        <v>5657</v>
      </c>
      <c r="I131" s="138" t="s">
        <v>6174</v>
      </c>
      <c r="J131" s="171" t="s">
        <v>3851</v>
      </c>
    </row>
    <row r="132" hidden="1">
      <c r="A132" s="138" t="s">
        <v>6175</v>
      </c>
      <c r="B132" s="138" t="s">
        <v>6176</v>
      </c>
      <c r="C132" s="138" t="s">
        <v>6168</v>
      </c>
      <c r="D132" s="138" t="s">
        <v>1742</v>
      </c>
      <c r="E132" s="138" t="s">
        <v>21</v>
      </c>
      <c r="F132" s="138" t="s">
        <v>6177</v>
      </c>
      <c r="G132" s="138" t="s">
        <v>6178</v>
      </c>
      <c r="H132" s="138" t="s">
        <v>5657</v>
      </c>
      <c r="I132" s="138" t="s">
        <v>6179</v>
      </c>
      <c r="J132" s="171" t="s">
        <v>3851</v>
      </c>
    </row>
    <row r="133">
      <c r="A133" s="138" t="s">
        <v>6180</v>
      </c>
      <c r="B133" s="138" t="s">
        <v>6181</v>
      </c>
      <c r="C133" s="138" t="s">
        <v>6182</v>
      </c>
      <c r="D133" s="138" t="s">
        <v>2670</v>
      </c>
      <c r="E133" s="138" t="s">
        <v>33</v>
      </c>
      <c r="F133" s="138" t="s">
        <v>6183</v>
      </c>
      <c r="G133" s="138" t="s">
        <v>6184</v>
      </c>
      <c r="H133" s="138" t="s">
        <v>5657</v>
      </c>
      <c r="I133" s="138" t="s">
        <v>6185</v>
      </c>
      <c r="J133" s="138" t="s">
        <v>5594</v>
      </c>
    </row>
    <row r="134">
      <c r="A134" s="138" t="s">
        <v>2304</v>
      </c>
      <c r="B134" s="138" t="s">
        <v>4875</v>
      </c>
      <c r="C134" s="138" t="s">
        <v>4299</v>
      </c>
      <c r="D134" s="138" t="s">
        <v>1103</v>
      </c>
      <c r="E134" s="138" t="s">
        <v>21</v>
      </c>
      <c r="F134" s="138" t="s">
        <v>6186</v>
      </c>
      <c r="G134" s="138" t="s">
        <v>6187</v>
      </c>
      <c r="H134" s="138" t="s">
        <v>5657</v>
      </c>
      <c r="I134" s="138" t="s">
        <v>6188</v>
      </c>
      <c r="J134" s="138" t="s">
        <v>5594</v>
      </c>
    </row>
    <row r="135">
      <c r="A135" s="138" t="s">
        <v>2443</v>
      </c>
      <c r="B135" s="138" t="s">
        <v>4533</v>
      </c>
      <c r="C135" s="138" t="s">
        <v>4534</v>
      </c>
      <c r="D135" s="138" t="s">
        <v>6189</v>
      </c>
      <c r="E135" s="138" t="s">
        <v>22</v>
      </c>
      <c r="F135" s="138" t="s">
        <v>6190</v>
      </c>
      <c r="G135" s="138" t="s">
        <v>6191</v>
      </c>
      <c r="H135" s="138" t="s">
        <v>5657</v>
      </c>
      <c r="I135" s="138" t="s">
        <v>6192</v>
      </c>
      <c r="J135" s="138" t="s">
        <v>5594</v>
      </c>
    </row>
    <row r="136">
      <c r="A136" s="138" t="s">
        <v>2558</v>
      </c>
      <c r="B136" s="138" t="s">
        <v>4522</v>
      </c>
      <c r="C136" s="138" t="s">
        <v>4410</v>
      </c>
      <c r="D136" s="138" t="s">
        <v>1833</v>
      </c>
      <c r="E136" s="138" t="s">
        <v>25</v>
      </c>
      <c r="F136" s="138" t="s">
        <v>6193</v>
      </c>
      <c r="G136" s="138" t="s">
        <v>6194</v>
      </c>
      <c r="H136" s="138" t="s">
        <v>5657</v>
      </c>
      <c r="I136" s="138" t="s">
        <v>6195</v>
      </c>
      <c r="J136" s="138" t="s">
        <v>5594</v>
      </c>
    </row>
    <row r="137" hidden="1">
      <c r="A137" s="138" t="s">
        <v>6196</v>
      </c>
      <c r="B137" s="138" t="s">
        <v>6197</v>
      </c>
      <c r="C137" s="138" t="s">
        <v>6198</v>
      </c>
      <c r="D137" s="138" t="s">
        <v>1616</v>
      </c>
      <c r="E137" s="138" t="s">
        <v>21</v>
      </c>
      <c r="F137" s="138" t="s">
        <v>6199</v>
      </c>
      <c r="G137" s="138" t="s">
        <v>6200</v>
      </c>
      <c r="H137" s="138" t="s">
        <v>5657</v>
      </c>
      <c r="I137" s="138" t="s">
        <v>6201</v>
      </c>
      <c r="J137" s="171" t="s">
        <v>3851</v>
      </c>
    </row>
    <row r="138" hidden="1">
      <c r="A138" s="138" t="s">
        <v>6202</v>
      </c>
      <c r="B138" s="138" t="s">
        <v>6203</v>
      </c>
      <c r="C138" s="138" t="s">
        <v>6019</v>
      </c>
      <c r="D138" s="138" t="s">
        <v>1769</v>
      </c>
      <c r="E138" s="138" t="s">
        <v>21</v>
      </c>
      <c r="F138" s="138" t="s">
        <v>6204</v>
      </c>
      <c r="G138" s="138" t="s">
        <v>6205</v>
      </c>
      <c r="H138" s="138" t="s">
        <v>5657</v>
      </c>
      <c r="I138" s="138" t="s">
        <v>6206</v>
      </c>
      <c r="J138" s="171" t="s">
        <v>3851</v>
      </c>
    </row>
    <row r="139">
      <c r="A139" s="138" t="s">
        <v>2522</v>
      </c>
      <c r="B139" s="138" t="s">
        <v>4765</v>
      </c>
      <c r="C139" s="138" t="s">
        <v>4766</v>
      </c>
      <c r="D139" s="138" t="s">
        <v>1238</v>
      </c>
      <c r="E139" s="138" t="s">
        <v>39</v>
      </c>
      <c r="F139" s="138" t="s">
        <v>6207</v>
      </c>
      <c r="G139" s="138" t="s">
        <v>6208</v>
      </c>
      <c r="H139" s="138" t="s">
        <v>5657</v>
      </c>
      <c r="I139" s="138" t="s">
        <v>6209</v>
      </c>
      <c r="J139" s="138" t="s">
        <v>5594</v>
      </c>
    </row>
    <row r="140" hidden="1">
      <c r="A140" s="138" t="s">
        <v>1780</v>
      </c>
      <c r="B140" s="138" t="s">
        <v>6210</v>
      </c>
      <c r="C140" s="138" t="s">
        <v>6211</v>
      </c>
      <c r="D140" s="138" t="s">
        <v>1781</v>
      </c>
      <c r="E140" s="138" t="s">
        <v>21</v>
      </c>
      <c r="F140" s="138" t="s">
        <v>6212</v>
      </c>
      <c r="G140" s="138" t="s">
        <v>6213</v>
      </c>
      <c r="H140" s="138" t="s">
        <v>5657</v>
      </c>
      <c r="I140" s="138" t="s">
        <v>6214</v>
      </c>
      <c r="J140" s="171" t="s">
        <v>3851</v>
      </c>
    </row>
    <row r="141" hidden="1">
      <c r="A141" s="138" t="s">
        <v>1782</v>
      </c>
      <c r="B141" s="138" t="s">
        <v>4185</v>
      </c>
      <c r="C141" s="138" t="s">
        <v>4162</v>
      </c>
      <c r="D141" s="138" t="s">
        <v>1783</v>
      </c>
      <c r="E141" s="138" t="s">
        <v>33</v>
      </c>
      <c r="F141" s="138" t="s">
        <v>6215</v>
      </c>
      <c r="G141" s="138" t="s">
        <v>6216</v>
      </c>
      <c r="H141" s="138" t="s">
        <v>5657</v>
      </c>
      <c r="I141" s="138" t="s">
        <v>6217</v>
      </c>
      <c r="J141" s="171" t="s">
        <v>3851</v>
      </c>
    </row>
    <row r="142" hidden="1">
      <c r="A142" s="138" t="s">
        <v>1785</v>
      </c>
      <c r="B142" s="138" t="s">
        <v>4295</v>
      </c>
      <c r="C142" s="138" t="s">
        <v>4296</v>
      </c>
      <c r="D142" s="138" t="s">
        <v>1786</v>
      </c>
      <c r="E142" s="138" t="s">
        <v>33</v>
      </c>
      <c r="F142" s="138" t="s">
        <v>6218</v>
      </c>
      <c r="G142" s="138" t="s">
        <v>6219</v>
      </c>
      <c r="H142" s="138" t="s">
        <v>5657</v>
      </c>
      <c r="I142" s="138" t="s">
        <v>6220</v>
      </c>
      <c r="J142" s="171" t="s">
        <v>3851</v>
      </c>
    </row>
    <row r="143" hidden="1">
      <c r="A143" s="138" t="s">
        <v>1795</v>
      </c>
      <c r="B143" s="138" t="s">
        <v>4283</v>
      </c>
      <c r="C143" s="138" t="s">
        <v>4284</v>
      </c>
      <c r="D143" s="138" t="s">
        <v>1796</v>
      </c>
      <c r="E143" s="138" t="s">
        <v>22</v>
      </c>
      <c r="F143" s="138" t="s">
        <v>6221</v>
      </c>
      <c r="G143" s="138" t="s">
        <v>6222</v>
      </c>
      <c r="H143" s="138" t="s">
        <v>5657</v>
      </c>
      <c r="I143" s="138" t="s">
        <v>6223</v>
      </c>
      <c r="J143" s="171" t="s">
        <v>3851</v>
      </c>
    </row>
    <row r="144" hidden="1">
      <c r="A144" s="138" t="s">
        <v>6224</v>
      </c>
      <c r="B144" s="138" t="s">
        <v>6225</v>
      </c>
      <c r="C144" s="138" t="s">
        <v>6019</v>
      </c>
      <c r="D144" s="138" t="s">
        <v>6226</v>
      </c>
      <c r="E144" s="138" t="s">
        <v>16</v>
      </c>
      <c r="F144" s="138" t="s">
        <v>6227</v>
      </c>
      <c r="G144" s="138" t="s">
        <v>6228</v>
      </c>
      <c r="H144" s="138" t="s">
        <v>5657</v>
      </c>
      <c r="I144" s="138" t="s">
        <v>6229</v>
      </c>
      <c r="J144" s="171" t="s">
        <v>3851</v>
      </c>
    </row>
    <row r="145">
      <c r="A145" s="138" t="s">
        <v>2116</v>
      </c>
      <c r="B145" s="138" t="s">
        <v>4202</v>
      </c>
      <c r="C145" s="138" t="s">
        <v>4128</v>
      </c>
      <c r="D145" s="138" t="s">
        <v>2117</v>
      </c>
      <c r="E145" s="138" t="s">
        <v>12</v>
      </c>
      <c r="F145" s="138" t="s">
        <v>6230</v>
      </c>
      <c r="G145" s="138" t="s">
        <v>6231</v>
      </c>
      <c r="H145" s="138" t="s">
        <v>5657</v>
      </c>
      <c r="I145" s="138" t="s">
        <v>6232</v>
      </c>
      <c r="J145" s="138" t="s">
        <v>5594</v>
      </c>
    </row>
    <row r="146" hidden="1">
      <c r="A146" s="138" t="s">
        <v>6233</v>
      </c>
      <c r="B146" s="138" t="s">
        <v>4808</v>
      </c>
      <c r="C146" s="138" t="s">
        <v>5743</v>
      </c>
      <c r="D146" s="138" t="s">
        <v>1815</v>
      </c>
      <c r="E146" s="138" t="s">
        <v>33</v>
      </c>
      <c r="F146" s="138" t="s">
        <v>6234</v>
      </c>
      <c r="G146" s="138" t="s">
        <v>6235</v>
      </c>
      <c r="H146" s="138" t="s">
        <v>5657</v>
      </c>
      <c r="I146" s="138" t="s">
        <v>6236</v>
      </c>
      <c r="J146" s="171" t="s">
        <v>3851</v>
      </c>
    </row>
    <row r="147" hidden="1">
      <c r="A147" s="138" t="s">
        <v>1821</v>
      </c>
      <c r="B147" s="138" t="s">
        <v>4693</v>
      </c>
      <c r="C147" s="138" t="s">
        <v>4277</v>
      </c>
      <c r="D147" s="138" t="s">
        <v>1822</v>
      </c>
      <c r="E147" s="138" t="s">
        <v>22</v>
      </c>
      <c r="F147" s="138" t="s">
        <v>6237</v>
      </c>
      <c r="G147" s="138" t="s">
        <v>6238</v>
      </c>
      <c r="H147" s="138" t="s">
        <v>5657</v>
      </c>
      <c r="I147" s="138" t="s">
        <v>6239</v>
      </c>
      <c r="J147" s="171" t="s">
        <v>3851</v>
      </c>
    </row>
    <row r="148">
      <c r="A148" s="138" t="s">
        <v>1831</v>
      </c>
      <c r="B148" s="138" t="s">
        <v>4315</v>
      </c>
      <c r="C148" s="138" t="s">
        <v>4424</v>
      </c>
      <c r="D148" s="138" t="s">
        <v>1100</v>
      </c>
      <c r="E148" s="138" t="s">
        <v>25</v>
      </c>
      <c r="F148" s="138" t="s">
        <v>6240</v>
      </c>
      <c r="G148" s="138" t="s">
        <v>6241</v>
      </c>
      <c r="H148" s="138" t="s">
        <v>5657</v>
      </c>
      <c r="I148" s="138" t="s">
        <v>6242</v>
      </c>
      <c r="J148" s="138" t="s">
        <v>5594</v>
      </c>
    </row>
    <row r="149" hidden="1">
      <c r="A149" s="138" t="s">
        <v>1842</v>
      </c>
      <c r="B149" s="138" t="s">
        <v>4484</v>
      </c>
      <c r="C149" s="138" t="s">
        <v>4485</v>
      </c>
      <c r="D149" s="138" t="s">
        <v>1843</v>
      </c>
      <c r="E149" s="138" t="s">
        <v>44</v>
      </c>
      <c r="F149" s="138" t="s">
        <v>6243</v>
      </c>
      <c r="G149" s="138" t="s">
        <v>6244</v>
      </c>
      <c r="H149" s="138" t="s">
        <v>5657</v>
      </c>
      <c r="I149" s="138" t="s">
        <v>6245</v>
      </c>
      <c r="J149" s="171" t="s">
        <v>3851</v>
      </c>
    </row>
    <row r="150">
      <c r="A150" s="138" t="s">
        <v>2726</v>
      </c>
      <c r="B150" s="138" t="s">
        <v>4484</v>
      </c>
      <c r="C150" s="138" t="s">
        <v>5230</v>
      </c>
      <c r="D150" s="138" t="s">
        <v>2727</v>
      </c>
      <c r="E150" s="138" t="s">
        <v>22</v>
      </c>
      <c r="F150" s="138" t="s">
        <v>6246</v>
      </c>
      <c r="G150" s="138" t="s">
        <v>6247</v>
      </c>
      <c r="H150" s="138" t="s">
        <v>6248</v>
      </c>
      <c r="I150" s="140">
        <v>45748.0</v>
      </c>
      <c r="J150" s="138" t="s">
        <v>5594</v>
      </c>
    </row>
    <row r="151" hidden="1">
      <c r="A151" s="138" t="s">
        <v>1823</v>
      </c>
      <c r="B151" s="138" t="s">
        <v>6249</v>
      </c>
      <c r="C151" s="138" t="s">
        <v>4700</v>
      </c>
      <c r="D151" s="138" t="s">
        <v>1824</v>
      </c>
      <c r="E151" s="138" t="s">
        <v>36</v>
      </c>
      <c r="F151" s="138" t="s">
        <v>6250</v>
      </c>
      <c r="G151" s="138" t="s">
        <v>6251</v>
      </c>
      <c r="H151" s="138" t="s">
        <v>6252</v>
      </c>
      <c r="I151" s="140">
        <v>45748.0</v>
      </c>
      <c r="J151" s="138" t="s">
        <v>3851</v>
      </c>
    </row>
    <row r="152">
      <c r="A152" s="138" t="s">
        <v>2722</v>
      </c>
      <c r="B152" s="138" t="s">
        <v>3977</v>
      </c>
      <c r="C152" s="138" t="s">
        <v>4331</v>
      </c>
      <c r="D152" s="138" t="s">
        <v>2723</v>
      </c>
      <c r="E152" s="138" t="s">
        <v>30</v>
      </c>
      <c r="F152" s="138" t="s">
        <v>6253</v>
      </c>
      <c r="G152" s="138" t="s">
        <v>6254</v>
      </c>
      <c r="H152" s="138" t="s">
        <v>6255</v>
      </c>
      <c r="I152" s="140">
        <v>45750.0</v>
      </c>
      <c r="J152" s="138" t="s">
        <v>5594</v>
      </c>
    </row>
    <row r="153">
      <c r="A153" s="138" t="s">
        <v>2737</v>
      </c>
      <c r="B153" s="138" t="s">
        <v>5298</v>
      </c>
      <c r="C153" s="138" t="s">
        <v>4946</v>
      </c>
      <c r="D153" s="138" t="s">
        <v>2738</v>
      </c>
      <c r="E153" s="138" t="s">
        <v>33</v>
      </c>
      <c r="F153" s="138" t="s">
        <v>6256</v>
      </c>
      <c r="G153" s="138" t="s">
        <v>6257</v>
      </c>
      <c r="H153" s="138" t="s">
        <v>6248</v>
      </c>
      <c r="I153" s="140">
        <v>45754.0</v>
      </c>
      <c r="J153" s="138" t="s">
        <v>5594</v>
      </c>
    </row>
    <row r="154" hidden="1">
      <c r="A154" s="138" t="s">
        <v>6258</v>
      </c>
      <c r="B154" s="138" t="s">
        <v>4556</v>
      </c>
      <c r="C154" s="138" t="s">
        <v>4474</v>
      </c>
      <c r="D154" s="138" t="s">
        <v>1127</v>
      </c>
      <c r="E154" s="138" t="s">
        <v>33</v>
      </c>
      <c r="F154" s="138" t="s">
        <v>6259</v>
      </c>
      <c r="G154" s="138" t="s">
        <v>6260</v>
      </c>
      <c r="H154" s="138" t="s">
        <v>6248</v>
      </c>
      <c r="I154" s="140">
        <v>45754.0</v>
      </c>
      <c r="J154" s="171" t="s">
        <v>3851</v>
      </c>
    </row>
    <row r="155">
      <c r="A155" s="138" t="s">
        <v>2378</v>
      </c>
      <c r="B155" s="138" t="s">
        <v>4409</v>
      </c>
      <c r="C155" s="138" t="s">
        <v>4410</v>
      </c>
      <c r="D155" s="138" t="s">
        <v>2379</v>
      </c>
      <c r="E155" s="138" t="s">
        <v>30</v>
      </c>
      <c r="F155" s="138" t="s">
        <v>6261</v>
      </c>
      <c r="G155" s="138" t="s">
        <v>6262</v>
      </c>
      <c r="H155" s="138" t="s">
        <v>6263</v>
      </c>
      <c r="I155" s="140">
        <v>45755.0</v>
      </c>
      <c r="J155" s="138" t="s">
        <v>5594</v>
      </c>
    </row>
    <row r="156" hidden="1">
      <c r="A156" s="138" t="s">
        <v>3915</v>
      </c>
      <c r="B156" s="138" t="s">
        <v>4431</v>
      </c>
      <c r="C156" s="138" t="s">
        <v>6264</v>
      </c>
      <c r="D156" s="138" t="s">
        <v>234</v>
      </c>
      <c r="E156" s="138"/>
      <c r="F156" s="138" t="s">
        <v>6265</v>
      </c>
      <c r="G156" s="138" t="s">
        <v>6266</v>
      </c>
      <c r="H156" s="138" t="s">
        <v>6263</v>
      </c>
      <c r="I156" s="140">
        <v>45761.0</v>
      </c>
      <c r="J156" s="171" t="s">
        <v>3851</v>
      </c>
    </row>
    <row r="157" hidden="1">
      <c r="A157" s="138" t="s">
        <v>1083</v>
      </c>
      <c r="B157" s="138" t="s">
        <v>4328</v>
      </c>
      <c r="C157" s="138" t="s">
        <v>5340</v>
      </c>
      <c r="D157" s="138" t="s">
        <v>1084</v>
      </c>
      <c r="E157" s="138" t="s">
        <v>22</v>
      </c>
      <c r="F157" s="138" t="s">
        <v>6267</v>
      </c>
      <c r="G157" s="138" t="s">
        <v>6268</v>
      </c>
      <c r="H157" s="138" t="s">
        <v>6263</v>
      </c>
      <c r="I157" s="140">
        <v>45761.0</v>
      </c>
      <c r="J157" s="171" t="s">
        <v>3851</v>
      </c>
    </row>
    <row r="158">
      <c r="A158" s="138" t="s">
        <v>2758</v>
      </c>
      <c r="B158" s="138" t="s">
        <v>5367</v>
      </c>
      <c r="C158" s="138" t="s">
        <v>5057</v>
      </c>
      <c r="D158" s="138" t="s">
        <v>2759</v>
      </c>
      <c r="E158" s="138" t="s">
        <v>22</v>
      </c>
      <c r="F158" s="138" t="s">
        <v>6269</v>
      </c>
      <c r="G158" s="138" t="s">
        <v>6270</v>
      </c>
      <c r="H158" s="138" t="s">
        <v>6263</v>
      </c>
      <c r="I158" s="140">
        <v>45763.0</v>
      </c>
      <c r="J158" s="138" t="s">
        <v>5594</v>
      </c>
    </row>
    <row r="159">
      <c r="A159" s="138" t="s">
        <v>5346</v>
      </c>
      <c r="B159" s="138" t="s">
        <v>6271</v>
      </c>
      <c r="C159" s="138" t="s">
        <v>6272</v>
      </c>
      <c r="D159" s="138" t="s">
        <v>1377</v>
      </c>
      <c r="E159" s="138" t="s">
        <v>33</v>
      </c>
      <c r="F159" s="138" t="s">
        <v>6273</v>
      </c>
      <c r="G159" s="138" t="s">
        <v>6274</v>
      </c>
      <c r="H159" s="138" t="s">
        <v>6263</v>
      </c>
      <c r="I159" s="140">
        <v>45763.0</v>
      </c>
      <c r="J159" s="138" t="s">
        <v>5594</v>
      </c>
    </row>
    <row r="160" hidden="1">
      <c r="A160" s="138" t="s">
        <v>3914</v>
      </c>
      <c r="B160" s="138" t="s">
        <v>6275</v>
      </c>
      <c r="C160" s="138" t="s">
        <v>4424</v>
      </c>
      <c r="D160" s="138" t="s">
        <v>826</v>
      </c>
      <c r="E160" s="138"/>
      <c r="F160" s="138" t="s">
        <v>6276</v>
      </c>
      <c r="G160" s="138" t="s">
        <v>6277</v>
      </c>
      <c r="H160" s="138" t="s">
        <v>6263</v>
      </c>
      <c r="I160" s="140">
        <v>45763.0</v>
      </c>
      <c r="J160" s="171" t="s">
        <v>3851</v>
      </c>
    </row>
    <row r="161" hidden="1">
      <c r="A161" s="138" t="s">
        <v>1419</v>
      </c>
      <c r="B161" s="138" t="s">
        <v>3968</v>
      </c>
      <c r="C161" s="138" t="s">
        <v>4829</v>
      </c>
      <c r="D161" s="138" t="s">
        <v>1420</v>
      </c>
      <c r="E161" s="138" t="s">
        <v>33</v>
      </c>
      <c r="F161" s="138" t="s">
        <v>6278</v>
      </c>
      <c r="G161" s="138" t="s">
        <v>6279</v>
      </c>
      <c r="H161" s="138" t="s">
        <v>6263</v>
      </c>
      <c r="I161" s="140">
        <v>45764.0</v>
      </c>
      <c r="J161" s="171" t="s">
        <v>3851</v>
      </c>
    </row>
    <row r="162" hidden="1">
      <c r="A162" s="138" t="s">
        <v>1352</v>
      </c>
      <c r="B162" s="138" t="s">
        <v>5375</v>
      </c>
      <c r="C162" s="138" t="s">
        <v>5376</v>
      </c>
      <c r="D162" s="138" t="s">
        <v>1353</v>
      </c>
      <c r="E162" s="138" t="s">
        <v>33</v>
      </c>
      <c r="F162" s="138" t="s">
        <v>6280</v>
      </c>
      <c r="G162" s="138" t="s">
        <v>6281</v>
      </c>
      <c r="H162" s="138" t="s">
        <v>6263</v>
      </c>
      <c r="I162" s="140">
        <v>45768.0</v>
      </c>
      <c r="J162" s="171" t="s">
        <v>3851</v>
      </c>
    </row>
    <row r="163">
      <c r="A163" s="138" t="s">
        <v>1037</v>
      </c>
      <c r="B163" s="138" t="s">
        <v>4147</v>
      </c>
      <c r="C163" s="138" t="s">
        <v>5300</v>
      </c>
      <c r="D163" s="138" t="s">
        <v>1038</v>
      </c>
      <c r="E163" s="138" t="s">
        <v>30</v>
      </c>
      <c r="F163" s="138" t="s">
        <v>6282</v>
      </c>
      <c r="G163" s="138" t="s">
        <v>6283</v>
      </c>
      <c r="H163" s="138" t="s">
        <v>6263</v>
      </c>
      <c r="I163" s="140">
        <v>45770.0</v>
      </c>
      <c r="J163" s="138" t="s">
        <v>5594</v>
      </c>
    </row>
    <row r="164">
      <c r="A164" s="138" t="s">
        <v>2713</v>
      </c>
      <c r="B164" s="138" t="s">
        <v>4209</v>
      </c>
      <c r="C164" s="138" t="s">
        <v>5177</v>
      </c>
      <c r="D164" s="138" t="s">
        <v>2714</v>
      </c>
      <c r="E164" s="138" t="s">
        <v>28</v>
      </c>
      <c r="F164" s="138" t="s">
        <v>6284</v>
      </c>
      <c r="G164" s="138" t="s">
        <v>6285</v>
      </c>
      <c r="H164" s="138" t="s">
        <v>6263</v>
      </c>
      <c r="I164" s="140">
        <v>45770.0</v>
      </c>
      <c r="J164" s="138" t="s">
        <v>5594</v>
      </c>
    </row>
    <row r="165">
      <c r="A165" s="138" t="s">
        <v>2739</v>
      </c>
      <c r="B165" s="138" t="s">
        <v>5303</v>
      </c>
      <c r="C165" s="138" t="s">
        <v>5304</v>
      </c>
      <c r="D165" s="138" t="s">
        <v>2065</v>
      </c>
      <c r="E165" s="138" t="s">
        <v>39</v>
      </c>
      <c r="F165" s="138" t="s">
        <v>6286</v>
      </c>
      <c r="G165" s="138" t="s">
        <v>6287</v>
      </c>
      <c r="H165" s="138" t="s">
        <v>6288</v>
      </c>
      <c r="I165" s="140">
        <v>45771.0</v>
      </c>
      <c r="J165" s="138" t="s">
        <v>5594</v>
      </c>
    </row>
    <row r="166" hidden="1">
      <c r="A166" s="138" t="s">
        <v>6289</v>
      </c>
      <c r="B166" s="138" t="s">
        <v>6290</v>
      </c>
      <c r="C166" s="138" t="s">
        <v>5382</v>
      </c>
      <c r="D166" s="138" t="s">
        <v>1709</v>
      </c>
      <c r="E166" s="138" t="s">
        <v>33</v>
      </c>
      <c r="F166" s="138" t="s">
        <v>6291</v>
      </c>
      <c r="G166" s="138" t="s">
        <v>6292</v>
      </c>
      <c r="H166" s="138" t="s">
        <v>6263</v>
      </c>
      <c r="I166" s="140">
        <v>45775.0</v>
      </c>
      <c r="J166" s="171" t="s">
        <v>3851</v>
      </c>
    </row>
    <row r="167" hidden="1">
      <c r="A167" s="138" t="s">
        <v>1584</v>
      </c>
      <c r="B167" s="138" t="s">
        <v>4143</v>
      </c>
      <c r="C167" s="138" t="s">
        <v>4162</v>
      </c>
      <c r="D167" s="138" t="s">
        <v>1585</v>
      </c>
      <c r="E167" s="138" t="s">
        <v>25</v>
      </c>
      <c r="F167" s="138" t="s">
        <v>6293</v>
      </c>
      <c r="G167" s="138" t="s">
        <v>6294</v>
      </c>
      <c r="H167" s="138" t="s">
        <v>6263</v>
      </c>
      <c r="I167" s="140">
        <v>45775.0</v>
      </c>
      <c r="J167" s="171" t="s">
        <v>3851</v>
      </c>
    </row>
    <row r="168" hidden="1">
      <c r="A168" s="138" t="s">
        <v>1677</v>
      </c>
      <c r="B168" s="138" t="s">
        <v>5403</v>
      </c>
      <c r="C168" s="138" t="s">
        <v>4424</v>
      </c>
      <c r="D168" s="138" t="s">
        <v>1678</v>
      </c>
      <c r="E168" s="138" t="s">
        <v>33</v>
      </c>
      <c r="F168" s="138" t="s">
        <v>6295</v>
      </c>
      <c r="G168" s="138" t="s">
        <v>6296</v>
      </c>
      <c r="H168" s="138" t="s">
        <v>6263</v>
      </c>
      <c r="I168" s="140">
        <v>45778.0</v>
      </c>
      <c r="J168" s="171" t="s">
        <v>3851</v>
      </c>
    </row>
    <row r="169" hidden="1">
      <c r="A169" s="138" t="s">
        <v>1545</v>
      </c>
      <c r="B169" s="138" t="s">
        <v>5401</v>
      </c>
      <c r="C169" s="138" t="s">
        <v>4128</v>
      </c>
      <c r="D169" s="138" t="s">
        <v>1546</v>
      </c>
      <c r="E169" s="138" t="s">
        <v>42</v>
      </c>
      <c r="F169" s="138" t="s">
        <v>6297</v>
      </c>
      <c r="G169" s="138" t="s">
        <v>6298</v>
      </c>
      <c r="H169" s="138" t="s">
        <v>6263</v>
      </c>
      <c r="I169" s="140">
        <v>45778.0</v>
      </c>
      <c r="J169" s="171" t="s">
        <v>3851</v>
      </c>
    </row>
    <row r="170">
      <c r="A170" s="140" t="s">
        <v>2777</v>
      </c>
      <c r="B170" s="140" t="s">
        <v>3986</v>
      </c>
      <c r="C170" s="140" t="s">
        <v>5413</v>
      </c>
      <c r="D170" s="140" t="s">
        <v>2778</v>
      </c>
      <c r="E170" s="138" t="s">
        <v>30</v>
      </c>
      <c r="F170" s="140" t="s">
        <v>6299</v>
      </c>
      <c r="G170" s="140" t="s">
        <v>6300</v>
      </c>
      <c r="H170" s="140" t="s">
        <v>6263</v>
      </c>
      <c r="I170" s="140">
        <v>45782.0</v>
      </c>
      <c r="J170" s="138" t="s">
        <v>5594</v>
      </c>
    </row>
    <row r="171">
      <c r="A171" s="140" t="s">
        <v>2030</v>
      </c>
      <c r="B171" s="140" t="s">
        <v>4509</v>
      </c>
      <c r="C171" s="140" t="s">
        <v>4162</v>
      </c>
      <c r="D171" s="140" t="s">
        <v>2031</v>
      </c>
      <c r="E171" s="138" t="s">
        <v>25</v>
      </c>
      <c r="F171" s="173" t="s">
        <v>6301</v>
      </c>
      <c r="G171" s="140" t="s">
        <v>6302</v>
      </c>
      <c r="H171" s="140" t="s">
        <v>6263</v>
      </c>
      <c r="I171" s="140">
        <v>45797.0</v>
      </c>
      <c r="J171" s="138" t="s">
        <v>5594</v>
      </c>
    </row>
    <row r="172" hidden="1">
      <c r="A172" s="140" t="s">
        <v>1714</v>
      </c>
      <c r="B172" s="140" t="s">
        <v>5303</v>
      </c>
      <c r="C172" s="140" t="s">
        <v>4162</v>
      </c>
      <c r="D172" s="140" t="s">
        <v>1715</v>
      </c>
      <c r="E172" s="138" t="s">
        <v>21</v>
      </c>
      <c r="F172" s="173" t="s">
        <v>6303</v>
      </c>
      <c r="G172" s="140" t="s">
        <v>6304</v>
      </c>
      <c r="H172" s="140" t="s">
        <v>6263</v>
      </c>
      <c r="I172" s="140">
        <v>45797.0</v>
      </c>
      <c r="J172" s="171" t="s">
        <v>3851</v>
      </c>
    </row>
    <row r="173">
      <c r="A173" s="140" t="s">
        <v>2541</v>
      </c>
      <c r="B173" s="140" t="s">
        <v>5441</v>
      </c>
      <c r="C173" s="140" t="s">
        <v>4290</v>
      </c>
      <c r="D173" s="140" t="s">
        <v>2542</v>
      </c>
      <c r="E173" s="138" t="s">
        <v>21</v>
      </c>
      <c r="F173" s="173" t="s">
        <v>6305</v>
      </c>
      <c r="G173" s="140" t="s">
        <v>6306</v>
      </c>
      <c r="H173" s="140" t="s">
        <v>6263</v>
      </c>
      <c r="I173" s="140">
        <v>45797.0</v>
      </c>
      <c r="J173" s="138" t="s">
        <v>5594</v>
      </c>
    </row>
    <row r="174" hidden="1">
      <c r="A174" s="140" t="s">
        <v>1645</v>
      </c>
      <c r="B174" s="140" t="s">
        <v>3997</v>
      </c>
      <c r="C174" s="140" t="s">
        <v>4497</v>
      </c>
      <c r="D174" s="140" t="s">
        <v>1646</v>
      </c>
      <c r="E174" s="138" t="s">
        <v>14</v>
      </c>
      <c r="F174" s="173" t="s">
        <v>6307</v>
      </c>
      <c r="G174" s="140" t="s">
        <v>6308</v>
      </c>
      <c r="H174" s="140" t="s">
        <v>6263</v>
      </c>
      <c r="I174" s="140">
        <v>45797.0</v>
      </c>
      <c r="J174" s="171" t="s">
        <v>3851</v>
      </c>
    </row>
    <row r="175" hidden="1">
      <c r="A175" s="140" t="s">
        <v>1086</v>
      </c>
      <c r="B175" s="140" t="s">
        <v>5028</v>
      </c>
      <c r="C175" s="140" t="s">
        <v>4171</v>
      </c>
      <c r="D175" s="140" t="s">
        <v>1087</v>
      </c>
      <c r="E175" s="138" t="s">
        <v>30</v>
      </c>
      <c r="F175" s="173" t="s">
        <v>6309</v>
      </c>
      <c r="G175" s="140" t="s">
        <v>6310</v>
      </c>
      <c r="H175" s="140" t="s">
        <v>6263</v>
      </c>
      <c r="I175" s="140">
        <v>45797.0</v>
      </c>
      <c r="J175" s="171" t="s">
        <v>3851</v>
      </c>
    </row>
    <row r="176" hidden="1">
      <c r="A176" s="140" t="s">
        <v>1298</v>
      </c>
      <c r="B176" s="140" t="s">
        <v>6311</v>
      </c>
      <c r="C176" s="140" t="s">
        <v>4171</v>
      </c>
      <c r="D176" s="140" t="s">
        <v>1299</v>
      </c>
      <c r="E176" s="138" t="s">
        <v>22</v>
      </c>
      <c r="F176" s="140" t="s">
        <v>6312</v>
      </c>
      <c r="G176" s="140" t="s">
        <v>6313</v>
      </c>
      <c r="H176" s="140" t="s">
        <v>6248</v>
      </c>
      <c r="I176" s="140">
        <v>45798.0</v>
      </c>
      <c r="J176" s="171" t="s">
        <v>3851</v>
      </c>
    </row>
    <row r="177">
      <c r="A177" s="140" t="s">
        <v>2789</v>
      </c>
      <c r="B177" s="140" t="s">
        <v>6314</v>
      </c>
      <c r="C177" s="140" t="s">
        <v>5478</v>
      </c>
      <c r="D177" s="140" t="s">
        <v>2790</v>
      </c>
      <c r="E177" s="138" t="s">
        <v>22</v>
      </c>
      <c r="F177" s="140" t="s">
        <v>6315</v>
      </c>
      <c r="G177" s="173" t="s">
        <v>6316</v>
      </c>
      <c r="H177" s="140" t="s">
        <v>6248</v>
      </c>
      <c r="I177" s="140">
        <v>45798.0</v>
      </c>
      <c r="J177" s="138" t="s">
        <v>5594</v>
      </c>
    </row>
    <row r="178" hidden="1">
      <c r="A178" s="174" t="s">
        <v>1284</v>
      </c>
      <c r="B178" s="138" t="s">
        <v>6317</v>
      </c>
      <c r="C178" s="138" t="s">
        <v>5439</v>
      </c>
      <c r="D178" s="138" t="s">
        <v>1285</v>
      </c>
      <c r="E178" s="138" t="s">
        <v>33</v>
      </c>
      <c r="F178" s="140" t="s">
        <v>6318</v>
      </c>
      <c r="G178" s="175" t="s">
        <v>6319</v>
      </c>
      <c r="H178" s="138" t="s">
        <v>6320</v>
      </c>
      <c r="I178" s="140">
        <v>45803.0</v>
      </c>
      <c r="J178" s="171" t="s">
        <v>3851</v>
      </c>
    </row>
    <row r="179">
      <c r="A179" s="174" t="s">
        <v>2045</v>
      </c>
      <c r="B179" s="138" t="s">
        <v>6321</v>
      </c>
      <c r="C179" s="138" t="s">
        <v>4162</v>
      </c>
      <c r="D179" s="138" t="s">
        <v>2402</v>
      </c>
      <c r="E179" s="138" t="s">
        <v>25</v>
      </c>
      <c r="F179" s="140" t="s">
        <v>6322</v>
      </c>
      <c r="G179" s="175" t="s">
        <v>6323</v>
      </c>
      <c r="H179" s="138" t="s">
        <v>6320</v>
      </c>
      <c r="I179" s="140">
        <v>45803.0</v>
      </c>
      <c r="J179" s="138" t="s">
        <v>5594</v>
      </c>
    </row>
    <row r="180">
      <c r="A180" s="174" t="s">
        <v>2624</v>
      </c>
      <c r="B180" s="138" t="s">
        <v>6324</v>
      </c>
      <c r="C180" s="138" t="s">
        <v>4290</v>
      </c>
      <c r="D180" s="138" t="s">
        <v>2625</v>
      </c>
      <c r="E180" s="138" t="s">
        <v>22</v>
      </c>
      <c r="F180" s="140" t="s">
        <v>6325</v>
      </c>
      <c r="G180" s="174" t="s">
        <v>6326</v>
      </c>
      <c r="H180" s="140" t="s">
        <v>6248</v>
      </c>
      <c r="I180" s="140">
        <v>45803.0</v>
      </c>
      <c r="J180" s="138" t="s">
        <v>5594</v>
      </c>
    </row>
    <row r="181">
      <c r="A181" s="174" t="s">
        <v>2665</v>
      </c>
      <c r="B181" s="174" t="s">
        <v>4147</v>
      </c>
      <c r="C181" s="138" t="s">
        <v>4587</v>
      </c>
      <c r="D181" s="138" t="s">
        <v>2666</v>
      </c>
      <c r="E181" s="138" t="s">
        <v>22</v>
      </c>
      <c r="F181" s="140" t="s">
        <v>6327</v>
      </c>
      <c r="G181" s="175" t="s">
        <v>6328</v>
      </c>
      <c r="H181" s="138" t="s">
        <v>6320</v>
      </c>
      <c r="I181" s="140">
        <v>45804.0</v>
      </c>
      <c r="J181" s="138" t="s">
        <v>5594</v>
      </c>
    </row>
    <row r="182">
      <c r="A182" s="174" t="s">
        <v>2795</v>
      </c>
      <c r="B182" s="138" t="s">
        <v>5450</v>
      </c>
      <c r="C182" s="138" t="s">
        <v>5451</v>
      </c>
      <c r="D182" s="138" t="s">
        <v>2796</v>
      </c>
      <c r="E182" s="138" t="s">
        <v>22</v>
      </c>
      <c r="F182" s="140" t="s">
        <v>6329</v>
      </c>
      <c r="G182" s="174" t="s">
        <v>6330</v>
      </c>
      <c r="H182" s="140" t="s">
        <v>6248</v>
      </c>
      <c r="I182" s="140">
        <v>45804.0</v>
      </c>
      <c r="J182" s="138" t="s">
        <v>5594</v>
      </c>
    </row>
    <row r="183">
      <c r="A183" s="174" t="s">
        <v>2783</v>
      </c>
      <c r="B183" s="138" t="s">
        <v>5420</v>
      </c>
      <c r="C183" s="138" t="s">
        <v>4148</v>
      </c>
      <c r="D183" s="138" t="s">
        <v>2784</v>
      </c>
      <c r="E183" s="138" t="s">
        <v>42</v>
      </c>
      <c r="F183" s="138" t="s">
        <v>6331</v>
      </c>
      <c r="G183" s="174" t="s">
        <v>6332</v>
      </c>
      <c r="H183" s="138" t="s">
        <v>2360</v>
      </c>
      <c r="I183" s="140">
        <v>45806.0</v>
      </c>
      <c r="J183" s="138" t="s">
        <v>5594</v>
      </c>
    </row>
    <row r="184">
      <c r="A184" s="174" t="s">
        <v>2805</v>
      </c>
      <c r="B184" s="138" t="s">
        <v>4380</v>
      </c>
      <c r="C184" s="138" t="s">
        <v>4745</v>
      </c>
      <c r="D184" s="138" t="s">
        <v>2806</v>
      </c>
      <c r="E184" s="138" t="s">
        <v>22</v>
      </c>
      <c r="F184" s="138" t="s">
        <v>6333</v>
      </c>
      <c r="G184" s="174" t="s">
        <v>6334</v>
      </c>
      <c r="H184" s="138" t="s">
        <v>2591</v>
      </c>
      <c r="I184" s="140">
        <v>45806.0</v>
      </c>
      <c r="J184" s="138" t="s">
        <v>5594</v>
      </c>
    </row>
    <row r="185">
      <c r="A185" s="138" t="s">
        <v>2837</v>
      </c>
      <c r="B185" s="138" t="s">
        <v>5518</v>
      </c>
      <c r="C185" s="138" t="s">
        <v>5519</v>
      </c>
      <c r="D185" s="138" t="s">
        <v>2838</v>
      </c>
      <c r="E185" s="138" t="s">
        <v>25</v>
      </c>
      <c r="F185" s="138" t="s">
        <v>6335</v>
      </c>
      <c r="G185" s="176" t="s">
        <v>6336</v>
      </c>
      <c r="H185" s="138" t="s">
        <v>6320</v>
      </c>
      <c r="I185" s="140">
        <v>45810.0</v>
      </c>
      <c r="J185" s="138" t="s">
        <v>5594</v>
      </c>
    </row>
    <row r="186">
      <c r="A186" s="174" t="s">
        <v>2798</v>
      </c>
      <c r="B186" s="138" t="s">
        <v>5089</v>
      </c>
      <c r="C186" s="138" t="s">
        <v>5448</v>
      </c>
      <c r="D186" s="138" t="s">
        <v>2799</v>
      </c>
      <c r="E186" s="138" t="s">
        <v>22</v>
      </c>
      <c r="F186" s="138" t="s">
        <v>6337</v>
      </c>
      <c r="G186" s="174" t="s">
        <v>6338</v>
      </c>
      <c r="H186" s="138" t="s">
        <v>6320</v>
      </c>
      <c r="I186" s="140">
        <v>45810.0</v>
      </c>
      <c r="J186" s="138" t="s">
        <v>5594</v>
      </c>
    </row>
    <row r="187">
      <c r="A187" s="174" t="s">
        <v>2848</v>
      </c>
      <c r="B187" s="174" t="s">
        <v>4780</v>
      </c>
      <c r="C187" s="174" t="s">
        <v>5530</v>
      </c>
      <c r="D187" s="172" t="s">
        <v>2849</v>
      </c>
      <c r="E187" s="138" t="s">
        <v>30</v>
      </c>
      <c r="F187" s="138" t="s">
        <v>6339</v>
      </c>
      <c r="G187" s="176" t="s">
        <v>6340</v>
      </c>
      <c r="H187" s="138" t="s">
        <v>6320</v>
      </c>
      <c r="I187" s="140">
        <v>45817.0</v>
      </c>
      <c r="J187" s="138" t="s">
        <v>5594</v>
      </c>
    </row>
    <row r="188">
      <c r="A188" s="174" t="s">
        <v>2843</v>
      </c>
      <c r="B188" s="174" t="s">
        <v>5528</v>
      </c>
      <c r="C188" s="174" t="s">
        <v>5519</v>
      </c>
      <c r="D188" s="138" t="s">
        <v>2844</v>
      </c>
      <c r="E188" s="138" t="s">
        <v>44</v>
      </c>
      <c r="F188" s="175" t="s">
        <v>6341</v>
      </c>
      <c r="G188" s="177" t="s">
        <v>6342</v>
      </c>
      <c r="H188" s="140" t="s">
        <v>6248</v>
      </c>
      <c r="I188" s="140">
        <v>45817.0</v>
      </c>
      <c r="J188" s="138" t="s">
        <v>5594</v>
      </c>
    </row>
    <row r="189">
      <c r="A189" s="174" t="s">
        <v>1999</v>
      </c>
      <c r="B189" s="174" t="s">
        <v>5073</v>
      </c>
      <c r="C189" s="174" t="s">
        <v>5074</v>
      </c>
      <c r="D189" s="138" t="s">
        <v>2000</v>
      </c>
      <c r="E189" s="138" t="s">
        <v>47</v>
      </c>
      <c r="F189" s="178" t="s">
        <v>6343</v>
      </c>
      <c r="G189" s="174" t="s">
        <v>6344</v>
      </c>
      <c r="H189" s="138" t="s">
        <v>6263</v>
      </c>
      <c r="I189" s="140">
        <v>45817.0</v>
      </c>
      <c r="J189" s="138" t="s">
        <v>5594</v>
      </c>
    </row>
    <row r="190">
      <c r="A190" s="174" t="s">
        <v>2077</v>
      </c>
      <c r="B190" s="174" t="s">
        <v>3943</v>
      </c>
      <c r="C190" s="174" t="s">
        <v>4299</v>
      </c>
      <c r="D190" s="138" t="s">
        <v>1026</v>
      </c>
      <c r="E190" s="138" t="s">
        <v>14</v>
      </c>
      <c r="F190" s="179" t="s">
        <v>6345</v>
      </c>
      <c r="G190" s="180" t="s">
        <v>6346</v>
      </c>
      <c r="H190" s="138" t="s">
        <v>6320</v>
      </c>
      <c r="I190" s="140">
        <v>45819.0</v>
      </c>
      <c r="J190" s="138" t="s">
        <v>5594</v>
      </c>
    </row>
    <row r="191">
      <c r="A191" s="174" t="s">
        <v>1839</v>
      </c>
      <c r="B191" s="174" t="s">
        <v>4724</v>
      </c>
      <c r="C191" s="174" t="s">
        <v>4725</v>
      </c>
      <c r="D191" s="138" t="s">
        <v>1840</v>
      </c>
      <c r="E191" s="138" t="s">
        <v>22</v>
      </c>
      <c r="F191" s="179" t="s">
        <v>6347</v>
      </c>
      <c r="G191" s="180" t="s">
        <v>6348</v>
      </c>
      <c r="H191" s="138" t="s">
        <v>6320</v>
      </c>
      <c r="I191" s="140">
        <v>45819.0</v>
      </c>
      <c r="J191" s="138" t="s">
        <v>5594</v>
      </c>
    </row>
    <row r="192" hidden="1">
      <c r="A192" s="174" t="s">
        <v>1374</v>
      </c>
      <c r="B192" s="174" t="s">
        <v>6349</v>
      </c>
      <c r="C192" s="174" t="s">
        <v>5481</v>
      </c>
      <c r="D192" s="138" t="s">
        <v>1375</v>
      </c>
      <c r="E192" s="138" t="s">
        <v>22</v>
      </c>
      <c r="F192" s="178" t="s">
        <v>6350</v>
      </c>
      <c r="G192" s="180" t="s">
        <v>6351</v>
      </c>
      <c r="H192" s="138" t="s">
        <v>6320</v>
      </c>
      <c r="I192" s="140">
        <v>45819.0</v>
      </c>
      <c r="J192" s="171" t="s">
        <v>3851</v>
      </c>
    </row>
    <row r="193" hidden="1">
      <c r="A193" s="174" t="s">
        <v>1414</v>
      </c>
      <c r="B193" s="174" t="s">
        <v>4448</v>
      </c>
      <c r="C193" s="174" t="s">
        <v>4449</v>
      </c>
      <c r="D193" s="138" t="s">
        <v>1415</v>
      </c>
      <c r="E193" s="138" t="s">
        <v>16</v>
      </c>
      <c r="F193" s="179" t="s">
        <v>6352</v>
      </c>
      <c r="G193" s="180" t="s">
        <v>6353</v>
      </c>
      <c r="H193" s="138" t="s">
        <v>6263</v>
      </c>
      <c r="I193" s="140">
        <v>45819.0</v>
      </c>
      <c r="J193" s="171" t="s">
        <v>3851</v>
      </c>
    </row>
    <row r="194">
      <c r="A194" s="174" t="s">
        <v>2811</v>
      </c>
      <c r="B194" s="174" t="s">
        <v>5490</v>
      </c>
      <c r="C194" s="174" t="s">
        <v>5491</v>
      </c>
      <c r="D194" s="138" t="s">
        <v>2812</v>
      </c>
      <c r="E194" s="138" t="s">
        <v>22</v>
      </c>
      <c r="F194" s="179" t="s">
        <v>6354</v>
      </c>
      <c r="G194" s="180" t="s">
        <v>6355</v>
      </c>
      <c r="H194" s="138" t="s">
        <v>6320</v>
      </c>
      <c r="I194" s="140">
        <v>45819.0</v>
      </c>
      <c r="J194" s="138" t="s">
        <v>5594</v>
      </c>
    </row>
    <row r="195">
      <c r="A195" s="174" t="s">
        <v>1541</v>
      </c>
      <c r="B195" s="174" t="s">
        <v>5549</v>
      </c>
      <c r="C195" s="174" t="s">
        <v>5029</v>
      </c>
      <c r="D195" s="174" t="s">
        <v>1542</v>
      </c>
      <c r="E195" s="138" t="s">
        <v>22</v>
      </c>
      <c r="F195" s="179" t="s">
        <v>6356</v>
      </c>
      <c r="G195" s="174" t="s">
        <v>6357</v>
      </c>
      <c r="H195" s="138" t="s">
        <v>6320</v>
      </c>
      <c r="I195" s="140">
        <v>45825.0</v>
      </c>
      <c r="J195" s="138" t="s">
        <v>5594</v>
      </c>
    </row>
    <row r="196" hidden="1">
      <c r="A196" s="181" t="s">
        <v>2882</v>
      </c>
      <c r="B196" s="181" t="s">
        <v>537</v>
      </c>
      <c r="C196" s="181" t="s">
        <v>4424</v>
      </c>
      <c r="D196" s="181" t="s">
        <v>2883</v>
      </c>
      <c r="E196" s="138" t="s">
        <v>22</v>
      </c>
      <c r="F196" s="182" t="s">
        <v>6358</v>
      </c>
      <c r="G196" s="181" t="s">
        <v>6359</v>
      </c>
      <c r="H196" s="138" t="s">
        <v>6320</v>
      </c>
      <c r="I196" s="183">
        <v>45827.0</v>
      </c>
      <c r="J196" s="171" t="s">
        <v>3851</v>
      </c>
    </row>
    <row r="197" hidden="1">
      <c r="A197" s="181" t="s">
        <v>2889</v>
      </c>
      <c r="B197" s="181" t="s">
        <v>6360</v>
      </c>
      <c r="C197" s="181" t="s">
        <v>5583</v>
      </c>
      <c r="D197" s="181" t="s">
        <v>2890</v>
      </c>
      <c r="E197" s="138" t="s">
        <v>33</v>
      </c>
      <c r="F197" s="182" t="s">
        <v>6361</v>
      </c>
      <c r="G197" s="181" t="s">
        <v>6362</v>
      </c>
      <c r="H197" s="138" t="s">
        <v>6320</v>
      </c>
      <c r="I197" s="183">
        <v>45831.0</v>
      </c>
      <c r="J197" s="171" t="s">
        <v>3851</v>
      </c>
    </row>
    <row r="198" hidden="1">
      <c r="A198" s="138" t="str">
        <f>B198 &amp; " " &amp; C198</f>
        <v>Cheshtha Sharma</v>
      </c>
      <c r="B198" s="115" t="s">
        <v>6363</v>
      </c>
      <c r="C198" s="115" t="s">
        <v>4162</v>
      </c>
      <c r="D198" s="115" t="s">
        <v>3387</v>
      </c>
      <c r="E198" s="138" t="s">
        <v>25</v>
      </c>
      <c r="F198" s="182" t="s">
        <v>6364</v>
      </c>
      <c r="G198" s="181" t="s">
        <v>6365</v>
      </c>
      <c r="H198" s="138" t="s">
        <v>6320</v>
      </c>
      <c r="I198" s="183">
        <v>45832.0</v>
      </c>
      <c r="J198" s="171" t="s">
        <v>3851</v>
      </c>
    </row>
    <row r="199" hidden="1">
      <c r="A199" s="181" t="s">
        <v>1502</v>
      </c>
      <c r="B199" s="181" t="s">
        <v>4609</v>
      </c>
      <c r="C199" s="181" t="s">
        <v>4132</v>
      </c>
      <c r="D199" s="181" t="s">
        <v>1503</v>
      </c>
      <c r="E199" s="138" t="s">
        <v>21</v>
      </c>
      <c r="F199" s="182" t="s">
        <v>6366</v>
      </c>
      <c r="G199" s="181" t="s">
        <v>6367</v>
      </c>
      <c r="H199" s="138" t="s">
        <v>6263</v>
      </c>
      <c r="I199" s="183">
        <v>45832.0</v>
      </c>
      <c r="J199" s="171" t="s">
        <v>3851</v>
      </c>
    </row>
    <row r="200">
      <c r="A200" s="181" t="s">
        <v>1311</v>
      </c>
      <c r="B200" s="181" t="s">
        <v>4519</v>
      </c>
      <c r="C200" s="181" t="s">
        <v>5142</v>
      </c>
      <c r="D200" s="181" t="s">
        <v>1312</v>
      </c>
      <c r="E200" s="138" t="s">
        <v>25</v>
      </c>
      <c r="F200" s="182" t="s">
        <v>6368</v>
      </c>
      <c r="G200" s="181" t="s">
        <v>6369</v>
      </c>
      <c r="H200" s="138" t="s">
        <v>6320</v>
      </c>
      <c r="I200" s="183">
        <v>45833.0</v>
      </c>
      <c r="J200" s="172" t="s">
        <v>5594</v>
      </c>
    </row>
    <row r="201">
      <c r="A201" s="181" t="s">
        <v>2769</v>
      </c>
      <c r="B201" s="181" t="s">
        <v>5407</v>
      </c>
      <c r="C201" s="181" t="s">
        <v>4331</v>
      </c>
      <c r="D201" s="181" t="s">
        <v>2770</v>
      </c>
      <c r="E201" s="138" t="s">
        <v>22</v>
      </c>
      <c r="F201" s="182" t="s">
        <v>6370</v>
      </c>
      <c r="G201" s="117" t="s">
        <v>6371</v>
      </c>
      <c r="H201" s="138" t="s">
        <v>6320</v>
      </c>
      <c r="I201" s="183">
        <v>45785.0</v>
      </c>
      <c r="J201" s="172" t="s">
        <v>5594</v>
      </c>
    </row>
    <row r="202" hidden="1">
      <c r="A202" s="181" t="s">
        <v>1288</v>
      </c>
      <c r="B202" s="181" t="s">
        <v>6372</v>
      </c>
      <c r="C202" s="181" t="s">
        <v>4128</v>
      </c>
      <c r="D202" s="181" t="s">
        <v>1289</v>
      </c>
      <c r="E202" s="138" t="s">
        <v>22</v>
      </c>
      <c r="F202" s="182" t="s">
        <v>6373</v>
      </c>
      <c r="G202" s="117" t="s">
        <v>6374</v>
      </c>
      <c r="H202" s="138" t="s">
        <v>6320</v>
      </c>
      <c r="I202" s="183">
        <v>45798.0</v>
      </c>
      <c r="J202" s="171" t="s">
        <v>3851</v>
      </c>
    </row>
    <row r="203">
      <c r="A203" s="181" t="s">
        <v>1584</v>
      </c>
      <c r="B203" s="181" t="s">
        <v>4143</v>
      </c>
      <c r="C203" s="181" t="s">
        <v>6375</v>
      </c>
      <c r="D203" s="181" t="s">
        <v>2826</v>
      </c>
      <c r="E203" s="138" t="s">
        <v>22</v>
      </c>
      <c r="F203" s="182" t="s">
        <v>6376</v>
      </c>
      <c r="G203" s="117" t="s">
        <v>6377</v>
      </c>
      <c r="H203" s="138" t="s">
        <v>6320</v>
      </c>
      <c r="I203" s="183">
        <v>45805.0</v>
      </c>
      <c r="J203" s="172" t="s">
        <v>5594</v>
      </c>
    </row>
    <row r="204" hidden="1">
      <c r="A204" s="181" t="s">
        <v>1332</v>
      </c>
      <c r="B204" s="181" t="s">
        <v>5483</v>
      </c>
      <c r="C204" s="181" t="s">
        <v>4331</v>
      </c>
      <c r="D204" s="181" t="s">
        <v>1333</v>
      </c>
      <c r="E204" s="138" t="s">
        <v>22</v>
      </c>
      <c r="F204" s="182" t="s">
        <v>6378</v>
      </c>
      <c r="G204" s="117" t="s">
        <v>6379</v>
      </c>
      <c r="H204" s="138" t="s">
        <v>6320</v>
      </c>
      <c r="I204" s="183">
        <v>45838.0</v>
      </c>
      <c r="J204" s="171" t="s">
        <v>3851</v>
      </c>
    </row>
    <row r="205">
      <c r="A205" s="181" t="s">
        <v>6380</v>
      </c>
      <c r="B205" s="181" t="s">
        <v>5215</v>
      </c>
      <c r="C205" s="181" t="s">
        <v>5542</v>
      </c>
      <c r="D205" s="181" t="s">
        <v>1525</v>
      </c>
      <c r="E205" s="138" t="s">
        <v>16</v>
      </c>
      <c r="F205" s="182" t="s">
        <v>6381</v>
      </c>
      <c r="G205" s="117" t="s">
        <v>6382</v>
      </c>
      <c r="H205" s="138" t="s">
        <v>6263</v>
      </c>
      <c r="I205" s="183">
        <v>45839.0</v>
      </c>
      <c r="J205" s="172" t="s">
        <v>5594</v>
      </c>
    </row>
    <row r="206" hidden="1">
      <c r="A206" s="181" t="s">
        <v>6383</v>
      </c>
      <c r="B206" s="181" t="s">
        <v>4134</v>
      </c>
      <c r="C206" s="181" t="s">
        <v>4132</v>
      </c>
      <c r="D206" s="181" t="s">
        <v>2037</v>
      </c>
      <c r="E206" s="138" t="s">
        <v>14</v>
      </c>
      <c r="F206" s="182"/>
      <c r="G206" s="117" t="s">
        <v>6384</v>
      </c>
      <c r="H206" s="138" t="s">
        <v>6320</v>
      </c>
      <c r="I206" s="183"/>
      <c r="J206" s="172" t="s">
        <v>3851</v>
      </c>
    </row>
    <row r="207">
      <c r="A207" s="181" t="s">
        <v>1997</v>
      </c>
      <c r="B207" s="181" t="s">
        <v>5037</v>
      </c>
      <c r="C207" s="181" t="s">
        <v>5038</v>
      </c>
      <c r="D207" s="181" t="s">
        <v>1243</v>
      </c>
      <c r="E207" s="138" t="s">
        <v>22</v>
      </c>
      <c r="F207" s="182" t="s">
        <v>6385</v>
      </c>
      <c r="G207" s="117" t="s">
        <v>6386</v>
      </c>
      <c r="H207" s="138" t="s">
        <v>6320</v>
      </c>
      <c r="I207" s="183">
        <v>45835.0</v>
      </c>
      <c r="J207" s="172" t="s">
        <v>5594</v>
      </c>
    </row>
    <row r="208">
      <c r="A208" s="181" t="s">
        <v>2931</v>
      </c>
      <c r="B208" s="181" t="s">
        <v>6387</v>
      </c>
      <c r="C208" s="181" t="s">
        <v>6388</v>
      </c>
      <c r="D208" s="181" t="s">
        <v>2932</v>
      </c>
      <c r="E208" s="138" t="s">
        <v>22</v>
      </c>
      <c r="F208" s="182" t="s">
        <v>6389</v>
      </c>
      <c r="G208" s="117" t="s">
        <v>6390</v>
      </c>
      <c r="H208" s="172" t="s">
        <v>6391</v>
      </c>
      <c r="I208" s="183">
        <v>45840.0</v>
      </c>
      <c r="J208" s="172" t="s">
        <v>5594</v>
      </c>
    </row>
    <row r="209">
      <c r="A209" s="181" t="s">
        <v>2933</v>
      </c>
      <c r="B209" s="181" t="s">
        <v>4147</v>
      </c>
      <c r="C209" s="181" t="s">
        <v>6392</v>
      </c>
      <c r="D209" s="181" t="s">
        <v>2934</v>
      </c>
      <c r="E209" s="172" t="s">
        <v>22</v>
      </c>
      <c r="F209" s="182" t="s">
        <v>6393</v>
      </c>
      <c r="G209" s="117" t="s">
        <v>6394</v>
      </c>
      <c r="H209" s="172" t="s">
        <v>6391</v>
      </c>
      <c r="I209" s="183">
        <v>45840.0</v>
      </c>
      <c r="J209" s="172" t="s">
        <v>5594</v>
      </c>
    </row>
    <row r="210" hidden="1">
      <c r="A210" s="181" t="s">
        <v>1717</v>
      </c>
      <c r="B210" s="117" t="s">
        <v>4579</v>
      </c>
      <c r="C210" s="181" t="s">
        <v>4538</v>
      </c>
      <c r="D210" s="181" t="s">
        <v>1718</v>
      </c>
      <c r="E210" s="138" t="s">
        <v>21</v>
      </c>
      <c r="F210" s="182" t="s">
        <v>6395</v>
      </c>
      <c r="G210" s="117" t="s">
        <v>6396</v>
      </c>
      <c r="H210" s="138" t="s">
        <v>6263</v>
      </c>
      <c r="I210" s="183">
        <v>45845.0</v>
      </c>
      <c r="J210" s="171" t="s">
        <v>3851</v>
      </c>
    </row>
    <row r="211">
      <c r="A211" s="181" t="s">
        <v>2928</v>
      </c>
      <c r="B211" s="181" t="s">
        <v>6397</v>
      </c>
      <c r="C211" s="181" t="s">
        <v>6398</v>
      </c>
      <c r="D211" s="181" t="s">
        <v>2929</v>
      </c>
      <c r="E211" s="138" t="s">
        <v>30</v>
      </c>
      <c r="F211" s="182" t="s">
        <v>6399</v>
      </c>
      <c r="G211" s="117" t="s">
        <v>6400</v>
      </c>
      <c r="H211" s="138" t="s">
        <v>6263</v>
      </c>
      <c r="I211" s="183">
        <v>45845.0</v>
      </c>
      <c r="J211" s="172" t="s">
        <v>5594</v>
      </c>
    </row>
    <row r="212">
      <c r="A212" s="181" t="s">
        <v>2539</v>
      </c>
      <c r="B212" s="181" t="s">
        <v>4529</v>
      </c>
      <c r="C212" s="181" t="s">
        <v>4530</v>
      </c>
      <c r="D212" s="181" t="s">
        <v>2540</v>
      </c>
      <c r="E212" s="138" t="s">
        <v>21</v>
      </c>
      <c r="F212" s="182" t="s">
        <v>6401</v>
      </c>
      <c r="G212" s="117" t="s">
        <v>6402</v>
      </c>
      <c r="H212" s="138" t="s">
        <v>6263</v>
      </c>
      <c r="I212" s="183">
        <v>45847.0</v>
      </c>
      <c r="J212" s="172" t="s">
        <v>5594</v>
      </c>
    </row>
    <row r="213" hidden="1">
      <c r="A213" s="181" t="s">
        <v>2958</v>
      </c>
      <c r="B213" s="181" t="s">
        <v>5069</v>
      </c>
      <c r="C213" s="181" t="s">
        <v>4745</v>
      </c>
      <c r="D213" s="181" t="s">
        <v>2959</v>
      </c>
      <c r="E213" s="138" t="s">
        <v>22</v>
      </c>
      <c r="F213" s="182" t="s">
        <v>6403</v>
      </c>
      <c r="G213" s="117" t="s">
        <v>6404</v>
      </c>
      <c r="H213" s="138" t="s">
        <v>6320</v>
      </c>
      <c r="I213" s="183">
        <v>45848.0</v>
      </c>
      <c r="J213" s="171" t="s">
        <v>3851</v>
      </c>
    </row>
    <row r="214">
      <c r="A214" s="181" t="s">
        <v>2946</v>
      </c>
      <c r="B214" s="181" t="s">
        <v>4815</v>
      </c>
      <c r="C214" s="181" t="s">
        <v>4162</v>
      </c>
      <c r="D214" s="181" t="s">
        <v>2947</v>
      </c>
      <c r="E214" s="138" t="s">
        <v>22</v>
      </c>
      <c r="F214" s="182" t="s">
        <v>6405</v>
      </c>
      <c r="G214" s="117" t="s">
        <v>6406</v>
      </c>
      <c r="H214" s="138" t="s">
        <v>6320</v>
      </c>
      <c r="I214" s="183">
        <v>45849.0</v>
      </c>
      <c r="J214" s="172" t="s">
        <v>5594</v>
      </c>
    </row>
    <row r="215" hidden="1">
      <c r="A215" s="181" t="s">
        <v>2939</v>
      </c>
      <c r="B215" s="181" t="s">
        <v>6407</v>
      </c>
      <c r="C215" s="181" t="s">
        <v>6408</v>
      </c>
      <c r="D215" s="181" t="s">
        <v>2940</v>
      </c>
      <c r="E215" s="138" t="s">
        <v>42</v>
      </c>
      <c r="F215" s="182" t="s">
        <v>6409</v>
      </c>
      <c r="G215" s="117" t="s">
        <v>6410</v>
      </c>
      <c r="H215" s="138" t="s">
        <v>6320</v>
      </c>
      <c r="I215" s="183">
        <v>45849.0</v>
      </c>
      <c r="J215" s="171" t="s">
        <v>3851</v>
      </c>
    </row>
    <row r="216" hidden="1">
      <c r="A216" s="181" t="s">
        <v>2969</v>
      </c>
      <c r="B216" s="181" t="s">
        <v>4002</v>
      </c>
      <c r="C216" s="181" t="s">
        <v>4002</v>
      </c>
      <c r="D216" s="181" t="s">
        <v>2970</v>
      </c>
      <c r="E216" s="138" t="s">
        <v>33</v>
      </c>
      <c r="F216" s="182" t="s">
        <v>6265</v>
      </c>
      <c r="G216" s="117" t="s">
        <v>6411</v>
      </c>
      <c r="H216" s="138" t="s">
        <v>6320</v>
      </c>
      <c r="I216" s="183">
        <v>45852.0</v>
      </c>
      <c r="J216" s="171" t="s">
        <v>3851</v>
      </c>
    </row>
    <row r="217" hidden="1">
      <c r="A217" s="181" t="s">
        <v>2967</v>
      </c>
      <c r="B217" s="181" t="s">
        <v>6412</v>
      </c>
      <c r="C217" s="181" t="s">
        <v>4428</v>
      </c>
      <c r="D217" s="181" t="s">
        <v>2968</v>
      </c>
      <c r="E217" s="138" t="s">
        <v>33</v>
      </c>
      <c r="F217" s="182" t="s">
        <v>6413</v>
      </c>
      <c r="G217" s="117" t="s">
        <v>6414</v>
      </c>
      <c r="H217" s="138" t="s">
        <v>6320</v>
      </c>
      <c r="I217" s="183">
        <v>45852.0</v>
      </c>
      <c r="J217" s="171" t="s">
        <v>3851</v>
      </c>
    </row>
    <row r="218" hidden="1">
      <c r="A218" s="181" t="s">
        <v>1635</v>
      </c>
      <c r="B218" s="181" t="s">
        <v>4413</v>
      </c>
      <c r="C218" s="181" t="s">
        <v>5158</v>
      </c>
      <c r="D218" s="181" t="s">
        <v>1323</v>
      </c>
      <c r="E218" s="138" t="s">
        <v>30</v>
      </c>
      <c r="F218" s="182" t="s">
        <v>6415</v>
      </c>
      <c r="G218" s="117" t="s">
        <v>6416</v>
      </c>
      <c r="H218" s="138" t="s">
        <v>6263</v>
      </c>
      <c r="I218" s="183">
        <v>45855.0</v>
      </c>
      <c r="J218" s="171" t="s">
        <v>3851</v>
      </c>
    </row>
    <row r="219" hidden="1">
      <c r="A219" s="181" t="s">
        <v>2985</v>
      </c>
      <c r="B219" s="181" t="s">
        <v>6417</v>
      </c>
      <c r="C219" s="181" t="s">
        <v>4162</v>
      </c>
      <c r="D219" s="181" t="s">
        <v>2986</v>
      </c>
      <c r="E219" s="138" t="s">
        <v>30</v>
      </c>
      <c r="F219" s="182" t="s">
        <v>6418</v>
      </c>
      <c r="G219" s="117" t="s">
        <v>6419</v>
      </c>
      <c r="H219" s="138" t="s">
        <v>6263</v>
      </c>
      <c r="I219" s="183">
        <v>45855.0</v>
      </c>
      <c r="J219" s="171" t="s">
        <v>3851</v>
      </c>
    </row>
    <row r="220" hidden="1">
      <c r="A220" s="181" t="s">
        <v>3006</v>
      </c>
      <c r="B220" s="181" t="s">
        <v>6420</v>
      </c>
      <c r="C220" s="181" t="s">
        <v>4290</v>
      </c>
      <c r="D220" s="181" t="s">
        <v>3007</v>
      </c>
      <c r="E220" s="138" t="s">
        <v>22</v>
      </c>
      <c r="F220" s="182" t="s">
        <v>6421</v>
      </c>
      <c r="G220" s="117" t="s">
        <v>6422</v>
      </c>
      <c r="H220" s="138" t="s">
        <v>6320</v>
      </c>
      <c r="I220" s="183">
        <v>45859.0</v>
      </c>
      <c r="J220" s="171" t="s">
        <v>3851</v>
      </c>
    </row>
    <row r="221" hidden="1">
      <c r="A221" s="181" t="s">
        <v>409</v>
      </c>
      <c r="B221" s="181" t="s">
        <v>5869</v>
      </c>
      <c r="C221" s="181" t="s">
        <v>5870</v>
      </c>
      <c r="D221" s="181" t="s">
        <v>3034</v>
      </c>
      <c r="E221" s="138" t="s">
        <v>21</v>
      </c>
      <c r="F221" s="182" t="s">
        <v>5871</v>
      </c>
      <c r="G221" s="117" t="s">
        <v>6423</v>
      </c>
      <c r="H221" s="138" t="s">
        <v>6263</v>
      </c>
      <c r="I221" s="183">
        <v>45861.0</v>
      </c>
      <c r="J221" s="171" t="s">
        <v>3851</v>
      </c>
    </row>
    <row r="222" hidden="1">
      <c r="A222" s="181" t="s">
        <v>2982</v>
      </c>
      <c r="B222" s="181" t="s">
        <v>6424</v>
      </c>
      <c r="C222" s="181" t="s">
        <v>4627</v>
      </c>
      <c r="D222" s="117" t="s">
        <v>2983</v>
      </c>
      <c r="E222" s="138" t="s">
        <v>14</v>
      </c>
      <c r="F222" s="182" t="s">
        <v>6425</v>
      </c>
      <c r="G222" s="117" t="s">
        <v>6426</v>
      </c>
      <c r="H222" s="138" t="s">
        <v>6263</v>
      </c>
      <c r="I222" s="183">
        <v>45861.0</v>
      </c>
      <c r="J222" s="171" t="s">
        <v>3851</v>
      </c>
    </row>
    <row r="223" hidden="1">
      <c r="A223" s="181" t="s">
        <v>1335</v>
      </c>
      <c r="B223" s="181" t="s">
        <v>6427</v>
      </c>
      <c r="C223" s="181" t="s">
        <v>5418</v>
      </c>
      <c r="D223" s="181" t="s">
        <v>1336</v>
      </c>
      <c r="E223" s="138" t="s">
        <v>21</v>
      </c>
      <c r="F223" s="182" t="s">
        <v>6428</v>
      </c>
      <c r="G223" s="117" t="s">
        <v>6429</v>
      </c>
      <c r="H223" s="138" t="s">
        <v>6263</v>
      </c>
      <c r="I223" s="183">
        <v>45862.0</v>
      </c>
      <c r="J223" s="171" t="s">
        <v>3851</v>
      </c>
    </row>
    <row r="224">
      <c r="A224" s="181" t="s">
        <v>2760</v>
      </c>
      <c r="B224" s="181" t="s">
        <v>6430</v>
      </c>
      <c r="C224" s="181" t="s">
        <v>5387</v>
      </c>
      <c r="D224" s="181" t="s">
        <v>2761</v>
      </c>
      <c r="E224" s="184" t="s">
        <v>28</v>
      </c>
      <c r="F224" s="182" t="s">
        <v>6431</v>
      </c>
      <c r="G224" s="61" t="s">
        <v>6432</v>
      </c>
      <c r="H224" s="138" t="s">
        <v>6263</v>
      </c>
      <c r="I224" s="183">
        <v>45868.0</v>
      </c>
      <c r="J224" s="171" t="s">
        <v>5594</v>
      </c>
    </row>
    <row r="225" hidden="1">
      <c r="A225" s="181" t="s">
        <v>3074</v>
      </c>
      <c r="B225" s="181" t="s">
        <v>6433</v>
      </c>
      <c r="C225" s="181" t="s">
        <v>4631</v>
      </c>
      <c r="D225" s="181" t="s">
        <v>3075</v>
      </c>
      <c r="E225" s="184" t="s">
        <v>22</v>
      </c>
      <c r="F225" s="182" t="s">
        <v>6434</v>
      </c>
      <c r="G225" s="61" t="s">
        <v>6435</v>
      </c>
      <c r="H225" s="138" t="s">
        <v>6320</v>
      </c>
      <c r="I225" s="183">
        <v>45871.0</v>
      </c>
      <c r="J225" s="171" t="s">
        <v>3851</v>
      </c>
    </row>
    <row r="226">
      <c r="A226" s="181" t="s">
        <v>6436</v>
      </c>
      <c r="B226" s="181" t="s">
        <v>6437</v>
      </c>
      <c r="C226" s="181" t="s">
        <v>4132</v>
      </c>
      <c r="D226" s="181" t="s">
        <v>3058</v>
      </c>
      <c r="E226" s="184" t="s">
        <v>28</v>
      </c>
      <c r="F226" s="182" t="s">
        <v>6438</v>
      </c>
      <c r="G226" s="61" t="s">
        <v>6439</v>
      </c>
      <c r="H226" s="138" t="s">
        <v>6263</v>
      </c>
      <c r="I226" s="183">
        <v>45873.0</v>
      </c>
      <c r="J226" s="171" t="s">
        <v>5594</v>
      </c>
    </row>
    <row r="227" hidden="1">
      <c r="A227" s="181" t="s">
        <v>3096</v>
      </c>
      <c r="B227" s="181" t="s">
        <v>6440</v>
      </c>
      <c r="C227" s="181" t="s">
        <v>4128</v>
      </c>
      <c r="D227" s="181" t="s">
        <v>3097</v>
      </c>
      <c r="E227" s="138" t="s">
        <v>33</v>
      </c>
      <c r="F227" s="182" t="s">
        <v>6361</v>
      </c>
      <c r="G227" s="117" t="s">
        <v>6441</v>
      </c>
      <c r="H227" s="138" t="s">
        <v>6320</v>
      </c>
      <c r="I227" s="183">
        <v>45874.0</v>
      </c>
      <c r="J227" s="171" t="s">
        <v>3851</v>
      </c>
    </row>
    <row r="228" hidden="1">
      <c r="A228" s="181" t="s">
        <v>3083</v>
      </c>
      <c r="B228" s="181" t="s">
        <v>4005</v>
      </c>
      <c r="C228" s="181" t="s">
        <v>4128</v>
      </c>
      <c r="D228" s="181" t="s">
        <v>3084</v>
      </c>
      <c r="E228" s="138" t="s">
        <v>22</v>
      </c>
      <c r="F228" s="182" t="s">
        <v>6442</v>
      </c>
      <c r="G228" s="117" t="s">
        <v>6443</v>
      </c>
      <c r="H228" s="138" t="s">
        <v>6320</v>
      </c>
      <c r="I228" s="183">
        <v>45876.0</v>
      </c>
      <c r="J228" s="171" t="s">
        <v>3851</v>
      </c>
    </row>
    <row r="229">
      <c r="A229" s="181" t="s">
        <v>1069</v>
      </c>
      <c r="B229" s="181" t="s">
        <v>3975</v>
      </c>
      <c r="C229" s="181" t="s">
        <v>5158</v>
      </c>
      <c r="D229" s="181" t="s">
        <v>1070</v>
      </c>
      <c r="E229" s="172" t="s">
        <v>28</v>
      </c>
      <c r="F229" s="182" t="s">
        <v>6444</v>
      </c>
      <c r="G229" s="117" t="s">
        <v>6445</v>
      </c>
      <c r="H229" s="138" t="s">
        <v>6263</v>
      </c>
      <c r="I229" s="183">
        <v>45887.0</v>
      </c>
      <c r="J229" s="171" t="s">
        <v>5594</v>
      </c>
    </row>
    <row r="230" hidden="1">
      <c r="A230" s="181" t="s">
        <v>3180</v>
      </c>
      <c r="B230" s="181" t="s">
        <v>6446</v>
      </c>
      <c r="C230" s="181" t="s">
        <v>4802</v>
      </c>
      <c r="D230" s="117" t="s">
        <v>3181</v>
      </c>
      <c r="E230" s="172" t="s">
        <v>30</v>
      </c>
      <c r="F230" s="185" t="s">
        <v>6447</v>
      </c>
      <c r="G230" s="61" t="s">
        <v>6448</v>
      </c>
      <c r="H230" s="138" t="s">
        <v>6263</v>
      </c>
      <c r="I230" s="183">
        <v>45890.0</v>
      </c>
      <c r="J230" s="171" t="s">
        <v>3851</v>
      </c>
    </row>
    <row r="231">
      <c r="A231" s="181" t="s">
        <v>3178</v>
      </c>
      <c r="B231" s="181" t="s">
        <v>5403</v>
      </c>
      <c r="C231" s="181" t="s">
        <v>6449</v>
      </c>
      <c r="D231" s="117" t="s">
        <v>6450</v>
      </c>
      <c r="E231" s="172" t="s">
        <v>22</v>
      </c>
      <c r="F231" s="185" t="s">
        <v>6451</v>
      </c>
      <c r="G231" s="61" t="s">
        <v>6452</v>
      </c>
      <c r="H231" s="138" t="s">
        <v>6263</v>
      </c>
      <c r="I231" s="183">
        <v>45897.0</v>
      </c>
      <c r="J231" s="171" t="s">
        <v>5594</v>
      </c>
    </row>
    <row r="232">
      <c r="A232" s="186"/>
      <c r="B232" s="186"/>
      <c r="C232" s="186"/>
      <c r="D232" s="61"/>
      <c r="E232" s="171"/>
      <c r="F232" s="185"/>
      <c r="G232" s="115" t="s">
        <v>6453</v>
      </c>
      <c r="H232" s="187"/>
      <c r="I232" s="188"/>
      <c r="J232" s="171" t="s">
        <v>5594</v>
      </c>
    </row>
    <row r="233">
      <c r="A233" s="186"/>
      <c r="B233" s="186"/>
      <c r="C233" s="186"/>
      <c r="D233" s="61"/>
      <c r="E233" s="171"/>
      <c r="F233" s="185"/>
      <c r="G233" s="115" t="s">
        <v>6454</v>
      </c>
      <c r="H233" s="187"/>
      <c r="I233" s="188"/>
      <c r="J233" s="171" t="s">
        <v>5594</v>
      </c>
    </row>
  </sheetData>
  <autoFilter ref="$A$1:$J$233">
    <filterColumn colId="9">
      <filters>
        <filter val="Active"/>
      </filters>
    </filterColumn>
  </autoFilter>
  <conditionalFormatting sqref="D198">
    <cfRule type="expression" dxfId="16" priority="1">
      <formula>COUNTIF($D$1:$D$1034, D198) = 2</formula>
    </cfRule>
  </conditionalFormatting>
  <dataValidations>
    <dataValidation type="list" allowBlank="1" showErrorMessage="1" sqref="J2:J233">
      <formula1>"Active,Suspend"</formula1>
    </dataValidation>
  </dataValidations>
  <hyperlinks>
    <hyperlink r:id="rId1" location="/devices/676d2a28854cc238fb6d8dd0/details" ref="F171"/>
    <hyperlink r:id="rId2" location="/devices/682193210c186d43415aad05/details" ref="F172"/>
    <hyperlink r:id="rId3" location="/devices/6821974cf89f5bfb103f2824/details" ref="F173"/>
    <hyperlink r:id="rId4" location="/devices/682427306c556670eb936cc0/details" ref="F174"/>
    <hyperlink r:id="rId5" location="/devices/682443743e2a7edf16071512/details" ref="F175"/>
    <hyperlink r:id="rId6" ref="G177"/>
    <hyperlink r:id="rId7" ref="G178"/>
    <hyperlink r:id="rId8" ref="G179"/>
    <hyperlink r:id="rId9" ref="G181"/>
    <hyperlink r:id="rId10" ref="G185"/>
    <hyperlink r:id="rId11" ref="G187"/>
    <hyperlink r:id="rId12" location="/devices/683fdfe0493ef14637675ac8/details" ref="F188"/>
  </hyperlinks>
  <drawing r:id="rId1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63"/>
    <col customWidth="1" min="3" max="3" width="17.63"/>
    <col customWidth="1" min="4" max="4" width="10.13"/>
    <col customWidth="1" min="5" max="5" width="12.0"/>
    <col customWidth="1" min="6" max="6" width="13.13"/>
    <col customWidth="1" min="7" max="7" width="21.75"/>
    <col customWidth="1" min="8" max="8" width="25.63"/>
    <col customWidth="1" min="9" max="9" width="51.5"/>
    <col customWidth="1" min="10" max="10" width="6.5"/>
    <col customWidth="1" min="11" max="11" width="12.0"/>
  </cols>
  <sheetData>
    <row r="1">
      <c r="A1" s="189" t="str">
        <f>IFERROR(__xludf.DUMMYFUNCTION("IMPORTRANGE(""12r2dB8qMGEV8ApiBSZieIHc-Vt1qOukc6pLotLyEk4E"",""Lists!A:J"")"),"These lists are used to populate the drop-down lists in the IT Change Management worksheet")</f>
        <v>These lists are used to populate the drop-down lists in the IT Change Management worksheet</v>
      </c>
      <c r="G1" s="2"/>
      <c r="H1" s="2"/>
      <c r="I1" s="2"/>
      <c r="J1" s="2"/>
      <c r="K1" s="22" t="s">
        <v>63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G2" s="2"/>
      <c r="H2" s="2"/>
      <c r="I2" s="2"/>
      <c r="J2" s="2"/>
      <c r="K2" s="3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90" t="str">
        <f>IFERROR(__xludf.DUMMYFUNCTION("""COMPUTED_VALUE"""),"IT Status")</f>
        <v>IT Status</v>
      </c>
      <c r="B3" s="190" t="str">
        <f>IFERROR(__xludf.DUMMYFUNCTION("""COMPUTED_VALUE"""),"Porpoise | Reason")</f>
        <v>Porpoise | Reason</v>
      </c>
      <c r="C3" s="190" t="str">
        <f>IFERROR(__xludf.DUMMYFUNCTION("""COMPUTED_VALUE"""),"Complaint Status")</f>
        <v>Complaint Status</v>
      </c>
      <c r="D3" s="190" t="str">
        <f>IFERROR(__xludf.DUMMYFUNCTION("""COMPUTED_VALUE"""),"Assets Type")</f>
        <v>Assets Type</v>
      </c>
      <c r="E3" s="190" t="str">
        <f>IFERROR(__xludf.DUMMYFUNCTION("""COMPUTED_VALUE"""),"Job Owner")</f>
        <v>Job Owner</v>
      </c>
      <c r="F3" s="190" t="str">
        <f>IFERROR(__xludf.DUMMYFUNCTION("""COMPUTED_VALUE"""),"Manager")</f>
        <v>Manager</v>
      </c>
      <c r="G3" s="190" t="str">
        <f>IFERROR(__xludf.DUMMYFUNCTION("""COMPUTED_VALUE"""),"Full Name Range")</f>
        <v>Full Name Range</v>
      </c>
      <c r="H3" s="190" t="str">
        <f>IFERROR(__xludf.DUMMYFUNCTION("""COMPUTED_VALUE"""),"Office Email Address")</f>
        <v>Office Email Address</v>
      </c>
      <c r="I3" s="190" t="str">
        <f>IFERROR(__xludf.DUMMYFUNCTION("""COMPUTED_VALUE"""),"Department Range")</f>
        <v>Department Range</v>
      </c>
      <c r="J3" s="190" t="str">
        <f>IFERROR(__xludf.DUMMYFUNCTION("""COMPUTED_VALUE"""),"Notes")</f>
        <v>Notes</v>
      </c>
      <c r="K3" s="22" t="s">
        <v>63</v>
      </c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</row>
    <row r="4">
      <c r="A4" s="192" t="str">
        <f>IFERROR(__xludf.DUMMYFUNCTION("""COMPUTED_VALUE"""),"~~")</f>
        <v>~~</v>
      </c>
      <c r="B4" s="192" t="str">
        <f>IFERROR(__xludf.DUMMYFUNCTION("""COMPUTED_VALUE"""),"~~")</f>
        <v>~~</v>
      </c>
      <c r="C4" s="192" t="str">
        <f>IFERROR(__xludf.DUMMYFUNCTION("""COMPUTED_VALUE"""),"~~")</f>
        <v>~~</v>
      </c>
      <c r="D4" s="192" t="str">
        <f>IFERROR(__xludf.DUMMYFUNCTION("""COMPUTED_VALUE"""),"~~")</f>
        <v>~~</v>
      </c>
      <c r="E4" s="192" t="str">
        <f>IFERROR(__xludf.DUMMYFUNCTION("""COMPUTED_VALUE"""),"~~")</f>
        <v>~~</v>
      </c>
      <c r="F4" s="192" t="str">
        <f>IFERROR(__xludf.DUMMYFUNCTION("""COMPUTED_VALUE"""),"~~")</f>
        <v>~~</v>
      </c>
      <c r="G4" s="192" t="str">
        <f>IFERROR(__xludf.DUMMYFUNCTION("""COMPUTED_VALUE"""),"Rakesh Kumar")</f>
        <v>Rakesh Kumar</v>
      </c>
      <c r="H4" s="192" t="str">
        <f>IFERROR(__xludf.DUMMYFUNCTION("""COMPUTED_VALUE"""),"rakesh.kumar@zupee.in")</f>
        <v>rakesh.kumar@zupee.in</v>
      </c>
      <c r="I4" s="192" t="str">
        <f>IFERROR(__xludf.DUMMYFUNCTION("""COMPUTED_VALUE"""),"Senior Associate: - IT Infra")</f>
        <v>Senior Associate: - IT Infra</v>
      </c>
      <c r="J4" s="193" t="str">
        <f>IFERROR(__xludf.DUMMYFUNCTION("""COMPUTED_VALUE"""),"❌")</f>
        <v>❌</v>
      </c>
      <c r="K4" s="32" t="s">
        <v>72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2" t="str">
        <f>IFERROR(__xludf.DUMMYFUNCTION("""COMPUTED_VALUE"""),"Hold by IT")</f>
        <v>Hold by IT</v>
      </c>
      <c r="B5" s="192" t="str">
        <f>IFERROR(__xludf.DUMMYFUNCTION("""COMPUTED_VALUE"""),"New Joiner")</f>
        <v>New Joiner</v>
      </c>
      <c r="C5" s="192" t="str">
        <f>IFERROR(__xludf.DUMMYFUNCTION("""COMPUTED_VALUE"""),"Emailed &amp; C - Locked")</f>
        <v>Emailed &amp; C - Locked</v>
      </c>
      <c r="D5" s="192" t="str">
        <f>IFERROR(__xludf.DUMMYFUNCTION("""COMPUTED_VALUE"""),"IOS")</f>
        <v>IOS</v>
      </c>
      <c r="E5" s="192" t="str">
        <f>IFERROR(__xludf.DUMMYFUNCTION("""COMPUTED_VALUE"""),"Sameer Negi")</f>
        <v>Sameer Negi</v>
      </c>
      <c r="F5" s="192" t="str">
        <f>IFERROR(__xludf.DUMMYFUNCTION("""COMPUTED_VALUE"""),"Rahul Suman")</f>
        <v>Rahul Suman</v>
      </c>
      <c r="G5" s="192" t="str">
        <f>IFERROR(__xludf.DUMMYFUNCTION("""COMPUTED_VALUE"""),"Reetik Rajan")</f>
        <v>Reetik Rajan</v>
      </c>
      <c r="H5" s="192" t="str">
        <f>IFERROR(__xludf.DUMMYFUNCTION("""COMPUTED_VALUE"""),"reetik.rajan@zupee.in")</f>
        <v>reetik.rajan@zupee.in</v>
      </c>
      <c r="I5" s="192" t="str">
        <f>IFERROR(__xludf.DUMMYFUNCTION("""COMPUTED_VALUE"""),"Security Engineer: - Technology")</f>
        <v>Security Engineer: - Technology</v>
      </c>
      <c r="J5" s="193" t="str">
        <f>IFERROR(__xludf.DUMMYFUNCTION("""COMPUTED_VALUE"""),"✅")</f>
        <v>✅</v>
      </c>
      <c r="K5" s="32" t="s">
        <v>2417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2" t="str">
        <f>IFERROR(__xludf.DUMMYFUNCTION("""COMPUTED_VALUE"""),"Pending")</f>
        <v>Pending</v>
      </c>
      <c r="B6" s="192" t="str">
        <f>IFERROR(__xludf.DUMMYFUNCTION("""COMPUTED_VALUE"""),"Replacement")</f>
        <v>Replacement</v>
      </c>
      <c r="C6" s="192" t="str">
        <f>IFERROR(__xludf.DUMMYFUNCTION("""COMPUTED_VALUE"""),"Pending")</f>
        <v>Pending</v>
      </c>
      <c r="D6" s="192" t="str">
        <f>IFERROR(__xludf.DUMMYFUNCTION("""COMPUTED_VALUE"""),"Android")</f>
        <v>Android</v>
      </c>
      <c r="E6" s="192" t="str">
        <f>IFERROR(__xludf.DUMMYFUNCTION("""COMPUTED_VALUE"""),"Shiv Kumar")</f>
        <v>Shiv Kumar</v>
      </c>
      <c r="F6" s="192" t="str">
        <f>IFERROR(__xludf.DUMMYFUNCTION("""COMPUTED_VALUE"""),"RajKumar Singh")</f>
        <v>RajKumar Singh</v>
      </c>
      <c r="G6" s="192" t="str">
        <f>IFERROR(__xludf.DUMMYFUNCTION("""COMPUTED_VALUE"""),"Rishi Patidar")</f>
        <v>Rishi Patidar</v>
      </c>
      <c r="H6" s="192" t="str">
        <f>IFERROR(__xludf.DUMMYFUNCTION("""COMPUTED_VALUE"""),"rishi.patidar@zupee.in")</f>
        <v>rishi.patidar@zupee.in</v>
      </c>
      <c r="I6" s="192" t="str">
        <f>IFERROR(__xludf.DUMMYFUNCTION("""COMPUTED_VALUE"""),"Endpoint Security Engineer: - IT Infra")</f>
        <v>Endpoint Security Engineer: - IT Infra</v>
      </c>
      <c r="J6" s="194" t="str">
        <f>IFERROR(__xludf.DUMMYFUNCTION("""COMPUTED_VALUE"""),"#️⃣")</f>
        <v>#️⃣</v>
      </c>
      <c r="K6" s="32" t="s">
        <v>1043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2" t="str">
        <f>IFERROR(__xludf.DUMMYFUNCTION("""COMPUTED_VALUE"""),"Ready")</f>
        <v>Ready</v>
      </c>
      <c r="B7" s="192" t="str">
        <f>IFERROR(__xludf.DUMMYFUNCTION("""COMPUTED_VALUE"""),"Ad-Hoc")</f>
        <v>Ad-Hoc</v>
      </c>
      <c r="C7" s="192" t="str">
        <f>IFERROR(__xludf.DUMMYFUNCTION("""COMPUTED_VALUE"""),"Repaired &amp; In Stock")</f>
        <v>Repaired &amp; In Stock</v>
      </c>
      <c r="D7" s="192" t="str">
        <f>IFERROR(__xludf.DUMMYFUNCTION("""COMPUTED_VALUE"""),"Laptops")</f>
        <v>Laptops</v>
      </c>
      <c r="E7" s="192" t="str">
        <f>IFERROR(__xludf.DUMMYFUNCTION("""COMPUTED_VALUE"""),"Soyesh Dixit")</f>
        <v>Soyesh Dixit</v>
      </c>
      <c r="F7" s="192" t="str">
        <f>IFERROR(__xludf.DUMMYFUNCTION("""COMPUTED_VALUE"""),"Mohit Kumar")</f>
        <v>Mohit Kumar</v>
      </c>
      <c r="G7" s="192" t="str">
        <f>IFERROR(__xludf.DUMMYFUNCTION("""COMPUTED_VALUE"""),"Mohit Kumar - IT")</f>
        <v>Mohit Kumar - IT</v>
      </c>
      <c r="H7" s="192" t="str">
        <f>IFERROR(__xludf.DUMMYFUNCTION("""COMPUTED_VALUE"""),"mohit.kumar1@zupee.in")</f>
        <v>mohit.kumar1@zupee.in</v>
      </c>
      <c r="I7" s="192" t="str">
        <f>IFERROR(__xludf.DUMMYFUNCTION("""COMPUTED_VALUE"""),"IT Infra Lead: - IT Infra")</f>
        <v>IT Infra Lead: - IT Infra</v>
      </c>
      <c r="J7" s="192"/>
      <c r="K7" s="32" t="s">
        <v>54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2" t="str">
        <f>IFERROR(__xludf.DUMMYFUNCTION("""COMPUTED_VALUE"""),"Backup")</f>
        <v>Backup</v>
      </c>
      <c r="B8" s="192" t="str">
        <f>IFERROR(__xludf.DUMMYFUNCTION("""COMPUTED_VALUE"""),"Teating")</f>
        <v>Teating</v>
      </c>
      <c r="C8" s="192" t="str">
        <f>IFERROR(__xludf.DUMMYFUNCTION("""COMPUTED_VALUE"""),"Emailed")</f>
        <v>Emailed</v>
      </c>
      <c r="D8" s="192" t="str">
        <f>IFERROR(__xludf.DUMMYFUNCTION("""COMPUTED_VALUE"""),"Monitors")</f>
        <v>Monitors</v>
      </c>
      <c r="E8" s="192" t="str">
        <f>IFERROR(__xludf.DUMMYFUNCTION("""COMPUTED_VALUE"""),"Suraj Kumar")</f>
        <v>Suraj Kumar</v>
      </c>
      <c r="F8" s="192"/>
      <c r="G8" s="192" t="str">
        <f>IFERROR(__xludf.DUMMYFUNCTION("""COMPUTED_VALUE"""),"Rohan Ray")</f>
        <v>Rohan Ray</v>
      </c>
      <c r="H8" s="192" t="str">
        <f>IFERROR(__xludf.DUMMYFUNCTION("""COMPUTED_VALUE"""),"rohan.ray@zupee.in")</f>
        <v>rohan.ray@zupee.in</v>
      </c>
      <c r="I8" s="192" t="str">
        <f>IFERROR(__xludf.DUMMYFUNCTION("""COMPUTED_VALUE"""),"chirag.sabhadiya@zupee.in: - Strategy")</f>
        <v>chirag.sabhadiya@zupee.in: - Strategy</v>
      </c>
      <c r="J8" s="192"/>
      <c r="K8" s="32" t="s">
        <v>1273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2" t="str">
        <f>IFERROR(__xludf.DUMMYFUNCTION("""COMPUTED_VALUE"""),"Under Procurement")</f>
        <v>Under Procurement</v>
      </c>
      <c r="B9" s="192" t="str">
        <f>IFERROR(__xludf.DUMMYFUNCTION("""COMPUTED_VALUE"""),"Back-up")</f>
        <v>Back-up</v>
      </c>
      <c r="C9" s="192" t="str">
        <f>IFERROR(__xludf.DUMMYFUNCTION("""COMPUTED_VALUE"""),"Repaired &amp; Reallocate")</f>
        <v>Repaired &amp; Reallocate</v>
      </c>
      <c r="D9" s="192"/>
      <c r="E9" s="192" t="str">
        <f>IFERROR(__xludf.DUMMYFUNCTION("""COMPUTED_VALUE"""),"Rakesh Kumar")</f>
        <v>Rakesh Kumar</v>
      </c>
      <c r="F9" s="192"/>
      <c r="G9" s="192" t="str">
        <f>IFERROR(__xludf.DUMMYFUNCTION("""COMPUTED_VALUE"""),"Aakash Pal")</f>
        <v>Aakash Pal</v>
      </c>
      <c r="H9" s="192" t="str">
        <f>IFERROR(__xludf.DUMMYFUNCTION("""COMPUTED_VALUE"""),"aakash.pal@zupee.in")</f>
        <v>aakash.pal@zupee.in</v>
      </c>
      <c r="I9" s="192" t="str">
        <f>IFERROR(__xludf.DUMMYFUNCTION("""COMPUTED_VALUE"""),": - ")</f>
        <v>: - </v>
      </c>
      <c r="J9" s="192"/>
      <c r="K9" s="3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2" t="str">
        <f>IFERROR(__xludf.DUMMYFUNCTION("""COMPUTED_VALUE"""),"Allocated")</f>
        <v>Allocated</v>
      </c>
      <c r="B10" s="192"/>
      <c r="C10" s="192"/>
      <c r="D10" s="192"/>
      <c r="E10" s="192"/>
      <c r="F10" s="192"/>
      <c r="G10" s="192" t="str">
        <f>IFERROR(__xludf.DUMMYFUNCTION("""COMPUTED_VALUE"""),"Aatmiy Tomar")</f>
        <v>Aatmiy Tomar</v>
      </c>
      <c r="H10" s="192" t="str">
        <f>IFERROR(__xludf.DUMMYFUNCTION("""COMPUTED_VALUE"""),"aatmiy.tomar@zupee.in")</f>
        <v>aatmiy.tomar@zupee.in</v>
      </c>
      <c r="I10" s="192" t="str">
        <f>IFERROR(__xludf.DUMMYFUNCTION("""COMPUTED_VALUE"""),": - ")</f>
        <v>: - </v>
      </c>
      <c r="J10" s="192"/>
      <c r="K10" s="3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2"/>
      <c r="B11" s="192"/>
      <c r="C11" s="192"/>
      <c r="D11" s="192"/>
      <c r="E11" s="192"/>
      <c r="F11" s="192"/>
      <c r="G11" s="192" t="str">
        <f>IFERROR(__xludf.DUMMYFUNCTION("""COMPUTED_VALUE"""),"Aayushi Siddhi Bhatta")</f>
        <v>Aayushi Siddhi Bhatta</v>
      </c>
      <c r="H11" s="192" t="str">
        <f>IFERROR(__xludf.DUMMYFUNCTION("""COMPUTED_VALUE"""),"aayushi.bhatta@zupee.in")</f>
        <v>aayushi.bhatta@zupee.in</v>
      </c>
      <c r="I11" s="192" t="str">
        <f>IFERROR(__xludf.DUMMYFUNCTION("""COMPUTED_VALUE"""),": - ")</f>
        <v>: - </v>
      </c>
      <c r="J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2"/>
      <c r="B12" s="192"/>
      <c r="C12" s="192"/>
      <c r="D12" s="192"/>
      <c r="E12" s="192"/>
      <c r="F12" s="192"/>
      <c r="G12" s="192" t="str">
        <f>IFERROR(__xludf.DUMMYFUNCTION("""COMPUTED_VALUE"""),"Aayushi Sharma")</f>
        <v>Aayushi Sharma</v>
      </c>
      <c r="H12" s="192" t="str">
        <f>IFERROR(__xludf.DUMMYFUNCTION("""COMPUTED_VALUE"""),"aayushi.sharma@zupee.in")</f>
        <v>aayushi.sharma@zupee.in</v>
      </c>
      <c r="I12" s="192" t="str">
        <f>IFERROR(__xludf.DUMMYFUNCTION("""COMPUTED_VALUE"""),": - ")</f>
        <v>: - </v>
      </c>
      <c r="J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2"/>
      <c r="B13" s="192"/>
      <c r="C13" s="192"/>
      <c r="D13" s="192"/>
      <c r="E13" s="192"/>
      <c r="F13" s="192"/>
      <c r="G13" s="192" t="str">
        <f>IFERROR(__xludf.DUMMYFUNCTION("""COMPUTED_VALUE"""),"Abhinav Magow")</f>
        <v>Abhinav Magow</v>
      </c>
      <c r="H13" s="192" t="str">
        <f>IFERROR(__xludf.DUMMYFUNCTION("""COMPUTED_VALUE"""),"abhinav.magow@zupee.in")</f>
        <v>abhinav.magow@zupee.in</v>
      </c>
      <c r="I13" s="192" t="str">
        <f>IFERROR(__xludf.DUMMYFUNCTION("""COMPUTED_VALUE"""),": - ")</f>
        <v>: - </v>
      </c>
      <c r="J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2"/>
      <c r="B14" s="192"/>
      <c r="C14" s="192"/>
      <c r="D14" s="192"/>
      <c r="E14" s="192"/>
      <c r="F14" s="192"/>
      <c r="G14" s="192" t="str">
        <f>IFERROR(__xludf.DUMMYFUNCTION("""COMPUTED_VALUE"""),"Abhinav Srivastava")</f>
        <v>Abhinav Srivastava</v>
      </c>
      <c r="H14" s="192" t="str">
        <f>IFERROR(__xludf.DUMMYFUNCTION("""COMPUTED_VALUE"""),"abhinav.srivastava@zupee.in")</f>
        <v>abhinav.srivastava@zupee.in</v>
      </c>
      <c r="I14" s="192" t="str">
        <f>IFERROR(__xludf.DUMMYFUNCTION("""COMPUTED_VALUE"""),": - ")</f>
        <v>: - </v>
      </c>
      <c r="J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2"/>
      <c r="B15" s="192"/>
      <c r="C15" s="192"/>
      <c r="D15" s="192"/>
      <c r="E15" s="192"/>
      <c r="F15" s="192"/>
      <c r="G15" s="192" t="str">
        <f>IFERROR(__xludf.DUMMYFUNCTION("""COMPUTED_VALUE"""),"Abhinav Venkat")</f>
        <v>Abhinav Venkat</v>
      </c>
      <c r="H15" s="192" t="str">
        <f>IFERROR(__xludf.DUMMYFUNCTION("""COMPUTED_VALUE"""),"abhinav.venkat@zupee.in")</f>
        <v>abhinav.venkat@zupee.in</v>
      </c>
      <c r="I15" s="192" t="str">
        <f>IFERROR(__xludf.DUMMYFUNCTION("""COMPUTED_VALUE"""),": - ")</f>
        <v>: - </v>
      </c>
      <c r="J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2"/>
      <c r="B16" s="192"/>
      <c r="C16" s="192"/>
      <c r="D16" s="192"/>
      <c r="E16" s="192"/>
      <c r="F16" s="192"/>
      <c r="G16" s="192" t="str">
        <f>IFERROR(__xludf.DUMMYFUNCTION("""COMPUTED_VALUE"""),"Abhishek Aga")</f>
        <v>Abhishek Aga</v>
      </c>
      <c r="H16" s="192" t="str">
        <f>IFERROR(__xludf.DUMMYFUNCTION("""COMPUTED_VALUE"""),"abhishek.aga@zupee.in")</f>
        <v>abhishek.aga@zupee.in</v>
      </c>
      <c r="I16" s="192" t="str">
        <f>IFERROR(__xludf.DUMMYFUNCTION("""COMPUTED_VALUE"""),": - ")</f>
        <v>: - </v>
      </c>
      <c r="J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2"/>
      <c r="B17" s="192"/>
      <c r="C17" s="192"/>
      <c r="D17" s="192"/>
      <c r="E17" s="192"/>
      <c r="F17" s="192"/>
      <c r="G17" s="192" t="str">
        <f>IFERROR(__xludf.DUMMYFUNCTION("""COMPUTED_VALUE"""),"Abhishek Anand")</f>
        <v>Abhishek Anand</v>
      </c>
      <c r="H17" s="192" t="str">
        <f>IFERROR(__xludf.DUMMYFUNCTION("""COMPUTED_VALUE"""),"abhishek.anand@zupee.in")</f>
        <v>abhishek.anand@zupee.in</v>
      </c>
      <c r="I17" s="192" t="str">
        <f>IFERROR(__xludf.DUMMYFUNCTION("""COMPUTED_VALUE"""),": - ")</f>
        <v>: - </v>
      </c>
      <c r="J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2"/>
      <c r="B18" s="192"/>
      <c r="C18" s="192"/>
      <c r="D18" s="192"/>
      <c r="E18" s="192"/>
      <c r="F18" s="192"/>
      <c r="G18" s="192" t="str">
        <f>IFERROR(__xludf.DUMMYFUNCTION("""COMPUTED_VALUE"""),"Abhishek Chaudhary")</f>
        <v>Abhishek Chaudhary</v>
      </c>
      <c r="H18" s="192" t="str">
        <f>IFERROR(__xludf.DUMMYFUNCTION("""COMPUTED_VALUE"""),"abhishek.chaudhary@zupee.in")</f>
        <v>abhishek.chaudhary@zupee.in</v>
      </c>
      <c r="I18" s="192" t="str">
        <f>IFERROR(__xludf.DUMMYFUNCTION("""COMPUTED_VALUE"""),": - ")</f>
        <v>: - </v>
      </c>
      <c r="J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2"/>
      <c r="B19" s="192"/>
      <c r="C19" s="192"/>
      <c r="D19" s="192"/>
      <c r="E19" s="192"/>
      <c r="F19" s="192"/>
      <c r="G19" s="192" t="str">
        <f>IFERROR(__xludf.DUMMYFUNCTION("""COMPUTED_VALUE"""),"Abhishek Kumar")</f>
        <v>Abhishek Kumar</v>
      </c>
      <c r="H19" s="192" t="str">
        <f>IFERROR(__xludf.DUMMYFUNCTION("""COMPUTED_VALUE"""),"abhishek.kumar@zupee.in")</f>
        <v>abhishek.kumar@zupee.in</v>
      </c>
      <c r="I19" s="192" t="str">
        <f>IFERROR(__xludf.DUMMYFUNCTION("""COMPUTED_VALUE"""),": - ")</f>
        <v>: - </v>
      </c>
      <c r="J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92"/>
      <c r="B20" s="192"/>
      <c r="C20" s="192"/>
      <c r="D20" s="192"/>
      <c r="E20" s="192"/>
      <c r="F20" s="192"/>
      <c r="G20" s="192" t="str">
        <f>IFERROR(__xludf.DUMMYFUNCTION("""COMPUTED_VALUE"""),"Abhishek Maheshwari")</f>
        <v>Abhishek Maheshwari</v>
      </c>
      <c r="H20" s="192" t="str">
        <f>IFERROR(__xludf.DUMMYFUNCTION("""COMPUTED_VALUE"""),"abhishek.maheshwari@zupee.in")</f>
        <v>abhishek.maheshwari@zupee.in</v>
      </c>
      <c r="I20" s="192" t="str">
        <f>IFERROR(__xludf.DUMMYFUNCTION("""COMPUTED_VALUE"""),": - ")</f>
        <v>: - </v>
      </c>
      <c r="J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92"/>
      <c r="B21" s="192"/>
      <c r="C21" s="192"/>
      <c r="D21" s="192"/>
      <c r="E21" s="192"/>
      <c r="F21" s="192"/>
      <c r="G21" s="192" t="str">
        <f>IFERROR(__xludf.DUMMYFUNCTION("""COMPUTED_VALUE"""),"Abhishek Mishra")</f>
        <v>Abhishek Mishra</v>
      </c>
      <c r="H21" s="192" t="str">
        <f>IFERROR(__xludf.DUMMYFUNCTION("""COMPUTED_VALUE"""),"abhishek.mishra@zupee.in")</f>
        <v>abhishek.mishra@zupee.in</v>
      </c>
      <c r="I21" s="192" t="str">
        <f>IFERROR(__xludf.DUMMYFUNCTION("""COMPUTED_VALUE"""),": - ")</f>
        <v>: - </v>
      </c>
      <c r="J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92"/>
      <c r="B22" s="192"/>
      <c r="C22" s="192"/>
      <c r="D22" s="192"/>
      <c r="E22" s="192"/>
      <c r="F22" s="192"/>
      <c r="G22" s="192" t="str">
        <f>IFERROR(__xludf.DUMMYFUNCTION("""COMPUTED_VALUE"""),"Abhishek Mudgal")</f>
        <v>Abhishek Mudgal</v>
      </c>
      <c r="H22" s="192" t="str">
        <f>IFERROR(__xludf.DUMMYFUNCTION("""COMPUTED_VALUE"""),"abhishek.mudgal@zupee.in")</f>
        <v>abhishek.mudgal@zupee.in</v>
      </c>
      <c r="I22" s="192" t="str">
        <f>IFERROR(__xludf.DUMMYFUNCTION("""COMPUTED_VALUE"""),": - ")</f>
        <v>: - </v>
      </c>
      <c r="J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92"/>
      <c r="B23" s="192"/>
      <c r="C23" s="192"/>
      <c r="D23" s="192"/>
      <c r="E23" s="192"/>
      <c r="F23" s="192"/>
      <c r="G23" s="192" t="str">
        <f>IFERROR(__xludf.DUMMYFUNCTION("""COMPUTED_VALUE"""),"Abhishek Raj")</f>
        <v>Abhishek Raj</v>
      </c>
      <c r="H23" s="192" t="str">
        <f>IFERROR(__xludf.DUMMYFUNCTION("""COMPUTED_VALUE"""),"abhishek.raj@zupee.in")</f>
        <v>abhishek.raj@zupee.in</v>
      </c>
      <c r="I23" s="192" t="str">
        <f>IFERROR(__xludf.DUMMYFUNCTION("""COMPUTED_VALUE"""),": - ")</f>
        <v>: - </v>
      </c>
      <c r="J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92"/>
      <c r="B24" s="192"/>
      <c r="C24" s="192"/>
      <c r="D24" s="192"/>
      <c r="E24" s="192"/>
      <c r="F24" s="192"/>
      <c r="G24" s="192" t="str">
        <f>IFERROR(__xludf.DUMMYFUNCTION("""COMPUTED_VALUE"""),"Abhishek Singh")</f>
        <v>Abhishek Singh</v>
      </c>
      <c r="H24" s="192" t="str">
        <f>IFERROR(__xludf.DUMMYFUNCTION("""COMPUTED_VALUE"""),"abhishek.singh@zupee.in")</f>
        <v>abhishek.singh@zupee.in</v>
      </c>
      <c r="I24" s="192" t="str">
        <f>IFERROR(__xludf.DUMMYFUNCTION("""COMPUTED_VALUE"""),": - ")</f>
        <v>: - </v>
      </c>
      <c r="J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92"/>
      <c r="B25" s="192"/>
      <c r="C25" s="192"/>
      <c r="D25" s="192"/>
      <c r="E25" s="192"/>
      <c r="F25" s="192"/>
      <c r="G25" s="192" t="str">
        <f>IFERROR(__xludf.DUMMYFUNCTION("""COMPUTED_VALUE"""),"Achla Vatsa")</f>
        <v>Achla Vatsa</v>
      </c>
      <c r="H25" s="192" t="str">
        <f>IFERROR(__xludf.DUMMYFUNCTION("""COMPUTED_VALUE"""),"achla.vatsa@zupee.in")</f>
        <v>achla.vatsa@zupee.in</v>
      </c>
      <c r="I25" s="192" t="str">
        <f>IFERROR(__xludf.DUMMYFUNCTION("""COMPUTED_VALUE"""),": - ")</f>
        <v>: - </v>
      </c>
      <c r="J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92"/>
      <c r="B26" s="192"/>
      <c r="C26" s="192"/>
      <c r="D26" s="192"/>
      <c r="E26" s="192"/>
      <c r="F26" s="192"/>
      <c r="G26" s="192" t="str">
        <f>IFERROR(__xludf.DUMMYFUNCTION("""COMPUTED_VALUE"""),"Adesh Sharma")</f>
        <v>Adesh Sharma</v>
      </c>
      <c r="H26" s="192" t="str">
        <f>IFERROR(__xludf.DUMMYFUNCTION("""COMPUTED_VALUE"""),"adesh.sharma@zupee.in")</f>
        <v>adesh.sharma@zupee.in</v>
      </c>
      <c r="I26" s="192" t="str">
        <f>IFERROR(__xludf.DUMMYFUNCTION("""COMPUTED_VALUE"""),": - ")</f>
        <v>: - </v>
      </c>
      <c r="J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92"/>
      <c r="B27" s="192"/>
      <c r="C27" s="192"/>
      <c r="D27" s="192"/>
      <c r="E27" s="192"/>
      <c r="F27" s="192"/>
      <c r="G27" s="192" t="str">
        <f>IFERROR(__xludf.DUMMYFUNCTION("""COMPUTED_VALUE"""),"Aditya Ganguly")</f>
        <v>Aditya Ganguly</v>
      </c>
      <c r="H27" s="192" t="str">
        <f>IFERROR(__xludf.DUMMYFUNCTION("""COMPUTED_VALUE"""),"aditya.ganguly@zupee.in")</f>
        <v>aditya.ganguly@zupee.in</v>
      </c>
      <c r="I27" s="192" t="str">
        <f>IFERROR(__xludf.DUMMYFUNCTION("""COMPUTED_VALUE"""),": - ")</f>
        <v>: - </v>
      </c>
      <c r="J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92"/>
      <c r="B28" s="192"/>
      <c r="C28" s="192"/>
      <c r="D28" s="192"/>
      <c r="E28" s="192"/>
      <c r="F28" s="192"/>
      <c r="G28" s="192" t="str">
        <f>IFERROR(__xludf.DUMMYFUNCTION("""COMPUTED_VALUE"""),"Aditya Garg")</f>
        <v>Aditya Garg</v>
      </c>
      <c r="H28" s="192" t="str">
        <f>IFERROR(__xludf.DUMMYFUNCTION("""COMPUTED_VALUE"""),"aditya.garg@zupee.in")</f>
        <v>aditya.garg@zupee.in</v>
      </c>
      <c r="I28" s="192" t="str">
        <f>IFERROR(__xludf.DUMMYFUNCTION("""COMPUTED_VALUE"""),": - ")</f>
        <v>: - </v>
      </c>
      <c r="J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92"/>
      <c r="B29" s="192"/>
      <c r="C29" s="192"/>
      <c r="D29" s="192"/>
      <c r="E29" s="192"/>
      <c r="F29" s="192"/>
      <c r="G29" s="192" t="str">
        <f>IFERROR(__xludf.DUMMYFUNCTION("""COMPUTED_VALUE"""),"Aditya Marda")</f>
        <v>Aditya Marda</v>
      </c>
      <c r="H29" s="192" t="str">
        <f>IFERROR(__xludf.DUMMYFUNCTION("""COMPUTED_VALUE"""),"aditya.marda@zupee.in")</f>
        <v>aditya.marda@zupee.in</v>
      </c>
      <c r="I29" s="192" t="str">
        <f>IFERROR(__xludf.DUMMYFUNCTION("""COMPUTED_VALUE"""),": - ")</f>
        <v>: - </v>
      </c>
      <c r="J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92"/>
      <c r="B30" s="192"/>
      <c r="C30" s="192"/>
      <c r="D30" s="192"/>
      <c r="E30" s="192"/>
      <c r="F30" s="192"/>
      <c r="G30" s="192" t="str">
        <f>IFERROR(__xludf.DUMMYFUNCTION("""COMPUTED_VALUE"""),"Advait Mulay - Intern")</f>
        <v>Advait Mulay - Intern</v>
      </c>
      <c r="H30" s="192" t="str">
        <f>IFERROR(__xludf.DUMMYFUNCTION("""COMPUTED_VALUE"""),"advait.mulay@zupee.in")</f>
        <v>advait.mulay@zupee.in</v>
      </c>
      <c r="I30" s="192" t="str">
        <f>IFERROR(__xludf.DUMMYFUNCTION("""COMPUTED_VALUE"""),": - ")</f>
        <v>: - </v>
      </c>
      <c r="J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92"/>
      <c r="B31" s="192"/>
      <c r="C31" s="192"/>
      <c r="D31" s="192"/>
      <c r="E31" s="192"/>
      <c r="F31" s="192"/>
      <c r="G31" s="192" t="str">
        <f>IFERROR(__xludf.DUMMYFUNCTION("""COMPUTED_VALUE"""),"Afshan Akram")</f>
        <v>Afshan Akram</v>
      </c>
      <c r="H31" s="192" t="str">
        <f>IFERROR(__xludf.DUMMYFUNCTION("""COMPUTED_VALUE"""),"afshan.akram@zupee.in")</f>
        <v>afshan.akram@zupee.in</v>
      </c>
      <c r="I31" s="192" t="str">
        <f>IFERROR(__xludf.DUMMYFUNCTION("""COMPUTED_VALUE"""),": - ")</f>
        <v>: - </v>
      </c>
      <c r="J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92"/>
      <c r="B32" s="192"/>
      <c r="C32" s="192"/>
      <c r="D32" s="192"/>
      <c r="E32" s="192"/>
      <c r="F32" s="192"/>
      <c r="G32" s="192" t="str">
        <f>IFERROR(__xludf.DUMMYFUNCTION("""COMPUTED_VALUE"""),"Ajayraj Singh - Intern")</f>
        <v>Ajayraj Singh - Intern</v>
      </c>
      <c r="H32" s="192" t="str">
        <f>IFERROR(__xludf.DUMMYFUNCTION("""COMPUTED_VALUE"""),"ajayraj.singh@zupee.in")</f>
        <v>ajayraj.singh@zupee.in</v>
      </c>
      <c r="I32" s="192" t="str">
        <f>IFERROR(__xludf.DUMMYFUNCTION("""COMPUTED_VALUE"""),": - ")</f>
        <v>: - </v>
      </c>
      <c r="J32" s="19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92"/>
      <c r="B33" s="192"/>
      <c r="C33" s="192"/>
      <c r="D33" s="192"/>
      <c r="E33" s="192"/>
      <c r="F33" s="192"/>
      <c r="G33" s="192" t="str">
        <f>IFERROR(__xludf.DUMMYFUNCTION("""COMPUTED_VALUE"""),"Ajinkya Sirohi")</f>
        <v>Ajinkya Sirohi</v>
      </c>
      <c r="H33" s="192" t="str">
        <f>IFERROR(__xludf.DUMMYFUNCTION("""COMPUTED_VALUE"""),"ajinkya.sirohi@zupee.in")</f>
        <v>ajinkya.sirohi@zupee.in</v>
      </c>
      <c r="I33" s="192" t="str">
        <f>IFERROR(__xludf.DUMMYFUNCTION("""COMPUTED_VALUE"""),": - ")</f>
        <v>: - </v>
      </c>
      <c r="J33" s="19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92"/>
      <c r="B34" s="192"/>
      <c r="C34" s="192"/>
      <c r="D34" s="192"/>
      <c r="E34" s="192"/>
      <c r="F34" s="192"/>
      <c r="G34" s="192" t="str">
        <f>IFERROR(__xludf.DUMMYFUNCTION("""COMPUTED_VALUE"""),"Ajitesh Mohanta")</f>
        <v>Ajitesh Mohanta</v>
      </c>
      <c r="H34" s="192" t="str">
        <f>IFERROR(__xludf.DUMMYFUNCTION("""COMPUTED_VALUE"""),"ajitesh.mohanta@zupee.in")</f>
        <v>ajitesh.mohanta@zupee.in</v>
      </c>
      <c r="I34" s="192" t="str">
        <f>IFERROR(__xludf.DUMMYFUNCTION("""COMPUTED_VALUE"""),": - ")</f>
        <v>: - </v>
      </c>
      <c r="J34" s="19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92"/>
      <c r="B35" s="192"/>
      <c r="C35" s="192"/>
      <c r="D35" s="192"/>
      <c r="E35" s="192"/>
      <c r="F35" s="192"/>
      <c r="G35" s="192" t="str">
        <f>IFERROR(__xludf.DUMMYFUNCTION("""COMPUTED_VALUE"""),"Akanksha Bhatia")</f>
        <v>Akanksha Bhatia</v>
      </c>
      <c r="H35" s="192" t="str">
        <f>IFERROR(__xludf.DUMMYFUNCTION("""COMPUTED_VALUE"""),"akanksha.bhatia@zupee.in")</f>
        <v>akanksha.bhatia@zupee.in</v>
      </c>
      <c r="I35" s="192" t="str">
        <f>IFERROR(__xludf.DUMMYFUNCTION("""COMPUTED_VALUE"""),": - ")</f>
        <v>: - </v>
      </c>
      <c r="J35" s="19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92"/>
      <c r="B36" s="192"/>
      <c r="C36" s="192"/>
      <c r="D36" s="192"/>
      <c r="E36" s="192"/>
      <c r="F36" s="192"/>
      <c r="G36" s="192" t="str">
        <f>IFERROR(__xludf.DUMMYFUNCTION("""COMPUTED_VALUE"""),"Akash Bisht")</f>
        <v>Akash Bisht</v>
      </c>
      <c r="H36" s="192" t="str">
        <f>IFERROR(__xludf.DUMMYFUNCTION("""COMPUTED_VALUE"""),"akash.bisht@zupee.in")</f>
        <v>akash.bisht@zupee.in</v>
      </c>
      <c r="I36" s="192" t="str">
        <f>IFERROR(__xludf.DUMMYFUNCTION("""COMPUTED_VALUE"""),": - ")</f>
        <v>: - </v>
      </c>
      <c r="J36" s="19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92"/>
      <c r="B37" s="192"/>
      <c r="C37" s="192"/>
      <c r="D37" s="192"/>
      <c r="E37" s="192"/>
      <c r="F37" s="192"/>
      <c r="G37" s="192" t="str">
        <f>IFERROR(__xludf.DUMMYFUNCTION("""COMPUTED_VALUE"""),"Akash Chauhan")</f>
        <v>Akash Chauhan</v>
      </c>
      <c r="H37" s="192" t="str">
        <f>IFERROR(__xludf.DUMMYFUNCTION("""COMPUTED_VALUE"""),"akash.chauhan@zupee.in")</f>
        <v>akash.chauhan@zupee.in</v>
      </c>
      <c r="I37" s="192" t="str">
        <f>IFERROR(__xludf.DUMMYFUNCTION("""COMPUTED_VALUE"""),": - ")</f>
        <v>: - </v>
      </c>
      <c r="J37" s="19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92"/>
      <c r="B38" s="192"/>
      <c r="C38" s="192"/>
      <c r="D38" s="192"/>
      <c r="E38" s="192"/>
      <c r="F38" s="192"/>
      <c r="G38" s="192" t="str">
        <f>IFERROR(__xludf.DUMMYFUNCTION("""COMPUTED_VALUE"""),"Akhilesh Boppana")</f>
        <v>Akhilesh Boppana</v>
      </c>
      <c r="H38" s="192" t="str">
        <f>IFERROR(__xludf.DUMMYFUNCTION("""COMPUTED_VALUE"""),"akhilesh.boppana@zupee.in")</f>
        <v>akhilesh.boppana@zupee.in</v>
      </c>
      <c r="I38" s="192" t="str">
        <f>IFERROR(__xludf.DUMMYFUNCTION("""COMPUTED_VALUE"""),": - ")</f>
        <v>: - </v>
      </c>
      <c r="J38" s="19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92"/>
      <c r="B39" s="192"/>
      <c r="C39" s="192"/>
      <c r="D39" s="192"/>
      <c r="E39" s="192"/>
      <c r="F39" s="192"/>
      <c r="G39" s="192" t="str">
        <f>IFERROR(__xludf.DUMMYFUNCTION("""COMPUTED_VALUE"""),"Akshay Kumar")</f>
        <v>Akshay Kumar</v>
      </c>
      <c r="H39" s="192" t="str">
        <f>IFERROR(__xludf.DUMMYFUNCTION("""COMPUTED_VALUE"""),"akshay.kumar@zupee.in")</f>
        <v>akshay.kumar@zupee.in</v>
      </c>
      <c r="I39" s="192" t="str">
        <f>IFERROR(__xludf.DUMMYFUNCTION("""COMPUTED_VALUE"""),": - ")</f>
        <v>: - </v>
      </c>
      <c r="J39" s="19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92"/>
      <c r="B40" s="192"/>
      <c r="C40" s="192"/>
      <c r="D40" s="192"/>
      <c r="E40" s="192"/>
      <c r="F40" s="192"/>
      <c r="G40" s="192" t="str">
        <f>IFERROR(__xludf.DUMMYFUNCTION("""COMPUTED_VALUE"""),"Akshit Kumar")</f>
        <v>Akshit Kumar</v>
      </c>
      <c r="H40" s="192" t="str">
        <f>IFERROR(__xludf.DUMMYFUNCTION("""COMPUTED_VALUE"""),"akshit.kumar@zupee.in")</f>
        <v>akshit.kumar@zupee.in</v>
      </c>
      <c r="I40" s="192" t="str">
        <f>IFERROR(__xludf.DUMMYFUNCTION("""COMPUTED_VALUE"""),": - ")</f>
        <v>: - </v>
      </c>
      <c r="J40" s="19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92"/>
      <c r="B41" s="192"/>
      <c r="C41" s="192"/>
      <c r="D41" s="192"/>
      <c r="E41" s="192"/>
      <c r="F41" s="192"/>
      <c r="G41" s="192" t="str">
        <f>IFERROR(__xludf.DUMMYFUNCTION("""COMPUTED_VALUE"""),"Aksshay Malaviya")</f>
        <v>Aksshay Malaviya</v>
      </c>
      <c r="H41" s="192" t="str">
        <f>IFERROR(__xludf.DUMMYFUNCTION("""COMPUTED_VALUE"""),"aksshay.malaviya@zupee.in")</f>
        <v>aksshay.malaviya@zupee.in</v>
      </c>
      <c r="I41" s="192" t="str">
        <f>IFERROR(__xludf.DUMMYFUNCTION("""COMPUTED_VALUE"""),": - ")</f>
        <v>: - </v>
      </c>
      <c r="J41" s="19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92"/>
      <c r="B42" s="192"/>
      <c r="C42" s="192"/>
      <c r="D42" s="192"/>
      <c r="E42" s="192"/>
      <c r="F42" s="192"/>
      <c r="G42" s="192" t="str">
        <f>IFERROR(__xludf.DUMMYFUNCTION("""COMPUTED_VALUE"""),"Alankrita Sharma")</f>
        <v>Alankrita Sharma</v>
      </c>
      <c r="H42" s="192" t="str">
        <f>IFERROR(__xludf.DUMMYFUNCTION("""COMPUTED_VALUE"""),"alankrita.sharma@zupee.in")</f>
        <v>alankrita.sharma@zupee.in</v>
      </c>
      <c r="I42" s="192" t="str">
        <f>IFERROR(__xludf.DUMMYFUNCTION("""COMPUTED_VALUE"""),": - ")</f>
        <v>: - </v>
      </c>
      <c r="J42" s="19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92"/>
      <c r="B43" s="192"/>
      <c r="C43" s="192"/>
      <c r="D43" s="192"/>
      <c r="E43" s="192"/>
      <c r="F43" s="192"/>
      <c r="G43" s="192" t="str">
        <f>IFERROR(__xludf.DUMMYFUNCTION("""COMPUTED_VALUE"""),"Alok")</f>
        <v>Alok</v>
      </c>
      <c r="H43" s="192" t="str">
        <f>IFERROR(__xludf.DUMMYFUNCTION("""COMPUTED_VALUE"""),"alok.mahor@zupee.in")</f>
        <v>alok.mahor@zupee.in</v>
      </c>
      <c r="I43" s="192" t="str">
        <f>IFERROR(__xludf.DUMMYFUNCTION("""COMPUTED_VALUE"""),": - ")</f>
        <v>: - </v>
      </c>
      <c r="J43" s="19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92"/>
      <c r="B44" s="192"/>
      <c r="C44" s="192"/>
      <c r="D44" s="192"/>
      <c r="E44" s="192"/>
      <c r="F44" s="192"/>
      <c r="G44" s="192" t="str">
        <f>IFERROR(__xludf.DUMMYFUNCTION("""COMPUTED_VALUE"""),"Alok Singh")</f>
        <v>Alok Singh</v>
      </c>
      <c r="H44" s="192" t="str">
        <f>IFERROR(__xludf.DUMMYFUNCTION("""COMPUTED_VALUE"""),"alok.singh@zupee.in")</f>
        <v>alok.singh@zupee.in</v>
      </c>
      <c r="I44" s="192" t="str">
        <f>IFERROR(__xludf.DUMMYFUNCTION("""COMPUTED_VALUE"""),": - ")</f>
        <v>: - </v>
      </c>
      <c r="J44" s="19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92"/>
      <c r="B45" s="192"/>
      <c r="C45" s="192"/>
      <c r="D45" s="192"/>
      <c r="E45" s="192"/>
      <c r="F45" s="192"/>
      <c r="G45" s="192" t="str">
        <f>IFERROR(__xludf.DUMMYFUNCTION("""COMPUTED_VALUE"""),"Alpika Singh")</f>
        <v>Alpika Singh</v>
      </c>
      <c r="H45" s="192" t="str">
        <f>IFERROR(__xludf.DUMMYFUNCTION("""COMPUTED_VALUE"""),"alpika.singh@zupee.in")</f>
        <v>alpika.singh@zupee.in</v>
      </c>
      <c r="I45" s="192" t="str">
        <f>IFERROR(__xludf.DUMMYFUNCTION("""COMPUTED_VALUE"""),": - ")</f>
        <v>: - </v>
      </c>
      <c r="J45" s="19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92"/>
      <c r="B46" s="192"/>
      <c r="C46" s="192"/>
      <c r="D46" s="192"/>
      <c r="E46" s="192"/>
      <c r="F46" s="192"/>
      <c r="G46" s="192" t="str">
        <f>IFERROR(__xludf.DUMMYFUNCTION("""COMPUTED_VALUE"""),"Aman Choudhury")</f>
        <v>Aman Choudhury</v>
      </c>
      <c r="H46" s="192" t="str">
        <f>IFERROR(__xludf.DUMMYFUNCTION("""COMPUTED_VALUE"""),"aman.choudhury@zupee.in")</f>
        <v>aman.choudhury@zupee.in</v>
      </c>
      <c r="I46" s="192" t="str">
        <f>IFERROR(__xludf.DUMMYFUNCTION("""COMPUTED_VALUE"""),": - ")</f>
        <v>: - </v>
      </c>
      <c r="J46" s="19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92"/>
      <c r="B47" s="192"/>
      <c r="C47" s="192"/>
      <c r="D47" s="192"/>
      <c r="E47" s="192"/>
      <c r="F47" s="192"/>
      <c r="G47" s="192" t="str">
        <f>IFERROR(__xludf.DUMMYFUNCTION("""COMPUTED_VALUE"""),"Aman Ludhwani")</f>
        <v>Aman Ludhwani</v>
      </c>
      <c r="H47" s="192" t="str">
        <f>IFERROR(__xludf.DUMMYFUNCTION("""COMPUTED_VALUE"""),"aman.ludhwani@zupee.in")</f>
        <v>aman.ludhwani@zupee.in</v>
      </c>
      <c r="I47" s="192" t="str">
        <f>IFERROR(__xludf.DUMMYFUNCTION("""COMPUTED_VALUE"""),": - ")</f>
        <v>: - </v>
      </c>
      <c r="J47" s="19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92"/>
      <c r="B48" s="192"/>
      <c r="C48" s="192"/>
      <c r="D48" s="192"/>
      <c r="E48" s="192"/>
      <c r="F48" s="192"/>
      <c r="G48" s="192" t="str">
        <f>IFERROR(__xludf.DUMMYFUNCTION("""COMPUTED_VALUE"""),"Amit Arora")</f>
        <v>Amit Arora</v>
      </c>
      <c r="H48" s="192" t="str">
        <f>IFERROR(__xludf.DUMMYFUNCTION("""COMPUTED_VALUE"""),"amit.arora@zupee.in")</f>
        <v>amit.arora@zupee.in</v>
      </c>
      <c r="I48" s="192" t="str">
        <f>IFERROR(__xludf.DUMMYFUNCTION("""COMPUTED_VALUE"""),": - ")</f>
        <v>: - </v>
      </c>
      <c r="J48" s="19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92"/>
      <c r="B49" s="192"/>
      <c r="C49" s="192"/>
      <c r="D49" s="192"/>
      <c r="E49" s="192"/>
      <c r="F49" s="192"/>
      <c r="G49" s="192" t="str">
        <f>IFERROR(__xludf.DUMMYFUNCTION("""COMPUTED_VALUE"""),"Amit K")</f>
        <v>Amit K</v>
      </c>
      <c r="H49" s="192" t="str">
        <f>IFERROR(__xludf.DUMMYFUNCTION("""COMPUTED_VALUE"""),"amit.k@zupee.in")</f>
        <v>amit.k@zupee.in</v>
      </c>
      <c r="I49" s="192" t="str">
        <f>IFERROR(__xludf.DUMMYFUNCTION("""COMPUTED_VALUE"""),": - ")</f>
        <v>: - </v>
      </c>
      <c r="J49" s="19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92"/>
      <c r="B50" s="192"/>
      <c r="C50" s="192"/>
      <c r="D50" s="192"/>
      <c r="E50" s="192"/>
      <c r="F50" s="192"/>
      <c r="G50" s="192" t="str">
        <f>IFERROR(__xludf.DUMMYFUNCTION("""COMPUTED_VALUE"""),"Amit Kumar")</f>
        <v>Amit Kumar</v>
      </c>
      <c r="H50" s="192" t="str">
        <f>IFERROR(__xludf.DUMMYFUNCTION("""COMPUTED_VALUE"""),"amit.kumar@zupee.in")</f>
        <v>amit.kumar@zupee.in</v>
      </c>
      <c r="I50" s="192" t="str">
        <f>IFERROR(__xludf.DUMMYFUNCTION("""COMPUTED_VALUE"""),": - ")</f>
        <v>: - </v>
      </c>
      <c r="J50" s="19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92"/>
      <c r="B51" s="192"/>
      <c r="C51" s="192"/>
      <c r="D51" s="192"/>
      <c r="E51" s="192"/>
      <c r="F51" s="192"/>
      <c r="G51" s="192" t="str">
        <f>IFERROR(__xludf.DUMMYFUNCTION("""COMPUTED_VALUE"""),"Amit Shukla")</f>
        <v>Amit Shukla</v>
      </c>
      <c r="H51" s="192" t="str">
        <f>IFERROR(__xludf.DUMMYFUNCTION("""COMPUTED_VALUE"""),"amit.shukla@zupee.in")</f>
        <v>amit.shukla@zupee.in</v>
      </c>
      <c r="I51" s="192" t="str">
        <f>IFERROR(__xludf.DUMMYFUNCTION("""COMPUTED_VALUE"""),": - ")</f>
        <v>: - </v>
      </c>
      <c r="J51" s="19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92"/>
      <c r="B52" s="192"/>
      <c r="C52" s="192"/>
      <c r="D52" s="192"/>
      <c r="E52" s="192"/>
      <c r="F52" s="192"/>
      <c r="G52" s="192" t="str">
        <f>IFERROR(__xludf.DUMMYFUNCTION("""COMPUTED_VALUE"""),"Amiya Panda")</f>
        <v>Amiya Panda</v>
      </c>
      <c r="H52" s="192" t="str">
        <f>IFERROR(__xludf.DUMMYFUNCTION("""COMPUTED_VALUE"""),"amiya.panda@zupee.in")</f>
        <v>amiya.panda@zupee.in</v>
      </c>
      <c r="I52" s="192" t="str">
        <f>IFERROR(__xludf.DUMMYFUNCTION("""COMPUTED_VALUE"""),": - ")</f>
        <v>: - </v>
      </c>
      <c r="J52" s="19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92"/>
      <c r="B53" s="192"/>
      <c r="C53" s="192"/>
      <c r="D53" s="192"/>
      <c r="E53" s="192"/>
      <c r="F53" s="192"/>
      <c r="G53" s="192" t="str">
        <f>IFERROR(__xludf.DUMMYFUNCTION("""COMPUTED_VALUE"""),"Amul")</f>
        <v>Amul</v>
      </c>
      <c r="H53" s="192" t="str">
        <f>IFERROR(__xludf.DUMMYFUNCTION("""COMPUTED_VALUE"""),"amul.singh@zupee.in")</f>
        <v>amul.singh@zupee.in</v>
      </c>
      <c r="I53" s="192" t="str">
        <f>IFERROR(__xludf.DUMMYFUNCTION("""COMPUTED_VALUE"""),": - ")</f>
        <v>: - </v>
      </c>
      <c r="J53" s="19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92"/>
      <c r="B54" s="192"/>
      <c r="C54" s="192"/>
      <c r="D54" s="192"/>
      <c r="E54" s="192"/>
      <c r="F54" s="192"/>
      <c r="G54" s="192" t="str">
        <f>IFERROR(__xludf.DUMMYFUNCTION("""COMPUTED_VALUE"""),"Anais Kumar")</f>
        <v>Anais Kumar</v>
      </c>
      <c r="H54" s="192" t="str">
        <f>IFERROR(__xludf.DUMMYFUNCTION("""COMPUTED_VALUE"""),"anais.kumar@zupee.in")</f>
        <v>anais.kumar@zupee.in</v>
      </c>
      <c r="I54" s="192" t="str">
        <f>IFERROR(__xludf.DUMMYFUNCTION("""COMPUTED_VALUE"""),": - ")</f>
        <v>: - </v>
      </c>
      <c r="J54" s="19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92"/>
      <c r="B55" s="192"/>
      <c r="C55" s="192"/>
      <c r="D55" s="192"/>
      <c r="E55" s="192"/>
      <c r="F55" s="192"/>
      <c r="G55" s="192" t="str">
        <f>IFERROR(__xludf.DUMMYFUNCTION("""COMPUTED_VALUE"""),"Aneesh Garg")</f>
        <v>Aneesh Garg</v>
      </c>
      <c r="H55" s="192" t="str">
        <f>IFERROR(__xludf.DUMMYFUNCTION("""COMPUTED_VALUE"""),"aneesh.garg@zupee.in")</f>
        <v>aneesh.garg@zupee.in</v>
      </c>
      <c r="I55" s="192" t="str">
        <f>IFERROR(__xludf.DUMMYFUNCTION("""COMPUTED_VALUE"""),": - ")</f>
        <v>: - </v>
      </c>
      <c r="J55" s="19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92"/>
      <c r="B56" s="192"/>
      <c r="C56" s="192"/>
      <c r="D56" s="192"/>
      <c r="E56" s="192"/>
      <c r="F56" s="192"/>
      <c r="G56" s="192" t="str">
        <f>IFERROR(__xludf.DUMMYFUNCTION("""COMPUTED_VALUE"""),"Anil Meher")</f>
        <v>Anil Meher</v>
      </c>
      <c r="H56" s="192" t="str">
        <f>IFERROR(__xludf.DUMMYFUNCTION("""COMPUTED_VALUE"""),"anil.meher@zupee.in")</f>
        <v>anil.meher@zupee.in</v>
      </c>
      <c r="I56" s="192" t="str">
        <f>IFERROR(__xludf.DUMMYFUNCTION("""COMPUTED_VALUE"""),": - ")</f>
        <v>: - </v>
      </c>
      <c r="J56" s="19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92"/>
      <c r="B57" s="192"/>
      <c r="C57" s="192"/>
      <c r="D57" s="192"/>
      <c r="E57" s="192"/>
      <c r="F57" s="192"/>
      <c r="G57" s="192" t="str">
        <f>IFERROR(__xludf.DUMMYFUNCTION("""COMPUTED_VALUE"""),"Aniruddh Sharma")</f>
        <v>Aniruddh Sharma</v>
      </c>
      <c r="H57" s="192" t="str">
        <f>IFERROR(__xludf.DUMMYFUNCTION("""COMPUTED_VALUE"""),"aniruddha.sharma@zupee.in")</f>
        <v>aniruddha.sharma@zupee.in</v>
      </c>
      <c r="I57" s="192" t="str">
        <f>IFERROR(__xludf.DUMMYFUNCTION("""COMPUTED_VALUE"""),": - ")</f>
        <v>: - </v>
      </c>
      <c r="J57" s="19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92"/>
      <c r="B58" s="192"/>
      <c r="C58" s="192"/>
      <c r="D58" s="192"/>
      <c r="E58" s="192"/>
      <c r="F58" s="192"/>
      <c r="G58" s="192" t="str">
        <f>IFERROR(__xludf.DUMMYFUNCTION("""COMPUTED_VALUE"""),"Anish Choudhary")</f>
        <v>Anish Choudhary</v>
      </c>
      <c r="H58" s="192" t="str">
        <f>IFERROR(__xludf.DUMMYFUNCTION("""COMPUTED_VALUE"""),"anish.choudhary@zupee.in")</f>
        <v>anish.choudhary@zupee.in</v>
      </c>
      <c r="I58" s="192" t="str">
        <f>IFERROR(__xludf.DUMMYFUNCTION("""COMPUTED_VALUE"""),": - ")</f>
        <v>: - </v>
      </c>
      <c r="J58" s="19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92"/>
      <c r="B59" s="192"/>
      <c r="C59" s="192"/>
      <c r="D59" s="192"/>
      <c r="E59" s="192"/>
      <c r="F59" s="192"/>
      <c r="G59" s="192" t="str">
        <f>IFERROR(__xludf.DUMMYFUNCTION("""COMPUTED_VALUE"""),"Anita Rane")</f>
        <v>Anita Rane</v>
      </c>
      <c r="H59" s="192" t="str">
        <f>IFERROR(__xludf.DUMMYFUNCTION("""COMPUTED_VALUE"""),"anita.rane@zupee.in")</f>
        <v>anita.rane@zupee.in</v>
      </c>
      <c r="I59" s="192" t="str">
        <f>IFERROR(__xludf.DUMMYFUNCTION("""COMPUTED_VALUE"""),": - ")</f>
        <v>: - </v>
      </c>
      <c r="J59" s="19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92"/>
      <c r="B60" s="192"/>
      <c r="C60" s="192"/>
      <c r="D60" s="192"/>
      <c r="E60" s="192"/>
      <c r="F60" s="192"/>
      <c r="G60" s="192" t="str">
        <f>IFERROR(__xludf.DUMMYFUNCTION("""COMPUTED_VALUE"""),"Anjali")</f>
        <v>Anjali</v>
      </c>
      <c r="H60" s="192" t="str">
        <f>IFERROR(__xludf.DUMMYFUNCTION("""COMPUTED_VALUE"""),"anjali.rai@zupee.in")</f>
        <v>anjali.rai@zupee.in</v>
      </c>
      <c r="I60" s="192" t="str">
        <f>IFERROR(__xludf.DUMMYFUNCTION("""COMPUTED_VALUE"""),": - ")</f>
        <v>: - </v>
      </c>
      <c r="J60" s="19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92"/>
      <c r="B61" s="192"/>
      <c r="C61" s="192"/>
      <c r="D61" s="192"/>
      <c r="E61" s="192"/>
      <c r="F61" s="192"/>
      <c r="G61" s="192" t="str">
        <f>IFERROR(__xludf.DUMMYFUNCTION("""COMPUTED_VALUE"""),"Ankita Pradhan")</f>
        <v>Ankita Pradhan</v>
      </c>
      <c r="H61" s="192" t="str">
        <f>IFERROR(__xludf.DUMMYFUNCTION("""COMPUTED_VALUE"""),"ankita.pradhan@zupee.in")</f>
        <v>ankita.pradhan@zupee.in</v>
      </c>
      <c r="I61" s="192" t="str">
        <f>IFERROR(__xludf.DUMMYFUNCTION("""COMPUTED_VALUE"""),": - ")</f>
        <v>: - </v>
      </c>
      <c r="J61" s="19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92"/>
      <c r="B62" s="192"/>
      <c r="C62" s="192"/>
      <c r="D62" s="192"/>
      <c r="E62" s="192"/>
      <c r="F62" s="192"/>
      <c r="G62" s="192" t="str">
        <f>IFERROR(__xludf.DUMMYFUNCTION("""COMPUTED_VALUE"""),"Ankur Agarwal")</f>
        <v>Ankur Agarwal</v>
      </c>
      <c r="H62" s="192" t="str">
        <f>IFERROR(__xludf.DUMMYFUNCTION("""COMPUTED_VALUE"""),"ankur.agarwal@zupee.in")</f>
        <v>ankur.agarwal@zupee.in</v>
      </c>
      <c r="I62" s="192" t="str">
        <f>IFERROR(__xludf.DUMMYFUNCTION("""COMPUTED_VALUE"""),": - ")</f>
        <v>: - </v>
      </c>
      <c r="J62" s="19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92"/>
      <c r="B63" s="192"/>
      <c r="C63" s="192"/>
      <c r="D63" s="192"/>
      <c r="E63" s="192"/>
      <c r="F63" s="192"/>
      <c r="G63" s="192" t="str">
        <f>IFERROR(__xludf.DUMMYFUNCTION("""COMPUTED_VALUE"""),"Ankur Sharma")</f>
        <v>Ankur Sharma</v>
      </c>
      <c r="H63" s="192" t="str">
        <f>IFERROR(__xludf.DUMMYFUNCTION("""COMPUTED_VALUE"""),"ankur.sharma@zupee.in")</f>
        <v>ankur.sharma@zupee.in</v>
      </c>
      <c r="I63" s="192" t="str">
        <f>IFERROR(__xludf.DUMMYFUNCTION("""COMPUTED_VALUE"""),": - ")</f>
        <v>: - </v>
      </c>
      <c r="J63" s="19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92"/>
      <c r="B64" s="192"/>
      <c r="C64" s="192"/>
      <c r="D64" s="192"/>
      <c r="E64" s="192"/>
      <c r="F64" s="192"/>
      <c r="G64" s="192" t="str">
        <f>IFERROR(__xludf.DUMMYFUNCTION("""COMPUTED_VALUE"""),"Anshu Satheesh")</f>
        <v>Anshu Satheesh</v>
      </c>
      <c r="H64" s="192" t="str">
        <f>IFERROR(__xludf.DUMMYFUNCTION("""COMPUTED_VALUE"""),"anshu.satheesh@zupee.in")</f>
        <v>anshu.satheesh@zupee.in</v>
      </c>
      <c r="I64" s="192" t="str">
        <f>IFERROR(__xludf.DUMMYFUNCTION("""COMPUTED_VALUE"""),": - ")</f>
        <v>: - </v>
      </c>
      <c r="J64" s="19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92"/>
      <c r="B65" s="192"/>
      <c r="C65" s="192"/>
      <c r="D65" s="192"/>
      <c r="E65" s="192"/>
      <c r="F65" s="192"/>
      <c r="G65" s="192" t="str">
        <f>IFERROR(__xludf.DUMMYFUNCTION("""COMPUTED_VALUE"""),"Anubhav Mishra")</f>
        <v>Anubhav Mishra</v>
      </c>
      <c r="H65" s="192" t="str">
        <f>IFERROR(__xludf.DUMMYFUNCTION("""COMPUTED_VALUE"""),"anubhav.mishra@zupee.in")</f>
        <v>anubhav.mishra@zupee.in</v>
      </c>
      <c r="I65" s="192" t="str">
        <f>IFERROR(__xludf.DUMMYFUNCTION("""COMPUTED_VALUE"""),": - ")</f>
        <v>: - </v>
      </c>
      <c r="J65" s="19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92"/>
      <c r="B66" s="192"/>
      <c r="C66" s="192"/>
      <c r="D66" s="192"/>
      <c r="E66" s="192"/>
      <c r="F66" s="192"/>
      <c r="G66" s="192" t="str">
        <f>IFERROR(__xludf.DUMMYFUNCTION("""COMPUTED_VALUE"""),"Anuj Singh")</f>
        <v>Anuj Singh</v>
      </c>
      <c r="H66" s="192" t="str">
        <f>IFERROR(__xludf.DUMMYFUNCTION("""COMPUTED_VALUE"""),"anuj.singh@zupee.in")</f>
        <v>anuj.singh@zupee.in</v>
      </c>
      <c r="I66" s="192" t="str">
        <f>IFERROR(__xludf.DUMMYFUNCTION("""COMPUTED_VALUE"""),": - ")</f>
        <v>: - </v>
      </c>
      <c r="J66" s="19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92"/>
      <c r="B67" s="192"/>
      <c r="C67" s="192"/>
      <c r="D67" s="192"/>
      <c r="E67" s="192"/>
      <c r="F67" s="192"/>
      <c r="G67" s="192" t="str">
        <f>IFERROR(__xludf.DUMMYFUNCTION("""COMPUTED_VALUE"""),"anupam.‚Äãkushwah")</f>
        <v>anupam.‚Äãkushwah</v>
      </c>
      <c r="H67" s="192" t="str">
        <f>IFERROR(__xludf.DUMMYFUNCTION("""COMPUTED_VALUE"""),"anupam.kushwah@zupee.in")</f>
        <v>anupam.kushwah@zupee.in</v>
      </c>
      <c r="I67" s="192" t="str">
        <f>IFERROR(__xludf.DUMMYFUNCTION("""COMPUTED_VALUE"""),": - ")</f>
        <v>: - </v>
      </c>
      <c r="J67" s="19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92"/>
      <c r="B68" s="192"/>
      <c r="C68" s="192"/>
      <c r="D68" s="192"/>
      <c r="E68" s="192"/>
      <c r="F68" s="192"/>
      <c r="G68" s="192" t="str">
        <f>IFERROR(__xludf.DUMMYFUNCTION("""COMPUTED_VALUE"""),"Anurag Dhandhi")</f>
        <v>Anurag Dhandhi</v>
      </c>
      <c r="H68" s="192" t="str">
        <f>IFERROR(__xludf.DUMMYFUNCTION("""COMPUTED_VALUE"""),"anurag.dhandhi@zupee.in")</f>
        <v>anurag.dhandhi@zupee.in</v>
      </c>
      <c r="I68" s="192" t="str">
        <f>IFERROR(__xludf.DUMMYFUNCTION("""COMPUTED_VALUE"""),": - ")</f>
        <v>: - </v>
      </c>
      <c r="J68" s="19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92"/>
      <c r="B69" s="192"/>
      <c r="C69" s="192"/>
      <c r="D69" s="192"/>
      <c r="E69" s="192"/>
      <c r="F69" s="192"/>
      <c r="G69" s="192" t="str">
        <f>IFERROR(__xludf.DUMMYFUNCTION("""COMPUTED_VALUE"""),"Anurag Shukla")</f>
        <v>Anurag Shukla</v>
      </c>
      <c r="H69" s="192" t="str">
        <f>IFERROR(__xludf.DUMMYFUNCTION("""COMPUTED_VALUE"""),"anurag.shukla@zupee.in")</f>
        <v>anurag.shukla@zupee.in</v>
      </c>
      <c r="I69" s="192" t="str">
        <f>IFERROR(__xludf.DUMMYFUNCTION("""COMPUTED_VALUE"""),": - ")</f>
        <v>: - </v>
      </c>
      <c r="J69" s="19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92"/>
      <c r="B70" s="192"/>
      <c r="C70" s="192"/>
      <c r="D70" s="192"/>
      <c r="E70" s="192"/>
      <c r="F70" s="192"/>
      <c r="G70" s="192" t="str">
        <f>IFERROR(__xludf.DUMMYFUNCTION("""COMPUTED_VALUE"""),"Anurag Pratap Singh")</f>
        <v>Anurag Pratap Singh</v>
      </c>
      <c r="H70" s="192" t="str">
        <f>IFERROR(__xludf.DUMMYFUNCTION("""COMPUTED_VALUE"""),"anurag.singh@zupee.in")</f>
        <v>anurag.singh@zupee.in</v>
      </c>
      <c r="I70" s="192" t="str">
        <f>IFERROR(__xludf.DUMMYFUNCTION("""COMPUTED_VALUE"""),": - ")</f>
        <v>: - </v>
      </c>
      <c r="J70" s="19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92"/>
      <c r="B71" s="192"/>
      <c r="C71" s="192"/>
      <c r="D71" s="192"/>
      <c r="E71" s="192"/>
      <c r="F71" s="192"/>
      <c r="G71" s="192" t="str">
        <f>IFERROR(__xludf.DUMMYFUNCTION("""COMPUTED_VALUE"""),"Apoorv Bhargava")</f>
        <v>Apoorv Bhargava</v>
      </c>
      <c r="H71" s="192" t="str">
        <f>IFERROR(__xludf.DUMMYFUNCTION("""COMPUTED_VALUE"""),"apoorv.bhargava@zupee.in")</f>
        <v>apoorv.bhargava@zupee.in</v>
      </c>
      <c r="I71" s="192" t="str">
        <f>IFERROR(__xludf.DUMMYFUNCTION("""COMPUTED_VALUE"""),": - ")</f>
        <v>: - </v>
      </c>
      <c r="J71" s="19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92"/>
      <c r="B72" s="192"/>
      <c r="C72" s="192"/>
      <c r="D72" s="192"/>
      <c r="E72" s="192"/>
      <c r="F72" s="192"/>
      <c r="G72" s="192" t="str">
        <f>IFERROR(__xludf.DUMMYFUNCTION("""COMPUTED_VALUE"""),"Apoorv Kalia")</f>
        <v>Apoorv Kalia</v>
      </c>
      <c r="H72" s="192" t="str">
        <f>IFERROR(__xludf.DUMMYFUNCTION("""COMPUTED_VALUE"""),"apoorv.kalia@zupee.in")</f>
        <v>apoorv.kalia@zupee.in</v>
      </c>
      <c r="I72" s="192" t="str">
        <f>IFERROR(__xludf.DUMMYFUNCTION("""COMPUTED_VALUE"""),": - ")</f>
        <v>: - </v>
      </c>
      <c r="J72" s="19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92"/>
      <c r="B73" s="192"/>
      <c r="C73" s="192"/>
      <c r="D73" s="192"/>
      <c r="E73" s="192"/>
      <c r="F73" s="192"/>
      <c r="G73" s="192" t="str">
        <f>IFERROR(__xludf.DUMMYFUNCTION("""COMPUTED_VALUE"""),"Apurav Garg")</f>
        <v>Apurav Garg</v>
      </c>
      <c r="H73" s="192" t="str">
        <f>IFERROR(__xludf.DUMMYFUNCTION("""COMPUTED_VALUE"""),"apurav.garg@zupee.in")</f>
        <v>apurav.garg@zupee.in</v>
      </c>
      <c r="I73" s="192" t="str">
        <f>IFERROR(__xludf.DUMMYFUNCTION("""COMPUTED_VALUE"""),": - ")</f>
        <v>: - </v>
      </c>
      <c r="J73" s="19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92"/>
      <c r="B74" s="192"/>
      <c r="C74" s="192"/>
      <c r="D74" s="192"/>
      <c r="E74" s="192"/>
      <c r="F74" s="192"/>
      <c r="G74" s="192" t="str">
        <f>IFERROR(__xludf.DUMMYFUNCTION("""COMPUTED_VALUE"""),"Ara Avasthi")</f>
        <v>Ara Avasthi</v>
      </c>
      <c r="H74" s="192" t="str">
        <f>IFERROR(__xludf.DUMMYFUNCTION("""COMPUTED_VALUE"""),"ara.avasthi@zupee.in")</f>
        <v>ara.avasthi@zupee.in</v>
      </c>
      <c r="I74" s="192" t="str">
        <f>IFERROR(__xludf.DUMMYFUNCTION("""COMPUTED_VALUE"""),": - ")</f>
        <v>: - </v>
      </c>
      <c r="J74" s="19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2"/>
      <c r="B75" s="192"/>
      <c r="C75" s="192"/>
      <c r="D75" s="192"/>
      <c r="E75" s="192"/>
      <c r="F75" s="192"/>
      <c r="G75" s="192" t="str">
        <f>IFERROR(__xludf.DUMMYFUNCTION("""COMPUTED_VALUE"""),"Aral Avasthi")</f>
        <v>Aral Avasthi</v>
      </c>
      <c r="H75" s="192" t="str">
        <f>IFERROR(__xludf.DUMMYFUNCTION("""COMPUTED_VALUE"""),"aral.avasthi@zupee.in")</f>
        <v>aral.avasthi@zupee.in</v>
      </c>
      <c r="I75" s="192" t="str">
        <f>IFERROR(__xludf.DUMMYFUNCTION("""COMPUTED_VALUE"""),": - ")</f>
        <v>: - </v>
      </c>
      <c r="J75" s="19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92"/>
      <c r="B76" s="192"/>
      <c r="C76" s="192"/>
      <c r="D76" s="192"/>
      <c r="E76" s="192"/>
      <c r="F76" s="192"/>
      <c r="G76" s="192" t="str">
        <f>IFERROR(__xludf.DUMMYFUNCTION("""COMPUTED_VALUE"""),"Archit Kumar")</f>
        <v>Archit Kumar</v>
      </c>
      <c r="H76" s="192" t="str">
        <f>IFERROR(__xludf.DUMMYFUNCTION("""COMPUTED_VALUE"""),"archit.kumar@zupee.in")</f>
        <v>archit.kumar@zupee.in</v>
      </c>
      <c r="I76" s="192" t="str">
        <f>IFERROR(__xludf.DUMMYFUNCTION("""COMPUTED_VALUE"""),": - ")</f>
        <v>: - </v>
      </c>
      <c r="J76" s="19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92"/>
      <c r="B77" s="192"/>
      <c r="C77" s="192"/>
      <c r="D77" s="192"/>
      <c r="E77" s="192"/>
      <c r="F77" s="192"/>
      <c r="G77" s="192" t="str">
        <f>IFERROR(__xludf.DUMMYFUNCTION("""COMPUTED_VALUE"""),"Arjun Sankhala")</f>
        <v>Arjun Sankhala</v>
      </c>
      <c r="H77" s="192" t="str">
        <f>IFERROR(__xludf.DUMMYFUNCTION("""COMPUTED_VALUE"""),"arjun.sankhala@zupee.in")</f>
        <v>arjun.sankhala@zupee.in</v>
      </c>
      <c r="I77" s="192" t="str">
        <f>IFERROR(__xludf.DUMMYFUNCTION("""COMPUTED_VALUE"""),": - ")</f>
        <v>: - </v>
      </c>
      <c r="J77" s="19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92"/>
      <c r="B78" s="192"/>
      <c r="C78" s="192"/>
      <c r="D78" s="192"/>
      <c r="E78" s="192"/>
      <c r="F78" s="192"/>
      <c r="G78" s="192" t="str">
        <f>IFERROR(__xludf.DUMMYFUNCTION("""COMPUTED_VALUE"""),"Arpan Khosla")</f>
        <v>Arpan Khosla</v>
      </c>
      <c r="H78" s="192" t="str">
        <f>IFERROR(__xludf.DUMMYFUNCTION("""COMPUTED_VALUE"""),"arpan.khosla@zupee.in")</f>
        <v>arpan.khosla@zupee.in</v>
      </c>
      <c r="I78" s="192" t="str">
        <f>IFERROR(__xludf.DUMMYFUNCTION("""COMPUTED_VALUE"""),": - ")</f>
        <v>: - </v>
      </c>
      <c r="J78" s="19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92"/>
      <c r="B79" s="192"/>
      <c r="C79" s="192"/>
      <c r="D79" s="192"/>
      <c r="E79" s="192"/>
      <c r="F79" s="192"/>
      <c r="G79" s="192" t="str">
        <f>IFERROR(__xludf.DUMMYFUNCTION("""COMPUTED_VALUE"""),"Arpit Gulati")</f>
        <v>Arpit Gulati</v>
      </c>
      <c r="H79" s="192" t="str">
        <f>IFERROR(__xludf.DUMMYFUNCTION("""COMPUTED_VALUE"""),"arpit.gulati@zupee.in")</f>
        <v>arpit.gulati@zupee.in</v>
      </c>
      <c r="I79" s="192" t="str">
        <f>IFERROR(__xludf.DUMMYFUNCTION("""COMPUTED_VALUE"""),": - ")</f>
        <v>: - </v>
      </c>
      <c r="J79" s="19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92"/>
      <c r="B80" s="192"/>
      <c r="C80" s="192"/>
      <c r="D80" s="192"/>
      <c r="E80" s="192"/>
      <c r="F80" s="192"/>
      <c r="G80" s="192" t="str">
        <f>IFERROR(__xludf.DUMMYFUNCTION("""COMPUTED_VALUE"""),"Arpit Jain")</f>
        <v>Arpit Jain</v>
      </c>
      <c r="H80" s="192" t="str">
        <f>IFERROR(__xludf.DUMMYFUNCTION("""COMPUTED_VALUE"""),"arpit.jain@zupee.in")</f>
        <v>arpit.jain@zupee.in</v>
      </c>
      <c r="I80" s="192" t="str">
        <f>IFERROR(__xludf.DUMMYFUNCTION("""COMPUTED_VALUE"""),": - ")</f>
        <v>: - </v>
      </c>
      <c r="J80" s="19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92"/>
      <c r="B81" s="192"/>
      <c r="C81" s="192"/>
      <c r="D81" s="192"/>
      <c r="E81" s="192"/>
      <c r="F81" s="192"/>
      <c r="G81" s="192" t="str">
        <f>IFERROR(__xludf.DUMMYFUNCTION("""COMPUTED_VALUE"""),"Arshad Iqbal")</f>
        <v>Arshad Iqbal</v>
      </c>
      <c r="H81" s="192" t="str">
        <f>IFERROR(__xludf.DUMMYFUNCTION("""COMPUTED_VALUE"""),"arshad.iqbal@zupee.in")</f>
        <v>arshad.iqbal@zupee.in</v>
      </c>
      <c r="I81" s="192" t="str">
        <f>IFERROR(__xludf.DUMMYFUNCTION("""COMPUTED_VALUE"""),": - ")</f>
        <v>: - </v>
      </c>
      <c r="J81" s="19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92"/>
      <c r="B82" s="192"/>
      <c r="C82" s="192"/>
      <c r="D82" s="192"/>
      <c r="E82" s="192"/>
      <c r="F82" s="192"/>
      <c r="G82" s="192" t="str">
        <f>IFERROR(__xludf.DUMMYFUNCTION("""COMPUTED_VALUE"""),"Arun Kumar")</f>
        <v>Arun Kumar</v>
      </c>
      <c r="H82" s="192" t="str">
        <f>IFERROR(__xludf.DUMMYFUNCTION("""COMPUTED_VALUE"""),"arun.kumar2@zupee.in")</f>
        <v>arun.kumar2@zupee.in</v>
      </c>
      <c r="I82" s="192" t="str">
        <f>IFERROR(__xludf.DUMMYFUNCTION("""COMPUTED_VALUE"""),": - ")</f>
        <v>: - </v>
      </c>
      <c r="J82" s="19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92"/>
      <c r="B83" s="192"/>
      <c r="C83" s="192"/>
      <c r="D83" s="192"/>
      <c r="E83" s="192"/>
      <c r="F83" s="192"/>
      <c r="G83" s="192" t="str">
        <f>IFERROR(__xludf.DUMMYFUNCTION("""COMPUTED_VALUE"""),"Arun Rajaram")</f>
        <v>Arun Rajaram</v>
      </c>
      <c r="H83" s="192" t="str">
        <f>IFERROR(__xludf.DUMMYFUNCTION("""COMPUTED_VALUE"""),"arun.rajaram@zupee.in")</f>
        <v>arun.rajaram@zupee.in</v>
      </c>
      <c r="I83" s="192" t="str">
        <f>IFERROR(__xludf.DUMMYFUNCTION("""COMPUTED_VALUE"""),": - ")</f>
        <v>: - </v>
      </c>
      <c r="J83" s="19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92"/>
      <c r="B84" s="192"/>
      <c r="C84" s="192"/>
      <c r="D84" s="192"/>
      <c r="E84" s="192"/>
      <c r="F84" s="192"/>
      <c r="G84" s="192" t="str">
        <f>IFERROR(__xludf.DUMMYFUNCTION("""COMPUTED_VALUE"""),"Arun Singh")</f>
        <v>Arun Singh</v>
      </c>
      <c r="H84" s="192" t="str">
        <f>IFERROR(__xludf.DUMMYFUNCTION("""COMPUTED_VALUE"""),"arun.singh@zupee.in")</f>
        <v>arun.singh@zupee.in</v>
      </c>
      <c r="I84" s="192" t="str">
        <f>IFERROR(__xludf.DUMMYFUNCTION("""COMPUTED_VALUE"""),": - ")</f>
        <v>: - </v>
      </c>
      <c r="J84" s="19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92"/>
      <c r="B85" s="192"/>
      <c r="C85" s="192"/>
      <c r="D85" s="192"/>
      <c r="E85" s="192"/>
      <c r="F85" s="192"/>
      <c r="G85" s="192" t="str">
        <f>IFERROR(__xludf.DUMMYFUNCTION("""COMPUTED_VALUE"""),"arvinder singla")</f>
        <v>arvinder singla</v>
      </c>
      <c r="H85" s="192" t="str">
        <f>IFERROR(__xludf.DUMMYFUNCTION("""COMPUTED_VALUE"""),"arvinder.singla@zupee.in")</f>
        <v>arvinder.singla@zupee.in</v>
      </c>
      <c r="I85" s="192" t="str">
        <f>IFERROR(__xludf.DUMMYFUNCTION("""COMPUTED_VALUE"""),": - ")</f>
        <v>: - </v>
      </c>
      <c r="J85" s="19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92"/>
      <c r="B86" s="192"/>
      <c r="C86" s="192"/>
      <c r="D86" s="192"/>
      <c r="E86" s="192"/>
      <c r="F86" s="192"/>
      <c r="G86" s="192" t="str">
        <f>IFERROR(__xludf.DUMMYFUNCTION("""COMPUTED_VALUE"""),"Arya Soni")</f>
        <v>Arya Soni</v>
      </c>
      <c r="H86" s="192" t="str">
        <f>IFERROR(__xludf.DUMMYFUNCTION("""COMPUTED_VALUE"""),"arya.soni@zupee.in")</f>
        <v>arya.soni@zupee.in</v>
      </c>
      <c r="I86" s="192" t="str">
        <f>IFERROR(__xludf.DUMMYFUNCTION("""COMPUTED_VALUE"""),": - ")</f>
        <v>: - </v>
      </c>
      <c r="J86" s="19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92"/>
      <c r="B87" s="192"/>
      <c r="C87" s="192"/>
      <c r="D87" s="192"/>
      <c r="E87" s="192"/>
      <c r="F87" s="192"/>
      <c r="G87" s="192" t="str">
        <f>IFERROR(__xludf.DUMMYFUNCTION("""COMPUTED_VALUE"""),"aryan.bahl")</f>
        <v>aryan.bahl</v>
      </c>
      <c r="H87" s="192" t="str">
        <f>IFERROR(__xludf.DUMMYFUNCTION("""COMPUTED_VALUE"""),"aryan.bahl@zupee.in")</f>
        <v>aryan.bahl@zupee.in</v>
      </c>
      <c r="I87" s="192" t="str">
        <f>IFERROR(__xludf.DUMMYFUNCTION("""COMPUTED_VALUE"""),": - ")</f>
        <v>: - </v>
      </c>
      <c r="J87" s="19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92"/>
      <c r="B88" s="192"/>
      <c r="C88" s="192"/>
      <c r="D88" s="192"/>
      <c r="E88" s="192"/>
      <c r="F88" s="192"/>
      <c r="G88" s="192" t="str">
        <f>IFERROR(__xludf.DUMMYFUNCTION("""COMPUTED_VALUE"""),"Aryan Gupta")</f>
        <v>Aryan Gupta</v>
      </c>
      <c r="H88" s="192" t="str">
        <f>IFERROR(__xludf.DUMMYFUNCTION("""COMPUTED_VALUE"""),"aryan.gupta@zupee.in")</f>
        <v>aryan.gupta@zupee.in</v>
      </c>
      <c r="I88" s="192" t="str">
        <f>IFERROR(__xludf.DUMMYFUNCTION("""COMPUTED_VALUE"""),": - ")</f>
        <v>: - </v>
      </c>
      <c r="J88" s="19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92"/>
      <c r="B89" s="192"/>
      <c r="C89" s="192"/>
      <c r="D89" s="192"/>
      <c r="E89" s="192"/>
      <c r="F89" s="192"/>
      <c r="G89" s="192" t="str">
        <f>IFERROR(__xludf.DUMMYFUNCTION("""COMPUTED_VALUE"""),"Aryan Mehta")</f>
        <v>Aryan Mehta</v>
      </c>
      <c r="H89" s="192" t="str">
        <f>IFERROR(__xludf.DUMMYFUNCTION("""COMPUTED_VALUE"""),"aryan.mehta@zupee.in")</f>
        <v>aryan.mehta@zupee.in</v>
      </c>
      <c r="I89" s="192" t="str">
        <f>IFERROR(__xludf.DUMMYFUNCTION("""COMPUTED_VALUE"""),": - ")</f>
        <v>: - </v>
      </c>
      <c r="J89" s="19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92"/>
      <c r="B90" s="192"/>
      <c r="C90" s="192"/>
      <c r="D90" s="192"/>
      <c r="E90" s="192"/>
      <c r="F90" s="192"/>
      <c r="G90" s="192" t="str">
        <f>IFERROR(__xludf.DUMMYFUNCTION("""COMPUTED_VALUE"""),"Ashish Chandra")</f>
        <v>Ashish Chandra</v>
      </c>
      <c r="H90" s="192" t="str">
        <f>IFERROR(__xludf.DUMMYFUNCTION("""COMPUTED_VALUE"""),"ashish.chandra@zupee.in")</f>
        <v>ashish.chandra@zupee.in</v>
      </c>
      <c r="I90" s="192" t="str">
        <f>IFERROR(__xludf.DUMMYFUNCTION("""COMPUTED_VALUE"""),": - ")</f>
        <v>: - </v>
      </c>
      <c r="J90" s="19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92"/>
      <c r="B91" s="192"/>
      <c r="C91" s="192"/>
      <c r="D91" s="192"/>
      <c r="E91" s="192"/>
      <c r="F91" s="192"/>
      <c r="G91" s="192" t="str">
        <f>IFERROR(__xludf.DUMMYFUNCTION("""COMPUTED_VALUE"""),"Ashmita Dwivedi")</f>
        <v>Ashmita Dwivedi</v>
      </c>
      <c r="H91" s="192" t="str">
        <f>IFERROR(__xludf.DUMMYFUNCTION("""COMPUTED_VALUE"""),"ashmita.dwivedi@zupee.in")</f>
        <v>ashmita.dwivedi@zupee.in</v>
      </c>
      <c r="I91" s="192" t="str">
        <f>IFERROR(__xludf.DUMMYFUNCTION("""COMPUTED_VALUE"""),": - ")</f>
        <v>: - </v>
      </c>
      <c r="J91" s="19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92"/>
      <c r="B92" s="192"/>
      <c r="C92" s="192"/>
      <c r="D92" s="192"/>
      <c r="E92" s="192"/>
      <c r="F92" s="192"/>
      <c r="G92" s="192" t="str">
        <f>IFERROR(__xludf.DUMMYFUNCTION("""COMPUTED_VALUE"""),"Ashmita Jain")</f>
        <v>Ashmita Jain</v>
      </c>
      <c r="H92" s="192" t="str">
        <f>IFERROR(__xludf.DUMMYFUNCTION("""COMPUTED_VALUE"""),"ashmita.jain@zupee.in")</f>
        <v>ashmita.jain@zupee.in</v>
      </c>
      <c r="I92" s="192" t="str">
        <f>IFERROR(__xludf.DUMMYFUNCTION("""COMPUTED_VALUE"""),": - ")</f>
        <v>: - </v>
      </c>
      <c r="J92" s="19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92"/>
      <c r="B93" s="192"/>
      <c r="C93" s="192"/>
      <c r="D93" s="192"/>
      <c r="E93" s="192"/>
      <c r="F93" s="192"/>
      <c r="G93" s="192" t="str">
        <f>IFERROR(__xludf.DUMMYFUNCTION("""COMPUTED_VALUE"""),"Ashutosh Barthwal")</f>
        <v>Ashutosh Barthwal</v>
      </c>
      <c r="H93" s="192" t="str">
        <f>IFERROR(__xludf.DUMMYFUNCTION("""COMPUTED_VALUE"""),"ashutosh.barthwal@zupee.in")</f>
        <v>ashutosh.barthwal@zupee.in</v>
      </c>
      <c r="I93" s="192" t="str">
        <f>IFERROR(__xludf.DUMMYFUNCTION("""COMPUTED_VALUE"""),": - ")</f>
        <v>: - </v>
      </c>
      <c r="J93" s="19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92"/>
      <c r="B94" s="192"/>
      <c r="C94" s="192"/>
      <c r="D94" s="192"/>
      <c r="E94" s="192"/>
      <c r="F94" s="192"/>
      <c r="G94" s="192" t="str">
        <f>IFERROR(__xludf.DUMMYFUNCTION("""COMPUTED_VALUE"""),"Ashutosh Bharatwal")</f>
        <v>Ashutosh Bharatwal</v>
      </c>
      <c r="H94" s="192" t="str">
        <f>IFERROR(__xludf.DUMMYFUNCTION("""COMPUTED_VALUE"""),"ashutosh.bharatwal@zupee.in")</f>
        <v>ashutosh.bharatwal@zupee.in</v>
      </c>
      <c r="I94" s="192" t="str">
        <f>IFERROR(__xludf.DUMMYFUNCTION("""COMPUTED_VALUE"""),": - ")</f>
        <v>: - </v>
      </c>
      <c r="J94" s="19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92"/>
      <c r="B95" s="192"/>
      <c r="C95" s="192"/>
      <c r="D95" s="192"/>
      <c r="E95" s="192"/>
      <c r="F95" s="192"/>
      <c r="G95" s="192" t="str">
        <f>IFERROR(__xludf.DUMMYFUNCTION("""COMPUTED_VALUE"""),"Ashvani Kumar Yadav")</f>
        <v>Ashvani Kumar Yadav</v>
      </c>
      <c r="H95" s="192" t="str">
        <f>IFERROR(__xludf.DUMMYFUNCTION("""COMPUTED_VALUE"""),"ashvani.kumar@zupee.in")</f>
        <v>ashvani.kumar@zupee.in</v>
      </c>
      <c r="I95" s="192" t="str">
        <f>IFERROR(__xludf.DUMMYFUNCTION("""COMPUTED_VALUE"""),": - ")</f>
        <v>: - </v>
      </c>
      <c r="J95" s="19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92"/>
      <c r="B96" s="192"/>
      <c r="C96" s="192"/>
      <c r="D96" s="192"/>
      <c r="E96" s="192"/>
      <c r="F96" s="192"/>
      <c r="G96" s="192" t="str">
        <f>IFERROR(__xludf.DUMMYFUNCTION("""COMPUTED_VALUE"""),"Ashwani Goyal")</f>
        <v>Ashwani Goyal</v>
      </c>
      <c r="H96" s="192" t="str">
        <f>IFERROR(__xludf.DUMMYFUNCTION("""COMPUTED_VALUE"""),"ashwani.goyal@zupee.in")</f>
        <v>ashwani.goyal@zupee.in</v>
      </c>
      <c r="I96" s="192" t="str">
        <f>IFERROR(__xludf.DUMMYFUNCTION("""COMPUTED_VALUE"""),": - ")</f>
        <v>: - </v>
      </c>
      <c r="J96" s="19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92"/>
      <c r="B97" s="192"/>
      <c r="C97" s="192"/>
      <c r="D97" s="192"/>
      <c r="E97" s="192"/>
      <c r="F97" s="192"/>
      <c r="G97" s="192" t="str">
        <f>IFERROR(__xludf.DUMMYFUNCTION("""COMPUTED_VALUE"""),"Ashwani Raja")</f>
        <v>Ashwani Raja</v>
      </c>
      <c r="H97" s="192" t="str">
        <f>IFERROR(__xludf.DUMMYFUNCTION("""COMPUTED_VALUE"""),"ashwani.raja@zupee.in")</f>
        <v>ashwani.raja@zupee.in</v>
      </c>
      <c r="I97" s="192" t="str">
        <f>IFERROR(__xludf.DUMMYFUNCTION("""COMPUTED_VALUE"""),": - ")</f>
        <v>: - </v>
      </c>
      <c r="J97" s="19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92"/>
      <c r="B98" s="192"/>
      <c r="C98" s="192"/>
      <c r="D98" s="192"/>
      <c r="E98" s="192"/>
      <c r="F98" s="192"/>
      <c r="G98" s="192" t="str">
        <f>IFERROR(__xludf.DUMMYFUNCTION("""COMPUTED_VALUE"""),"Ashwani Rana")</f>
        <v>Ashwani Rana</v>
      </c>
      <c r="H98" s="192" t="str">
        <f>IFERROR(__xludf.DUMMYFUNCTION("""COMPUTED_VALUE"""),"ashwani.rana@zupee.in")</f>
        <v>ashwani.rana@zupee.in</v>
      </c>
      <c r="I98" s="192" t="str">
        <f>IFERROR(__xludf.DUMMYFUNCTION("""COMPUTED_VALUE"""),": - ")</f>
        <v>: - </v>
      </c>
      <c r="J98" s="19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92"/>
      <c r="B99" s="192"/>
      <c r="C99" s="192"/>
      <c r="D99" s="192"/>
      <c r="E99" s="192"/>
      <c r="F99" s="192"/>
      <c r="G99" s="192" t="str">
        <f>IFERROR(__xludf.DUMMYFUNCTION("""COMPUTED_VALUE"""),"Ashwini Rana")</f>
        <v>Ashwini Rana</v>
      </c>
      <c r="H99" s="192" t="str">
        <f>IFERROR(__xludf.DUMMYFUNCTION("""COMPUTED_VALUE"""),"Ashwini.Rana@Zupee.in")</f>
        <v>Ashwini.Rana@Zupee.in</v>
      </c>
      <c r="I99" s="192" t="str">
        <f>IFERROR(__xludf.DUMMYFUNCTION("""COMPUTED_VALUE"""),": - ")</f>
        <v>: - </v>
      </c>
      <c r="J99" s="19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92"/>
      <c r="B100" s="192"/>
      <c r="C100" s="192"/>
      <c r="D100" s="192"/>
      <c r="E100" s="192"/>
      <c r="F100" s="192"/>
      <c r="G100" s="192" t="str">
        <f>IFERROR(__xludf.DUMMYFUNCTION("""COMPUTED_VALUE"""),"Astha Yadav")</f>
        <v>Astha Yadav</v>
      </c>
      <c r="H100" s="192" t="str">
        <f>IFERROR(__xludf.DUMMYFUNCTION("""COMPUTED_VALUE"""),"astha.yadav@zupee.in")</f>
        <v>astha.yadav@zupee.in</v>
      </c>
      <c r="I100" s="192" t="str">
        <f>IFERROR(__xludf.DUMMYFUNCTION("""COMPUTED_VALUE"""),": - ")</f>
        <v>: - </v>
      </c>
      <c r="J100" s="19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92"/>
      <c r="B101" s="192"/>
      <c r="C101" s="192"/>
      <c r="D101" s="192"/>
      <c r="E101" s="192"/>
      <c r="F101" s="192"/>
      <c r="G101" s="192" t="str">
        <f>IFERROR(__xludf.DUMMYFUNCTION("""COMPUTED_VALUE"""),"Atique Firoz")</f>
        <v>Atique Firoz</v>
      </c>
      <c r="H101" s="192" t="str">
        <f>IFERROR(__xludf.DUMMYFUNCTION("""COMPUTED_VALUE"""),"atique.firoz@zupee.in")</f>
        <v>atique.firoz@zupee.in</v>
      </c>
      <c r="I101" s="192" t="str">
        <f>IFERROR(__xludf.DUMMYFUNCTION("""COMPUTED_VALUE"""),": - ")</f>
        <v>: - </v>
      </c>
      <c r="J101" s="19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92"/>
      <c r="B102" s="192"/>
      <c r="C102" s="192"/>
      <c r="D102" s="192"/>
      <c r="E102" s="192"/>
      <c r="F102" s="192"/>
      <c r="G102" s="192" t="str">
        <f>IFERROR(__xludf.DUMMYFUNCTION("""COMPUTED_VALUE"""),"Avijit Sharma")</f>
        <v>Avijit Sharma</v>
      </c>
      <c r="H102" s="192" t="str">
        <f>IFERROR(__xludf.DUMMYFUNCTION("""COMPUTED_VALUE"""),"avijit.sharma@zupee.in")</f>
        <v>avijit.sharma@zupee.in</v>
      </c>
      <c r="I102" s="192" t="str">
        <f>IFERROR(__xludf.DUMMYFUNCTION("""COMPUTED_VALUE"""),": - Legal")</f>
        <v>: - Legal</v>
      </c>
      <c r="J102" s="19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92"/>
      <c r="B103" s="192"/>
      <c r="C103" s="192"/>
      <c r="D103" s="192"/>
      <c r="E103" s="192"/>
      <c r="F103" s="192"/>
      <c r="G103" s="192" t="str">
        <f>IFERROR(__xludf.DUMMYFUNCTION("""COMPUTED_VALUE"""),"Avinash Srivastava")</f>
        <v>Avinash Srivastava</v>
      </c>
      <c r="H103" s="192" t="str">
        <f>IFERROR(__xludf.DUMMYFUNCTION("""COMPUTED_VALUE"""),"avinash.srivastava@zupee.in")</f>
        <v>avinash.srivastava@zupee.in</v>
      </c>
      <c r="I103" s="192" t="str">
        <f>IFERROR(__xludf.DUMMYFUNCTION("""COMPUTED_VALUE"""),": - ")</f>
        <v>: - </v>
      </c>
      <c r="J103" s="19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92"/>
      <c r="B104" s="192"/>
      <c r="C104" s="192"/>
      <c r="D104" s="192"/>
      <c r="E104" s="192"/>
      <c r="F104" s="192"/>
      <c r="G104" s="192" t="str">
        <f>IFERROR(__xludf.DUMMYFUNCTION("""COMPUTED_VALUE"""),"Aviral")</f>
        <v>Aviral</v>
      </c>
      <c r="H104" s="192" t="str">
        <f>IFERROR(__xludf.DUMMYFUNCTION("""COMPUTED_VALUE"""),"aviral.rastogi@zupee.in")</f>
        <v>aviral.rastogi@zupee.in</v>
      </c>
      <c r="I104" s="192" t="str">
        <f>IFERROR(__xludf.DUMMYFUNCTION("""COMPUTED_VALUE"""),": - ")</f>
        <v>: - </v>
      </c>
      <c r="J104" s="19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92"/>
      <c r="B105" s="192"/>
      <c r="C105" s="192"/>
      <c r="D105" s="192"/>
      <c r="E105" s="192"/>
      <c r="F105" s="192"/>
      <c r="G105" s="192" t="str">
        <f>IFERROR(__xludf.DUMMYFUNCTION("""COMPUTED_VALUE"""),"Avisha Singh")</f>
        <v>Avisha Singh</v>
      </c>
      <c r="H105" s="192" t="str">
        <f>IFERROR(__xludf.DUMMYFUNCTION("""COMPUTED_VALUE"""),"avisha.singh@zupee.in")</f>
        <v>avisha.singh@zupee.in</v>
      </c>
      <c r="I105" s="192" t="str">
        <f>IFERROR(__xludf.DUMMYFUNCTION("""COMPUTED_VALUE"""),": - ")</f>
        <v>: - </v>
      </c>
      <c r="J105" s="19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92"/>
      <c r="B106" s="192"/>
      <c r="C106" s="192"/>
      <c r="D106" s="192"/>
      <c r="E106" s="192"/>
      <c r="F106" s="192"/>
      <c r="G106" s="192" t="str">
        <f>IFERROR(__xludf.DUMMYFUNCTION("""COMPUTED_VALUE"""),"Ayasha Swain")</f>
        <v>Ayasha Swain</v>
      </c>
      <c r="H106" s="192" t="str">
        <f>IFERROR(__xludf.DUMMYFUNCTION("""COMPUTED_VALUE"""),"ayasha.swain@zupee.in")</f>
        <v>ayasha.swain@zupee.in</v>
      </c>
      <c r="I106" s="192" t="str">
        <f>IFERROR(__xludf.DUMMYFUNCTION("""COMPUTED_VALUE"""),": - ")</f>
        <v>: - </v>
      </c>
      <c r="J106" s="19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92"/>
      <c r="B107" s="192"/>
      <c r="C107" s="192"/>
      <c r="D107" s="192"/>
      <c r="E107" s="192"/>
      <c r="F107" s="192"/>
      <c r="G107" s="192" t="str">
        <f>IFERROR(__xludf.DUMMYFUNCTION("""COMPUTED_VALUE"""),"Ayush Gupta")</f>
        <v>Ayush Gupta</v>
      </c>
      <c r="H107" s="192" t="str">
        <f>IFERROR(__xludf.DUMMYFUNCTION("""COMPUTED_VALUE"""),"ayush.gupta@zupee.in")</f>
        <v>ayush.gupta@zupee.in</v>
      </c>
      <c r="I107" s="192" t="str">
        <f>IFERROR(__xludf.DUMMYFUNCTION("""COMPUTED_VALUE"""),": - ")</f>
        <v>: - </v>
      </c>
      <c r="J107" s="19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92"/>
      <c r="B108" s="192"/>
      <c r="C108" s="192"/>
      <c r="D108" s="192"/>
      <c r="E108" s="192"/>
      <c r="F108" s="192"/>
      <c r="G108" s="192" t="str">
        <f>IFERROR(__xludf.DUMMYFUNCTION("""COMPUTED_VALUE"""),"Ayush Kumar")</f>
        <v>Ayush Kumar</v>
      </c>
      <c r="H108" s="192" t="str">
        <f>IFERROR(__xludf.DUMMYFUNCTION("""COMPUTED_VALUE"""),"ayush.kumar@zupee.in")</f>
        <v>ayush.kumar@zupee.in</v>
      </c>
      <c r="I108" s="192" t="str">
        <f>IFERROR(__xludf.DUMMYFUNCTION("""COMPUTED_VALUE"""),": - ")</f>
        <v>: - </v>
      </c>
      <c r="J108" s="19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92"/>
      <c r="B109" s="192"/>
      <c r="C109" s="192"/>
      <c r="D109" s="192"/>
      <c r="E109" s="192"/>
      <c r="F109" s="192"/>
      <c r="G109" s="192" t="str">
        <f>IFERROR(__xludf.DUMMYFUNCTION("""COMPUTED_VALUE"""),"Ayushi Goyal")</f>
        <v>Ayushi Goyal</v>
      </c>
      <c r="H109" s="192" t="str">
        <f>IFERROR(__xludf.DUMMYFUNCTION("""COMPUTED_VALUE"""),"ayushi.goyal@zupee.in")</f>
        <v>ayushi.goyal@zupee.in</v>
      </c>
      <c r="I109" s="192" t="str">
        <f>IFERROR(__xludf.DUMMYFUNCTION("""COMPUTED_VALUE"""),": - ")</f>
        <v>: - </v>
      </c>
      <c r="J109" s="19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92"/>
      <c r="B110" s="192"/>
      <c r="C110" s="192"/>
      <c r="D110" s="192"/>
      <c r="E110" s="192"/>
      <c r="F110" s="192"/>
      <c r="G110" s="192" t="str">
        <f>IFERROR(__xludf.DUMMYFUNCTION("""COMPUTED_VALUE"""),"Ayushi Priya")</f>
        <v>Ayushi Priya</v>
      </c>
      <c r="H110" s="192" t="str">
        <f>IFERROR(__xludf.DUMMYFUNCTION("""COMPUTED_VALUE"""),"ayushi.priya@zupee.in")</f>
        <v>ayushi.priya@zupee.in</v>
      </c>
      <c r="I110" s="192" t="str">
        <f>IFERROR(__xludf.DUMMYFUNCTION("""COMPUTED_VALUE"""),": - ")</f>
        <v>: - </v>
      </c>
      <c r="J110" s="19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92"/>
      <c r="B111" s="192"/>
      <c r="C111" s="192"/>
      <c r="D111" s="192"/>
      <c r="E111" s="192"/>
      <c r="F111" s="192"/>
      <c r="G111" s="192" t="str">
        <f>IFERROR(__xludf.DUMMYFUNCTION("""COMPUTED_VALUE"""),"Baldev Singh")</f>
        <v>Baldev Singh</v>
      </c>
      <c r="H111" s="192" t="str">
        <f>IFERROR(__xludf.DUMMYFUNCTION("""COMPUTED_VALUE"""),"baldev.singh@zupee.in")</f>
        <v>baldev.singh@zupee.in</v>
      </c>
      <c r="I111" s="192" t="str">
        <f>IFERROR(__xludf.DUMMYFUNCTION("""COMPUTED_VALUE"""),": - ")</f>
        <v>: - </v>
      </c>
      <c r="J111" s="19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92"/>
      <c r="B112" s="192"/>
      <c r="C112" s="192"/>
      <c r="D112" s="192"/>
      <c r="E112" s="192"/>
      <c r="F112" s="192"/>
      <c r="G112" s="192" t="str">
        <f>IFERROR(__xludf.DUMMYFUNCTION("""COMPUTED_VALUE"""),"Bunny")</f>
        <v>Bunny</v>
      </c>
      <c r="H112" s="192" t="str">
        <f>IFERROR(__xludf.DUMMYFUNCTION("""COMPUTED_VALUE"""),"baljinder.singh@zupee.in")</f>
        <v>baljinder.singh@zupee.in</v>
      </c>
      <c r="I112" s="192" t="str">
        <f>IFERROR(__xludf.DUMMYFUNCTION("""COMPUTED_VALUE"""),": - ")</f>
        <v>: - </v>
      </c>
      <c r="J112" s="19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92"/>
      <c r="B113" s="192"/>
      <c r="C113" s="192"/>
      <c r="D113" s="192"/>
      <c r="E113" s="192"/>
      <c r="F113" s="192"/>
      <c r="G113" s="192" t="str">
        <f>IFERROR(__xludf.DUMMYFUNCTION("""COMPUTED_VALUE"""),"Bharat Rustagi")</f>
        <v>Bharat Rustagi</v>
      </c>
      <c r="H113" s="192" t="str">
        <f>IFERROR(__xludf.DUMMYFUNCTION("""COMPUTED_VALUE"""),"bharat.rustagi@zupee.in")</f>
        <v>bharat.rustagi@zupee.in</v>
      </c>
      <c r="I113" s="192" t="str">
        <f>IFERROR(__xludf.DUMMYFUNCTION("""COMPUTED_VALUE"""),": - ")</f>
        <v>: - </v>
      </c>
      <c r="J113" s="19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92"/>
      <c r="B114" s="192"/>
      <c r="C114" s="192"/>
      <c r="D114" s="192"/>
      <c r="E114" s="192"/>
      <c r="F114" s="192"/>
      <c r="G114" s="192" t="str">
        <f>IFERROR(__xludf.DUMMYFUNCTION("""COMPUTED_VALUE"""),"Binod Gupta")</f>
        <v>Binod Gupta</v>
      </c>
      <c r="H114" s="192" t="str">
        <f>IFERROR(__xludf.DUMMYFUNCTION("""COMPUTED_VALUE"""),"binod.gupta@zupee.in")</f>
        <v>binod.gupta@zupee.in</v>
      </c>
      <c r="I114" s="192" t="str">
        <f>IFERROR(__xludf.DUMMYFUNCTION("""COMPUTED_VALUE"""),": - ")</f>
        <v>: - </v>
      </c>
      <c r="J114" s="19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92"/>
      <c r="B115" s="192"/>
      <c r="C115" s="192"/>
      <c r="D115" s="192"/>
      <c r="E115" s="192"/>
      <c r="F115" s="192"/>
      <c r="G115" s="192" t="str">
        <f>IFERROR(__xludf.DUMMYFUNCTION("""COMPUTED_VALUE"""),"Biplab Dholey")</f>
        <v>Biplab Dholey</v>
      </c>
      <c r="H115" s="192" t="str">
        <f>IFERROR(__xludf.DUMMYFUNCTION("""COMPUTED_VALUE"""),"biplab.dholey@zupee.in")</f>
        <v>biplab.dholey@zupee.in</v>
      </c>
      <c r="I115" s="192" t="str">
        <f>IFERROR(__xludf.DUMMYFUNCTION("""COMPUTED_VALUE"""),": - ")</f>
        <v>: - </v>
      </c>
      <c r="J115" s="19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92"/>
      <c r="B116" s="192"/>
      <c r="C116" s="192"/>
      <c r="D116" s="192"/>
      <c r="E116" s="192"/>
      <c r="F116" s="192"/>
      <c r="G116" s="192" t="str">
        <f>IFERROR(__xludf.DUMMYFUNCTION("""COMPUTED_VALUE"""),"Biswajit Haldar")</f>
        <v>Biswajit Haldar</v>
      </c>
      <c r="H116" s="192" t="str">
        <f>IFERROR(__xludf.DUMMYFUNCTION("""COMPUTED_VALUE"""),"biswajit.haldar@zupee.in")</f>
        <v>biswajit.haldar@zupee.in</v>
      </c>
      <c r="I116" s="192" t="str">
        <f>IFERROR(__xludf.DUMMYFUNCTION("""COMPUTED_VALUE"""),": - ")</f>
        <v>: - </v>
      </c>
      <c r="J116" s="19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92"/>
      <c r="B117" s="192"/>
      <c r="C117" s="192"/>
      <c r="D117" s="192"/>
      <c r="E117" s="192"/>
      <c r="F117" s="192"/>
      <c r="G117" s="192" t="str">
        <f>IFERROR(__xludf.DUMMYFUNCTION("""COMPUTED_VALUE"""),"Chaitanya Salunke")</f>
        <v>Chaitanya Salunke</v>
      </c>
      <c r="H117" s="192" t="str">
        <f>IFERROR(__xludf.DUMMYFUNCTION("""COMPUTED_VALUE"""),"chaitanya.salunke@zupee.in")</f>
        <v>chaitanya.salunke@zupee.in</v>
      </c>
      <c r="I117" s="192" t="str">
        <f>IFERROR(__xludf.DUMMYFUNCTION("""COMPUTED_VALUE"""),": - ")</f>
        <v>: - </v>
      </c>
      <c r="J117" s="19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92"/>
      <c r="B118" s="192"/>
      <c r="C118" s="192"/>
      <c r="D118" s="192"/>
      <c r="E118" s="192"/>
      <c r="F118" s="192"/>
      <c r="G118" s="192" t="str">
        <f>IFERROR(__xludf.DUMMYFUNCTION("""COMPUTED_VALUE"""),"Chanchal Verma")</f>
        <v>Chanchal Verma</v>
      </c>
      <c r="H118" s="192" t="str">
        <f>IFERROR(__xludf.DUMMYFUNCTION("""COMPUTED_VALUE"""),"chanchal.verma@zupee.in")</f>
        <v>chanchal.verma@zupee.in</v>
      </c>
      <c r="I118" s="192" t="str">
        <f>IFERROR(__xludf.DUMMYFUNCTION("""COMPUTED_VALUE"""),": - ")</f>
        <v>: - </v>
      </c>
      <c r="J118" s="19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92"/>
      <c r="B119" s="192"/>
      <c r="C119" s="192"/>
      <c r="D119" s="192"/>
      <c r="E119" s="192"/>
      <c r="F119" s="192"/>
      <c r="G119" s="192" t="str">
        <f>IFERROR(__xludf.DUMMYFUNCTION("""COMPUTED_VALUE"""),"Chandan Dwivedi")</f>
        <v>Chandan Dwivedi</v>
      </c>
      <c r="H119" s="192" t="str">
        <f>IFERROR(__xludf.DUMMYFUNCTION("""COMPUTED_VALUE"""),"chandan.dwivedi@zupee.in")</f>
        <v>chandan.dwivedi@zupee.in</v>
      </c>
      <c r="I119" s="192" t="str">
        <f>IFERROR(__xludf.DUMMYFUNCTION("""COMPUTED_VALUE"""),": - ")</f>
        <v>: - </v>
      </c>
      <c r="J119" s="19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92"/>
      <c r="B120" s="192"/>
      <c r="C120" s="192"/>
      <c r="D120" s="192"/>
      <c r="E120" s="192"/>
      <c r="F120" s="192"/>
      <c r="G120" s="192" t="str">
        <f>IFERROR(__xludf.DUMMYFUNCTION("""COMPUTED_VALUE"""),"chestha.sharma")</f>
        <v>chestha.sharma</v>
      </c>
      <c r="H120" s="192" t="str">
        <f>IFERROR(__xludf.DUMMYFUNCTION("""COMPUTED_VALUE"""),"chestha.sharma@zupee.in")</f>
        <v>chestha.sharma@zupee.in</v>
      </c>
      <c r="I120" s="192" t="str">
        <f>IFERROR(__xludf.DUMMYFUNCTION("""COMPUTED_VALUE"""),": - ")</f>
        <v>: - </v>
      </c>
      <c r="J120" s="19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92"/>
      <c r="B121" s="192"/>
      <c r="C121" s="192"/>
      <c r="D121" s="192"/>
      <c r="E121" s="192"/>
      <c r="F121" s="192"/>
      <c r="G121" s="192" t="str">
        <f>IFERROR(__xludf.DUMMYFUNCTION("""COMPUTED_VALUE"""),"Chinmay Malhotra")</f>
        <v>Chinmay Malhotra</v>
      </c>
      <c r="H121" s="192" t="str">
        <f>IFERROR(__xludf.DUMMYFUNCTION("""COMPUTED_VALUE"""),"chinmay.malhotra@zupee.in")</f>
        <v>chinmay.malhotra@zupee.in</v>
      </c>
      <c r="I121" s="192" t="str">
        <f>IFERROR(__xludf.DUMMYFUNCTION("""COMPUTED_VALUE"""),": - ")</f>
        <v>: - </v>
      </c>
      <c r="J121" s="19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92"/>
      <c r="B122" s="192"/>
      <c r="C122" s="192"/>
      <c r="D122" s="192"/>
      <c r="E122" s="192"/>
      <c r="F122" s="192"/>
      <c r="G122" s="192" t="str">
        <f>IFERROR(__xludf.DUMMYFUNCTION("""COMPUTED_VALUE"""),"Chirag Sethi")</f>
        <v>Chirag Sethi</v>
      </c>
      <c r="H122" s="192" t="str">
        <f>IFERROR(__xludf.DUMMYFUNCTION("""COMPUTED_VALUE"""),"chirag.sethi@zupee.in")</f>
        <v>chirag.sethi@zupee.in</v>
      </c>
      <c r="I122" s="192" t="str">
        <f>IFERROR(__xludf.DUMMYFUNCTION("""COMPUTED_VALUE"""),": - ")</f>
        <v>: - </v>
      </c>
      <c r="J122" s="19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92"/>
      <c r="B123" s="192"/>
      <c r="C123" s="192"/>
      <c r="D123" s="192"/>
      <c r="E123" s="192"/>
      <c r="F123" s="192"/>
      <c r="G123" s="192" t="str">
        <f>IFERROR(__xludf.DUMMYFUNCTION("""COMPUTED_VALUE"""),"Dakshita Sharma")</f>
        <v>Dakshita Sharma</v>
      </c>
      <c r="H123" s="192" t="str">
        <f>IFERROR(__xludf.DUMMYFUNCTION("""COMPUTED_VALUE"""),"dakshita.sharma@zupee.in")</f>
        <v>dakshita.sharma@zupee.in</v>
      </c>
      <c r="I123" s="192" t="str">
        <f>IFERROR(__xludf.DUMMYFUNCTION("""COMPUTED_VALUE"""),": - ")</f>
        <v>: - </v>
      </c>
      <c r="J123" s="19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92"/>
      <c r="B124" s="192"/>
      <c r="C124" s="192"/>
      <c r="D124" s="192"/>
      <c r="E124" s="192"/>
      <c r="F124" s="192"/>
      <c r="G124" s="192" t="str">
        <f>IFERROR(__xludf.DUMMYFUNCTION("""COMPUTED_VALUE"""),"Dalveer Sandhu")</f>
        <v>Dalveer Sandhu</v>
      </c>
      <c r="H124" s="192" t="str">
        <f>IFERROR(__xludf.DUMMYFUNCTION("""COMPUTED_VALUE"""),"dalveer.sandhu@zupee.in")</f>
        <v>dalveer.sandhu@zupee.in</v>
      </c>
      <c r="I124" s="192" t="str">
        <f>IFERROR(__xludf.DUMMYFUNCTION("""COMPUTED_VALUE"""),": - ")</f>
        <v>: - </v>
      </c>
      <c r="J124" s="19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92"/>
      <c r="B125" s="192"/>
      <c r="C125" s="192"/>
      <c r="D125" s="192"/>
      <c r="E125" s="192"/>
      <c r="F125" s="192"/>
      <c r="G125" s="192" t="str">
        <f>IFERROR(__xludf.DUMMYFUNCTION("""COMPUTED_VALUE"""),"Deekshant kharkwal")</f>
        <v>Deekshant kharkwal</v>
      </c>
      <c r="H125" s="192" t="str">
        <f>IFERROR(__xludf.DUMMYFUNCTION("""COMPUTED_VALUE"""),"deekshant.kharkwal@zupee.in")</f>
        <v>deekshant.kharkwal@zupee.in</v>
      </c>
      <c r="I125" s="192" t="str">
        <f>IFERROR(__xludf.DUMMYFUNCTION("""COMPUTED_VALUE"""),": - ")</f>
        <v>: - </v>
      </c>
      <c r="J125" s="19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92"/>
      <c r="B126" s="192"/>
      <c r="C126" s="192"/>
      <c r="D126" s="192"/>
      <c r="E126" s="192"/>
      <c r="F126" s="192"/>
      <c r="G126" s="192" t="str">
        <f>IFERROR(__xludf.DUMMYFUNCTION("""COMPUTED_VALUE"""),"Deepak Bajaj")</f>
        <v>Deepak Bajaj</v>
      </c>
      <c r="H126" s="192" t="str">
        <f>IFERROR(__xludf.DUMMYFUNCTION("""COMPUTED_VALUE"""),"deepak.bajaj@zupee.in")</f>
        <v>deepak.bajaj@zupee.in</v>
      </c>
      <c r="I126" s="192" t="str">
        <f>IFERROR(__xludf.DUMMYFUNCTION("""COMPUTED_VALUE"""),": - ")</f>
        <v>: - </v>
      </c>
      <c r="J126" s="19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92"/>
      <c r="B127" s="192"/>
      <c r="C127" s="192"/>
      <c r="D127" s="192"/>
      <c r="E127" s="192"/>
      <c r="F127" s="192"/>
      <c r="G127" s="192" t="str">
        <f>IFERROR(__xludf.DUMMYFUNCTION("""COMPUTED_VALUE"""),"Deepak Dahiya")</f>
        <v>Deepak Dahiya</v>
      </c>
      <c r="H127" s="192" t="str">
        <f>IFERROR(__xludf.DUMMYFUNCTION("""COMPUTED_VALUE"""),"deepak.dahiya@zupee.in")</f>
        <v>deepak.dahiya@zupee.in</v>
      </c>
      <c r="I127" s="192" t="str">
        <f>IFERROR(__xludf.DUMMYFUNCTION("""COMPUTED_VALUE"""),": - ")</f>
        <v>: - </v>
      </c>
      <c r="J127" s="19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92"/>
      <c r="B128" s="192"/>
      <c r="C128" s="192"/>
      <c r="D128" s="192"/>
      <c r="E128" s="192"/>
      <c r="F128" s="192"/>
      <c r="G128" s="192" t="str">
        <f>IFERROR(__xludf.DUMMYFUNCTION("""COMPUTED_VALUE"""),"Deepak Manglani")</f>
        <v>Deepak Manglani</v>
      </c>
      <c r="H128" s="192" t="str">
        <f>IFERROR(__xludf.DUMMYFUNCTION("""COMPUTED_VALUE"""),"deepak.manglani@zupee.in")</f>
        <v>deepak.manglani@zupee.in</v>
      </c>
      <c r="I128" s="192" t="str">
        <f>IFERROR(__xludf.DUMMYFUNCTION("""COMPUTED_VALUE"""),": - ")</f>
        <v>: - </v>
      </c>
      <c r="J128" s="19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92"/>
      <c r="B129" s="192"/>
      <c r="C129" s="192"/>
      <c r="D129" s="192"/>
      <c r="E129" s="192"/>
      <c r="F129" s="192"/>
      <c r="G129" s="192" t="str">
        <f>IFERROR(__xludf.DUMMYFUNCTION("""COMPUTED_VALUE"""),"Deepak Mehndiratta")</f>
        <v>Deepak Mehndiratta</v>
      </c>
      <c r="H129" s="192" t="str">
        <f>IFERROR(__xludf.DUMMYFUNCTION("""COMPUTED_VALUE"""),"deepak.mehndiratta@zupee.in")</f>
        <v>deepak.mehndiratta@zupee.in</v>
      </c>
      <c r="I129" s="192" t="str">
        <f>IFERROR(__xludf.DUMMYFUNCTION("""COMPUTED_VALUE"""),": - ")</f>
        <v>: - </v>
      </c>
      <c r="J129" s="19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92"/>
      <c r="B130" s="192"/>
      <c r="C130" s="192"/>
      <c r="D130" s="192"/>
      <c r="E130" s="192"/>
      <c r="F130" s="192"/>
      <c r="G130" s="192" t="str">
        <f>IFERROR(__xludf.DUMMYFUNCTION("""COMPUTED_VALUE"""),"Deepak R")</f>
        <v>Deepak R</v>
      </c>
      <c r="H130" s="192" t="str">
        <f>IFERROR(__xludf.DUMMYFUNCTION("""COMPUTED_VALUE"""),"deepak.r@zupee.in")</f>
        <v>deepak.r@zupee.in</v>
      </c>
      <c r="I130" s="192" t="str">
        <f>IFERROR(__xludf.DUMMYFUNCTION("""COMPUTED_VALUE"""),": - ")</f>
        <v>: - </v>
      </c>
      <c r="J130" s="19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92"/>
      <c r="B131" s="192"/>
      <c r="C131" s="192"/>
      <c r="D131" s="192"/>
      <c r="E131" s="192"/>
      <c r="F131" s="192"/>
      <c r="G131" s="192" t="str">
        <f>IFERROR(__xludf.DUMMYFUNCTION("""COMPUTED_VALUE"""),"Deepanker Gupta")</f>
        <v>Deepanker Gupta</v>
      </c>
      <c r="H131" s="192" t="str">
        <f>IFERROR(__xludf.DUMMYFUNCTION("""COMPUTED_VALUE"""),"deepanker.gupta@zupee.in")</f>
        <v>deepanker.gupta@zupee.in</v>
      </c>
      <c r="I131" s="192" t="str">
        <f>IFERROR(__xludf.DUMMYFUNCTION("""COMPUTED_VALUE"""),": - ")</f>
        <v>: - </v>
      </c>
      <c r="J131" s="19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92"/>
      <c r="B132" s="192"/>
      <c r="C132" s="192"/>
      <c r="D132" s="192"/>
      <c r="E132" s="192"/>
      <c r="F132" s="192"/>
      <c r="G132" s="192" t="str">
        <f>IFERROR(__xludf.DUMMYFUNCTION("""COMPUTED_VALUE"""),"Deepanshi Tongria")</f>
        <v>Deepanshi Tongria</v>
      </c>
      <c r="H132" s="192" t="str">
        <f>IFERROR(__xludf.DUMMYFUNCTION("""COMPUTED_VALUE"""),"deepanshi.tongria@zupee.in")</f>
        <v>deepanshi.tongria@zupee.in</v>
      </c>
      <c r="I132" s="192" t="str">
        <f>IFERROR(__xludf.DUMMYFUNCTION("""COMPUTED_VALUE"""),": - ")</f>
        <v>: - </v>
      </c>
      <c r="J132" s="19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92"/>
      <c r="B133" s="192"/>
      <c r="C133" s="192"/>
      <c r="D133" s="192"/>
      <c r="E133" s="192"/>
      <c r="F133" s="192"/>
      <c r="G133" s="192" t="str">
        <f>IFERROR(__xludf.DUMMYFUNCTION("""COMPUTED_VALUE"""),"Dheeraj Kumar")</f>
        <v>Dheeraj Kumar</v>
      </c>
      <c r="H133" s="192" t="str">
        <f>IFERROR(__xludf.DUMMYFUNCTION("""COMPUTED_VALUE"""),"dheeraj.kumar@zupee.in")</f>
        <v>dheeraj.kumar@zupee.in</v>
      </c>
      <c r="I133" s="192" t="str">
        <f>IFERROR(__xludf.DUMMYFUNCTION("""COMPUTED_VALUE"""),": - ")</f>
        <v>: - </v>
      </c>
      <c r="J133" s="19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92"/>
      <c r="B134" s="192"/>
      <c r="C134" s="192"/>
      <c r="D134" s="192"/>
      <c r="E134" s="192"/>
      <c r="F134" s="192"/>
      <c r="G134" s="192" t="str">
        <f>IFERROR(__xludf.DUMMYFUNCTION("""COMPUTED_VALUE"""),"Dimple Jaswal")</f>
        <v>Dimple Jaswal</v>
      </c>
      <c r="H134" s="192" t="str">
        <f>IFERROR(__xludf.DUMMYFUNCTION("""COMPUTED_VALUE"""),"dimple.jaswal@zupee.in")</f>
        <v>dimple.jaswal@zupee.in</v>
      </c>
      <c r="I134" s="192" t="str">
        <f>IFERROR(__xludf.DUMMYFUNCTION("""COMPUTED_VALUE"""),": - ")</f>
        <v>: - </v>
      </c>
      <c r="J134" s="19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92"/>
      <c r="B135" s="192"/>
      <c r="C135" s="192"/>
      <c r="D135" s="192"/>
      <c r="E135" s="192"/>
      <c r="F135" s="192"/>
      <c r="G135" s="192" t="str">
        <f>IFERROR(__xludf.DUMMYFUNCTION("""COMPUTED_VALUE"""),"Divya 1")</f>
        <v>Divya 1</v>
      </c>
      <c r="H135" s="192" t="str">
        <f>IFERROR(__xludf.DUMMYFUNCTION("""COMPUTED_VALUE"""),"divya.1@zupee.in")</f>
        <v>divya.1@zupee.in</v>
      </c>
      <c r="I135" s="192" t="str">
        <f>IFERROR(__xludf.DUMMYFUNCTION("""COMPUTED_VALUE"""),": - ")</f>
        <v>: - </v>
      </c>
      <c r="J135" s="19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92"/>
      <c r="B136" s="192"/>
      <c r="C136" s="192"/>
      <c r="D136" s="192"/>
      <c r="E136" s="192"/>
      <c r="F136" s="192"/>
      <c r="G136" s="192" t="str">
        <f>IFERROR(__xludf.DUMMYFUNCTION("""COMPUTED_VALUE"""),"Divya Kanwar")</f>
        <v>Divya Kanwar</v>
      </c>
      <c r="H136" s="192" t="str">
        <f>IFERROR(__xludf.DUMMYFUNCTION("""COMPUTED_VALUE"""),"divya.kanwar@zupee.in")</f>
        <v>divya.kanwar@zupee.in</v>
      </c>
      <c r="I136" s="192" t="str">
        <f>IFERROR(__xludf.DUMMYFUNCTION("""COMPUTED_VALUE"""),": - ")</f>
        <v>: - </v>
      </c>
      <c r="J136" s="19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92"/>
      <c r="B137" s="192"/>
      <c r="C137" s="192"/>
      <c r="D137" s="192"/>
      <c r="E137" s="192"/>
      <c r="F137" s="192"/>
      <c r="G137" s="192" t="str">
        <f>IFERROR(__xludf.DUMMYFUNCTION("""COMPUTED_VALUE"""),"Divya Kiran Wangoo")</f>
        <v>Divya Kiran Wangoo</v>
      </c>
      <c r="H137" s="192" t="str">
        <f>IFERROR(__xludf.DUMMYFUNCTION("""COMPUTED_VALUE"""),"divya.wangoo@zupee.in")</f>
        <v>divya.wangoo@zupee.in</v>
      </c>
      <c r="I137" s="192" t="str">
        <f>IFERROR(__xludf.DUMMYFUNCTION("""COMPUTED_VALUE"""),": - ")</f>
        <v>: - </v>
      </c>
      <c r="J137" s="19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92"/>
      <c r="B138" s="192"/>
      <c r="C138" s="192"/>
      <c r="D138" s="192"/>
      <c r="E138" s="192"/>
      <c r="F138" s="192"/>
      <c r="G138" s="192" t="str">
        <f>IFERROR(__xludf.DUMMYFUNCTION("""COMPUTED_VALUE"""),"Divyanshu Goel")</f>
        <v>Divyanshu Goel</v>
      </c>
      <c r="H138" s="192" t="str">
        <f>IFERROR(__xludf.DUMMYFUNCTION("""COMPUTED_VALUE"""),"divyanshu.goel@zupee.in")</f>
        <v>divyanshu.goel@zupee.in</v>
      </c>
      <c r="I138" s="192" t="str">
        <f>IFERROR(__xludf.DUMMYFUNCTION("""COMPUTED_VALUE"""),": - ")</f>
        <v>: - </v>
      </c>
      <c r="J138" s="19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92"/>
      <c r="B139" s="192"/>
      <c r="C139" s="192"/>
      <c r="D139" s="192"/>
      <c r="E139" s="192"/>
      <c r="F139" s="192"/>
      <c r="G139" s="192" t="str">
        <f>IFERROR(__xludf.DUMMYFUNCTION("""COMPUTED_VALUE"""),"Dolly Atariya")</f>
        <v>Dolly Atariya</v>
      </c>
      <c r="H139" s="192" t="str">
        <f>IFERROR(__xludf.DUMMYFUNCTION("""COMPUTED_VALUE"""),"dolly.atariya@zupee.in")</f>
        <v>dolly.atariya@zupee.in</v>
      </c>
      <c r="I139" s="192" t="str">
        <f>IFERROR(__xludf.DUMMYFUNCTION("""COMPUTED_VALUE"""),": - ")</f>
        <v>: - </v>
      </c>
      <c r="J139" s="19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92"/>
      <c r="B140" s="192"/>
      <c r="C140" s="192"/>
      <c r="D140" s="192"/>
      <c r="E140" s="192"/>
      <c r="F140" s="192"/>
      <c r="G140" s="192" t="str">
        <f>IFERROR(__xludf.DUMMYFUNCTION("""COMPUTED_VALUE"""),"Dravit Gupta")</f>
        <v>Dravit Gupta</v>
      </c>
      <c r="H140" s="192" t="str">
        <f>IFERROR(__xludf.DUMMYFUNCTION("""COMPUTED_VALUE"""),"dravit.gupta@zupee.in")</f>
        <v>dravit.gupta@zupee.in</v>
      </c>
      <c r="I140" s="192" t="str">
        <f>IFERROR(__xludf.DUMMYFUNCTION("""COMPUTED_VALUE"""),": - ")</f>
        <v>: - </v>
      </c>
      <c r="J140" s="19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92"/>
      <c r="B141" s="192"/>
      <c r="C141" s="192"/>
      <c r="D141" s="192"/>
      <c r="E141" s="192"/>
      <c r="F141" s="192"/>
      <c r="G141" s="192" t="str">
        <f>IFERROR(__xludf.DUMMYFUNCTION("""COMPUTED_VALUE"""),"Gagan Agrawal")</f>
        <v>Gagan Agrawal</v>
      </c>
      <c r="H141" s="192" t="str">
        <f>IFERROR(__xludf.DUMMYFUNCTION("""COMPUTED_VALUE"""),"gagan.agrawal@zupee.in")</f>
        <v>gagan.agrawal@zupee.in</v>
      </c>
      <c r="I141" s="192" t="str">
        <f>IFERROR(__xludf.DUMMYFUNCTION("""COMPUTED_VALUE"""),": - ")</f>
        <v>: - </v>
      </c>
      <c r="J141" s="19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92"/>
      <c r="B142" s="192"/>
      <c r="C142" s="192"/>
      <c r="D142" s="192"/>
      <c r="E142" s="192"/>
      <c r="F142" s="192"/>
      <c r="G142" s="192" t="str">
        <f>IFERROR(__xludf.DUMMYFUNCTION("""COMPUTED_VALUE"""),"Garima Bothra")</f>
        <v>Garima Bothra</v>
      </c>
      <c r="H142" s="192" t="str">
        <f>IFERROR(__xludf.DUMMYFUNCTION("""COMPUTED_VALUE"""),"garima.bothra@zupee.in")</f>
        <v>garima.bothra@zupee.in</v>
      </c>
      <c r="I142" s="192" t="str">
        <f>IFERROR(__xludf.DUMMYFUNCTION("""COMPUTED_VALUE"""),": - ")</f>
        <v>: - </v>
      </c>
      <c r="J142" s="19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92"/>
      <c r="B143" s="192"/>
      <c r="C143" s="192"/>
      <c r="D143" s="192"/>
      <c r="E143" s="192"/>
      <c r="F143" s="192"/>
      <c r="G143" s="192" t="str">
        <f>IFERROR(__xludf.DUMMYFUNCTION("""COMPUTED_VALUE"""),"Garima Prakash")</f>
        <v>Garima Prakash</v>
      </c>
      <c r="H143" s="192" t="str">
        <f>IFERROR(__xludf.DUMMYFUNCTION("""COMPUTED_VALUE"""),"garima.prakash@zupee.in")</f>
        <v>garima.prakash@zupee.in</v>
      </c>
      <c r="I143" s="192" t="str">
        <f>IFERROR(__xludf.DUMMYFUNCTION("""COMPUTED_VALUE"""),": - ")</f>
        <v>: - </v>
      </c>
      <c r="J143" s="19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92"/>
      <c r="B144" s="192"/>
      <c r="C144" s="192"/>
      <c r="D144" s="192"/>
      <c r="E144" s="192"/>
      <c r="F144" s="192"/>
      <c r="G144" s="192" t="str">
        <f>IFERROR(__xludf.DUMMYFUNCTION("""COMPUTED_VALUE"""),"Gaurav Dahiya")</f>
        <v>Gaurav Dahiya</v>
      </c>
      <c r="H144" s="192" t="str">
        <f>IFERROR(__xludf.DUMMYFUNCTION("""COMPUTED_VALUE"""),"gaurav.dahiya@zupee.in")</f>
        <v>gaurav.dahiya@zupee.in</v>
      </c>
      <c r="I144" s="192" t="str">
        <f>IFERROR(__xludf.DUMMYFUNCTION("""COMPUTED_VALUE"""),": - ")</f>
        <v>: - </v>
      </c>
      <c r="J144" s="19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92"/>
      <c r="B145" s="192"/>
      <c r="C145" s="192"/>
      <c r="D145" s="192"/>
      <c r="E145" s="192"/>
      <c r="F145" s="192"/>
      <c r="G145" s="192" t="str">
        <f>IFERROR(__xludf.DUMMYFUNCTION("""COMPUTED_VALUE"""),"Gaurav Lal")</f>
        <v>Gaurav Lal</v>
      </c>
      <c r="H145" s="192" t="str">
        <f>IFERROR(__xludf.DUMMYFUNCTION("""COMPUTED_VALUE"""),"gaurav.lal@zupee.in")</f>
        <v>gaurav.lal@zupee.in</v>
      </c>
      <c r="I145" s="192" t="str">
        <f>IFERROR(__xludf.DUMMYFUNCTION("""COMPUTED_VALUE"""),": - ")</f>
        <v>: - </v>
      </c>
      <c r="J145" s="19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92"/>
      <c r="B146" s="192"/>
      <c r="C146" s="192"/>
      <c r="D146" s="192"/>
      <c r="E146" s="192"/>
      <c r="F146" s="192"/>
      <c r="G146" s="192" t="str">
        <f>IFERROR(__xludf.DUMMYFUNCTION("""COMPUTED_VALUE"""),"Gaurav Malhotra")</f>
        <v>Gaurav Malhotra</v>
      </c>
      <c r="H146" s="192" t="str">
        <f>IFERROR(__xludf.DUMMYFUNCTION("""COMPUTED_VALUE"""),"gaurav.malhotra@zupee.in")</f>
        <v>gaurav.malhotra@zupee.in</v>
      </c>
      <c r="I146" s="192" t="str">
        <f>IFERROR(__xludf.DUMMYFUNCTION("""COMPUTED_VALUE"""),": - ")</f>
        <v>: - </v>
      </c>
      <c r="J146" s="19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92"/>
      <c r="B147" s="192"/>
      <c r="C147" s="192"/>
      <c r="D147" s="192"/>
      <c r="E147" s="192"/>
      <c r="F147" s="192"/>
      <c r="G147" s="192" t="str">
        <f>IFERROR(__xludf.DUMMYFUNCTION("""COMPUTED_VALUE"""),"Gaurav Sharma")</f>
        <v>Gaurav Sharma</v>
      </c>
      <c r="H147" s="192" t="str">
        <f>IFERROR(__xludf.DUMMYFUNCTION("""COMPUTED_VALUE"""),"gaurav.s@zupee.in")</f>
        <v>gaurav.s@zupee.in</v>
      </c>
      <c r="I147" s="192" t="str">
        <f>IFERROR(__xludf.DUMMYFUNCTION("""COMPUTED_VALUE"""),": - ")</f>
        <v>: - </v>
      </c>
      <c r="J147" s="19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92"/>
      <c r="B148" s="192"/>
      <c r="C148" s="192"/>
      <c r="D148" s="192"/>
      <c r="E148" s="192"/>
      <c r="F148" s="192"/>
      <c r="G148" s="192" t="str">
        <f>IFERROR(__xludf.DUMMYFUNCTION("""COMPUTED_VALUE"""),"Gaurav Saxena")</f>
        <v>Gaurav Saxena</v>
      </c>
      <c r="H148" s="192" t="str">
        <f>IFERROR(__xludf.DUMMYFUNCTION("""COMPUTED_VALUE"""),"gaurav.saxena@zupee.in")</f>
        <v>gaurav.saxena@zupee.in</v>
      </c>
      <c r="I148" s="192" t="str">
        <f>IFERROR(__xludf.DUMMYFUNCTION("""COMPUTED_VALUE"""),": - ")</f>
        <v>: - </v>
      </c>
      <c r="J148" s="19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92"/>
      <c r="B149" s="192"/>
      <c r="C149" s="192"/>
      <c r="D149" s="192"/>
      <c r="E149" s="192"/>
      <c r="F149" s="192"/>
      <c r="G149" s="192" t="str">
        <f>IFERROR(__xludf.DUMMYFUNCTION("""COMPUTED_VALUE"""),"Gaurav Mehta")</f>
        <v>Gaurav Mehta</v>
      </c>
      <c r="H149" s="192" t="str">
        <f>IFERROR(__xludf.DUMMYFUNCTION("""COMPUTED_VALUE"""),"gaurav@zupee.in")</f>
        <v>gaurav@zupee.in</v>
      </c>
      <c r="I149" s="192" t="str">
        <f>IFERROR(__xludf.DUMMYFUNCTION("""COMPUTED_VALUE"""),": - ")</f>
        <v>: - </v>
      </c>
      <c r="J149" s="19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92"/>
      <c r="B150" s="192"/>
      <c r="C150" s="192"/>
      <c r="D150" s="192"/>
      <c r="E150" s="192"/>
      <c r="F150" s="192"/>
      <c r="G150" s="192" t="str">
        <f>IFERROR(__xludf.DUMMYFUNCTION("""COMPUTED_VALUE"""),"Gautam Malhotra")</f>
        <v>Gautam Malhotra</v>
      </c>
      <c r="H150" s="192" t="str">
        <f>IFERROR(__xludf.DUMMYFUNCTION("""COMPUTED_VALUE"""),"gautam.malhotra@zupee.in")</f>
        <v>gautam.malhotra@zupee.in</v>
      </c>
      <c r="I150" s="192" t="str">
        <f>IFERROR(__xludf.DUMMYFUNCTION("""COMPUTED_VALUE"""),": - ")</f>
        <v>: - </v>
      </c>
      <c r="J150" s="19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92"/>
      <c r="B151" s="192"/>
      <c r="C151" s="192"/>
      <c r="D151" s="192"/>
      <c r="E151" s="192"/>
      <c r="F151" s="192"/>
      <c r="G151" s="192" t="str">
        <f>IFERROR(__xludf.DUMMYFUNCTION("""COMPUTED_VALUE"""),"Girish Singh")</f>
        <v>Girish Singh</v>
      </c>
      <c r="H151" s="192" t="str">
        <f>IFERROR(__xludf.DUMMYFUNCTION("""COMPUTED_VALUE"""),"girish.singh@zupee.in")</f>
        <v>girish.singh@zupee.in</v>
      </c>
      <c r="I151" s="192" t="str">
        <f>IFERROR(__xludf.DUMMYFUNCTION("""COMPUTED_VALUE"""),": - ")</f>
        <v>: - </v>
      </c>
      <c r="J151" s="19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92"/>
      <c r="B152" s="192"/>
      <c r="C152" s="192"/>
      <c r="D152" s="192"/>
      <c r="E152" s="192"/>
      <c r="F152" s="192"/>
      <c r="G152" s="192" t="str">
        <f>IFERROR(__xludf.DUMMYFUNCTION("""COMPUTED_VALUE"""),"Gitika pal")</f>
        <v>Gitika pal</v>
      </c>
      <c r="H152" s="192" t="str">
        <f>IFERROR(__xludf.DUMMYFUNCTION("""COMPUTED_VALUE"""),"gitika.gitika@zupee.in")</f>
        <v>gitika.gitika@zupee.in</v>
      </c>
      <c r="I152" s="192" t="str">
        <f>IFERROR(__xludf.DUMMYFUNCTION("""COMPUTED_VALUE"""),": - ")</f>
        <v>: - </v>
      </c>
      <c r="J152" s="19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92"/>
      <c r="B153" s="192"/>
      <c r="C153" s="192"/>
      <c r="D153" s="192"/>
      <c r="E153" s="192"/>
      <c r="F153" s="192"/>
      <c r="G153" s="192" t="str">
        <f>IFERROR(__xludf.DUMMYFUNCTION("""COMPUTED_VALUE"""),"Gourav Sharma")</f>
        <v>Gourav Sharma</v>
      </c>
      <c r="H153" s="192" t="str">
        <f>IFERROR(__xludf.DUMMYFUNCTION("""COMPUTED_VALUE"""),"gourav.sharma@zupee.in")</f>
        <v>gourav.sharma@zupee.in</v>
      </c>
      <c r="I153" s="192" t="str">
        <f>IFERROR(__xludf.DUMMYFUNCTION("""COMPUTED_VALUE"""),": - ")</f>
        <v>: - </v>
      </c>
      <c r="J153" s="19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92"/>
      <c r="B154" s="192"/>
      <c r="C154" s="192"/>
      <c r="D154" s="192"/>
      <c r="E154" s="192"/>
      <c r="F154" s="192"/>
      <c r="G154" s="192" t="str">
        <f>IFERROR(__xludf.DUMMYFUNCTION("""COMPUTED_VALUE"""),"Gouri Shankar")</f>
        <v>Gouri Shankar</v>
      </c>
      <c r="H154" s="192" t="str">
        <f>IFERROR(__xludf.DUMMYFUNCTION("""COMPUTED_VALUE"""),"gouri.shankar@zupee.in")</f>
        <v>gouri.shankar@zupee.in</v>
      </c>
      <c r="I154" s="192" t="str">
        <f>IFERROR(__xludf.DUMMYFUNCTION("""COMPUTED_VALUE"""),": - ")</f>
        <v>: - </v>
      </c>
      <c r="J154" s="19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92"/>
      <c r="B155" s="192"/>
      <c r="C155" s="192"/>
      <c r="D155" s="192"/>
      <c r="E155" s="192"/>
      <c r="F155" s="192"/>
      <c r="G155" s="192" t="str">
        <f>IFERROR(__xludf.DUMMYFUNCTION("""COMPUTED_VALUE"""),"growth-tech")</f>
        <v>growth-tech</v>
      </c>
      <c r="H155" s="192" t="str">
        <f>IFERROR(__xludf.DUMMYFUNCTION("""COMPUTED_VALUE"""),"growth-tech@zupee.in")</f>
        <v>growth-tech@zupee.in</v>
      </c>
      <c r="I155" s="192" t="str">
        <f>IFERROR(__xludf.DUMMYFUNCTION("""COMPUTED_VALUE"""),": - ")</f>
        <v>: - </v>
      </c>
      <c r="J155" s="19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92"/>
      <c r="B156" s="192"/>
      <c r="C156" s="192"/>
      <c r="D156" s="192"/>
      <c r="E156" s="192"/>
      <c r="F156" s="192"/>
      <c r="G156" s="192" t="str">
        <f>IFERROR(__xludf.DUMMYFUNCTION("""COMPUTED_VALUE"""),"Gursharan Chawla")</f>
        <v>Gursharan Chawla</v>
      </c>
      <c r="H156" s="192" t="str">
        <f>IFERROR(__xludf.DUMMYFUNCTION("""COMPUTED_VALUE"""),"gursharan.chawla@zupee.in")</f>
        <v>gursharan.chawla@zupee.in</v>
      </c>
      <c r="I156" s="192" t="str">
        <f>IFERROR(__xludf.DUMMYFUNCTION("""COMPUTED_VALUE"""),": - ")</f>
        <v>: - </v>
      </c>
      <c r="J156" s="19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92"/>
      <c r="B157" s="192"/>
      <c r="C157" s="192"/>
      <c r="D157" s="192"/>
      <c r="E157" s="192"/>
      <c r="F157" s="192"/>
      <c r="G157" s="192" t="str">
        <f>IFERROR(__xludf.DUMMYFUNCTION("""COMPUTED_VALUE"""),"Gyan Mishra")</f>
        <v>Gyan Mishra</v>
      </c>
      <c r="H157" s="192" t="str">
        <f>IFERROR(__xludf.DUMMYFUNCTION("""COMPUTED_VALUE"""),"gyan.mishra@zupee.in")</f>
        <v>gyan.mishra@zupee.in</v>
      </c>
      <c r="I157" s="192" t="str">
        <f>IFERROR(__xludf.DUMMYFUNCTION("""COMPUTED_VALUE"""),": - ")</f>
        <v>: - </v>
      </c>
      <c r="J157" s="19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92"/>
      <c r="B158" s="192"/>
      <c r="C158" s="192"/>
      <c r="D158" s="192"/>
      <c r="E158" s="192"/>
      <c r="F158" s="192"/>
      <c r="G158" s="192" t="str">
        <f>IFERROR(__xludf.DUMMYFUNCTION("""COMPUTED_VALUE"""),"Gyanendra Maurya")</f>
        <v>Gyanendra Maurya</v>
      </c>
      <c r="H158" s="192" t="str">
        <f>IFERROR(__xludf.DUMMYFUNCTION("""COMPUTED_VALUE"""),"gyanendra.maurya@zupee.in")</f>
        <v>gyanendra.maurya@zupee.in</v>
      </c>
      <c r="I158" s="192" t="str">
        <f>IFERROR(__xludf.DUMMYFUNCTION("""COMPUTED_VALUE"""),": - ")</f>
        <v>: - </v>
      </c>
      <c r="J158" s="19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92"/>
      <c r="B159" s="192"/>
      <c r="C159" s="192"/>
      <c r="D159" s="192"/>
      <c r="E159" s="192"/>
      <c r="F159" s="192"/>
      <c r="G159" s="192" t="str">
        <f>IFERROR(__xludf.DUMMYFUNCTION("""COMPUTED_VALUE"""),"Hardik Chhatrala")</f>
        <v>Hardik Chhatrala</v>
      </c>
      <c r="H159" s="192" t="str">
        <f>IFERROR(__xludf.DUMMYFUNCTION("""COMPUTED_VALUE"""),"hardik.chhatrala@zupee.in")</f>
        <v>hardik.chhatrala@zupee.in</v>
      </c>
      <c r="I159" s="192" t="str">
        <f>IFERROR(__xludf.DUMMYFUNCTION("""COMPUTED_VALUE"""),": - ")</f>
        <v>: - </v>
      </c>
      <c r="J159" s="19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92"/>
      <c r="B160" s="192"/>
      <c r="C160" s="192"/>
      <c r="D160" s="192"/>
      <c r="E160" s="192"/>
      <c r="F160" s="192"/>
      <c r="G160" s="192" t="str">
        <f>IFERROR(__xludf.DUMMYFUNCTION("""COMPUTED_VALUE"""),"Harjeet Kaur")</f>
        <v>Harjeet Kaur</v>
      </c>
      <c r="H160" s="192" t="str">
        <f>IFERROR(__xludf.DUMMYFUNCTION("""COMPUTED_VALUE"""),"harjeet.kaur@zupee.in")</f>
        <v>harjeet.kaur@zupee.in</v>
      </c>
      <c r="I160" s="192" t="str">
        <f>IFERROR(__xludf.DUMMYFUNCTION("""COMPUTED_VALUE"""),": - ")</f>
        <v>: - </v>
      </c>
      <c r="J160" s="19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92"/>
      <c r="B161" s="192"/>
      <c r="C161" s="192"/>
      <c r="D161" s="192"/>
      <c r="E161" s="192"/>
      <c r="F161" s="192"/>
      <c r="G161" s="192" t="str">
        <f>IFERROR(__xludf.DUMMYFUNCTION("""COMPUTED_VALUE"""),"harsh.‚Äãmehta")</f>
        <v>harsh.‚Äãmehta</v>
      </c>
      <c r="H161" s="192" t="str">
        <f>IFERROR(__xludf.DUMMYFUNCTION("""COMPUTED_VALUE"""),"harsh.mehta@zupee.in")</f>
        <v>harsh.mehta@zupee.in</v>
      </c>
      <c r="I161" s="192" t="str">
        <f>IFERROR(__xludf.DUMMYFUNCTION("""COMPUTED_VALUE"""),": - ")</f>
        <v>: - </v>
      </c>
      <c r="J161" s="19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92"/>
      <c r="B162" s="192"/>
      <c r="C162" s="192"/>
      <c r="D162" s="192"/>
      <c r="E162" s="192"/>
      <c r="F162" s="192"/>
      <c r="G162" s="192" t="str">
        <f>IFERROR(__xludf.DUMMYFUNCTION("""COMPUTED_VALUE"""),"Harsh Rathways")</f>
        <v>Harsh Rathways</v>
      </c>
      <c r="H162" s="192" t="str">
        <f>IFERROR(__xludf.DUMMYFUNCTION("""COMPUTED_VALUE"""),"harsh.rathways@zupee.in")</f>
        <v>harsh.rathways@zupee.in</v>
      </c>
      <c r="I162" s="192" t="str">
        <f>IFERROR(__xludf.DUMMYFUNCTION("""COMPUTED_VALUE"""),": - ")</f>
        <v>: - </v>
      </c>
      <c r="J162" s="19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92"/>
      <c r="B163" s="192"/>
      <c r="C163" s="192"/>
      <c r="D163" s="192"/>
      <c r="E163" s="192"/>
      <c r="F163" s="192"/>
      <c r="G163" s="192" t="str">
        <f>IFERROR(__xludf.DUMMYFUNCTION("""COMPUTED_VALUE"""),"Harshil Tyagi")</f>
        <v>Harshil Tyagi</v>
      </c>
      <c r="H163" s="192" t="str">
        <f>IFERROR(__xludf.DUMMYFUNCTION("""COMPUTED_VALUE"""),"harshil.tyagi@zupee.in")</f>
        <v>harshil.tyagi@zupee.in</v>
      </c>
      <c r="I163" s="192" t="str">
        <f>IFERROR(__xludf.DUMMYFUNCTION("""COMPUTED_VALUE"""),": - ")</f>
        <v>: - </v>
      </c>
      <c r="J163" s="19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92"/>
      <c r="B164" s="192"/>
      <c r="C164" s="192"/>
      <c r="D164" s="192"/>
      <c r="E164" s="192"/>
      <c r="F164" s="192"/>
      <c r="G164" s="192" t="str">
        <f>IFERROR(__xludf.DUMMYFUNCTION("""COMPUTED_VALUE"""),"Harshit Raj")</f>
        <v>Harshit Raj</v>
      </c>
      <c r="H164" s="192" t="str">
        <f>IFERROR(__xludf.DUMMYFUNCTION("""COMPUTED_VALUE"""),"harshit.raj@zupee.in")</f>
        <v>harshit.raj@zupee.in</v>
      </c>
      <c r="I164" s="192" t="str">
        <f>IFERROR(__xludf.DUMMYFUNCTION("""COMPUTED_VALUE"""),": - ")</f>
        <v>: - </v>
      </c>
      <c r="J164" s="19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92"/>
      <c r="B165" s="192"/>
      <c r="C165" s="192"/>
      <c r="D165" s="192"/>
      <c r="E165" s="192"/>
      <c r="F165" s="192"/>
      <c r="G165" s="192" t="str">
        <f>IFERROR(__xludf.DUMMYFUNCTION("""COMPUTED_VALUE"""),"Hemail Askary")</f>
        <v>Hemail Askary</v>
      </c>
      <c r="H165" s="192" t="str">
        <f>IFERROR(__xludf.DUMMYFUNCTION("""COMPUTED_VALUE"""),"hemail.askary@zupee.in")</f>
        <v>hemail.askary@zupee.in</v>
      </c>
      <c r="I165" s="192" t="str">
        <f>IFERROR(__xludf.DUMMYFUNCTION("""COMPUTED_VALUE"""),": - ")</f>
        <v>: - </v>
      </c>
      <c r="J165" s="19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92"/>
      <c r="B166" s="192"/>
      <c r="C166" s="192"/>
      <c r="D166" s="192"/>
      <c r="E166" s="192"/>
      <c r="F166" s="192"/>
      <c r="G166" s="192" t="str">
        <f>IFERROR(__xludf.DUMMYFUNCTION("""COMPUTED_VALUE"""),"Hemant Kumar")</f>
        <v>Hemant Kumar</v>
      </c>
      <c r="H166" s="192" t="str">
        <f>IFERROR(__xludf.DUMMYFUNCTION("""COMPUTED_VALUE"""),"hemant.kumar@zupee.in")</f>
        <v>hemant.kumar@zupee.in</v>
      </c>
      <c r="I166" s="192" t="str">
        <f>IFERROR(__xludf.DUMMYFUNCTION("""COMPUTED_VALUE"""),": - ")</f>
        <v>: - </v>
      </c>
      <c r="J166" s="19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92"/>
      <c r="B167" s="192"/>
      <c r="C167" s="192"/>
      <c r="D167" s="192"/>
      <c r="E167" s="192"/>
      <c r="F167" s="192"/>
      <c r="G167" s="192" t="str">
        <f>IFERROR(__xludf.DUMMYFUNCTION("""COMPUTED_VALUE"""),"Himani Rautela")</f>
        <v>Himani Rautela</v>
      </c>
      <c r="H167" s="192" t="str">
        <f>IFERROR(__xludf.DUMMYFUNCTION("""COMPUTED_VALUE"""),"himani.rautela@zupee.in")</f>
        <v>himani.rautela@zupee.in</v>
      </c>
      <c r="I167" s="192" t="str">
        <f>IFERROR(__xludf.DUMMYFUNCTION("""COMPUTED_VALUE"""),": - ")</f>
        <v>: - </v>
      </c>
      <c r="J167" s="19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92"/>
      <c r="B168" s="192"/>
      <c r="C168" s="192"/>
      <c r="D168" s="192"/>
      <c r="E168" s="192"/>
      <c r="F168" s="192"/>
      <c r="G168" s="192" t="str">
        <f>IFERROR(__xludf.DUMMYFUNCTION("""COMPUTED_VALUE"""),"Himanshi Manral")</f>
        <v>Himanshi Manral</v>
      </c>
      <c r="H168" s="192" t="str">
        <f>IFERROR(__xludf.DUMMYFUNCTION("""COMPUTED_VALUE"""),"himanshi.manral@zupee.in")</f>
        <v>himanshi.manral@zupee.in</v>
      </c>
      <c r="I168" s="192" t="str">
        <f>IFERROR(__xludf.DUMMYFUNCTION("""COMPUTED_VALUE"""),": - ")</f>
        <v>: - </v>
      </c>
      <c r="J168" s="19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92"/>
      <c r="B169" s="192"/>
      <c r="C169" s="192"/>
      <c r="D169" s="192"/>
      <c r="E169" s="192"/>
      <c r="F169" s="192"/>
      <c r="G169" s="192" t="str">
        <f>IFERROR(__xludf.DUMMYFUNCTION("""COMPUTED_VALUE"""),"Himanshu Chopra")</f>
        <v>Himanshu Chopra</v>
      </c>
      <c r="H169" s="192" t="str">
        <f>IFERROR(__xludf.DUMMYFUNCTION("""COMPUTED_VALUE"""),"himanshu.chopra@zupee.in")</f>
        <v>himanshu.chopra@zupee.in</v>
      </c>
      <c r="I169" s="192" t="str">
        <f>IFERROR(__xludf.DUMMYFUNCTION("""COMPUTED_VALUE"""),": - ")</f>
        <v>: - </v>
      </c>
      <c r="J169" s="19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92"/>
      <c r="B170" s="192"/>
      <c r="C170" s="192"/>
      <c r="D170" s="192"/>
      <c r="E170" s="192"/>
      <c r="F170" s="192"/>
      <c r="G170" s="192" t="str">
        <f>IFERROR(__xludf.DUMMYFUNCTION("""COMPUTED_VALUE"""),"Himanshu Grover")</f>
        <v>Himanshu Grover</v>
      </c>
      <c r="H170" s="192" t="str">
        <f>IFERROR(__xludf.DUMMYFUNCTION("""COMPUTED_VALUE"""),"himanshu.grover@zupee.in")</f>
        <v>himanshu.grover@zupee.in</v>
      </c>
      <c r="I170" s="192" t="str">
        <f>IFERROR(__xludf.DUMMYFUNCTION("""COMPUTED_VALUE"""),": - ")</f>
        <v>: - </v>
      </c>
      <c r="J170" s="19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92"/>
      <c r="B171" s="192"/>
      <c r="C171" s="192"/>
      <c r="D171" s="192"/>
      <c r="E171" s="192"/>
      <c r="F171" s="192"/>
      <c r="G171" s="192" t="str">
        <f>IFERROR(__xludf.DUMMYFUNCTION("""COMPUTED_VALUE"""),"Hina Jain")</f>
        <v>Hina Jain</v>
      </c>
      <c r="H171" s="192" t="str">
        <f>IFERROR(__xludf.DUMMYFUNCTION("""COMPUTED_VALUE"""),"hina.jain@zupee.in")</f>
        <v>hina.jain@zupee.in</v>
      </c>
      <c r="I171" s="192" t="str">
        <f>IFERROR(__xludf.DUMMYFUNCTION("""COMPUTED_VALUE"""),": - ")</f>
        <v>: - </v>
      </c>
      <c r="J171" s="19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92"/>
      <c r="B172" s="192"/>
      <c r="C172" s="192"/>
      <c r="D172" s="192"/>
      <c r="E172" s="192"/>
      <c r="F172" s="192"/>
      <c r="G172" s="192" t="str">
        <f>IFERROR(__xludf.DUMMYFUNCTION("""COMPUTED_VALUE"""),"Hitesh Das")</f>
        <v>Hitesh Das</v>
      </c>
      <c r="H172" s="192" t="str">
        <f>IFERROR(__xludf.DUMMYFUNCTION("""COMPUTED_VALUE"""),"hitesh.das@zupee.in")</f>
        <v>hitesh.das@zupee.in</v>
      </c>
      <c r="I172" s="192" t="str">
        <f>IFERROR(__xludf.DUMMYFUNCTION("""COMPUTED_VALUE"""),": - ")</f>
        <v>: - </v>
      </c>
      <c r="J172" s="19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92"/>
      <c r="B173" s="192"/>
      <c r="C173" s="192"/>
      <c r="D173" s="192"/>
      <c r="E173" s="192"/>
      <c r="F173" s="192"/>
      <c r="G173" s="192" t="str">
        <f>IFERROR(__xludf.DUMMYFUNCTION("""COMPUTED_VALUE"""),"hritik.‚Äãraj")</f>
        <v>hritik.‚Äãraj</v>
      </c>
      <c r="H173" s="192" t="str">
        <f>IFERROR(__xludf.DUMMYFUNCTION("""COMPUTED_VALUE"""),"hritik.raj@zupee.in")</f>
        <v>hritik.raj@zupee.in</v>
      </c>
      <c r="I173" s="192" t="str">
        <f>IFERROR(__xludf.DUMMYFUNCTION("""COMPUTED_VALUE"""),": - ")</f>
        <v>: - </v>
      </c>
      <c r="J173" s="19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92"/>
      <c r="B174" s="192"/>
      <c r="C174" s="192"/>
      <c r="D174" s="192"/>
      <c r="E174" s="192"/>
      <c r="F174" s="192"/>
      <c r="G174" s="192" t="str">
        <f>IFERROR(__xludf.DUMMYFUNCTION("""COMPUTED_VALUE"""),"Hritik Wadhwa")</f>
        <v>Hritik Wadhwa</v>
      </c>
      <c r="H174" s="192" t="str">
        <f>IFERROR(__xludf.DUMMYFUNCTION("""COMPUTED_VALUE"""),"hritik.wadhwa@zupee.in")</f>
        <v>hritik.wadhwa@zupee.in</v>
      </c>
      <c r="I174" s="192" t="str">
        <f>IFERROR(__xludf.DUMMYFUNCTION("""COMPUTED_VALUE"""),": - ")</f>
        <v>: - </v>
      </c>
      <c r="J174" s="19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92"/>
      <c r="B175" s="192"/>
      <c r="C175" s="192"/>
      <c r="D175" s="192"/>
      <c r="E175" s="192"/>
      <c r="F175" s="192"/>
      <c r="G175" s="192" t="str">
        <f>IFERROR(__xludf.DUMMYFUNCTION("""COMPUTED_VALUE"""),"Ishan Margamwar")</f>
        <v>Ishan Margamwar</v>
      </c>
      <c r="H175" s="192" t="str">
        <f>IFERROR(__xludf.DUMMYFUNCTION("""COMPUTED_VALUE"""),"ishan.margamwar@zupee.in")</f>
        <v>ishan.margamwar@zupee.in</v>
      </c>
      <c r="I175" s="192" t="str">
        <f>IFERROR(__xludf.DUMMYFUNCTION("""COMPUTED_VALUE"""),": - ")</f>
        <v>: - </v>
      </c>
      <c r="J175" s="19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92"/>
      <c r="B176" s="192"/>
      <c r="C176" s="192"/>
      <c r="D176" s="192"/>
      <c r="E176" s="192"/>
      <c r="F176" s="192"/>
      <c r="G176" s="192" t="str">
        <f>IFERROR(__xludf.DUMMYFUNCTION("""COMPUTED_VALUE"""),"Jagjit Singh")</f>
        <v>Jagjit Singh</v>
      </c>
      <c r="H176" s="192" t="str">
        <f>IFERROR(__xludf.DUMMYFUNCTION("""COMPUTED_VALUE"""),"jagjit.singh@zupee.in")</f>
        <v>jagjit.singh@zupee.in</v>
      </c>
      <c r="I176" s="192" t="str">
        <f>IFERROR(__xludf.DUMMYFUNCTION("""COMPUTED_VALUE"""),": - ")</f>
        <v>: - </v>
      </c>
      <c r="J176" s="19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92"/>
      <c r="B177" s="192"/>
      <c r="C177" s="192"/>
      <c r="D177" s="192"/>
      <c r="E177" s="192"/>
      <c r="F177" s="192"/>
      <c r="G177" s="192" t="str">
        <f>IFERROR(__xludf.DUMMYFUNCTION("""COMPUTED_VALUE"""),"Jasmeet Bhandari")</f>
        <v>Jasmeet Bhandari</v>
      </c>
      <c r="H177" s="192" t="str">
        <f>IFERROR(__xludf.DUMMYFUNCTION("""COMPUTED_VALUE"""),"jasmeet.bhandari@zupee.in")</f>
        <v>jasmeet.bhandari@zupee.in</v>
      </c>
      <c r="I177" s="192" t="str">
        <f>IFERROR(__xludf.DUMMYFUNCTION("""COMPUTED_VALUE"""),": - ")</f>
        <v>: - </v>
      </c>
      <c r="J177" s="19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92"/>
      <c r="B178" s="192"/>
      <c r="C178" s="192"/>
      <c r="D178" s="192"/>
      <c r="E178" s="192"/>
      <c r="F178" s="192"/>
      <c r="G178" s="192" t="str">
        <f>IFERROR(__xludf.DUMMYFUNCTION("""COMPUTED_VALUE"""),"Jay")</f>
        <v>Jay</v>
      </c>
      <c r="H178" s="192" t="str">
        <f>IFERROR(__xludf.DUMMYFUNCTION("""COMPUTED_VALUE"""),"jay.rustagi@zupee.in")</f>
        <v>jay.rustagi@zupee.in</v>
      </c>
      <c r="I178" s="192" t="str">
        <f>IFERROR(__xludf.DUMMYFUNCTION("""COMPUTED_VALUE"""),": - ")</f>
        <v>: - </v>
      </c>
      <c r="J178" s="19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92"/>
      <c r="B179" s="192"/>
      <c r="C179" s="192"/>
      <c r="D179" s="192"/>
      <c r="E179" s="192"/>
      <c r="F179" s="192"/>
      <c r="G179" s="192" t="str">
        <f>IFERROR(__xludf.DUMMYFUNCTION("""COMPUTED_VALUE"""),"Jayata Dureja")</f>
        <v>Jayata Dureja</v>
      </c>
      <c r="H179" s="192" t="str">
        <f>IFERROR(__xludf.DUMMYFUNCTION("""COMPUTED_VALUE"""),"jayata.dureja@zupee.in")</f>
        <v>jayata.dureja@zupee.in</v>
      </c>
      <c r="I179" s="192" t="str">
        <f>IFERROR(__xludf.DUMMYFUNCTION("""COMPUTED_VALUE"""),": - ")</f>
        <v>: - </v>
      </c>
      <c r="J179" s="19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92"/>
      <c r="B180" s="192"/>
      <c r="C180" s="192"/>
      <c r="D180" s="192"/>
      <c r="E180" s="192"/>
      <c r="F180" s="192"/>
      <c r="G180" s="192" t="str">
        <f>IFERROR(__xludf.DUMMYFUNCTION("""COMPUTED_VALUE"""),"Jessica Dawda")</f>
        <v>Jessica Dawda</v>
      </c>
      <c r="H180" s="192" t="str">
        <f>IFERROR(__xludf.DUMMYFUNCTION("""COMPUTED_VALUE"""),"jessica.dawda@zupee.in")</f>
        <v>jessica.dawda@zupee.in</v>
      </c>
      <c r="I180" s="192" t="str">
        <f>IFERROR(__xludf.DUMMYFUNCTION("""COMPUTED_VALUE"""),": - ")</f>
        <v>: - </v>
      </c>
      <c r="J180" s="19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92"/>
      <c r="B181" s="192"/>
      <c r="C181" s="192"/>
      <c r="D181" s="192"/>
      <c r="E181" s="192"/>
      <c r="F181" s="192"/>
      <c r="G181" s="192" t="str">
        <f>IFERROR(__xludf.DUMMYFUNCTION("""COMPUTED_VALUE"""),"Jhanvi Pandha")</f>
        <v>Jhanvi Pandha</v>
      </c>
      <c r="H181" s="192" t="str">
        <f>IFERROR(__xludf.DUMMYFUNCTION("""COMPUTED_VALUE"""),"jhanvi.pandha@zupee.in")</f>
        <v>jhanvi.pandha@zupee.in</v>
      </c>
      <c r="I181" s="192" t="str">
        <f>IFERROR(__xludf.DUMMYFUNCTION("""COMPUTED_VALUE"""),": - ")</f>
        <v>: - </v>
      </c>
      <c r="J181" s="19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92"/>
      <c r="B182" s="192"/>
      <c r="C182" s="192"/>
      <c r="D182" s="192"/>
      <c r="E182" s="192"/>
      <c r="F182" s="192"/>
      <c r="G182" s="192" t="str">
        <f>IFERROR(__xludf.DUMMYFUNCTION("""COMPUTED_VALUE"""),"Jitendra Kaintura")</f>
        <v>Jitendra Kaintura</v>
      </c>
      <c r="H182" s="192" t="str">
        <f>IFERROR(__xludf.DUMMYFUNCTION("""COMPUTED_VALUE"""),"jitendra.kaintura@zupee.in")</f>
        <v>jitendra.kaintura@zupee.in</v>
      </c>
      <c r="I182" s="192" t="str">
        <f>IFERROR(__xludf.DUMMYFUNCTION("""COMPUTED_VALUE"""),": - ")</f>
        <v>: - </v>
      </c>
      <c r="J182" s="19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92"/>
      <c r="B183" s="192"/>
      <c r="C183" s="192"/>
      <c r="D183" s="192"/>
      <c r="E183" s="192"/>
      <c r="F183" s="192"/>
      <c r="G183" s="192" t="str">
        <f>IFERROR(__xludf.DUMMYFUNCTION("""COMPUTED_VALUE"""),"Jitendra Nayyar")</f>
        <v>Jitendra Nayyar</v>
      </c>
      <c r="H183" s="192" t="str">
        <f>IFERROR(__xludf.DUMMYFUNCTION("""COMPUTED_VALUE"""),"jitendra.nayyar@zupee.in")</f>
        <v>jitendra.nayyar@zupee.in</v>
      </c>
      <c r="I183" s="192" t="str">
        <f>IFERROR(__xludf.DUMMYFUNCTION("""COMPUTED_VALUE"""),": - ")</f>
        <v>: - </v>
      </c>
      <c r="J183" s="19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92"/>
      <c r="B184" s="192"/>
      <c r="C184" s="192"/>
      <c r="D184" s="192"/>
      <c r="E184" s="192"/>
      <c r="F184" s="192"/>
      <c r="G184" s="192" t="str">
        <f>IFERROR(__xludf.DUMMYFUNCTION("""COMPUTED_VALUE"""),"Jithin Mathew")</f>
        <v>Jithin Mathew</v>
      </c>
      <c r="H184" s="192" t="str">
        <f>IFERROR(__xludf.DUMMYFUNCTION("""COMPUTED_VALUE"""),"jithin.mathew@zupee.in")</f>
        <v>jithin.mathew@zupee.in</v>
      </c>
      <c r="I184" s="192" t="str">
        <f>IFERROR(__xludf.DUMMYFUNCTION("""COMPUTED_VALUE"""),": - ")</f>
        <v>: - </v>
      </c>
      <c r="J184" s="19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92"/>
      <c r="B185" s="192"/>
      <c r="C185" s="192"/>
      <c r="D185" s="192"/>
      <c r="E185" s="192"/>
      <c r="F185" s="192"/>
      <c r="G185" s="192" t="str">
        <f>IFERROR(__xludf.DUMMYFUNCTION("""COMPUTED_VALUE"""),"Kabeer Manocha")</f>
        <v>Kabeer Manocha</v>
      </c>
      <c r="H185" s="192" t="str">
        <f>IFERROR(__xludf.DUMMYFUNCTION("""COMPUTED_VALUE"""),"kabeer.manocha@zupee.in")</f>
        <v>kabeer.manocha@zupee.in</v>
      </c>
      <c r="I185" s="192" t="str">
        <f>IFERROR(__xludf.DUMMYFUNCTION("""COMPUTED_VALUE"""),": - ")</f>
        <v>: - </v>
      </c>
      <c r="J185" s="19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92"/>
      <c r="B186" s="192"/>
      <c r="C186" s="192"/>
      <c r="D186" s="192"/>
      <c r="E186" s="192"/>
      <c r="F186" s="192"/>
      <c r="G186" s="192" t="str">
        <f>IFERROR(__xludf.DUMMYFUNCTION("""COMPUTED_VALUE"""),"Kailash Lakshmikanth")</f>
        <v>Kailash Lakshmikanth</v>
      </c>
      <c r="H186" s="192" t="str">
        <f>IFERROR(__xludf.DUMMYFUNCTION("""COMPUTED_VALUE"""),"kailash.lakshmikanth@zupee.in")</f>
        <v>kailash.lakshmikanth@zupee.in</v>
      </c>
      <c r="I186" s="192" t="str">
        <f>IFERROR(__xludf.DUMMYFUNCTION("""COMPUTED_VALUE"""),": - ")</f>
        <v>: - </v>
      </c>
      <c r="J186" s="19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92"/>
      <c r="B187" s="192"/>
      <c r="C187" s="192"/>
      <c r="D187" s="192"/>
      <c r="E187" s="192"/>
      <c r="F187" s="192"/>
      <c r="G187" s="192" t="str">
        <f>IFERROR(__xludf.DUMMYFUNCTION("""COMPUTED_VALUE"""),"Kalpana Singh")</f>
        <v>Kalpana Singh</v>
      </c>
      <c r="H187" s="192" t="str">
        <f>IFERROR(__xludf.DUMMYFUNCTION("""COMPUTED_VALUE"""),"kalpana.singh@zupee.in")</f>
        <v>kalpana.singh@zupee.in</v>
      </c>
      <c r="I187" s="192" t="str">
        <f>IFERROR(__xludf.DUMMYFUNCTION("""COMPUTED_VALUE"""),": - ")</f>
        <v>: - </v>
      </c>
      <c r="J187" s="19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92"/>
      <c r="B188" s="192"/>
      <c r="C188" s="192"/>
      <c r="D188" s="192"/>
      <c r="E188" s="192"/>
      <c r="F188" s="192"/>
      <c r="G188" s="192" t="str">
        <f>IFERROR(__xludf.DUMMYFUNCTION("""COMPUTED_VALUE"""),"Kalpriksh Bist")</f>
        <v>Kalpriksh Bist</v>
      </c>
      <c r="H188" s="192" t="str">
        <f>IFERROR(__xludf.DUMMYFUNCTION("""COMPUTED_VALUE"""),"kalpriksh.bist@zupee.in")</f>
        <v>kalpriksh.bist@zupee.in</v>
      </c>
      <c r="I188" s="192" t="str">
        <f>IFERROR(__xludf.DUMMYFUNCTION("""COMPUTED_VALUE"""),": - ")</f>
        <v>: - </v>
      </c>
      <c r="J188" s="19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92"/>
      <c r="B189" s="192"/>
      <c r="C189" s="192"/>
      <c r="D189" s="192"/>
      <c r="E189" s="192"/>
      <c r="F189" s="192"/>
      <c r="G189" s="192" t="str">
        <f>IFERROR(__xludf.DUMMYFUNCTION("""COMPUTED_VALUE"""),"Subharanjan Sahoo")</f>
        <v>Subharanjan Sahoo</v>
      </c>
      <c r="H189" s="192" t="str">
        <f>IFERROR(__xludf.DUMMYFUNCTION("""COMPUTED_VALUE"""),"kanhaiya.tomar@zupee.in")</f>
        <v>kanhaiya.tomar@zupee.in</v>
      </c>
      <c r="I189" s="192" t="str">
        <f>IFERROR(__xludf.DUMMYFUNCTION("""COMPUTED_VALUE"""),": - ")</f>
        <v>: - </v>
      </c>
      <c r="J189" s="19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92"/>
      <c r="B190" s="192"/>
      <c r="C190" s="192"/>
      <c r="D190" s="192"/>
      <c r="E190" s="192"/>
      <c r="F190" s="192"/>
      <c r="G190" s="192" t="str">
        <f>IFERROR(__xludf.DUMMYFUNCTION("""COMPUTED_VALUE"""),"Kapil Kant")</f>
        <v>Kapil Kant</v>
      </c>
      <c r="H190" s="192" t="str">
        <f>IFERROR(__xludf.DUMMYFUNCTION("""COMPUTED_VALUE"""),"kapil.kant@zupee.in")</f>
        <v>kapil.kant@zupee.in</v>
      </c>
      <c r="I190" s="192" t="str">
        <f>IFERROR(__xludf.DUMMYFUNCTION("""COMPUTED_VALUE"""),": - ")</f>
        <v>: - </v>
      </c>
      <c r="J190" s="19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92"/>
      <c r="B191" s="192"/>
      <c r="C191" s="192"/>
      <c r="D191" s="192"/>
      <c r="E191" s="192"/>
      <c r="F191" s="192"/>
      <c r="G191" s="192" t="str">
        <f>IFERROR(__xludf.DUMMYFUNCTION("""COMPUTED_VALUE"""),"Karan Bali")</f>
        <v>Karan Bali</v>
      </c>
      <c r="H191" s="192" t="str">
        <f>IFERROR(__xludf.DUMMYFUNCTION("""COMPUTED_VALUE"""),"karan.bali@zupee.in")</f>
        <v>karan.bali@zupee.in</v>
      </c>
      <c r="I191" s="192" t="str">
        <f>IFERROR(__xludf.DUMMYFUNCTION("""COMPUTED_VALUE"""),": - ")</f>
        <v>: - </v>
      </c>
      <c r="J191" s="19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92"/>
      <c r="B192" s="192"/>
      <c r="C192" s="192"/>
      <c r="D192" s="192"/>
      <c r="E192" s="192"/>
      <c r="F192" s="192"/>
      <c r="G192" s="192" t="str">
        <f>IFERROR(__xludf.DUMMYFUNCTION("""COMPUTED_VALUE"""),"Karan Bhyana")</f>
        <v>Karan Bhyana</v>
      </c>
      <c r="H192" s="192" t="str">
        <f>IFERROR(__xludf.DUMMYFUNCTION("""COMPUTED_VALUE"""),"karan.bhyana@zupee.in")</f>
        <v>karan.bhyana@zupee.in</v>
      </c>
      <c r="I192" s="192" t="str">
        <f>IFERROR(__xludf.DUMMYFUNCTION("""COMPUTED_VALUE"""),": - ")</f>
        <v>: - </v>
      </c>
      <c r="J192" s="19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92"/>
      <c r="B193" s="192"/>
      <c r="C193" s="192"/>
      <c r="D193" s="192"/>
      <c r="E193" s="192"/>
      <c r="F193" s="192"/>
      <c r="G193" s="192" t="str">
        <f>IFERROR(__xludf.DUMMYFUNCTION("""COMPUTED_VALUE"""),"Karan Ghosh")</f>
        <v>Karan Ghosh</v>
      </c>
      <c r="H193" s="192" t="str">
        <f>IFERROR(__xludf.DUMMYFUNCTION("""COMPUTED_VALUE"""),"karan.ghosh@zupee.in")</f>
        <v>karan.ghosh@zupee.in</v>
      </c>
      <c r="I193" s="192" t="str">
        <f>IFERROR(__xludf.DUMMYFUNCTION("""COMPUTED_VALUE"""),": - ")</f>
        <v>: - </v>
      </c>
      <c r="J193" s="19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92"/>
      <c r="B194" s="192"/>
      <c r="C194" s="192"/>
      <c r="D194" s="192"/>
      <c r="E194" s="192"/>
      <c r="F194" s="192"/>
      <c r="G194" s="192" t="str">
        <f>IFERROR(__xludf.DUMMYFUNCTION("""COMPUTED_VALUE"""),"Karan Jhinga")</f>
        <v>Karan Jhinga</v>
      </c>
      <c r="H194" s="192" t="str">
        <f>IFERROR(__xludf.DUMMYFUNCTION("""COMPUTED_VALUE"""),"karan.jhinga@zupee.in")</f>
        <v>karan.jhinga@zupee.in</v>
      </c>
      <c r="I194" s="192" t="str">
        <f>IFERROR(__xludf.DUMMYFUNCTION("""COMPUTED_VALUE"""),": - ")</f>
        <v>: - </v>
      </c>
      <c r="J194" s="19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92"/>
      <c r="B195" s="192"/>
      <c r="C195" s="192"/>
      <c r="D195" s="192"/>
      <c r="E195" s="192"/>
      <c r="F195" s="192"/>
      <c r="G195" s="192" t="str">
        <f>IFERROR(__xludf.DUMMYFUNCTION("""COMPUTED_VALUE"""),"Kavita Morwani")</f>
        <v>Kavita Morwani</v>
      </c>
      <c r="H195" s="192" t="str">
        <f>IFERROR(__xludf.DUMMYFUNCTION("""COMPUTED_VALUE"""),"kavita.morwani@zupee.in")</f>
        <v>kavita.morwani@zupee.in</v>
      </c>
      <c r="I195" s="192" t="str">
        <f>IFERROR(__xludf.DUMMYFUNCTION("""COMPUTED_VALUE"""),": - ")</f>
        <v>: - </v>
      </c>
      <c r="J195" s="19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92"/>
      <c r="B196" s="192"/>
      <c r="C196" s="192"/>
      <c r="D196" s="192"/>
      <c r="E196" s="192"/>
      <c r="F196" s="192"/>
      <c r="G196" s="192" t="str">
        <f>IFERROR(__xludf.DUMMYFUNCTION("""COMPUTED_VALUE"""),"Keerat Kaur")</f>
        <v>Keerat Kaur</v>
      </c>
      <c r="H196" s="192" t="str">
        <f>IFERROR(__xludf.DUMMYFUNCTION("""COMPUTED_VALUE"""),"keerat.kaur@zupee.in")</f>
        <v>keerat.kaur@zupee.in</v>
      </c>
      <c r="I196" s="192" t="str">
        <f>IFERROR(__xludf.DUMMYFUNCTION("""COMPUTED_VALUE"""),": - ")</f>
        <v>: - </v>
      </c>
      <c r="J196" s="19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92"/>
      <c r="B197" s="192"/>
      <c r="C197" s="192"/>
      <c r="D197" s="192"/>
      <c r="E197" s="192"/>
      <c r="F197" s="192"/>
      <c r="G197" s="192" t="str">
        <f>IFERROR(__xludf.DUMMYFUNCTION("""COMPUTED_VALUE"""),"Keshav Jindal")</f>
        <v>Keshav Jindal</v>
      </c>
      <c r="H197" s="192" t="str">
        <f>IFERROR(__xludf.DUMMYFUNCTION("""COMPUTED_VALUE"""),"keshav.jindal@zupee.in")</f>
        <v>keshav.jindal@zupee.in</v>
      </c>
      <c r="I197" s="192" t="str">
        <f>IFERROR(__xludf.DUMMYFUNCTION("""COMPUTED_VALUE"""),": - ")</f>
        <v>: - </v>
      </c>
      <c r="J197" s="19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92"/>
      <c r="B198" s="192"/>
      <c r="C198" s="192"/>
      <c r="D198" s="192"/>
      <c r="E198" s="192"/>
      <c r="F198" s="192"/>
      <c r="G198" s="192" t="str">
        <f>IFERROR(__xludf.DUMMYFUNCTION("""COMPUTED_VALUE"""),"Kirandeep Kaur")</f>
        <v>Kirandeep Kaur</v>
      </c>
      <c r="H198" s="192" t="str">
        <f>IFERROR(__xludf.DUMMYFUNCTION("""COMPUTED_VALUE"""),"kirandeep.kaur@zupee.in")</f>
        <v>kirandeep.kaur@zupee.in</v>
      </c>
      <c r="I198" s="192" t="str">
        <f>IFERROR(__xludf.DUMMYFUNCTION("""COMPUTED_VALUE"""),": - ")</f>
        <v>: - </v>
      </c>
      <c r="J198" s="19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92"/>
      <c r="B199" s="192"/>
      <c r="C199" s="192"/>
      <c r="D199" s="192"/>
      <c r="E199" s="192"/>
      <c r="F199" s="192"/>
      <c r="G199" s="192" t="str">
        <f>IFERROR(__xludf.DUMMYFUNCTION("""COMPUTED_VALUE"""),"Kirtesh Kpaliwal")</f>
        <v>Kirtesh Kpaliwal</v>
      </c>
      <c r="H199" s="192" t="str">
        <f>IFERROR(__xludf.DUMMYFUNCTION("""COMPUTED_VALUE"""),"kirtesh.kpaliwal@zupee.in")</f>
        <v>kirtesh.kpaliwal@zupee.in</v>
      </c>
      <c r="I199" s="192" t="str">
        <f>IFERROR(__xludf.DUMMYFUNCTION("""COMPUTED_VALUE"""),": - ")</f>
        <v>: - </v>
      </c>
      <c r="J199" s="19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92"/>
      <c r="B200" s="192"/>
      <c r="C200" s="192"/>
      <c r="D200" s="192"/>
      <c r="E200" s="192"/>
      <c r="F200" s="192"/>
      <c r="G200" s="192" t="str">
        <f>IFERROR(__xludf.DUMMYFUNCTION("""COMPUTED_VALUE"""),"Kunal Garg")</f>
        <v>Kunal Garg</v>
      </c>
      <c r="H200" s="192" t="str">
        <f>IFERROR(__xludf.DUMMYFUNCTION("""COMPUTED_VALUE"""),"kunal.garg@zupee.in")</f>
        <v>kunal.garg@zupee.in</v>
      </c>
      <c r="I200" s="192" t="str">
        <f>IFERROR(__xludf.DUMMYFUNCTION("""COMPUTED_VALUE"""),": - ")</f>
        <v>: - </v>
      </c>
      <c r="J200" s="19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92"/>
      <c r="B201" s="192"/>
      <c r="C201" s="192"/>
      <c r="D201" s="192"/>
      <c r="E201" s="192"/>
      <c r="F201" s="192"/>
      <c r="G201" s="192" t="str">
        <f>IFERROR(__xludf.DUMMYFUNCTION("""COMPUTED_VALUE"""),"Kush Gupta")</f>
        <v>Kush Gupta</v>
      </c>
      <c r="H201" s="192" t="str">
        <f>IFERROR(__xludf.DUMMYFUNCTION("""COMPUTED_VALUE"""),"kush.gupta@zupee.in")</f>
        <v>kush.gupta@zupee.in</v>
      </c>
      <c r="I201" s="192" t="str">
        <f>IFERROR(__xludf.DUMMYFUNCTION("""COMPUTED_VALUE"""),": - ")</f>
        <v>: - </v>
      </c>
      <c r="J201" s="19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92"/>
      <c r="B202" s="192"/>
      <c r="C202" s="192"/>
      <c r="D202" s="192"/>
      <c r="E202" s="192"/>
      <c r="F202" s="192"/>
      <c r="G202" s="192" t="str">
        <f>IFERROR(__xludf.DUMMYFUNCTION("""COMPUTED_VALUE"""),"Lakshay Jain")</f>
        <v>Lakshay Jain</v>
      </c>
      <c r="H202" s="192" t="str">
        <f>IFERROR(__xludf.DUMMYFUNCTION("""COMPUTED_VALUE"""),"lakshay.jain@zupee.in")</f>
        <v>lakshay.jain@zupee.in</v>
      </c>
      <c r="I202" s="192" t="str">
        <f>IFERROR(__xludf.DUMMYFUNCTION("""COMPUTED_VALUE"""),": - ")</f>
        <v>: - </v>
      </c>
      <c r="J202" s="19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92"/>
      <c r="B203" s="192"/>
      <c r="C203" s="192"/>
      <c r="D203" s="192"/>
      <c r="E203" s="192"/>
      <c r="F203" s="192"/>
      <c r="G203" s="192" t="str">
        <f>IFERROR(__xludf.DUMMYFUNCTION("""COMPUTED_VALUE"""),"Lakshay Kapoor")</f>
        <v>Lakshay Kapoor</v>
      </c>
      <c r="H203" s="192" t="str">
        <f>IFERROR(__xludf.DUMMYFUNCTION("""COMPUTED_VALUE"""),"lakshay.kapoor@zupee.in")</f>
        <v>lakshay.kapoor@zupee.in</v>
      </c>
      <c r="I203" s="192" t="str">
        <f>IFERROR(__xludf.DUMMYFUNCTION("""COMPUTED_VALUE"""),": - ")</f>
        <v>: - </v>
      </c>
      <c r="J203" s="19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92"/>
      <c r="B204" s="192"/>
      <c r="C204" s="192"/>
      <c r="D204" s="192"/>
      <c r="E204" s="192"/>
      <c r="F204" s="192"/>
      <c r="G204" s="192" t="str">
        <f>IFERROR(__xludf.DUMMYFUNCTION("""COMPUTED_VALUE"""),"Lalit")</f>
        <v>Lalit</v>
      </c>
      <c r="H204" s="192" t="str">
        <f>IFERROR(__xludf.DUMMYFUNCTION("""COMPUTED_VALUE"""),"lalit.mohan@zupee.in")</f>
        <v>lalit.mohan@zupee.in</v>
      </c>
      <c r="I204" s="192" t="str">
        <f>IFERROR(__xludf.DUMMYFUNCTION("""COMPUTED_VALUE"""),": - ")</f>
        <v>: - </v>
      </c>
      <c r="J204" s="19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92"/>
      <c r="B205" s="192"/>
      <c r="C205" s="192"/>
      <c r="D205" s="192"/>
      <c r="E205" s="192"/>
      <c r="F205" s="192"/>
      <c r="G205" s="192" t="str">
        <f>IFERROR(__xludf.DUMMYFUNCTION("""COMPUTED_VALUE"""),"Lalit Tokas")</f>
        <v>Lalit Tokas</v>
      </c>
      <c r="H205" s="192" t="str">
        <f>IFERROR(__xludf.DUMMYFUNCTION("""COMPUTED_VALUE"""),"lalit.tokas@zupee.in")</f>
        <v>lalit.tokas@zupee.in</v>
      </c>
      <c r="I205" s="192" t="str">
        <f>IFERROR(__xludf.DUMMYFUNCTION("""COMPUTED_VALUE"""),": - ")</f>
        <v>: - </v>
      </c>
      <c r="J205" s="19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92"/>
      <c r="B206" s="192"/>
      <c r="C206" s="192"/>
      <c r="D206" s="192"/>
      <c r="E206" s="192"/>
      <c r="F206" s="192"/>
      <c r="G206" s="192" t="str">
        <f>IFERROR(__xludf.DUMMYFUNCTION("""COMPUTED_VALUE"""),"Life")</f>
        <v>Life</v>
      </c>
      <c r="H206" s="192" t="str">
        <f>IFERROR(__xludf.DUMMYFUNCTION("""COMPUTED_VALUE"""),"life@zupee.in")</f>
        <v>life@zupee.in</v>
      </c>
      <c r="I206" s="192" t="str">
        <f>IFERROR(__xludf.DUMMYFUNCTION("""COMPUTED_VALUE"""),": - ")</f>
        <v>: - </v>
      </c>
      <c r="J206" s="19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92"/>
      <c r="B207" s="192"/>
      <c r="C207" s="192"/>
      <c r="D207" s="192"/>
      <c r="E207" s="192"/>
      <c r="F207" s="192"/>
      <c r="G207" s="192" t="str">
        <f>IFERROR(__xludf.DUMMYFUNCTION("""COMPUTED_VALUE"""),"Madhumati Kivande")</f>
        <v>Madhumati Kivande</v>
      </c>
      <c r="H207" s="192" t="str">
        <f>IFERROR(__xludf.DUMMYFUNCTION("""COMPUTED_VALUE"""),"madhumati.kivande@zupee.in")</f>
        <v>madhumati.kivande@zupee.in</v>
      </c>
      <c r="I207" s="192" t="str">
        <f>IFERROR(__xludf.DUMMYFUNCTION("""COMPUTED_VALUE"""),": - ")</f>
        <v>: - </v>
      </c>
      <c r="J207" s="19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92"/>
      <c r="B208" s="192"/>
      <c r="C208" s="192"/>
      <c r="D208" s="192"/>
      <c r="E208" s="192"/>
      <c r="F208" s="192"/>
      <c r="G208" s="192" t="str">
        <f>IFERROR(__xludf.DUMMYFUNCTION("""COMPUTED_VALUE"""),"Madhur Aggarwal")</f>
        <v>Madhur Aggarwal</v>
      </c>
      <c r="H208" s="192" t="str">
        <f>IFERROR(__xludf.DUMMYFUNCTION("""COMPUTED_VALUE"""),"madhur.aggarwal@zupee.in")</f>
        <v>madhur.aggarwal@zupee.in</v>
      </c>
      <c r="I208" s="192" t="str">
        <f>IFERROR(__xludf.DUMMYFUNCTION("""COMPUTED_VALUE"""),": - ")</f>
        <v>: - </v>
      </c>
      <c r="J208" s="19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92"/>
      <c r="B209" s="192"/>
      <c r="C209" s="192"/>
      <c r="D209" s="192"/>
      <c r="E209" s="192"/>
      <c r="F209" s="192"/>
      <c r="G209" s="192" t="str">
        <f>IFERROR(__xludf.DUMMYFUNCTION("""COMPUTED_VALUE"""),"Madhuri Dutta")</f>
        <v>Madhuri Dutta</v>
      </c>
      <c r="H209" s="192" t="str">
        <f>IFERROR(__xludf.DUMMYFUNCTION("""COMPUTED_VALUE"""),"madhuri.dutta@zupee.in")</f>
        <v>madhuri.dutta@zupee.in</v>
      </c>
      <c r="I209" s="192" t="str">
        <f>IFERROR(__xludf.DUMMYFUNCTION("""COMPUTED_VALUE"""),": - ")</f>
        <v>: - </v>
      </c>
      <c r="J209" s="19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92"/>
      <c r="B210" s="192"/>
      <c r="C210" s="192"/>
      <c r="D210" s="192"/>
      <c r="E210" s="192"/>
      <c r="F210" s="192"/>
      <c r="G210" s="192" t="str">
        <f>IFERROR(__xludf.DUMMYFUNCTION("""COMPUTED_VALUE"""),"Manan Bhatia")</f>
        <v>Manan Bhatia</v>
      </c>
      <c r="H210" s="192" t="str">
        <f>IFERROR(__xludf.DUMMYFUNCTION("""COMPUTED_VALUE"""),"manan.bhatia@zupee.in")</f>
        <v>manan.bhatia@zupee.in</v>
      </c>
      <c r="I210" s="192" t="str">
        <f>IFERROR(__xludf.DUMMYFUNCTION("""COMPUTED_VALUE"""),": - ")</f>
        <v>: - </v>
      </c>
      <c r="J210" s="19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92"/>
      <c r="B211" s="192"/>
      <c r="C211" s="192"/>
      <c r="D211" s="192"/>
      <c r="E211" s="192"/>
      <c r="F211" s="192"/>
      <c r="G211" s="192" t="str">
        <f>IFERROR(__xludf.DUMMYFUNCTION("""COMPUTED_VALUE"""),"Manav Jain")</f>
        <v>Manav Jain</v>
      </c>
      <c r="H211" s="192" t="str">
        <f>IFERROR(__xludf.DUMMYFUNCTION("""COMPUTED_VALUE"""),"manav.jain@zupee.in")</f>
        <v>manav.jain@zupee.in</v>
      </c>
      <c r="I211" s="192" t="str">
        <f>IFERROR(__xludf.DUMMYFUNCTION("""COMPUTED_VALUE"""),": - Org")</f>
        <v>: - Org</v>
      </c>
      <c r="J211" s="19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92"/>
      <c r="B212" s="192"/>
      <c r="C212" s="192"/>
      <c r="D212" s="192"/>
      <c r="E212" s="192"/>
      <c r="F212" s="192"/>
      <c r="G212" s="192" t="str">
        <f>IFERROR(__xludf.DUMMYFUNCTION("""COMPUTED_VALUE"""),"Mandhir Singh")</f>
        <v>Mandhir Singh</v>
      </c>
      <c r="H212" s="192" t="str">
        <f>IFERROR(__xludf.DUMMYFUNCTION("""COMPUTED_VALUE"""),"mandhir.singh@zupee.in")</f>
        <v>mandhir.singh@zupee.in</v>
      </c>
      <c r="I212" s="192" t="str">
        <f>IFERROR(__xludf.DUMMYFUNCTION("""COMPUTED_VALUE"""),": - ")</f>
        <v>: - </v>
      </c>
      <c r="J212" s="19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92"/>
      <c r="B213" s="192"/>
      <c r="C213" s="192"/>
      <c r="D213" s="192"/>
      <c r="E213" s="192"/>
      <c r="F213" s="192"/>
      <c r="G213" s="192" t="str">
        <f>IFERROR(__xludf.DUMMYFUNCTION("""COMPUTED_VALUE"""),"Maneesh Goel")</f>
        <v>Maneesh Goel</v>
      </c>
      <c r="H213" s="192" t="str">
        <f>IFERROR(__xludf.DUMMYFUNCTION("""COMPUTED_VALUE"""),"maneesh.goel@zupee.in")</f>
        <v>maneesh.goel@zupee.in</v>
      </c>
      <c r="I213" s="192" t="str">
        <f>IFERROR(__xludf.DUMMYFUNCTION("""COMPUTED_VALUE"""),": - ")</f>
        <v>: - </v>
      </c>
      <c r="J213" s="19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92"/>
      <c r="B214" s="192"/>
      <c r="C214" s="192"/>
      <c r="D214" s="192"/>
      <c r="E214" s="192"/>
      <c r="F214" s="192"/>
      <c r="G214" s="192" t="str">
        <f>IFERROR(__xludf.DUMMYFUNCTION("""COMPUTED_VALUE"""),"maninder saluja")</f>
        <v>maninder saluja</v>
      </c>
      <c r="H214" s="192" t="str">
        <f>IFERROR(__xludf.DUMMYFUNCTION("""COMPUTED_VALUE"""),"maninder.saluja@zupee.in")</f>
        <v>maninder.saluja@zupee.in</v>
      </c>
      <c r="I214" s="192" t="str">
        <f>IFERROR(__xludf.DUMMYFUNCTION("""COMPUTED_VALUE"""),": - ")</f>
        <v>: - </v>
      </c>
      <c r="J214" s="19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92"/>
      <c r="B215" s="192"/>
      <c r="C215" s="192"/>
      <c r="D215" s="192"/>
      <c r="E215" s="192"/>
      <c r="F215" s="192"/>
      <c r="G215" s="192" t="str">
        <f>IFERROR(__xludf.DUMMYFUNCTION("""COMPUTED_VALUE"""),"Manish Karnatak")</f>
        <v>Manish Karnatak</v>
      </c>
      <c r="H215" s="192" t="str">
        <f>IFERROR(__xludf.DUMMYFUNCTION("""COMPUTED_VALUE"""),"manish.karnatak@zupee.in")</f>
        <v>manish.karnatak@zupee.in</v>
      </c>
      <c r="I215" s="192" t="str">
        <f>IFERROR(__xludf.DUMMYFUNCTION("""COMPUTED_VALUE"""),": - ")</f>
        <v>: - </v>
      </c>
      <c r="J215" s="19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92"/>
      <c r="B216" s="192"/>
      <c r="C216" s="192"/>
      <c r="D216" s="192"/>
      <c r="E216" s="192"/>
      <c r="F216" s="192"/>
      <c r="G216" s="192" t="str">
        <f>IFERROR(__xludf.DUMMYFUNCTION("""COMPUTED_VALUE"""),"Manish Kawatra")</f>
        <v>Manish Kawatra</v>
      </c>
      <c r="H216" s="192" t="str">
        <f>IFERROR(__xludf.DUMMYFUNCTION("""COMPUTED_VALUE"""),"manish.kawatra@zupee.in")</f>
        <v>manish.kawatra@zupee.in</v>
      </c>
      <c r="I216" s="192" t="str">
        <f>IFERROR(__xludf.DUMMYFUNCTION("""COMPUTED_VALUE"""),": - ")</f>
        <v>: - </v>
      </c>
      <c r="J216" s="19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92"/>
      <c r="B217" s="192"/>
      <c r="C217" s="192"/>
      <c r="D217" s="192"/>
      <c r="E217" s="192"/>
      <c r="F217" s="192"/>
      <c r="G217" s="192" t="str">
        <f>IFERROR(__xludf.DUMMYFUNCTION("""COMPUTED_VALUE"""),"Manish Kumar")</f>
        <v>Manish Kumar</v>
      </c>
      <c r="H217" s="192" t="str">
        <f>IFERROR(__xludf.DUMMYFUNCTION("""COMPUTED_VALUE"""),"manish.kumar@zupee.in")</f>
        <v>manish.kumar@zupee.in</v>
      </c>
      <c r="I217" s="192" t="str">
        <f>IFERROR(__xludf.DUMMYFUNCTION("""COMPUTED_VALUE"""),": - ")</f>
        <v>: - </v>
      </c>
      <c r="J217" s="19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92"/>
      <c r="B218" s="192"/>
      <c r="C218" s="192"/>
      <c r="D218" s="192"/>
      <c r="E218" s="192"/>
      <c r="F218" s="192"/>
      <c r="G218" s="192" t="str">
        <f>IFERROR(__xludf.DUMMYFUNCTION("""COMPUTED_VALUE"""),"Mansi Bedi")</f>
        <v>Mansi Bedi</v>
      </c>
      <c r="H218" s="192" t="str">
        <f>IFERROR(__xludf.DUMMYFUNCTION("""COMPUTED_VALUE"""),"mansi.bedi@zupee.in")</f>
        <v>mansi.bedi@zupee.in</v>
      </c>
      <c r="I218" s="192" t="str">
        <f>IFERROR(__xludf.DUMMYFUNCTION("""COMPUTED_VALUE"""),": - ")</f>
        <v>: - </v>
      </c>
      <c r="J218" s="19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92"/>
      <c r="B219" s="192"/>
      <c r="C219" s="192"/>
      <c r="D219" s="192"/>
      <c r="E219" s="192"/>
      <c r="F219" s="192"/>
      <c r="G219" s="192" t="str">
        <f>IFERROR(__xludf.DUMMYFUNCTION("""COMPUTED_VALUE"""),"Manvi Agarwal")</f>
        <v>Manvi Agarwal</v>
      </c>
      <c r="H219" s="192" t="str">
        <f>IFERROR(__xludf.DUMMYFUNCTION("""COMPUTED_VALUE"""),"manvi.agarwal@zupee.in")</f>
        <v>manvi.agarwal@zupee.in</v>
      </c>
      <c r="I219" s="192" t="str">
        <f>IFERROR(__xludf.DUMMYFUNCTION("""COMPUTED_VALUE"""),": - ")</f>
        <v>: - </v>
      </c>
      <c r="J219" s="19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92"/>
      <c r="B220" s="192"/>
      <c r="C220" s="192"/>
      <c r="D220" s="192"/>
      <c r="E220" s="192"/>
      <c r="F220" s="192"/>
      <c r="G220" s="192" t="str">
        <f>IFERROR(__xludf.DUMMYFUNCTION("""COMPUTED_VALUE"""),"Mathias Lakra")</f>
        <v>Mathias Lakra</v>
      </c>
      <c r="H220" s="192" t="str">
        <f>IFERROR(__xludf.DUMMYFUNCTION("""COMPUTED_VALUE"""),"mathias.lakra@zupee.in")</f>
        <v>mathias.lakra@zupee.in</v>
      </c>
      <c r="I220" s="192" t="str">
        <f>IFERROR(__xludf.DUMMYFUNCTION("""COMPUTED_VALUE"""),": - ")</f>
        <v>: - </v>
      </c>
      <c r="J220" s="19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92"/>
      <c r="B221" s="192"/>
      <c r="C221" s="192"/>
      <c r="D221" s="192"/>
      <c r="E221" s="192"/>
      <c r="F221" s="192"/>
      <c r="G221" s="192" t="str">
        <f>IFERROR(__xludf.DUMMYFUNCTION("""COMPUTED_VALUE"""),"Pathak")</f>
        <v>Pathak</v>
      </c>
      <c r="H221" s="192" t="str">
        <f>IFERROR(__xludf.DUMMYFUNCTION("""COMPUTED_VALUE"""),"mayank.pathak@zupee.in")</f>
        <v>mayank.pathak@zupee.in</v>
      </c>
      <c r="I221" s="192" t="str">
        <f>IFERROR(__xludf.DUMMYFUNCTION("""COMPUTED_VALUE"""),": - ")</f>
        <v>: - </v>
      </c>
      <c r="J221" s="19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92"/>
      <c r="B222" s="192"/>
      <c r="C222" s="192"/>
      <c r="D222" s="192"/>
      <c r="E222" s="192"/>
      <c r="F222" s="192"/>
      <c r="G222" s="192" t="str">
        <f>IFERROR(__xludf.DUMMYFUNCTION("""COMPUTED_VALUE"""),"Sanjeed - Intern")</f>
        <v>Sanjeed - Intern</v>
      </c>
      <c r="H222" s="192" t="str">
        <f>IFERROR(__xludf.DUMMYFUNCTION("""COMPUTED_VALUE"""),"md.sanjeed@zupee.in")</f>
        <v>md.sanjeed@zupee.in</v>
      </c>
      <c r="I222" s="192" t="str">
        <f>IFERROR(__xludf.DUMMYFUNCTION("""COMPUTED_VALUE"""),": - ")</f>
        <v>: - </v>
      </c>
      <c r="J222" s="19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92"/>
      <c r="B223" s="192"/>
      <c r="C223" s="192"/>
      <c r="D223" s="192"/>
      <c r="E223" s="192"/>
      <c r="F223" s="192"/>
      <c r="G223" s="192" t="str">
        <f>IFERROR(__xludf.DUMMYFUNCTION("""COMPUTED_VALUE"""),"Meera Pawar")</f>
        <v>Meera Pawar</v>
      </c>
      <c r="H223" s="192" t="str">
        <f>IFERROR(__xludf.DUMMYFUNCTION("""COMPUTED_VALUE"""),"meera.pawar@zupee.in")</f>
        <v>meera.pawar@zupee.in</v>
      </c>
      <c r="I223" s="192" t="str">
        <f>IFERROR(__xludf.DUMMYFUNCTION("""COMPUTED_VALUE"""),": - ")</f>
        <v>: - </v>
      </c>
      <c r="J223" s="19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92"/>
      <c r="B224" s="192"/>
      <c r="C224" s="192"/>
      <c r="D224" s="192"/>
      <c r="E224" s="192"/>
      <c r="F224" s="192"/>
      <c r="G224" s="192" t="str">
        <f>IFERROR(__xludf.DUMMYFUNCTION("""COMPUTED_VALUE"""),"Mehul Shah")</f>
        <v>Mehul Shah</v>
      </c>
      <c r="H224" s="192" t="str">
        <f>IFERROR(__xludf.DUMMYFUNCTION("""COMPUTED_VALUE"""),"mehul.shah@zupee.in")</f>
        <v>mehul.shah@zupee.in</v>
      </c>
      <c r="I224" s="192" t="str">
        <f>IFERROR(__xludf.DUMMYFUNCTION("""COMPUTED_VALUE"""),": - ")</f>
        <v>: - </v>
      </c>
      <c r="J224" s="19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92"/>
      <c r="B225" s="192"/>
      <c r="C225" s="192"/>
      <c r="D225" s="192"/>
      <c r="E225" s="192"/>
      <c r="F225" s="192"/>
      <c r="G225" s="192" t="str">
        <f>IFERROR(__xludf.DUMMYFUNCTION("""COMPUTED_VALUE"""),"Mitali Tyagi")</f>
        <v>Mitali Tyagi</v>
      </c>
      <c r="H225" s="192" t="str">
        <f>IFERROR(__xludf.DUMMYFUNCTION("""COMPUTED_VALUE"""),"mitali.tyagi@zupee.in")</f>
        <v>mitali.tyagi@zupee.in</v>
      </c>
      <c r="I225" s="192" t="str">
        <f>IFERROR(__xludf.DUMMYFUNCTION("""COMPUTED_VALUE"""),": - ")</f>
        <v>: - </v>
      </c>
      <c r="J225" s="19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92"/>
      <c r="B226" s="192"/>
      <c r="C226" s="192"/>
      <c r="D226" s="192"/>
      <c r="E226" s="192"/>
      <c r="F226" s="192"/>
      <c r="G226" s="192" t="str">
        <f>IFERROR(__xludf.DUMMYFUNCTION("""COMPUTED_VALUE"""),"mitali")</f>
        <v>mitali</v>
      </c>
      <c r="H226" s="192" t="str">
        <f>IFERROR(__xludf.DUMMYFUNCTION("""COMPUTED_VALUE"""),"mitali@zupee.in")</f>
        <v>mitali@zupee.in</v>
      </c>
      <c r="I226" s="192" t="str">
        <f>IFERROR(__xludf.DUMMYFUNCTION("""COMPUTED_VALUE"""),": - ")</f>
        <v>: - </v>
      </c>
      <c r="J226" s="19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92"/>
      <c r="B227" s="192"/>
      <c r="C227" s="192"/>
      <c r="D227" s="192"/>
      <c r="E227" s="192"/>
      <c r="F227" s="192"/>
      <c r="G227" s="192" t="str">
        <f>IFERROR(__xludf.DUMMYFUNCTION("""COMPUTED_VALUE"""),"Mohammed Faheem")</f>
        <v>Mohammed Faheem</v>
      </c>
      <c r="H227" s="192" t="str">
        <f>IFERROR(__xludf.DUMMYFUNCTION("""COMPUTED_VALUE"""),"mohammed.faheem@zupee.in")</f>
        <v>mohammed.faheem@zupee.in</v>
      </c>
      <c r="I227" s="192" t="str">
        <f>IFERROR(__xludf.DUMMYFUNCTION("""COMPUTED_VALUE"""),": - ")</f>
        <v>: - </v>
      </c>
      <c r="J227" s="19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92"/>
      <c r="B228" s="192"/>
      <c r="C228" s="192"/>
      <c r="D228" s="192"/>
      <c r="E228" s="192"/>
      <c r="F228" s="192"/>
      <c r="G228" s="192" t="str">
        <f>IFERROR(__xludf.DUMMYFUNCTION("""COMPUTED_VALUE"""),"Mohd Nadeem Ansari")</f>
        <v>Mohd Nadeem Ansari</v>
      </c>
      <c r="H228" s="192" t="str">
        <f>IFERROR(__xludf.DUMMYFUNCTION("""COMPUTED_VALUE"""),"mohd.ansari@zupee.in")</f>
        <v>mohd.ansari@zupee.in</v>
      </c>
      <c r="I228" s="192" t="str">
        <f>IFERROR(__xludf.DUMMYFUNCTION("""COMPUTED_VALUE"""),": - ")</f>
        <v>: - </v>
      </c>
      <c r="J228" s="19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92"/>
      <c r="B229" s="192"/>
      <c r="C229" s="192"/>
      <c r="D229" s="192"/>
      <c r="E229" s="192"/>
      <c r="F229" s="192"/>
      <c r="G229" s="192" t="str">
        <f>IFERROR(__xludf.DUMMYFUNCTION("""COMPUTED_VALUE"""),"mohd.‚Äãdanish")</f>
        <v>mohd.‚Äãdanish</v>
      </c>
      <c r="H229" s="192" t="str">
        <f>IFERROR(__xludf.DUMMYFUNCTION("""COMPUTED_VALUE"""),"mohd.danish@zupee.in")</f>
        <v>mohd.danish@zupee.in</v>
      </c>
      <c r="I229" s="192" t="str">
        <f>IFERROR(__xludf.DUMMYFUNCTION("""COMPUTED_VALUE"""),": - ")</f>
        <v>: - </v>
      </c>
      <c r="J229" s="19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92"/>
      <c r="B230" s="192"/>
      <c r="C230" s="192"/>
      <c r="D230" s="192"/>
      <c r="E230" s="192"/>
      <c r="F230" s="192"/>
      <c r="G230" s="192" t="str">
        <f>IFERROR(__xludf.DUMMYFUNCTION("""COMPUTED_VALUE"""),"Mohit Bakshi")</f>
        <v>Mohit Bakshi</v>
      </c>
      <c r="H230" s="192" t="str">
        <f>IFERROR(__xludf.DUMMYFUNCTION("""COMPUTED_VALUE"""),"mohit.bakshi@zupee.in")</f>
        <v>mohit.bakshi@zupee.in</v>
      </c>
      <c r="I230" s="192" t="str">
        <f>IFERROR(__xludf.DUMMYFUNCTION("""COMPUTED_VALUE"""),": - ")</f>
        <v>: - </v>
      </c>
      <c r="J230" s="19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92"/>
      <c r="B231" s="192"/>
      <c r="C231" s="192"/>
      <c r="D231" s="192"/>
      <c r="E231" s="192"/>
      <c r="F231" s="192"/>
      <c r="G231" s="192" t="str">
        <f>IFERROR(__xludf.DUMMYFUNCTION("""COMPUTED_VALUE"""),"Mohit Kaushik")</f>
        <v>Mohit Kaushik</v>
      </c>
      <c r="H231" s="192" t="str">
        <f>IFERROR(__xludf.DUMMYFUNCTION("""COMPUTED_VALUE"""),"mohit.kaushik@zupee.in")</f>
        <v>mohit.kaushik@zupee.in</v>
      </c>
      <c r="I231" s="192" t="str">
        <f>IFERROR(__xludf.DUMMYFUNCTION("""COMPUTED_VALUE"""),": - ")</f>
        <v>: - </v>
      </c>
      <c r="J231" s="19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92"/>
      <c r="B232" s="192"/>
      <c r="C232" s="192"/>
      <c r="D232" s="192"/>
      <c r="E232" s="192"/>
      <c r="F232" s="192"/>
      <c r="G232" s="192" t="str">
        <f>IFERROR(__xludf.DUMMYFUNCTION("""COMPUTED_VALUE"""),"Mohit Mangal")</f>
        <v>Mohit Mangal</v>
      </c>
      <c r="H232" s="192" t="str">
        <f>IFERROR(__xludf.DUMMYFUNCTION("""COMPUTED_VALUE"""),"mohit.mangal@zupee.in")</f>
        <v>mohit.mangal@zupee.in</v>
      </c>
      <c r="I232" s="192" t="str">
        <f>IFERROR(__xludf.DUMMYFUNCTION("""COMPUTED_VALUE"""),": - ")</f>
        <v>: - </v>
      </c>
      <c r="J232" s="19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92"/>
      <c r="B233" s="192"/>
      <c r="C233" s="192"/>
      <c r="D233" s="192"/>
      <c r="E233" s="192"/>
      <c r="F233" s="192"/>
      <c r="G233" s="192" t="str">
        <f>IFERROR(__xludf.DUMMYFUNCTION("""COMPUTED_VALUE"""),"Molik Chauhan")</f>
        <v>Molik Chauhan</v>
      </c>
      <c r="H233" s="192" t="str">
        <f>IFERROR(__xludf.DUMMYFUNCTION("""COMPUTED_VALUE"""),"molik.chauhan@zupee.in")</f>
        <v>molik.chauhan@zupee.in</v>
      </c>
      <c r="I233" s="192" t="str">
        <f>IFERROR(__xludf.DUMMYFUNCTION("""COMPUTED_VALUE"""),": - ")</f>
        <v>: - </v>
      </c>
      <c r="J233" s="19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92"/>
      <c r="B234" s="192"/>
      <c r="C234" s="192"/>
      <c r="D234" s="192"/>
      <c r="E234" s="192"/>
      <c r="F234" s="192"/>
      <c r="G234" s="192" t="str">
        <f>IFERROR(__xludf.DUMMYFUNCTION("""COMPUTED_VALUE"""),"Mounica Duvva")</f>
        <v>Mounica Duvva</v>
      </c>
      <c r="H234" s="192" t="str">
        <f>IFERROR(__xludf.DUMMYFUNCTION("""COMPUTED_VALUE"""),"mounica.duvva@zupee.in")</f>
        <v>mounica.duvva@zupee.in</v>
      </c>
      <c r="I234" s="192" t="str">
        <f>IFERROR(__xludf.DUMMYFUNCTION("""COMPUTED_VALUE"""),": - ")</f>
        <v>: - </v>
      </c>
      <c r="J234" s="19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92"/>
      <c r="B235" s="192"/>
      <c r="C235" s="192"/>
      <c r="D235" s="192"/>
      <c r="E235" s="192"/>
      <c r="F235" s="192"/>
      <c r="G235" s="192" t="str">
        <f>IFERROR(__xludf.DUMMYFUNCTION("""COMPUTED_VALUE"""),"Mudit Khandelwal")</f>
        <v>Mudit Khandelwal</v>
      </c>
      <c r="H235" s="192" t="str">
        <f>IFERROR(__xludf.DUMMYFUNCTION("""COMPUTED_VALUE"""),"mudit.khandelwal@zupee.in")</f>
        <v>mudit.khandelwal@zupee.in</v>
      </c>
      <c r="I235" s="192" t="str">
        <f>IFERROR(__xludf.DUMMYFUNCTION("""COMPUTED_VALUE"""),": - ")</f>
        <v>: - </v>
      </c>
      <c r="J235" s="19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92"/>
      <c r="B236" s="192"/>
      <c r="C236" s="192"/>
      <c r="D236" s="192"/>
      <c r="E236" s="192"/>
      <c r="F236" s="192"/>
      <c r="G236" s="192" t="str">
        <f>IFERROR(__xludf.DUMMYFUNCTION("""COMPUTED_VALUE"""),"Mukesh Vaidya")</f>
        <v>Mukesh Vaidya</v>
      </c>
      <c r="H236" s="192" t="str">
        <f>IFERROR(__xludf.DUMMYFUNCTION("""COMPUTED_VALUE"""),"mukesh.vaidya@zupee.in")</f>
        <v>mukesh.vaidya@zupee.in</v>
      </c>
      <c r="I236" s="192" t="str">
        <f>IFERROR(__xludf.DUMMYFUNCTION("""COMPUTED_VALUE"""),": - ")</f>
        <v>: - </v>
      </c>
      <c r="J236" s="19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92"/>
      <c r="B237" s="192"/>
      <c r="C237" s="192"/>
      <c r="D237" s="192"/>
      <c r="E237" s="192"/>
      <c r="F237" s="192"/>
      <c r="G237" s="192" t="str">
        <f>IFERROR(__xludf.DUMMYFUNCTION("""COMPUTED_VALUE"""),"Muskan Arora")</f>
        <v>Muskan Arora</v>
      </c>
      <c r="H237" s="192" t="str">
        <f>IFERROR(__xludf.DUMMYFUNCTION("""COMPUTED_VALUE"""),"muskan.arora@zupee.in")</f>
        <v>muskan.arora@zupee.in</v>
      </c>
      <c r="I237" s="192" t="str">
        <f>IFERROR(__xludf.DUMMYFUNCTION("""COMPUTED_VALUE"""),": - ")</f>
        <v>: - </v>
      </c>
      <c r="J237" s="19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92"/>
      <c r="B238" s="192"/>
      <c r="C238" s="192"/>
      <c r="D238" s="192"/>
      <c r="E238" s="192"/>
      <c r="F238" s="192"/>
      <c r="G238" s="192" t="str">
        <f>IFERROR(__xludf.DUMMYFUNCTION("""COMPUTED_VALUE"""),"Nabil Syed")</f>
        <v>Nabil Syed</v>
      </c>
      <c r="H238" s="192" t="str">
        <f>IFERROR(__xludf.DUMMYFUNCTION("""COMPUTED_VALUE"""),"nabil.syed@zupee.in")</f>
        <v>nabil.syed@zupee.in</v>
      </c>
      <c r="I238" s="192" t="str">
        <f>IFERROR(__xludf.DUMMYFUNCTION("""COMPUTED_VALUE"""),": - ")</f>
        <v>: - </v>
      </c>
      <c r="J238" s="19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92"/>
      <c r="B239" s="192"/>
      <c r="C239" s="192"/>
      <c r="D239" s="192"/>
      <c r="E239" s="192"/>
      <c r="F239" s="192"/>
      <c r="G239" s="192" t="str">
        <f>IFERROR(__xludf.DUMMYFUNCTION("""COMPUTED_VALUE"""),"Neha")</f>
        <v>Neha</v>
      </c>
      <c r="H239" s="192" t="str">
        <f>IFERROR(__xludf.DUMMYFUNCTION("""COMPUTED_VALUE"""),"neha.singh@zupee.in")</f>
        <v>neha.singh@zupee.in</v>
      </c>
      <c r="I239" s="192" t="str">
        <f>IFERROR(__xludf.DUMMYFUNCTION("""COMPUTED_VALUE"""),": - ")</f>
        <v>: - </v>
      </c>
      <c r="J239" s="19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92"/>
      <c r="B240" s="192"/>
      <c r="C240" s="192"/>
      <c r="D240" s="192"/>
      <c r="E240" s="192"/>
      <c r="F240" s="192"/>
      <c r="G240" s="192" t="str">
        <f>IFERROR(__xludf.DUMMYFUNCTION("""COMPUTED_VALUE"""),"Nidhi Agarwal")</f>
        <v>Nidhi Agarwal</v>
      </c>
      <c r="H240" s="192" t="str">
        <f>IFERROR(__xludf.DUMMYFUNCTION("""COMPUTED_VALUE"""),"nidhi.agarwal@zupee.in")</f>
        <v>nidhi.agarwal@zupee.in</v>
      </c>
      <c r="I240" s="192" t="str">
        <f>IFERROR(__xludf.DUMMYFUNCTION("""COMPUTED_VALUE"""),": - ")</f>
        <v>: - </v>
      </c>
      <c r="J240" s="19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92"/>
      <c r="B241" s="192"/>
      <c r="C241" s="192"/>
      <c r="D241" s="192"/>
      <c r="E241" s="192"/>
      <c r="F241" s="192"/>
      <c r="G241" s="192" t="str">
        <f>IFERROR(__xludf.DUMMYFUNCTION("""COMPUTED_VALUE"""),"nidhi.kumari")</f>
        <v>nidhi.kumari</v>
      </c>
      <c r="H241" s="192" t="str">
        <f>IFERROR(__xludf.DUMMYFUNCTION("""COMPUTED_VALUE"""),"nidhi.kumari@zupee.in")</f>
        <v>nidhi.kumari@zupee.in</v>
      </c>
      <c r="I241" s="192" t="str">
        <f>IFERROR(__xludf.DUMMYFUNCTION("""COMPUTED_VALUE"""),": - ")</f>
        <v>: - </v>
      </c>
      <c r="J241" s="19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92"/>
      <c r="B242" s="192"/>
      <c r="C242" s="192"/>
      <c r="D242" s="192"/>
      <c r="E242" s="192"/>
      <c r="F242" s="192"/>
      <c r="G242" s="192" t="str">
        <f>IFERROR(__xludf.DUMMYFUNCTION("""COMPUTED_VALUE"""),"Nihal Sidhu")</f>
        <v>Nihal Sidhu</v>
      </c>
      <c r="H242" s="192" t="str">
        <f>IFERROR(__xludf.DUMMYFUNCTION("""COMPUTED_VALUE"""),"nihal.sandhu@zupee.in")</f>
        <v>nihal.sandhu@zupee.in</v>
      </c>
      <c r="I242" s="192" t="str">
        <f>IFERROR(__xludf.DUMMYFUNCTION("""COMPUTED_VALUE"""),": - ")</f>
        <v>: - </v>
      </c>
      <c r="J242" s="19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92"/>
      <c r="B243" s="192"/>
      <c r="C243" s="192"/>
      <c r="D243" s="192"/>
      <c r="E243" s="192"/>
      <c r="F243" s="192"/>
      <c r="G243" s="192" t="str">
        <f>IFERROR(__xludf.DUMMYFUNCTION("""COMPUTED_VALUE"""),"Nihal Sidhu")</f>
        <v>Nihal Sidhu</v>
      </c>
      <c r="H243" s="192" t="str">
        <f>IFERROR(__xludf.DUMMYFUNCTION("""COMPUTED_VALUE"""),"nihal.sidhu@zupee.in")</f>
        <v>nihal.sidhu@zupee.in</v>
      </c>
      <c r="I243" s="192" t="str">
        <f>IFERROR(__xludf.DUMMYFUNCTION("""COMPUTED_VALUE"""),": - ")</f>
        <v>: - </v>
      </c>
      <c r="J243" s="19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92"/>
      <c r="B244" s="192"/>
      <c r="C244" s="192"/>
      <c r="D244" s="192"/>
      <c r="E244" s="192"/>
      <c r="F244" s="192"/>
      <c r="G244" s="192" t="str">
        <f>IFERROR(__xludf.DUMMYFUNCTION("""COMPUTED_VALUE"""),"Nikhil Jha")</f>
        <v>Nikhil Jha</v>
      </c>
      <c r="H244" s="192" t="str">
        <f>IFERROR(__xludf.DUMMYFUNCTION("""COMPUTED_VALUE"""),"nikhil.jha@zupee.in")</f>
        <v>nikhil.jha@zupee.in</v>
      </c>
      <c r="I244" s="192" t="str">
        <f>IFERROR(__xludf.DUMMYFUNCTION("""COMPUTED_VALUE"""),": - ")</f>
        <v>: - </v>
      </c>
      <c r="J244" s="19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92"/>
      <c r="B245" s="192"/>
      <c r="C245" s="192"/>
      <c r="D245" s="192"/>
      <c r="E245" s="192"/>
      <c r="F245" s="192"/>
      <c r="G245" s="192" t="str">
        <f>IFERROR(__xludf.DUMMYFUNCTION("""COMPUTED_VALUE"""),"Nikhil Singhal")</f>
        <v>Nikhil Singhal</v>
      </c>
      <c r="H245" s="192" t="str">
        <f>IFERROR(__xludf.DUMMYFUNCTION("""COMPUTED_VALUE"""),"nikhil.singhal@zupee.in")</f>
        <v>nikhil.singhal@zupee.in</v>
      </c>
      <c r="I245" s="192" t="str">
        <f>IFERROR(__xludf.DUMMYFUNCTION("""COMPUTED_VALUE"""),": - ")</f>
        <v>: - </v>
      </c>
      <c r="J245" s="19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92"/>
      <c r="B246" s="192"/>
      <c r="C246" s="192"/>
      <c r="D246" s="192"/>
      <c r="E246" s="192"/>
      <c r="F246" s="192"/>
      <c r="G246" s="192" t="str">
        <f>IFERROR(__xludf.DUMMYFUNCTION("""COMPUTED_VALUE"""),"Nikhil Jha")</f>
        <v>Nikhil Jha</v>
      </c>
      <c r="H246" s="192" t="str">
        <f>IFERROR(__xludf.DUMMYFUNCTION("""COMPUTED_VALUE"""),"nikhil@zupee.in")</f>
        <v>nikhil@zupee.in</v>
      </c>
      <c r="I246" s="192" t="str">
        <f>IFERROR(__xludf.DUMMYFUNCTION("""COMPUTED_VALUE"""),": - ")</f>
        <v>: - </v>
      </c>
      <c r="J246" s="19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92"/>
      <c r="B247" s="192"/>
      <c r="C247" s="192"/>
      <c r="D247" s="192"/>
      <c r="E247" s="192"/>
      <c r="F247" s="192"/>
      <c r="G247" s="192" t="str">
        <f>IFERROR(__xludf.DUMMYFUNCTION("""COMPUTED_VALUE"""),"Nikunj Aggarwal")</f>
        <v>Nikunj Aggarwal</v>
      </c>
      <c r="H247" s="192" t="str">
        <f>IFERROR(__xludf.DUMMYFUNCTION("""COMPUTED_VALUE"""),"nikunj.aggarwal@zupee.in")</f>
        <v>nikunj.aggarwal@zupee.in</v>
      </c>
      <c r="I247" s="192" t="str">
        <f>IFERROR(__xludf.DUMMYFUNCTION("""COMPUTED_VALUE"""),": - ")</f>
        <v>: - </v>
      </c>
      <c r="J247" s="19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92"/>
      <c r="B248" s="192"/>
      <c r="C248" s="192"/>
      <c r="D248" s="192"/>
      <c r="E248" s="192"/>
      <c r="F248" s="192"/>
      <c r="G248" s="192" t="str">
        <f>IFERROR(__xludf.DUMMYFUNCTION("""COMPUTED_VALUE"""),"Nilesh Kumar")</f>
        <v>Nilesh Kumar</v>
      </c>
      <c r="H248" s="192" t="str">
        <f>IFERROR(__xludf.DUMMYFUNCTION("""COMPUTED_VALUE"""),"nilesh.kumar@zupee.in")</f>
        <v>nilesh.kumar@zupee.in</v>
      </c>
      <c r="I248" s="192" t="str">
        <f>IFERROR(__xludf.DUMMYFUNCTION("""COMPUTED_VALUE"""),": - ")</f>
        <v>: - </v>
      </c>
      <c r="J248" s="19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92"/>
      <c r="B249" s="192"/>
      <c r="C249" s="192"/>
      <c r="D249" s="192"/>
      <c r="E249" s="192"/>
      <c r="F249" s="192"/>
      <c r="G249" s="192" t="str">
        <f>IFERROR(__xludf.DUMMYFUNCTION("""COMPUTED_VALUE"""),"Nilesh Saxena")</f>
        <v>Nilesh Saxena</v>
      </c>
      <c r="H249" s="192" t="str">
        <f>IFERROR(__xludf.DUMMYFUNCTION("""COMPUTED_VALUE"""),"nilesh.saxena@zupee.in")</f>
        <v>nilesh.saxena@zupee.in</v>
      </c>
      <c r="I249" s="192" t="str">
        <f>IFERROR(__xludf.DUMMYFUNCTION("""COMPUTED_VALUE"""),": - ")</f>
        <v>: - </v>
      </c>
      <c r="J249" s="19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92"/>
      <c r="B250" s="192"/>
      <c r="C250" s="192"/>
      <c r="D250" s="192"/>
      <c r="E250" s="192"/>
      <c r="F250" s="192"/>
      <c r="G250" s="192" t="str">
        <f>IFERROR(__xludf.DUMMYFUNCTION("""COMPUTED_VALUE"""),"Nirmal Kumar")</f>
        <v>Nirmal Kumar</v>
      </c>
      <c r="H250" s="192" t="str">
        <f>IFERROR(__xludf.DUMMYFUNCTION("""COMPUTED_VALUE"""),"nirmal.kumar@zupee.in")</f>
        <v>nirmal.kumar@zupee.in</v>
      </c>
      <c r="I250" s="192" t="str">
        <f>IFERROR(__xludf.DUMMYFUNCTION("""COMPUTED_VALUE"""),": - ")</f>
        <v>: - </v>
      </c>
      <c r="J250" s="19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92"/>
      <c r="B251" s="192"/>
      <c r="C251" s="192"/>
      <c r="D251" s="192"/>
      <c r="E251" s="192"/>
      <c r="F251" s="192"/>
      <c r="G251" s="192" t="str">
        <f>IFERROR(__xludf.DUMMYFUNCTION("""COMPUTED_VALUE"""),"Nischay")</f>
        <v>Nischay</v>
      </c>
      <c r="H251" s="192" t="str">
        <f>IFERROR(__xludf.DUMMYFUNCTION("""COMPUTED_VALUE"""),"nischay.sabherwal@zupee.in")</f>
        <v>nischay.sabherwal@zupee.in</v>
      </c>
      <c r="I251" s="192" t="str">
        <f>IFERROR(__xludf.DUMMYFUNCTION("""COMPUTED_VALUE"""),": - ")</f>
        <v>: - </v>
      </c>
      <c r="J251" s="19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92"/>
      <c r="B252" s="192"/>
      <c r="C252" s="192"/>
      <c r="D252" s="192"/>
      <c r="E252" s="192"/>
      <c r="F252" s="192"/>
      <c r="G252" s="192" t="str">
        <f>IFERROR(__xludf.DUMMYFUNCTION("""COMPUTED_VALUE"""),"Nishchay Singh")</f>
        <v>Nishchay Singh</v>
      </c>
      <c r="H252" s="192" t="str">
        <f>IFERROR(__xludf.DUMMYFUNCTION("""COMPUTED_VALUE"""),"nishchay.singh@zupee.in")</f>
        <v>nishchay.singh@zupee.in</v>
      </c>
      <c r="I252" s="192" t="str">
        <f>IFERROR(__xludf.DUMMYFUNCTION("""COMPUTED_VALUE"""),": - ")</f>
        <v>: - </v>
      </c>
      <c r="J252" s="19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92"/>
      <c r="B253" s="192"/>
      <c r="C253" s="192"/>
      <c r="D253" s="192"/>
      <c r="E253" s="192"/>
      <c r="F253" s="192"/>
      <c r="G253" s="192" t="str">
        <f>IFERROR(__xludf.DUMMYFUNCTION("""COMPUTED_VALUE"""),"Nishtha Pandey")</f>
        <v>Nishtha Pandey</v>
      </c>
      <c r="H253" s="192" t="str">
        <f>IFERROR(__xludf.DUMMYFUNCTION("""COMPUTED_VALUE"""),"nishtha.pandey@zupee.in")</f>
        <v>nishtha.pandey@zupee.in</v>
      </c>
      <c r="I253" s="192" t="str">
        <f>IFERROR(__xludf.DUMMYFUNCTION("""COMPUTED_VALUE"""),": - ")</f>
        <v>: - </v>
      </c>
      <c r="J253" s="19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92"/>
      <c r="B254" s="192"/>
      <c r="C254" s="192"/>
      <c r="D254" s="192"/>
      <c r="E254" s="192"/>
      <c r="F254" s="192"/>
      <c r="G254" s="192" t="str">
        <f>IFERROR(__xludf.DUMMYFUNCTION("""COMPUTED_VALUE"""),"Nithin Kumar Munaga")</f>
        <v>Nithin Kumar Munaga</v>
      </c>
      <c r="H254" s="192" t="str">
        <f>IFERROR(__xludf.DUMMYFUNCTION("""COMPUTED_VALUE"""),"nithin.munaga@zupee.in")</f>
        <v>nithin.munaga@zupee.in</v>
      </c>
      <c r="I254" s="192" t="str">
        <f>IFERROR(__xludf.DUMMYFUNCTION("""COMPUTED_VALUE"""),": - ")</f>
        <v>: - </v>
      </c>
      <c r="J254" s="19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92"/>
      <c r="B255" s="192"/>
      <c r="C255" s="192"/>
      <c r="D255" s="192"/>
      <c r="E255" s="192"/>
      <c r="F255" s="192"/>
      <c r="G255" s="192" t="str">
        <f>IFERROR(__xludf.DUMMYFUNCTION("""COMPUTED_VALUE"""),"Nitin Chauhan")</f>
        <v>Nitin Chauhan</v>
      </c>
      <c r="H255" s="192" t="str">
        <f>IFERROR(__xludf.DUMMYFUNCTION("""COMPUTED_VALUE"""),"nitin.chauhan@zupee.in")</f>
        <v>nitin.chauhan@zupee.in</v>
      </c>
      <c r="I255" s="192" t="str">
        <f>IFERROR(__xludf.DUMMYFUNCTION("""COMPUTED_VALUE"""),": - ")</f>
        <v>: - </v>
      </c>
      <c r="J255" s="19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92"/>
      <c r="B256" s="192"/>
      <c r="C256" s="192"/>
      <c r="D256" s="192"/>
      <c r="E256" s="192"/>
      <c r="F256" s="192"/>
      <c r="G256" s="192" t="str">
        <f>IFERROR(__xludf.DUMMYFUNCTION("""COMPUTED_VALUE"""),"Niyati Verma")</f>
        <v>Niyati Verma</v>
      </c>
      <c r="H256" s="192" t="str">
        <f>IFERROR(__xludf.DUMMYFUNCTION("""COMPUTED_VALUE"""),"niyati.verma@zupee.in")</f>
        <v>niyati.verma@zupee.in</v>
      </c>
      <c r="I256" s="192" t="str">
        <f>IFERROR(__xludf.DUMMYFUNCTION("""COMPUTED_VALUE"""),": - ")</f>
        <v>: - </v>
      </c>
      <c r="J256" s="19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92"/>
      <c r="B257" s="192"/>
      <c r="C257" s="192"/>
      <c r="D257" s="192"/>
      <c r="E257" s="192"/>
      <c r="F257" s="192"/>
      <c r="G257" s="192" t="str">
        <f>IFERROR(__xludf.DUMMYFUNCTION("""COMPUTED_VALUE"""),"Om Deoli")</f>
        <v>Om Deoli</v>
      </c>
      <c r="H257" s="192" t="str">
        <f>IFERROR(__xludf.DUMMYFUNCTION("""COMPUTED_VALUE"""),"om.deoli@zupee.in")</f>
        <v>om.deoli@zupee.in</v>
      </c>
      <c r="I257" s="192" t="str">
        <f>IFERROR(__xludf.DUMMYFUNCTION("""COMPUTED_VALUE"""),": - ")</f>
        <v>: - </v>
      </c>
      <c r="J257" s="19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92"/>
      <c r="B258" s="192"/>
      <c r="C258" s="192"/>
      <c r="D258" s="192"/>
      <c r="E258" s="192"/>
      <c r="F258" s="192"/>
      <c r="G258" s="192" t="str">
        <f>IFERROR(__xludf.DUMMYFUNCTION("""COMPUTED_VALUE"""),"Pallavi Singh")</f>
        <v>Pallavi Singh</v>
      </c>
      <c r="H258" s="192" t="str">
        <f>IFERROR(__xludf.DUMMYFUNCTION("""COMPUTED_VALUE"""),"pallavi.singh@zupee.in")</f>
        <v>pallavi.singh@zupee.in</v>
      </c>
      <c r="I258" s="192" t="str">
        <f>IFERROR(__xludf.DUMMYFUNCTION("""COMPUTED_VALUE"""),": - ")</f>
        <v>: - </v>
      </c>
      <c r="J258" s="19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92"/>
      <c r="B259" s="192"/>
      <c r="C259" s="192"/>
      <c r="D259" s="192"/>
      <c r="E259" s="192"/>
      <c r="F259" s="192"/>
      <c r="G259" s="192" t="str">
        <f>IFERROR(__xludf.DUMMYFUNCTION("""COMPUTED_VALUE"""),"Pankaj Sharma")</f>
        <v>Pankaj Sharma</v>
      </c>
      <c r="H259" s="192" t="str">
        <f>IFERROR(__xludf.DUMMYFUNCTION("""COMPUTED_VALUE"""),"pankaj.sharma@zupee.in")</f>
        <v>pankaj.sharma@zupee.in</v>
      </c>
      <c r="I259" s="192" t="str">
        <f>IFERROR(__xludf.DUMMYFUNCTION("""COMPUTED_VALUE"""),": - ")</f>
        <v>: - </v>
      </c>
      <c r="J259" s="19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92"/>
      <c r="B260" s="192"/>
      <c r="C260" s="192"/>
      <c r="D260" s="192"/>
      <c r="E260" s="192"/>
      <c r="F260" s="192"/>
      <c r="G260" s="192" t="str">
        <f>IFERROR(__xludf.DUMMYFUNCTION("""COMPUTED_VALUE"""),"Pankhuri Mittal")</f>
        <v>Pankhuri Mittal</v>
      </c>
      <c r="H260" s="192" t="str">
        <f>IFERROR(__xludf.DUMMYFUNCTION("""COMPUTED_VALUE"""),"pankhuri.mittal@zupee.in")</f>
        <v>pankhuri.mittal@zupee.in</v>
      </c>
      <c r="I260" s="192" t="str">
        <f>IFERROR(__xludf.DUMMYFUNCTION("""COMPUTED_VALUE"""),": - ")</f>
        <v>: - </v>
      </c>
      <c r="J260" s="19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92"/>
      <c r="B261" s="192"/>
      <c r="C261" s="192"/>
      <c r="D261" s="192"/>
      <c r="E261" s="192"/>
      <c r="F261" s="192"/>
      <c r="G261" s="192" t="str">
        <f>IFERROR(__xludf.DUMMYFUNCTION("""COMPUTED_VALUE"""),"Paramvir Singh")</f>
        <v>Paramvir Singh</v>
      </c>
      <c r="H261" s="192" t="str">
        <f>IFERROR(__xludf.DUMMYFUNCTION("""COMPUTED_VALUE"""),"paramvir.singh@zupee.in")</f>
        <v>paramvir.singh@zupee.in</v>
      </c>
      <c r="I261" s="192" t="str">
        <f>IFERROR(__xludf.DUMMYFUNCTION("""COMPUTED_VALUE"""),": - ")</f>
        <v>: - </v>
      </c>
      <c r="J261" s="19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92"/>
      <c r="B262" s="192"/>
      <c r="C262" s="192"/>
      <c r="D262" s="192"/>
      <c r="E262" s="192"/>
      <c r="F262" s="192"/>
      <c r="G262" s="192" t="str">
        <f>IFERROR(__xludf.DUMMYFUNCTION("""COMPUTED_VALUE"""),"Paras Sharma")</f>
        <v>Paras Sharma</v>
      </c>
      <c r="H262" s="192" t="str">
        <f>IFERROR(__xludf.DUMMYFUNCTION("""COMPUTED_VALUE"""),"paras.sharma@zupee.in")</f>
        <v>paras.sharma@zupee.in</v>
      </c>
      <c r="I262" s="192" t="str">
        <f>IFERROR(__xludf.DUMMYFUNCTION("""COMPUTED_VALUE"""),": - ")</f>
        <v>: - </v>
      </c>
      <c r="J262" s="19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92"/>
      <c r="B263" s="192"/>
      <c r="C263" s="192"/>
      <c r="D263" s="192"/>
      <c r="E263" s="192"/>
      <c r="F263" s="192"/>
      <c r="G263" s="192" t="str">
        <f>IFERROR(__xludf.DUMMYFUNCTION("""COMPUTED_VALUE"""),"Parth Kumar")</f>
        <v>Parth Kumar</v>
      </c>
      <c r="H263" s="192" t="str">
        <f>IFERROR(__xludf.DUMMYFUNCTION("""COMPUTED_VALUE"""),"parth.kumar@zupee.in")</f>
        <v>parth.kumar@zupee.in</v>
      </c>
      <c r="I263" s="192" t="str">
        <f>IFERROR(__xludf.DUMMYFUNCTION("""COMPUTED_VALUE"""),": - ")</f>
        <v>: - </v>
      </c>
      <c r="J263" s="19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92"/>
      <c r="B264" s="192"/>
      <c r="C264" s="192"/>
      <c r="D264" s="192"/>
      <c r="E264" s="192"/>
      <c r="F264" s="192"/>
      <c r="G264" s="192" t="str">
        <f>IFERROR(__xludf.DUMMYFUNCTION("""COMPUTED_VALUE"""),"Parv")</f>
        <v>Parv</v>
      </c>
      <c r="H264" s="192" t="str">
        <f>IFERROR(__xludf.DUMMYFUNCTION("""COMPUTED_VALUE"""),"parv.sharma@zupee.in")</f>
        <v>parv.sharma@zupee.in</v>
      </c>
      <c r="I264" s="192" t="str">
        <f>IFERROR(__xludf.DUMMYFUNCTION("""COMPUTED_VALUE"""),": - ")</f>
        <v>: - </v>
      </c>
      <c r="J264" s="19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92"/>
      <c r="B265" s="192"/>
      <c r="C265" s="192"/>
      <c r="D265" s="192"/>
      <c r="E265" s="192"/>
      <c r="F265" s="192"/>
      <c r="G265" s="192" t="str">
        <f>IFERROR(__xludf.DUMMYFUNCTION("""COMPUTED_VALUE"""),"Pavit Batra")</f>
        <v>Pavit Batra</v>
      </c>
      <c r="H265" s="192" t="str">
        <f>IFERROR(__xludf.DUMMYFUNCTION("""COMPUTED_VALUE"""),"pavit.batra@zupee.in")</f>
        <v>pavit.batra@zupee.in</v>
      </c>
      <c r="I265" s="192" t="str">
        <f>IFERROR(__xludf.DUMMYFUNCTION("""COMPUTED_VALUE"""),": - ")</f>
        <v>: - </v>
      </c>
      <c r="J265" s="19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92"/>
      <c r="B266" s="192"/>
      <c r="C266" s="192"/>
      <c r="D266" s="192"/>
      <c r="E266" s="192"/>
      <c r="F266" s="192"/>
      <c r="G266" s="192" t="str">
        <f>IFERROR(__xludf.DUMMYFUNCTION("""COMPUTED_VALUE"""),"Piyush Bansal")</f>
        <v>Piyush Bansal</v>
      </c>
      <c r="H266" s="192" t="str">
        <f>IFERROR(__xludf.DUMMYFUNCTION("""COMPUTED_VALUE"""),"piyush.bansal@zupee.in")</f>
        <v>piyush.bansal@zupee.in</v>
      </c>
      <c r="I266" s="192" t="str">
        <f>IFERROR(__xludf.DUMMYFUNCTION("""COMPUTED_VALUE"""),": - ")</f>
        <v>: - </v>
      </c>
      <c r="J266" s="19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92"/>
      <c r="B267" s="192"/>
      <c r="C267" s="192"/>
      <c r="D267" s="192"/>
      <c r="E267" s="192"/>
      <c r="F267" s="192"/>
      <c r="G267" s="192" t="str">
        <f>IFERROR(__xludf.DUMMYFUNCTION("""COMPUTED_VALUE"""),"Piyush Charles")</f>
        <v>Piyush Charles</v>
      </c>
      <c r="H267" s="192" t="str">
        <f>IFERROR(__xludf.DUMMYFUNCTION("""COMPUTED_VALUE"""),"piyush.charles@zupee.in")</f>
        <v>piyush.charles@zupee.in</v>
      </c>
      <c r="I267" s="192" t="str">
        <f>IFERROR(__xludf.DUMMYFUNCTION("""COMPUTED_VALUE"""),": - ")</f>
        <v>: - </v>
      </c>
      <c r="J267" s="19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92"/>
      <c r="B268" s="192"/>
      <c r="C268" s="192"/>
      <c r="D268" s="192"/>
      <c r="E268" s="192"/>
      <c r="F268" s="192"/>
      <c r="G268" s="192" t="str">
        <f>IFERROR(__xludf.DUMMYFUNCTION("""COMPUTED_VALUE"""),"Piyush Mathpal")</f>
        <v>Piyush Mathpal</v>
      </c>
      <c r="H268" s="192" t="str">
        <f>IFERROR(__xludf.DUMMYFUNCTION("""COMPUTED_VALUE"""),"piyush.mathpal@zupee.in")</f>
        <v>piyush.mathpal@zupee.in</v>
      </c>
      <c r="I268" s="192" t="str">
        <f>IFERROR(__xludf.DUMMYFUNCTION("""COMPUTED_VALUE"""),": - ")</f>
        <v>: - </v>
      </c>
      <c r="J268" s="19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92"/>
      <c r="B269" s="192"/>
      <c r="C269" s="192"/>
      <c r="D269" s="192"/>
      <c r="E269" s="192"/>
      <c r="F269" s="192"/>
      <c r="G269" s="192" t="str">
        <f>IFERROR(__xludf.DUMMYFUNCTION("""COMPUTED_VALUE"""),"Piyush Singh Mewar")</f>
        <v>Piyush Singh Mewar</v>
      </c>
      <c r="H269" s="192" t="str">
        <f>IFERROR(__xludf.DUMMYFUNCTION("""COMPUTED_VALUE"""),"piyush.mewar@zupee.in")</f>
        <v>piyush.mewar@zupee.in</v>
      </c>
      <c r="I269" s="192" t="str">
        <f>IFERROR(__xludf.DUMMYFUNCTION("""COMPUTED_VALUE"""),": - ")</f>
        <v>: - </v>
      </c>
      <c r="J269" s="19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92"/>
      <c r="B270" s="192"/>
      <c r="C270" s="192"/>
      <c r="D270" s="192"/>
      <c r="E270" s="192"/>
      <c r="F270" s="192"/>
      <c r="G270" s="192" t="str">
        <f>IFERROR(__xludf.DUMMYFUNCTION("""COMPUTED_VALUE"""),"Piyush Raghuvanshi")</f>
        <v>Piyush Raghuvanshi</v>
      </c>
      <c r="H270" s="192" t="str">
        <f>IFERROR(__xludf.DUMMYFUNCTION("""COMPUTED_VALUE"""),"piyush.raghuvanshi@zupee.in")</f>
        <v>piyush.raghuvanshi@zupee.in</v>
      </c>
      <c r="I270" s="192" t="str">
        <f>IFERROR(__xludf.DUMMYFUNCTION("""COMPUTED_VALUE"""),": - ")</f>
        <v>: - </v>
      </c>
      <c r="J270" s="19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92"/>
      <c r="B271" s="192"/>
      <c r="C271" s="192"/>
      <c r="D271" s="192"/>
      <c r="E271" s="192"/>
      <c r="F271" s="192"/>
      <c r="G271" s="192" t="str">
        <f>IFERROR(__xludf.DUMMYFUNCTION("""COMPUTED_VALUE"""),"Prabhat Kumar")</f>
        <v>Prabhat Kumar</v>
      </c>
      <c r="H271" s="192" t="str">
        <f>IFERROR(__xludf.DUMMYFUNCTION("""COMPUTED_VALUE"""),"prabhat.kumar@zupee.in")</f>
        <v>prabhat.kumar@zupee.in</v>
      </c>
      <c r="I271" s="192" t="str">
        <f>IFERROR(__xludf.DUMMYFUNCTION("""COMPUTED_VALUE"""),": - ")</f>
        <v>: - </v>
      </c>
      <c r="J271" s="19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92"/>
      <c r="B272" s="192"/>
      <c r="C272" s="192"/>
      <c r="D272" s="192"/>
      <c r="E272" s="192"/>
      <c r="F272" s="192"/>
      <c r="G272" s="192" t="str">
        <f>IFERROR(__xludf.DUMMYFUNCTION("""COMPUTED_VALUE"""),"Prachi Kanthiyal")</f>
        <v>Prachi Kanthiyal</v>
      </c>
      <c r="H272" s="192" t="str">
        <f>IFERROR(__xludf.DUMMYFUNCTION("""COMPUTED_VALUE"""),"prachi.Kanthiyal@zupee.in")</f>
        <v>prachi.Kanthiyal@zupee.in</v>
      </c>
      <c r="I272" s="192" t="str">
        <f>IFERROR(__xludf.DUMMYFUNCTION("""COMPUTED_VALUE"""),": - ")</f>
        <v>: - </v>
      </c>
      <c r="J272" s="19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92"/>
      <c r="B273" s="192"/>
      <c r="C273" s="192"/>
      <c r="D273" s="192"/>
      <c r="E273" s="192"/>
      <c r="F273" s="192"/>
      <c r="G273" s="192" t="str">
        <f>IFERROR(__xludf.DUMMYFUNCTION("""COMPUTED_VALUE"""),"Prakash Acharya")</f>
        <v>Prakash Acharya</v>
      </c>
      <c r="H273" s="192" t="str">
        <f>IFERROR(__xludf.DUMMYFUNCTION("""COMPUTED_VALUE"""),"prakash.acharya@zupee.in")</f>
        <v>prakash.acharya@zupee.in</v>
      </c>
      <c r="I273" s="192" t="str">
        <f>IFERROR(__xludf.DUMMYFUNCTION("""COMPUTED_VALUE"""),": - ")</f>
        <v>: - </v>
      </c>
      <c r="J273" s="19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92"/>
      <c r="B274" s="192"/>
      <c r="C274" s="192"/>
      <c r="D274" s="192"/>
      <c r="E274" s="192"/>
      <c r="F274" s="192"/>
      <c r="G274" s="192" t="str">
        <f>IFERROR(__xludf.DUMMYFUNCTION("""COMPUTED_VALUE"""),"Prakash Upadhyay")</f>
        <v>Prakash Upadhyay</v>
      </c>
      <c r="H274" s="192" t="str">
        <f>IFERROR(__xludf.DUMMYFUNCTION("""COMPUTED_VALUE"""),"prakash.upadhyay@zupee.in")</f>
        <v>prakash.upadhyay@zupee.in</v>
      </c>
      <c r="I274" s="192" t="str">
        <f>IFERROR(__xludf.DUMMYFUNCTION("""COMPUTED_VALUE"""),": - ")</f>
        <v>: - </v>
      </c>
      <c r="J274" s="19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92"/>
      <c r="B275" s="192"/>
      <c r="C275" s="192"/>
      <c r="D275" s="192"/>
      <c r="E275" s="192"/>
      <c r="F275" s="192"/>
      <c r="G275" s="192" t="str">
        <f>IFERROR(__xludf.DUMMYFUNCTION("""COMPUTED_VALUE"""),"prakhar.gupta")</f>
        <v>prakhar.gupta</v>
      </c>
      <c r="H275" s="192" t="str">
        <f>IFERROR(__xludf.DUMMYFUNCTION("""COMPUTED_VALUE"""),"prakhar.gupta@zupee.in")</f>
        <v>prakhar.gupta@zupee.in</v>
      </c>
      <c r="I275" s="192" t="str">
        <f>IFERROR(__xludf.DUMMYFUNCTION("""COMPUTED_VALUE"""),": - ")</f>
        <v>: - </v>
      </c>
      <c r="J275" s="19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92"/>
      <c r="B276" s="192"/>
      <c r="C276" s="192"/>
      <c r="D276" s="192"/>
      <c r="E276" s="192"/>
      <c r="F276" s="192"/>
      <c r="G276" s="192" t="str">
        <f>IFERROR(__xludf.DUMMYFUNCTION("""COMPUTED_VALUE"""),"Pranjali Kumar")</f>
        <v>Pranjali Kumar</v>
      </c>
      <c r="H276" s="192" t="str">
        <f>IFERROR(__xludf.DUMMYFUNCTION("""COMPUTED_VALUE"""),"pranjali.kumar@zupee.in")</f>
        <v>pranjali.kumar@zupee.in</v>
      </c>
      <c r="I276" s="192" t="str">
        <f>IFERROR(__xludf.DUMMYFUNCTION("""COMPUTED_VALUE"""),": - ")</f>
        <v>: - </v>
      </c>
      <c r="J276" s="19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92"/>
      <c r="B277" s="192"/>
      <c r="C277" s="192"/>
      <c r="D277" s="192"/>
      <c r="E277" s="192"/>
      <c r="F277" s="192"/>
      <c r="G277" s="192" t="str">
        <f>IFERROR(__xludf.DUMMYFUNCTION("""COMPUTED_VALUE"""),"Prarabdh Sharma")</f>
        <v>Prarabdh Sharma</v>
      </c>
      <c r="H277" s="192" t="str">
        <f>IFERROR(__xludf.DUMMYFUNCTION("""COMPUTED_VALUE"""),"prarabdh.sharma@zupee.in")</f>
        <v>prarabdh.sharma@zupee.in</v>
      </c>
      <c r="I277" s="192" t="str">
        <f>IFERROR(__xludf.DUMMYFUNCTION("""COMPUTED_VALUE"""),": - ")</f>
        <v>: - </v>
      </c>
      <c r="J277" s="19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92"/>
      <c r="B278" s="192"/>
      <c r="C278" s="192"/>
      <c r="D278" s="192"/>
      <c r="E278" s="192"/>
      <c r="F278" s="192"/>
      <c r="G278" s="192" t="str">
        <f>IFERROR(__xludf.DUMMYFUNCTION("""COMPUTED_VALUE"""),"Prarth Desai")</f>
        <v>Prarth Desai</v>
      </c>
      <c r="H278" s="192" t="str">
        <f>IFERROR(__xludf.DUMMYFUNCTION("""COMPUTED_VALUE"""),"prarth.desai@zupee.in")</f>
        <v>prarth.desai@zupee.in</v>
      </c>
      <c r="I278" s="192" t="str">
        <f>IFERROR(__xludf.DUMMYFUNCTION("""COMPUTED_VALUE"""),": - ")</f>
        <v>: - </v>
      </c>
      <c r="J278" s="19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92"/>
      <c r="B279" s="192"/>
      <c r="C279" s="192"/>
      <c r="D279" s="192"/>
      <c r="E279" s="192"/>
      <c r="F279" s="192"/>
      <c r="G279" s="192" t="str">
        <f>IFERROR(__xludf.DUMMYFUNCTION("""COMPUTED_VALUE"""),"Prashant Pundir")</f>
        <v>Prashant Pundir</v>
      </c>
      <c r="H279" s="192" t="str">
        <f>IFERROR(__xludf.DUMMYFUNCTION("""COMPUTED_VALUE"""),"prashant.pundir@zupee.in")</f>
        <v>prashant.pundir@zupee.in</v>
      </c>
      <c r="I279" s="192" t="str">
        <f>IFERROR(__xludf.DUMMYFUNCTION("""COMPUTED_VALUE"""),": - ")</f>
        <v>: - </v>
      </c>
      <c r="J279" s="19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92"/>
      <c r="B280" s="192"/>
      <c r="C280" s="192"/>
      <c r="D280" s="192"/>
      <c r="E280" s="192"/>
      <c r="F280" s="192"/>
      <c r="G280" s="192" t="str">
        <f>IFERROR(__xludf.DUMMYFUNCTION("""COMPUTED_VALUE"""),"Prateek Asthana")</f>
        <v>Prateek Asthana</v>
      </c>
      <c r="H280" s="192" t="str">
        <f>IFERROR(__xludf.DUMMYFUNCTION("""COMPUTED_VALUE"""),"prateek.asthana@zupee.in")</f>
        <v>prateek.asthana@zupee.in</v>
      </c>
      <c r="I280" s="192" t="str">
        <f>IFERROR(__xludf.DUMMYFUNCTION("""COMPUTED_VALUE"""),": - ")</f>
        <v>: - </v>
      </c>
      <c r="J280" s="19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92"/>
      <c r="B281" s="192"/>
      <c r="C281" s="192"/>
      <c r="D281" s="192"/>
      <c r="E281" s="192"/>
      <c r="F281" s="192"/>
      <c r="G281" s="192" t="str">
        <f>IFERROR(__xludf.DUMMYFUNCTION("""COMPUTED_VALUE"""),"prateek.chawala")</f>
        <v>prateek.chawala</v>
      </c>
      <c r="H281" s="192" t="str">
        <f>IFERROR(__xludf.DUMMYFUNCTION("""COMPUTED_VALUE"""),"prateek.chawala@zupee.in")</f>
        <v>prateek.chawala@zupee.in</v>
      </c>
      <c r="I281" s="192" t="str">
        <f>IFERROR(__xludf.DUMMYFUNCTION("""COMPUTED_VALUE"""),": - ")</f>
        <v>: - </v>
      </c>
      <c r="J281" s="19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92"/>
      <c r="B282" s="192"/>
      <c r="C282" s="192"/>
      <c r="D282" s="192"/>
      <c r="E282" s="192"/>
      <c r="F282" s="192"/>
      <c r="G282" s="192" t="str">
        <f>IFERROR(__xludf.DUMMYFUNCTION("""COMPUTED_VALUE"""),"Prateek Chawla")</f>
        <v>Prateek Chawla</v>
      </c>
      <c r="H282" s="192" t="str">
        <f>IFERROR(__xludf.DUMMYFUNCTION("""COMPUTED_VALUE"""),"prateek.chawla@zupee.in")</f>
        <v>prateek.chawla@zupee.in</v>
      </c>
      <c r="I282" s="192" t="str">
        <f>IFERROR(__xludf.DUMMYFUNCTION("""COMPUTED_VALUE"""),": - ")</f>
        <v>: - </v>
      </c>
      <c r="J282" s="19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92"/>
      <c r="B283" s="192"/>
      <c r="C283" s="192"/>
      <c r="D283" s="192"/>
      <c r="E283" s="192"/>
      <c r="F283" s="192"/>
      <c r="G283" s="192" t="str">
        <f>IFERROR(__xludf.DUMMYFUNCTION("""COMPUTED_VALUE"""),"Prateek Jain")</f>
        <v>Prateek Jain</v>
      </c>
      <c r="H283" s="192" t="str">
        <f>IFERROR(__xludf.DUMMYFUNCTION("""COMPUTED_VALUE"""),"prateek.jain@zupee.in")</f>
        <v>prateek.jain@zupee.in</v>
      </c>
      <c r="I283" s="192" t="str">
        <f>IFERROR(__xludf.DUMMYFUNCTION("""COMPUTED_VALUE"""),": - ")</f>
        <v>: - </v>
      </c>
      <c r="J283" s="19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92"/>
      <c r="B284" s="192"/>
      <c r="C284" s="192"/>
      <c r="D284" s="192"/>
      <c r="E284" s="192"/>
      <c r="F284" s="192"/>
      <c r="G284" s="192" t="str">
        <f>IFERROR(__xludf.DUMMYFUNCTION("""COMPUTED_VALUE"""),"Prathamesh K")</f>
        <v>Prathamesh K</v>
      </c>
      <c r="H284" s="192" t="str">
        <f>IFERROR(__xludf.DUMMYFUNCTION("""COMPUTED_VALUE"""),"prathamesh.kurambhatti@zupee.in")</f>
        <v>prathamesh.kurambhatti@zupee.in</v>
      </c>
      <c r="I284" s="192" t="str">
        <f>IFERROR(__xludf.DUMMYFUNCTION("""COMPUTED_VALUE"""),": - Org")</f>
        <v>: - Org</v>
      </c>
      <c r="J284" s="19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92"/>
      <c r="B285" s="192"/>
      <c r="C285" s="192"/>
      <c r="D285" s="192"/>
      <c r="E285" s="192"/>
      <c r="F285" s="192"/>
      <c r="G285" s="192" t="str">
        <f>IFERROR(__xludf.DUMMYFUNCTION("""COMPUTED_VALUE"""),"Preeti Malik")</f>
        <v>Preeti Malik</v>
      </c>
      <c r="H285" s="192" t="str">
        <f>IFERROR(__xludf.DUMMYFUNCTION("""COMPUTED_VALUE"""),"preeti.malik@zupee.in")</f>
        <v>preeti.malik@zupee.in</v>
      </c>
      <c r="I285" s="192" t="str">
        <f>IFERROR(__xludf.DUMMYFUNCTION("""COMPUTED_VALUE"""),": - ")</f>
        <v>: - </v>
      </c>
      <c r="J285" s="19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92"/>
      <c r="B286" s="192"/>
      <c r="C286" s="192"/>
      <c r="D286" s="192"/>
      <c r="E286" s="192"/>
      <c r="F286" s="192"/>
      <c r="G286" s="192" t="str">
        <f>IFERROR(__xludf.DUMMYFUNCTION("""COMPUTED_VALUE"""),"Prince Batra")</f>
        <v>Prince Batra</v>
      </c>
      <c r="H286" s="192" t="str">
        <f>IFERROR(__xludf.DUMMYFUNCTION("""COMPUTED_VALUE"""),"prince.batra@zupee.in")</f>
        <v>prince.batra@zupee.in</v>
      </c>
      <c r="I286" s="192" t="str">
        <f>IFERROR(__xludf.DUMMYFUNCTION("""COMPUTED_VALUE"""),": - ")</f>
        <v>: - </v>
      </c>
      <c r="J286" s="19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92"/>
      <c r="B287" s="192"/>
      <c r="C287" s="192"/>
      <c r="D287" s="192"/>
      <c r="E287" s="192"/>
      <c r="F287" s="192"/>
      <c r="G287" s="192" t="str">
        <f>IFERROR(__xludf.DUMMYFUNCTION("""COMPUTED_VALUE"""),"Prityankur Biswas")</f>
        <v>Prityankur Biswas</v>
      </c>
      <c r="H287" s="192" t="str">
        <f>IFERROR(__xludf.DUMMYFUNCTION("""COMPUTED_VALUE"""),"pritiyankur.biswas@zupee.in")</f>
        <v>pritiyankur.biswas@zupee.in</v>
      </c>
      <c r="I287" s="192" t="str">
        <f>IFERROR(__xludf.DUMMYFUNCTION("""COMPUTED_VALUE"""),": - ")</f>
        <v>: - </v>
      </c>
      <c r="J287" s="19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92"/>
      <c r="B288" s="192"/>
      <c r="C288" s="192"/>
      <c r="D288" s="192"/>
      <c r="E288" s="192"/>
      <c r="F288" s="192"/>
      <c r="G288" s="192" t="str">
        <f>IFERROR(__xludf.DUMMYFUNCTION("""COMPUTED_VALUE"""),"Priya Vadan")</f>
        <v>Priya Vadan</v>
      </c>
      <c r="H288" s="192" t="str">
        <f>IFERROR(__xludf.DUMMYFUNCTION("""COMPUTED_VALUE"""),"priya.vadan@zupee.in")</f>
        <v>priya.vadan@zupee.in</v>
      </c>
      <c r="I288" s="192" t="str">
        <f>IFERROR(__xludf.DUMMYFUNCTION("""COMPUTED_VALUE"""),": - ")</f>
        <v>: - </v>
      </c>
      <c r="J288" s="19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92"/>
      <c r="B289" s="192"/>
      <c r="C289" s="192"/>
      <c r="D289" s="192"/>
      <c r="E289" s="192"/>
      <c r="F289" s="192"/>
      <c r="G289" s="192" t="str">
        <f>IFERROR(__xludf.DUMMYFUNCTION("""COMPUTED_VALUE"""),"Priyanka Gangwani")</f>
        <v>Priyanka Gangwani</v>
      </c>
      <c r="H289" s="192" t="str">
        <f>IFERROR(__xludf.DUMMYFUNCTION("""COMPUTED_VALUE"""),"priyanka.gangwani@zupee.in")</f>
        <v>priyanka.gangwani@zupee.in</v>
      </c>
      <c r="I289" s="192" t="str">
        <f>IFERROR(__xludf.DUMMYFUNCTION("""COMPUTED_VALUE"""),": - ")</f>
        <v>: - </v>
      </c>
      <c r="J289" s="19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92"/>
      <c r="B290" s="192"/>
      <c r="C290" s="192"/>
      <c r="D290" s="192"/>
      <c r="E290" s="192"/>
      <c r="F290" s="192"/>
      <c r="G290" s="192" t="str">
        <f>IFERROR(__xludf.DUMMYFUNCTION("""COMPUTED_VALUE"""),"Priyanka Srivastava")</f>
        <v>Priyanka Srivastava</v>
      </c>
      <c r="H290" s="192" t="str">
        <f>IFERROR(__xludf.DUMMYFUNCTION("""COMPUTED_VALUE"""),"priyanka.srivastava@zupee.in")</f>
        <v>priyanka.srivastava@zupee.in</v>
      </c>
      <c r="I290" s="192" t="str">
        <f>IFERROR(__xludf.DUMMYFUNCTION("""COMPUTED_VALUE"""),": - ")</f>
        <v>: - </v>
      </c>
      <c r="J290" s="19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92"/>
      <c r="B291" s="192"/>
      <c r="C291" s="192"/>
      <c r="D291" s="192"/>
      <c r="E291" s="192"/>
      <c r="F291" s="192"/>
      <c r="G291" s="192" t="str">
        <f>IFERROR(__xludf.DUMMYFUNCTION("""COMPUTED_VALUE"""),"Priyanshu Jain")</f>
        <v>Priyanshu Jain</v>
      </c>
      <c r="H291" s="192" t="str">
        <f>IFERROR(__xludf.DUMMYFUNCTION("""COMPUTED_VALUE"""),"priyanshu.jain@zupee.in")</f>
        <v>priyanshu.jain@zupee.in</v>
      </c>
      <c r="I291" s="192" t="str">
        <f>IFERROR(__xludf.DUMMYFUNCTION("""COMPUTED_VALUE"""),": - ")</f>
        <v>: - </v>
      </c>
      <c r="J291" s="19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92"/>
      <c r="B292" s="192"/>
      <c r="C292" s="192"/>
      <c r="D292" s="192"/>
      <c r="E292" s="192"/>
      <c r="F292" s="192"/>
      <c r="G292" s="192" t="str">
        <f>IFERROR(__xludf.DUMMYFUNCTION("""COMPUTED_VALUE"""),"Puja Rai")</f>
        <v>Puja Rai</v>
      </c>
      <c r="H292" s="192" t="str">
        <f>IFERROR(__xludf.DUMMYFUNCTION("""COMPUTED_VALUE"""),"puja.rai@zupee.in")</f>
        <v>puja.rai@zupee.in</v>
      </c>
      <c r="I292" s="192" t="str">
        <f>IFERROR(__xludf.DUMMYFUNCTION("""COMPUTED_VALUE"""),": - ")</f>
        <v>: - </v>
      </c>
      <c r="J292" s="19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92"/>
      <c r="B293" s="192"/>
      <c r="C293" s="192"/>
      <c r="D293" s="192"/>
      <c r="E293" s="192"/>
      <c r="F293" s="192"/>
      <c r="G293" s="192" t="str">
        <f>IFERROR(__xludf.DUMMYFUNCTION("""COMPUTED_VALUE"""),"Pulkit Chhabra")</f>
        <v>Pulkit Chhabra</v>
      </c>
      <c r="H293" s="192" t="str">
        <f>IFERROR(__xludf.DUMMYFUNCTION("""COMPUTED_VALUE"""),"pulkit.chhabra@zupee.in")</f>
        <v>pulkit.chhabra@zupee.in</v>
      </c>
      <c r="I293" s="192" t="str">
        <f>IFERROR(__xludf.DUMMYFUNCTION("""COMPUTED_VALUE"""),": - ")</f>
        <v>: - </v>
      </c>
      <c r="J293" s="19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92"/>
      <c r="B294" s="192"/>
      <c r="C294" s="192"/>
      <c r="D294" s="192"/>
      <c r="E294" s="192"/>
      <c r="F294" s="192"/>
      <c r="G294" s="192" t="str">
        <f>IFERROR(__xludf.DUMMYFUNCTION("""COMPUTED_VALUE"""),"Pulkit Gupta")</f>
        <v>Pulkit Gupta</v>
      </c>
      <c r="H294" s="192" t="str">
        <f>IFERROR(__xludf.DUMMYFUNCTION("""COMPUTED_VALUE"""),"pulkit.gupta@zupee.in")</f>
        <v>pulkit.gupta@zupee.in</v>
      </c>
      <c r="I294" s="192" t="str">
        <f>IFERROR(__xludf.DUMMYFUNCTION("""COMPUTED_VALUE"""),": - ")</f>
        <v>: - </v>
      </c>
      <c r="J294" s="19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92"/>
      <c r="B295" s="192"/>
      <c r="C295" s="192"/>
      <c r="D295" s="192"/>
      <c r="E295" s="192"/>
      <c r="F295" s="192"/>
      <c r="G295" s="192" t="str">
        <f>IFERROR(__xludf.DUMMYFUNCTION("""COMPUTED_VALUE"""),"Puneet Dhiman")</f>
        <v>Puneet Dhiman</v>
      </c>
      <c r="H295" s="192" t="str">
        <f>IFERROR(__xludf.DUMMYFUNCTION("""COMPUTED_VALUE"""),"puneet.dhiman@zupee.in")</f>
        <v>puneet.dhiman@zupee.in</v>
      </c>
      <c r="I295" s="192" t="str">
        <f>IFERROR(__xludf.DUMMYFUNCTION("""COMPUTED_VALUE"""),": - ")</f>
        <v>: - </v>
      </c>
      <c r="J295" s="19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92"/>
      <c r="B296" s="192"/>
      <c r="C296" s="192"/>
      <c r="D296" s="192"/>
      <c r="E296" s="192"/>
      <c r="F296" s="192"/>
      <c r="G296" s="192" t="str">
        <f>IFERROR(__xludf.DUMMYFUNCTION("""COMPUTED_VALUE"""),"Pushkar Mourya")</f>
        <v>Pushkar Mourya</v>
      </c>
      <c r="H296" s="192" t="str">
        <f>IFERROR(__xludf.DUMMYFUNCTION("""COMPUTED_VALUE"""),"pushkar.mourya@zupee.in")</f>
        <v>pushkar.mourya@zupee.in</v>
      </c>
      <c r="I296" s="192" t="str">
        <f>IFERROR(__xludf.DUMMYFUNCTION("""COMPUTED_VALUE"""),": - ")</f>
        <v>: - </v>
      </c>
      <c r="J296" s="19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92"/>
      <c r="B297" s="192"/>
      <c r="C297" s="192"/>
      <c r="D297" s="192"/>
      <c r="E297" s="192"/>
      <c r="F297" s="192"/>
      <c r="G297" s="192" t="str">
        <f>IFERROR(__xludf.DUMMYFUNCTION("""COMPUTED_VALUE"""),"Rabindra Gundura")</f>
        <v>Rabindra Gundura</v>
      </c>
      <c r="H297" s="192" t="str">
        <f>IFERROR(__xludf.DUMMYFUNCTION("""COMPUTED_VALUE"""),"rabindra.gundura@zupee.in")</f>
        <v>rabindra.gundura@zupee.in</v>
      </c>
      <c r="I297" s="192" t="str">
        <f>IFERROR(__xludf.DUMMYFUNCTION("""COMPUTED_VALUE"""),": - ")</f>
        <v>: - </v>
      </c>
      <c r="J297" s="19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92"/>
      <c r="B298" s="192"/>
      <c r="C298" s="192"/>
      <c r="D298" s="192"/>
      <c r="E298" s="192"/>
      <c r="F298" s="192"/>
      <c r="G298" s="192" t="str">
        <f>IFERROR(__xludf.DUMMYFUNCTION("""COMPUTED_VALUE"""),"Rachit Agrawal")</f>
        <v>Rachit Agrawal</v>
      </c>
      <c r="H298" s="192" t="str">
        <f>IFERROR(__xludf.DUMMYFUNCTION("""COMPUTED_VALUE"""),"rachit.agrawal@zupee.in")</f>
        <v>rachit.agrawal@zupee.in</v>
      </c>
      <c r="I298" s="192" t="str">
        <f>IFERROR(__xludf.DUMMYFUNCTION("""COMPUTED_VALUE"""),": - ")</f>
        <v>: - </v>
      </c>
      <c r="J298" s="19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92"/>
      <c r="B299" s="192"/>
      <c r="C299" s="192"/>
      <c r="D299" s="192"/>
      <c r="E299" s="192"/>
      <c r="F299" s="192"/>
      <c r="G299" s="192" t="str">
        <f>IFERROR(__xludf.DUMMYFUNCTION("""COMPUTED_VALUE"""),"Rahul Bisht")</f>
        <v>Rahul Bisht</v>
      </c>
      <c r="H299" s="192" t="str">
        <f>IFERROR(__xludf.DUMMYFUNCTION("""COMPUTED_VALUE"""),"rahul.bisht@zupee.in")</f>
        <v>rahul.bisht@zupee.in</v>
      </c>
      <c r="I299" s="192" t="str">
        <f>IFERROR(__xludf.DUMMYFUNCTION("""COMPUTED_VALUE"""),": - ")</f>
        <v>: - </v>
      </c>
      <c r="J299" s="19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92"/>
      <c r="B300" s="192"/>
      <c r="C300" s="192"/>
      <c r="D300" s="192"/>
      <c r="E300" s="192"/>
      <c r="F300" s="192"/>
      <c r="G300" s="192" t="str">
        <f>IFERROR(__xludf.DUMMYFUNCTION("""COMPUTED_VALUE"""),"Rahul Goyal")</f>
        <v>Rahul Goyal</v>
      </c>
      <c r="H300" s="192" t="str">
        <f>IFERROR(__xludf.DUMMYFUNCTION("""COMPUTED_VALUE"""),"rahul.goyal@zupee.in")</f>
        <v>rahul.goyal@zupee.in</v>
      </c>
      <c r="I300" s="192" t="str">
        <f>IFERROR(__xludf.DUMMYFUNCTION("""COMPUTED_VALUE"""),": - ")</f>
        <v>: - </v>
      </c>
      <c r="J300" s="19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92"/>
      <c r="B301" s="192"/>
      <c r="C301" s="192"/>
      <c r="D301" s="192"/>
      <c r="E301" s="192"/>
      <c r="F301" s="192"/>
      <c r="G301" s="192" t="str">
        <f>IFERROR(__xludf.DUMMYFUNCTION("""COMPUTED_VALUE"""),"Rahul Kashyap")</f>
        <v>Rahul Kashyap</v>
      </c>
      <c r="H301" s="192" t="str">
        <f>IFERROR(__xludf.DUMMYFUNCTION("""COMPUTED_VALUE"""),"rahul.kashyap@zupee.in")</f>
        <v>rahul.kashyap@zupee.in</v>
      </c>
      <c r="I301" s="192" t="str">
        <f>IFERROR(__xludf.DUMMYFUNCTION("""COMPUTED_VALUE"""),": - ")</f>
        <v>: - </v>
      </c>
      <c r="J301" s="19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92"/>
      <c r="B302" s="192"/>
      <c r="C302" s="192"/>
      <c r="D302" s="192"/>
      <c r="E302" s="192"/>
      <c r="F302" s="192"/>
      <c r="G302" s="192" t="str">
        <f>IFERROR(__xludf.DUMMYFUNCTION("""COMPUTED_VALUE"""),"Rahul Kumar")</f>
        <v>Rahul Kumar</v>
      </c>
      <c r="H302" s="192" t="str">
        <f>IFERROR(__xludf.DUMMYFUNCTION("""COMPUTED_VALUE"""),"rahul.kumar@zupee.in")</f>
        <v>rahul.kumar@zupee.in</v>
      </c>
      <c r="I302" s="192" t="str">
        <f>IFERROR(__xludf.DUMMYFUNCTION("""COMPUTED_VALUE"""),": - ")</f>
        <v>: - </v>
      </c>
      <c r="J302" s="19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92"/>
      <c r="B303" s="192"/>
      <c r="C303" s="192"/>
      <c r="D303" s="192"/>
      <c r="E303" s="192"/>
      <c r="F303" s="192"/>
      <c r="G303" s="192" t="str">
        <f>IFERROR(__xludf.DUMMYFUNCTION("""COMPUTED_VALUE"""),"Rahul Sharma2")</f>
        <v>Rahul Sharma2</v>
      </c>
      <c r="H303" s="192" t="str">
        <f>IFERROR(__xludf.DUMMYFUNCTION("""COMPUTED_VALUE"""),"rahul.sharma2@zupee.in")</f>
        <v>rahul.sharma2@zupee.in</v>
      </c>
      <c r="I303" s="192" t="str">
        <f>IFERROR(__xludf.DUMMYFUNCTION("""COMPUTED_VALUE"""),": - ")</f>
        <v>: - </v>
      </c>
      <c r="J303" s="19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92"/>
      <c r="B304" s="192"/>
      <c r="C304" s="192"/>
      <c r="D304" s="192"/>
      <c r="E304" s="192"/>
      <c r="F304" s="192"/>
      <c r="G304" s="192" t="str">
        <f>IFERROR(__xludf.DUMMYFUNCTION("""COMPUTED_VALUE"""),"Rahul Verma")</f>
        <v>Rahul Verma</v>
      </c>
      <c r="H304" s="192" t="str">
        <f>IFERROR(__xludf.DUMMYFUNCTION("""COMPUTED_VALUE"""),"rahul.verma@zupee.in")</f>
        <v>rahul.verma@zupee.in</v>
      </c>
      <c r="I304" s="192" t="str">
        <f>IFERROR(__xludf.DUMMYFUNCTION("""COMPUTED_VALUE"""),": - ")</f>
        <v>: - </v>
      </c>
      <c r="J304" s="19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92"/>
      <c r="B305" s="192"/>
      <c r="C305" s="192"/>
      <c r="D305" s="192"/>
      <c r="E305" s="192"/>
      <c r="F305" s="192"/>
      <c r="G305" s="192" t="str">
        <f>IFERROR(__xludf.DUMMYFUNCTION("""COMPUTED_VALUE"""),"Rajashekhar Nari")</f>
        <v>Rajashekhar Nari</v>
      </c>
      <c r="H305" s="192" t="str">
        <f>IFERROR(__xludf.DUMMYFUNCTION("""COMPUTED_VALUE"""),"rajashekhar.nari@zupee.in")</f>
        <v>rajashekhar.nari@zupee.in</v>
      </c>
      <c r="I305" s="192" t="str">
        <f>IFERROR(__xludf.DUMMYFUNCTION("""COMPUTED_VALUE"""),": - ")</f>
        <v>: - </v>
      </c>
      <c r="J305" s="19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92"/>
      <c r="B306" s="192"/>
      <c r="C306" s="192"/>
      <c r="D306" s="192"/>
      <c r="E306" s="192"/>
      <c r="F306" s="192"/>
      <c r="G306" s="192" t="str">
        <f>IFERROR(__xludf.DUMMYFUNCTION("""COMPUTED_VALUE"""),"Rajat Sharma")</f>
        <v>Rajat Sharma</v>
      </c>
      <c r="H306" s="192" t="str">
        <f>IFERROR(__xludf.DUMMYFUNCTION("""COMPUTED_VALUE"""),"rajat.sharma@zupee.in")</f>
        <v>rajat.sharma@zupee.in</v>
      </c>
      <c r="I306" s="192" t="str">
        <f>IFERROR(__xludf.DUMMYFUNCTION("""COMPUTED_VALUE"""),": - ")</f>
        <v>: - </v>
      </c>
      <c r="J306" s="19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92"/>
      <c r="B307" s="192"/>
      <c r="C307" s="192"/>
      <c r="D307" s="192"/>
      <c r="E307" s="192"/>
      <c r="F307" s="192"/>
      <c r="G307" s="192" t="str">
        <f>IFERROR(__xludf.DUMMYFUNCTION("""COMPUTED_VALUE"""),"Rakshanda Thakur")</f>
        <v>Rakshanda Thakur</v>
      </c>
      <c r="H307" s="192" t="str">
        <f>IFERROR(__xludf.DUMMYFUNCTION("""COMPUTED_VALUE"""),"rakshanda.thakur@zupee.in")</f>
        <v>rakshanda.thakur@zupee.in</v>
      </c>
      <c r="I307" s="192" t="str">
        <f>IFERROR(__xludf.DUMMYFUNCTION("""COMPUTED_VALUE"""),": - ")</f>
        <v>: - </v>
      </c>
      <c r="J307" s="19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92"/>
      <c r="B308" s="192"/>
      <c r="C308" s="192"/>
      <c r="D308" s="192"/>
      <c r="E308" s="192"/>
      <c r="F308" s="192"/>
      <c r="G308" s="192" t="str">
        <f>IFERROR(__xludf.DUMMYFUNCTION("""COMPUTED_VALUE"""),"Ram Prasad V S")</f>
        <v>Ram Prasad V S</v>
      </c>
      <c r="H308" s="192" t="str">
        <f>IFERROR(__xludf.DUMMYFUNCTION("""COMPUTED_VALUE"""),"ram.prasad@zupee.in")</f>
        <v>ram.prasad@zupee.in</v>
      </c>
      <c r="I308" s="192" t="str">
        <f>IFERROR(__xludf.DUMMYFUNCTION("""COMPUTED_VALUE"""),": - ")</f>
        <v>: - </v>
      </c>
      <c r="J308" s="19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92"/>
      <c r="B309" s="192"/>
      <c r="C309" s="192"/>
      <c r="D309" s="192"/>
      <c r="E309" s="192"/>
      <c r="F309" s="192"/>
      <c r="G309" s="192" t="str">
        <f>IFERROR(__xludf.DUMMYFUNCTION("""COMPUTED_VALUE"""),"Ram Vyas Sehgal")</f>
        <v>Ram Vyas Sehgal</v>
      </c>
      <c r="H309" s="192" t="str">
        <f>IFERROR(__xludf.DUMMYFUNCTION("""COMPUTED_VALUE"""),"ram.sehgal@zupee.in")</f>
        <v>ram.sehgal@zupee.in</v>
      </c>
      <c r="I309" s="192" t="str">
        <f>IFERROR(__xludf.DUMMYFUNCTION("""COMPUTED_VALUE"""),": - ")</f>
        <v>: - </v>
      </c>
      <c r="J309" s="19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92"/>
      <c r="B310" s="192"/>
      <c r="C310" s="192"/>
      <c r="D310" s="192"/>
      <c r="E310" s="192"/>
      <c r="F310" s="192"/>
      <c r="G310" s="192" t="str">
        <f>IFERROR(__xludf.DUMMYFUNCTION("""COMPUTED_VALUE"""),"Raman Bedi")</f>
        <v>Raman Bedi</v>
      </c>
      <c r="H310" s="192" t="str">
        <f>IFERROR(__xludf.DUMMYFUNCTION("""COMPUTED_VALUE"""),"raman.bedi@zupee.in")</f>
        <v>raman.bedi@zupee.in</v>
      </c>
      <c r="I310" s="192" t="str">
        <f>IFERROR(__xludf.DUMMYFUNCTION("""COMPUTED_VALUE"""),": - ")</f>
        <v>: - </v>
      </c>
      <c r="J310" s="19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92"/>
      <c r="B311" s="192"/>
      <c r="C311" s="192"/>
      <c r="D311" s="192"/>
      <c r="E311" s="192"/>
      <c r="F311" s="192"/>
      <c r="G311" s="192" t="str">
        <f>IFERROR(__xludf.DUMMYFUNCTION("""COMPUTED_VALUE"""),"Ramkunwar Meghwal")</f>
        <v>Ramkunwar Meghwal</v>
      </c>
      <c r="H311" s="192" t="str">
        <f>IFERROR(__xludf.DUMMYFUNCTION("""COMPUTED_VALUE"""),"ramkunwar.meghwal@zupee.in")</f>
        <v>ramkunwar.meghwal@zupee.in</v>
      </c>
      <c r="I311" s="192" t="str">
        <f>IFERROR(__xludf.DUMMYFUNCTION("""COMPUTED_VALUE"""),": - ")</f>
        <v>: - </v>
      </c>
      <c r="J311" s="19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92"/>
      <c r="B312" s="192"/>
      <c r="C312" s="192"/>
      <c r="D312" s="192"/>
      <c r="E312" s="192"/>
      <c r="F312" s="192"/>
      <c r="G312" s="192" t="str">
        <f>IFERROR(__xludf.DUMMYFUNCTION("""COMPUTED_VALUE"""),"Ranjeesh Yadav")</f>
        <v>Ranjeesh Yadav</v>
      </c>
      <c r="H312" s="192" t="str">
        <f>IFERROR(__xludf.DUMMYFUNCTION("""COMPUTED_VALUE"""),"ranjeesh.yadav@zupee.in")</f>
        <v>ranjeesh.yadav@zupee.in</v>
      </c>
      <c r="I312" s="192" t="str">
        <f>IFERROR(__xludf.DUMMYFUNCTION("""COMPUTED_VALUE"""),": - ")</f>
        <v>: - </v>
      </c>
      <c r="J312" s="19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92"/>
      <c r="B313" s="192"/>
      <c r="C313" s="192"/>
      <c r="D313" s="192"/>
      <c r="E313" s="192"/>
      <c r="F313" s="192"/>
      <c r="G313" s="192" t="str">
        <f>IFERROR(__xludf.DUMMYFUNCTION("""COMPUTED_VALUE"""),"Ratnish RM")</f>
        <v>Ratnish RM</v>
      </c>
      <c r="H313" s="192" t="str">
        <f>IFERROR(__xludf.DUMMYFUNCTION("""COMPUTED_VALUE"""),"ratnish.malhotra@zupee.in")</f>
        <v>ratnish.malhotra@zupee.in</v>
      </c>
      <c r="I313" s="192" t="str">
        <f>IFERROR(__xludf.DUMMYFUNCTION("""COMPUTED_VALUE"""),": - ")</f>
        <v>: - </v>
      </c>
      <c r="J313" s="19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92"/>
      <c r="B314" s="192"/>
      <c r="C314" s="192"/>
      <c r="D314" s="192"/>
      <c r="E314" s="192"/>
      <c r="F314" s="192"/>
      <c r="G314" s="192" t="str">
        <f>IFERROR(__xludf.DUMMYFUNCTION("""COMPUTED_VALUE"""),"Reyansh Mishra")</f>
        <v>Reyansh Mishra</v>
      </c>
      <c r="H314" s="192" t="str">
        <f>IFERROR(__xludf.DUMMYFUNCTION("""COMPUTED_VALUE"""),"reyansh.mishra@zupee.in")</f>
        <v>reyansh.mishra@zupee.in</v>
      </c>
      <c r="I314" s="192" t="str">
        <f>IFERROR(__xludf.DUMMYFUNCTION("""COMPUTED_VALUE"""),": - ")</f>
        <v>: - </v>
      </c>
      <c r="J314" s="19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92"/>
      <c r="B315" s="192"/>
      <c r="C315" s="192"/>
      <c r="D315" s="192"/>
      <c r="E315" s="192"/>
      <c r="F315" s="192"/>
      <c r="G315" s="192" t="str">
        <f>IFERROR(__xludf.DUMMYFUNCTION("""COMPUTED_VALUE"""),"Rishab Sachdev")</f>
        <v>Rishab Sachdev</v>
      </c>
      <c r="H315" s="192" t="str">
        <f>IFERROR(__xludf.DUMMYFUNCTION("""COMPUTED_VALUE"""),"rishab.sachdev@zupee.in")</f>
        <v>rishab.sachdev@zupee.in</v>
      </c>
      <c r="I315" s="192" t="str">
        <f>IFERROR(__xludf.DUMMYFUNCTION("""COMPUTED_VALUE"""),": - ")</f>
        <v>: - </v>
      </c>
      <c r="J315" s="19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92"/>
      <c r="B316" s="192"/>
      <c r="C316" s="192"/>
      <c r="D316" s="192"/>
      <c r="E316" s="192"/>
      <c r="F316" s="192"/>
      <c r="G316" s="192" t="str">
        <f>IFERROR(__xludf.DUMMYFUNCTION("""COMPUTED_VALUE"""),"Rishab Sachdeva")</f>
        <v>Rishab Sachdeva</v>
      </c>
      <c r="H316" s="192" t="str">
        <f>IFERROR(__xludf.DUMMYFUNCTION("""COMPUTED_VALUE"""),"rishab.sachdeva@zupee.in")</f>
        <v>rishab.sachdeva@zupee.in</v>
      </c>
      <c r="I316" s="192" t="str">
        <f>IFERROR(__xludf.DUMMYFUNCTION("""COMPUTED_VALUE"""),": - ")</f>
        <v>: - </v>
      </c>
      <c r="J316" s="19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92"/>
      <c r="B317" s="192"/>
      <c r="C317" s="192"/>
      <c r="D317" s="192"/>
      <c r="E317" s="192"/>
      <c r="F317" s="192"/>
      <c r="G317" s="192" t="str">
        <f>IFERROR(__xludf.DUMMYFUNCTION("""COMPUTED_VALUE"""),"Rishabh Garg")</f>
        <v>Rishabh Garg</v>
      </c>
      <c r="H317" s="192" t="str">
        <f>IFERROR(__xludf.DUMMYFUNCTION("""COMPUTED_VALUE"""),"rishabh.garg@zupee.in")</f>
        <v>rishabh.garg@zupee.in</v>
      </c>
      <c r="I317" s="192" t="str">
        <f>IFERROR(__xludf.DUMMYFUNCTION("""COMPUTED_VALUE"""),": - ")</f>
        <v>: - </v>
      </c>
      <c r="J317" s="19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92"/>
      <c r="B318" s="192"/>
      <c r="C318" s="192"/>
      <c r="D318" s="192"/>
      <c r="E318" s="192"/>
      <c r="F318" s="192"/>
      <c r="G318" s="192" t="str">
        <f>IFERROR(__xludf.DUMMYFUNCTION("""COMPUTED_VALUE"""),"Rishabh Nigam")</f>
        <v>Rishabh Nigam</v>
      </c>
      <c r="H318" s="192" t="str">
        <f>IFERROR(__xludf.DUMMYFUNCTION("""COMPUTED_VALUE"""),"rishabh.nigam@zupee.in")</f>
        <v>rishabh.nigam@zupee.in</v>
      </c>
      <c r="I318" s="192" t="str">
        <f>IFERROR(__xludf.DUMMYFUNCTION("""COMPUTED_VALUE"""),": - ")</f>
        <v>: - </v>
      </c>
      <c r="J318" s="19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92"/>
      <c r="B319" s="192"/>
      <c r="C319" s="192"/>
      <c r="D319" s="192"/>
      <c r="E319" s="192"/>
      <c r="F319" s="192"/>
      <c r="G319" s="192" t="str">
        <f>IFERROR(__xludf.DUMMYFUNCTION("""COMPUTED_VALUE"""),"Rishi Gour")</f>
        <v>Rishi Gour</v>
      </c>
      <c r="H319" s="192" t="str">
        <f>IFERROR(__xludf.DUMMYFUNCTION("""COMPUTED_VALUE"""),"rishi.gour@zupee.in")</f>
        <v>rishi.gour@zupee.in</v>
      </c>
      <c r="I319" s="192" t="str">
        <f>IFERROR(__xludf.DUMMYFUNCTION("""COMPUTED_VALUE"""),": - ")</f>
        <v>: - </v>
      </c>
      <c r="J319" s="19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92"/>
      <c r="B320" s="192"/>
      <c r="C320" s="192"/>
      <c r="D320" s="192"/>
      <c r="E320" s="192"/>
      <c r="F320" s="192"/>
      <c r="G320" s="192" t="str">
        <f>IFERROR(__xludf.DUMMYFUNCTION("""COMPUTED_VALUE"""),"Ritika Gola")</f>
        <v>Ritika Gola</v>
      </c>
      <c r="H320" s="192" t="str">
        <f>IFERROR(__xludf.DUMMYFUNCTION("""COMPUTED_VALUE"""),"ritika.gola@zupee.in")</f>
        <v>ritika.gola@zupee.in</v>
      </c>
      <c r="I320" s="192" t="str">
        <f>IFERROR(__xludf.DUMMYFUNCTION("""COMPUTED_VALUE"""),": - ")</f>
        <v>: - </v>
      </c>
      <c r="J320" s="19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92"/>
      <c r="B321" s="192"/>
      <c r="C321" s="192"/>
      <c r="D321" s="192"/>
      <c r="E321" s="192"/>
      <c r="F321" s="192"/>
      <c r="G321" s="192" t="str">
        <f>IFERROR(__xludf.DUMMYFUNCTION("""COMPUTED_VALUE"""),"Ritika Pathania")</f>
        <v>Ritika Pathania</v>
      </c>
      <c r="H321" s="192" t="str">
        <f>IFERROR(__xludf.DUMMYFUNCTION("""COMPUTED_VALUE"""),"ritika.pathania@zupee.in")</f>
        <v>ritika.pathania@zupee.in</v>
      </c>
      <c r="I321" s="192" t="str">
        <f>IFERROR(__xludf.DUMMYFUNCTION("""COMPUTED_VALUE"""),": - ")</f>
        <v>: - </v>
      </c>
      <c r="J321" s="19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92"/>
      <c r="B322" s="192"/>
      <c r="C322" s="192"/>
      <c r="D322" s="192"/>
      <c r="E322" s="192"/>
      <c r="F322" s="192"/>
      <c r="G322" s="192" t="str">
        <f>IFERROR(__xludf.DUMMYFUNCTION("""COMPUTED_VALUE"""),"Ritika Tatiya")</f>
        <v>Ritika Tatiya</v>
      </c>
      <c r="H322" s="192" t="str">
        <f>IFERROR(__xludf.DUMMYFUNCTION("""COMPUTED_VALUE"""),"ritika.tatiya@zupee.in")</f>
        <v>ritika.tatiya@zupee.in</v>
      </c>
      <c r="I322" s="192" t="str">
        <f>IFERROR(__xludf.DUMMYFUNCTION("""COMPUTED_VALUE"""),": - ")</f>
        <v>: - </v>
      </c>
      <c r="J322" s="19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92"/>
      <c r="B323" s="192"/>
      <c r="C323" s="192"/>
      <c r="D323" s="192"/>
      <c r="E323" s="192"/>
      <c r="F323" s="192"/>
      <c r="G323" s="192" t="str">
        <f>IFERROR(__xludf.DUMMYFUNCTION("""COMPUTED_VALUE"""),"Ritu Singh")</f>
        <v>Ritu Singh</v>
      </c>
      <c r="H323" s="192" t="str">
        <f>IFERROR(__xludf.DUMMYFUNCTION("""COMPUTED_VALUE"""),"ritu.singh@zupee.in")</f>
        <v>ritu.singh@zupee.in</v>
      </c>
      <c r="I323" s="192" t="str">
        <f>IFERROR(__xludf.DUMMYFUNCTION("""COMPUTED_VALUE"""),": - ")</f>
        <v>: - </v>
      </c>
      <c r="J323" s="19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92"/>
      <c r="B324" s="192"/>
      <c r="C324" s="192"/>
      <c r="D324" s="192"/>
      <c r="E324" s="192"/>
      <c r="F324" s="192"/>
      <c r="G324" s="192" t="str">
        <f>IFERROR(__xludf.DUMMYFUNCTION("""COMPUTED_VALUE"""),"Riya Maurya")</f>
        <v>Riya Maurya</v>
      </c>
      <c r="H324" s="192" t="str">
        <f>IFERROR(__xludf.DUMMYFUNCTION("""COMPUTED_VALUE"""),"riya.maurya@zupee.in")</f>
        <v>riya.maurya@zupee.in</v>
      </c>
      <c r="I324" s="192" t="str">
        <f>IFERROR(__xludf.DUMMYFUNCTION("""COMPUTED_VALUE"""),": - ")</f>
        <v>: - </v>
      </c>
      <c r="J324" s="19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92"/>
      <c r="B325" s="192"/>
      <c r="C325" s="192"/>
      <c r="D325" s="192"/>
      <c r="E325" s="192"/>
      <c r="F325" s="192"/>
      <c r="G325" s="192" t="str">
        <f>IFERROR(__xludf.DUMMYFUNCTION("""COMPUTED_VALUE"""),"Robin Achankunju")</f>
        <v>Robin Achankunju</v>
      </c>
      <c r="H325" s="192" t="str">
        <f>IFERROR(__xludf.DUMMYFUNCTION("""COMPUTED_VALUE"""),"robin.achankunju@zupee.in")</f>
        <v>robin.achankunju@zupee.in</v>
      </c>
      <c r="I325" s="192" t="str">
        <f>IFERROR(__xludf.DUMMYFUNCTION("""COMPUTED_VALUE"""),": - ")</f>
        <v>: - </v>
      </c>
      <c r="J325" s="19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92"/>
      <c r="B326" s="192"/>
      <c r="C326" s="192"/>
      <c r="D326" s="192"/>
      <c r="E326" s="192"/>
      <c r="F326" s="192"/>
      <c r="G326" s="192" t="str">
        <f>IFERROR(__xludf.DUMMYFUNCTION("""COMPUTED_VALUE"""),"Rohan Aggarwal")</f>
        <v>Rohan Aggarwal</v>
      </c>
      <c r="H326" s="192" t="str">
        <f>IFERROR(__xludf.DUMMYFUNCTION("""COMPUTED_VALUE"""),"rohan.aggarwal@zupee.in")</f>
        <v>rohan.aggarwal@zupee.in</v>
      </c>
      <c r="I326" s="192" t="str">
        <f>IFERROR(__xludf.DUMMYFUNCTION("""COMPUTED_VALUE"""),": - ")</f>
        <v>: - </v>
      </c>
      <c r="J326" s="19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92"/>
      <c r="B327" s="192"/>
      <c r="C327" s="192"/>
      <c r="D327" s="192"/>
      <c r="E327" s="192"/>
      <c r="F327" s="192"/>
      <c r="G327" s="192" t="str">
        <f>IFERROR(__xludf.DUMMYFUNCTION("""COMPUTED_VALUE"""),"Rohan Bhagat")</f>
        <v>Rohan Bhagat</v>
      </c>
      <c r="H327" s="192" t="str">
        <f>IFERROR(__xludf.DUMMYFUNCTION("""COMPUTED_VALUE"""),"rohan.bhagat@zupee.in")</f>
        <v>rohan.bhagat@zupee.in</v>
      </c>
      <c r="I327" s="192" t="str">
        <f>IFERROR(__xludf.DUMMYFUNCTION("""COMPUTED_VALUE"""),": - ")</f>
        <v>: - </v>
      </c>
      <c r="J327" s="19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92"/>
      <c r="B328" s="192"/>
      <c r="C328" s="192"/>
      <c r="D328" s="192"/>
      <c r="E328" s="192"/>
      <c r="F328" s="192"/>
      <c r="G328" s="192" t="str">
        <f>IFERROR(__xludf.DUMMYFUNCTION("""COMPUTED_VALUE"""),"Rohan Kochhar")</f>
        <v>Rohan Kochhar</v>
      </c>
      <c r="H328" s="192" t="str">
        <f>IFERROR(__xludf.DUMMYFUNCTION("""COMPUTED_VALUE"""),"rohan.kochhar@zupee.in")</f>
        <v>rohan.kochhar@zupee.in</v>
      </c>
      <c r="I328" s="192" t="str">
        <f>IFERROR(__xludf.DUMMYFUNCTION("""COMPUTED_VALUE"""),": - ")</f>
        <v>: - </v>
      </c>
      <c r="J328" s="19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92"/>
      <c r="B329" s="192"/>
      <c r="C329" s="192"/>
      <c r="D329" s="192"/>
      <c r="E329" s="192"/>
      <c r="F329" s="192"/>
      <c r="G329" s="192" t="str">
        <f>IFERROR(__xludf.DUMMYFUNCTION("""COMPUTED_VALUE"""),"Rohan Singh")</f>
        <v>Rohan Singh</v>
      </c>
      <c r="H329" s="192" t="str">
        <f>IFERROR(__xludf.DUMMYFUNCTION("""COMPUTED_VALUE"""),"rohan.singh@zupee.in")</f>
        <v>rohan.singh@zupee.in</v>
      </c>
      <c r="I329" s="192" t="str">
        <f>IFERROR(__xludf.DUMMYFUNCTION("""COMPUTED_VALUE"""),": - ")</f>
        <v>: - </v>
      </c>
      <c r="J329" s="19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92"/>
      <c r="B330" s="192"/>
      <c r="C330" s="192"/>
      <c r="D330" s="192"/>
      <c r="E330" s="192"/>
      <c r="F330" s="192"/>
      <c r="G330" s="192" t="str">
        <f>IFERROR(__xludf.DUMMYFUNCTION("""COMPUTED_VALUE"""),"ronnie.henrikson")</f>
        <v>ronnie.henrikson</v>
      </c>
      <c r="H330" s="192" t="str">
        <f>IFERROR(__xludf.DUMMYFUNCTION("""COMPUTED_VALUE"""),"ronnie.henrikson@zupee.in")</f>
        <v>ronnie.henrikson@zupee.in</v>
      </c>
      <c r="I330" s="192" t="str">
        <f>IFERROR(__xludf.DUMMYFUNCTION("""COMPUTED_VALUE"""),": - ")</f>
        <v>: - </v>
      </c>
      <c r="J330" s="19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92"/>
      <c r="B331" s="192"/>
      <c r="C331" s="192"/>
      <c r="D331" s="192"/>
      <c r="E331" s="192"/>
      <c r="F331" s="192"/>
      <c r="G331" s="192" t="str">
        <f>IFERROR(__xludf.DUMMYFUNCTION("""COMPUTED_VALUE"""),"Roopesh Kaushik")</f>
        <v>Roopesh Kaushik</v>
      </c>
      <c r="H331" s="192" t="str">
        <f>IFERROR(__xludf.DUMMYFUNCTION("""COMPUTED_VALUE"""),"roopesh.kaushik@zupee.in")</f>
        <v>roopesh.kaushik@zupee.in</v>
      </c>
      <c r="I331" s="192" t="str">
        <f>IFERROR(__xludf.DUMMYFUNCTION("""COMPUTED_VALUE"""),": - ")</f>
        <v>: - </v>
      </c>
      <c r="J331" s="19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92"/>
      <c r="B332" s="192"/>
      <c r="C332" s="192"/>
      <c r="D332" s="192"/>
      <c r="E332" s="192"/>
      <c r="F332" s="192"/>
      <c r="G332" s="192" t="str">
        <f>IFERROR(__xludf.DUMMYFUNCTION("""COMPUTED_VALUE"""),"Rubaab Sood")</f>
        <v>Rubaab Sood</v>
      </c>
      <c r="H332" s="192" t="str">
        <f>IFERROR(__xludf.DUMMYFUNCTION("""COMPUTED_VALUE"""),"rubaab.sood@zupee.in")</f>
        <v>rubaab.sood@zupee.in</v>
      </c>
      <c r="I332" s="192" t="str">
        <f>IFERROR(__xludf.DUMMYFUNCTION("""COMPUTED_VALUE"""),": - ")</f>
        <v>: - </v>
      </c>
      <c r="J332" s="19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92"/>
      <c r="B333" s="192"/>
      <c r="C333" s="192"/>
      <c r="D333" s="192"/>
      <c r="E333" s="192"/>
      <c r="F333" s="192"/>
      <c r="G333" s="192" t="str">
        <f>IFERROR(__xludf.DUMMYFUNCTION("""COMPUTED_VALUE"""),"Ruhi Kapoor")</f>
        <v>Ruhi Kapoor</v>
      </c>
      <c r="H333" s="192" t="str">
        <f>IFERROR(__xludf.DUMMYFUNCTION("""COMPUTED_VALUE"""),"ruhi.kapoor@zupee.in")</f>
        <v>ruhi.kapoor@zupee.in</v>
      </c>
      <c r="I333" s="192" t="str">
        <f>IFERROR(__xludf.DUMMYFUNCTION("""COMPUTED_VALUE"""),": - ")</f>
        <v>: - </v>
      </c>
      <c r="J333" s="19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92"/>
      <c r="B334" s="192"/>
      <c r="C334" s="192"/>
      <c r="D334" s="192"/>
      <c r="E334" s="192"/>
      <c r="F334" s="192"/>
      <c r="G334" s="192" t="str">
        <f>IFERROR(__xludf.DUMMYFUNCTION("""COMPUTED_VALUE"""),"Rupam Das")</f>
        <v>Rupam Das</v>
      </c>
      <c r="H334" s="192" t="str">
        <f>IFERROR(__xludf.DUMMYFUNCTION("""COMPUTED_VALUE"""),"rupam.das@zupee.in")</f>
        <v>rupam.das@zupee.in</v>
      </c>
      <c r="I334" s="192" t="str">
        <f>IFERROR(__xludf.DUMMYFUNCTION("""COMPUTED_VALUE"""),": - ")</f>
        <v>: - </v>
      </c>
      <c r="J334" s="19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92"/>
      <c r="B335" s="192"/>
      <c r="C335" s="192"/>
      <c r="D335" s="192"/>
      <c r="E335" s="192"/>
      <c r="F335" s="192"/>
      <c r="G335" s="192" t="str">
        <f>IFERROR(__xludf.DUMMYFUNCTION("""COMPUTED_VALUE"""),"Sachin Purohit")</f>
        <v>Sachin Purohit</v>
      </c>
      <c r="H335" s="192" t="str">
        <f>IFERROR(__xludf.DUMMYFUNCTION("""COMPUTED_VALUE"""),"sachin.purohit@zupee.in")</f>
        <v>sachin.purohit@zupee.in</v>
      </c>
      <c r="I335" s="192" t="str">
        <f>IFERROR(__xludf.DUMMYFUNCTION("""COMPUTED_VALUE"""),": - ")</f>
        <v>: - </v>
      </c>
      <c r="J335" s="19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92"/>
      <c r="B336" s="192"/>
      <c r="C336" s="192"/>
      <c r="D336" s="192"/>
      <c r="E336" s="192"/>
      <c r="F336" s="192"/>
      <c r="G336" s="192" t="str">
        <f>IFERROR(__xludf.DUMMYFUNCTION("""COMPUTED_VALUE"""),"Sachin Tanwar")</f>
        <v>Sachin Tanwar</v>
      </c>
      <c r="H336" s="192" t="str">
        <f>IFERROR(__xludf.DUMMYFUNCTION("""COMPUTED_VALUE"""),"sachin.tanwar@zupee.in")</f>
        <v>sachin.tanwar@zupee.in</v>
      </c>
      <c r="I336" s="192" t="str">
        <f>IFERROR(__xludf.DUMMYFUNCTION("""COMPUTED_VALUE"""),": - ")</f>
        <v>: - </v>
      </c>
      <c r="J336" s="19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92"/>
      <c r="B337" s="192"/>
      <c r="C337" s="192"/>
      <c r="D337" s="192"/>
      <c r="E337" s="192"/>
      <c r="F337" s="192"/>
      <c r="G337" s="192" t="str">
        <f>IFERROR(__xludf.DUMMYFUNCTION("""COMPUTED_VALUE"""),"Sachin Yadav")</f>
        <v>Sachin Yadav</v>
      </c>
      <c r="H337" s="192" t="str">
        <f>IFERROR(__xludf.DUMMYFUNCTION("""COMPUTED_VALUE"""),"sachin.yadav@zupee.in")</f>
        <v>sachin.yadav@zupee.in</v>
      </c>
      <c r="I337" s="192" t="str">
        <f>IFERROR(__xludf.DUMMYFUNCTION("""COMPUTED_VALUE"""),": - ")</f>
        <v>: - </v>
      </c>
      <c r="J337" s="19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92"/>
      <c r="B338" s="192"/>
      <c r="C338" s="192"/>
      <c r="D338" s="192"/>
      <c r="E338" s="192"/>
      <c r="F338" s="192"/>
      <c r="G338" s="192" t="str">
        <f>IFERROR(__xludf.DUMMYFUNCTION("""COMPUTED_VALUE"""),"Sahil Aggarwal")</f>
        <v>Sahil Aggarwal</v>
      </c>
      <c r="H338" s="192" t="str">
        <f>IFERROR(__xludf.DUMMYFUNCTION("""COMPUTED_VALUE"""),"sahil.aggarwal@zupee.in")</f>
        <v>sahil.aggarwal@zupee.in</v>
      </c>
      <c r="I338" s="192" t="str">
        <f>IFERROR(__xludf.DUMMYFUNCTION("""COMPUTED_VALUE"""),": - ")</f>
        <v>: - </v>
      </c>
      <c r="J338" s="19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92"/>
      <c r="B339" s="192"/>
      <c r="C339" s="192"/>
      <c r="D339" s="192"/>
      <c r="E339" s="192"/>
      <c r="F339" s="192"/>
      <c r="G339" s="192" t="str">
        <f>IFERROR(__xludf.DUMMYFUNCTION("""COMPUTED_VALUE"""),"Sahil Aggrawal")</f>
        <v>Sahil Aggrawal</v>
      </c>
      <c r="H339" s="192" t="str">
        <f>IFERROR(__xludf.DUMMYFUNCTION("""COMPUTED_VALUE"""),"sahil.aggrawal@zupee.in")</f>
        <v>sahil.aggrawal@zupee.in</v>
      </c>
      <c r="I339" s="192" t="str">
        <f>IFERROR(__xludf.DUMMYFUNCTION("""COMPUTED_VALUE"""),": - ")</f>
        <v>: - </v>
      </c>
      <c r="J339" s="19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92"/>
      <c r="B340" s="192"/>
      <c r="C340" s="192"/>
      <c r="D340" s="192"/>
      <c r="E340" s="192"/>
      <c r="F340" s="192"/>
      <c r="G340" s="192" t="str">
        <f>IFERROR(__xludf.DUMMYFUNCTION("""COMPUTED_VALUE"""),"Sahil Narang")</f>
        <v>Sahil Narang</v>
      </c>
      <c r="H340" s="192" t="str">
        <f>IFERROR(__xludf.DUMMYFUNCTION("""COMPUTED_VALUE"""),"sahil.narang@zupee.in")</f>
        <v>sahil.narang@zupee.in</v>
      </c>
      <c r="I340" s="192" t="str">
        <f>IFERROR(__xludf.DUMMYFUNCTION("""COMPUTED_VALUE"""),": - ")</f>
        <v>: - </v>
      </c>
      <c r="J340" s="19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92"/>
      <c r="B341" s="192"/>
      <c r="C341" s="192"/>
      <c r="D341" s="192"/>
      <c r="E341" s="192"/>
      <c r="F341" s="192"/>
      <c r="G341" s="192" t="str">
        <f>IFERROR(__xludf.DUMMYFUNCTION("""COMPUTED_VALUE"""),"Sahil Shah")</f>
        <v>Sahil Shah</v>
      </c>
      <c r="H341" s="192" t="str">
        <f>IFERROR(__xludf.DUMMYFUNCTION("""COMPUTED_VALUE"""),"sahil.shah@zupee.in")</f>
        <v>sahil.shah@zupee.in</v>
      </c>
      <c r="I341" s="192" t="str">
        <f>IFERROR(__xludf.DUMMYFUNCTION("""COMPUTED_VALUE"""),": - ")</f>
        <v>: - </v>
      </c>
      <c r="J341" s="19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92"/>
      <c r="B342" s="192"/>
      <c r="C342" s="192"/>
      <c r="D342" s="192"/>
      <c r="E342" s="192"/>
      <c r="F342" s="192"/>
      <c r="G342" s="192" t="str">
        <f>IFERROR(__xludf.DUMMYFUNCTION("""COMPUTED_VALUE"""),"Saifulla Khan")</f>
        <v>Saifulla Khan</v>
      </c>
      <c r="H342" s="192" t="str">
        <f>IFERROR(__xludf.DUMMYFUNCTION("""COMPUTED_VALUE"""),"saifulla.khan@zupee.in")</f>
        <v>saifulla.khan@zupee.in</v>
      </c>
      <c r="I342" s="192" t="str">
        <f>IFERROR(__xludf.DUMMYFUNCTION("""COMPUTED_VALUE"""),": - ")</f>
        <v>: - </v>
      </c>
      <c r="J342" s="19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92"/>
      <c r="B343" s="192"/>
      <c r="C343" s="192"/>
      <c r="D343" s="192"/>
      <c r="E343" s="192"/>
      <c r="F343" s="192"/>
      <c r="G343" s="192" t="str">
        <f>IFERROR(__xludf.DUMMYFUNCTION("""COMPUTED_VALUE"""),"Sakshi Gupta")</f>
        <v>Sakshi Gupta</v>
      </c>
      <c r="H343" s="192" t="str">
        <f>IFERROR(__xludf.DUMMYFUNCTION("""COMPUTED_VALUE"""),"sakshi.gupta@zupee.in")</f>
        <v>sakshi.gupta@zupee.in</v>
      </c>
      <c r="I343" s="192" t="str">
        <f>IFERROR(__xludf.DUMMYFUNCTION("""COMPUTED_VALUE"""),": - ")</f>
        <v>: - </v>
      </c>
      <c r="J343" s="19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92"/>
      <c r="B344" s="192"/>
      <c r="C344" s="192"/>
      <c r="D344" s="192"/>
      <c r="E344" s="192"/>
      <c r="F344" s="192"/>
      <c r="G344" s="192" t="str">
        <f>IFERROR(__xludf.DUMMYFUNCTION("""COMPUTED_VALUE"""),"Sakshi Pathak")</f>
        <v>Sakshi Pathak</v>
      </c>
      <c r="H344" s="192" t="str">
        <f>IFERROR(__xludf.DUMMYFUNCTION("""COMPUTED_VALUE"""),"sakshi.pathak@zupee.in")</f>
        <v>sakshi.pathak@zupee.in</v>
      </c>
      <c r="I344" s="192" t="str">
        <f>IFERROR(__xludf.DUMMYFUNCTION("""COMPUTED_VALUE"""),": - ")</f>
        <v>: - </v>
      </c>
      <c r="J344" s="19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92"/>
      <c r="B345" s="192"/>
      <c r="C345" s="192"/>
      <c r="D345" s="192"/>
      <c r="E345" s="192"/>
      <c r="F345" s="192"/>
      <c r="G345" s="192" t="str">
        <f>IFERROR(__xludf.DUMMYFUNCTION("""COMPUTED_VALUE"""),"Sakshi Singh")</f>
        <v>Sakshi Singh</v>
      </c>
      <c r="H345" s="192" t="str">
        <f>IFERROR(__xludf.DUMMYFUNCTION("""COMPUTED_VALUE"""),"sakshi.singh@zupee.in")</f>
        <v>sakshi.singh@zupee.in</v>
      </c>
      <c r="I345" s="192" t="str">
        <f>IFERROR(__xludf.DUMMYFUNCTION("""COMPUTED_VALUE"""),": - ")</f>
        <v>: - </v>
      </c>
      <c r="J345" s="19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92"/>
      <c r="B346" s="192"/>
      <c r="C346" s="192"/>
      <c r="D346" s="192"/>
      <c r="E346" s="192"/>
      <c r="F346" s="192"/>
      <c r="G346" s="192" t="str">
        <f>IFERROR(__xludf.DUMMYFUNCTION("""COMPUTED_VALUE"""),"Saloni Madan")</f>
        <v>Saloni Madan</v>
      </c>
      <c r="H346" s="192" t="str">
        <f>IFERROR(__xludf.DUMMYFUNCTION("""COMPUTED_VALUE"""),"saloni.madan@zupee.in")</f>
        <v>saloni.madan@zupee.in</v>
      </c>
      <c r="I346" s="192" t="str">
        <f>IFERROR(__xludf.DUMMYFUNCTION("""COMPUTED_VALUE"""),": - ")</f>
        <v>: - </v>
      </c>
      <c r="J346" s="19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92"/>
      <c r="B347" s="192"/>
      <c r="C347" s="192"/>
      <c r="D347" s="192"/>
      <c r="E347" s="192"/>
      <c r="F347" s="192"/>
      <c r="G347" s="192" t="str">
        <f>IFERROR(__xludf.DUMMYFUNCTION("""COMPUTED_VALUE"""),"Samarth U")</f>
        <v>Samarth U</v>
      </c>
      <c r="H347" s="192" t="str">
        <f>IFERROR(__xludf.DUMMYFUNCTION("""COMPUTED_VALUE"""),"samarth.u@zupee.in")</f>
        <v>samarth.u@zupee.in</v>
      </c>
      <c r="I347" s="192" t="str">
        <f>IFERROR(__xludf.DUMMYFUNCTION("""COMPUTED_VALUE"""),": - ")</f>
        <v>: - </v>
      </c>
      <c r="J347" s="19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92"/>
      <c r="B348" s="192"/>
      <c r="C348" s="192"/>
      <c r="D348" s="192"/>
      <c r="E348" s="192"/>
      <c r="F348" s="192"/>
      <c r="G348" s="192" t="str">
        <f>IFERROR(__xludf.DUMMYFUNCTION("""COMPUTED_VALUE"""),"Samarth Udasin")</f>
        <v>Samarth Udasin</v>
      </c>
      <c r="H348" s="192" t="str">
        <f>IFERROR(__xludf.DUMMYFUNCTION("""COMPUTED_VALUE"""),"samarth.udasin@zupee.in")</f>
        <v>samarth.udasin@zupee.in</v>
      </c>
      <c r="I348" s="192" t="str">
        <f>IFERROR(__xludf.DUMMYFUNCTION("""COMPUTED_VALUE"""),": - ")</f>
        <v>: - </v>
      </c>
      <c r="J348" s="19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92"/>
      <c r="B349" s="192"/>
      <c r="C349" s="192"/>
      <c r="D349" s="192"/>
      <c r="E349" s="192"/>
      <c r="F349" s="192"/>
      <c r="G349" s="192" t="str">
        <f>IFERROR(__xludf.DUMMYFUNCTION("""COMPUTED_VALUE"""),"Saneesh Maheshwari")</f>
        <v>Saneesh Maheshwari</v>
      </c>
      <c r="H349" s="192" t="str">
        <f>IFERROR(__xludf.DUMMYFUNCTION("""COMPUTED_VALUE"""),"saneesh.maheshwari@zupee.in")</f>
        <v>saneesh.maheshwari@zupee.in</v>
      </c>
      <c r="I349" s="192" t="str">
        <f>IFERROR(__xludf.DUMMYFUNCTION("""COMPUTED_VALUE"""),": - ")</f>
        <v>: - </v>
      </c>
      <c r="J349" s="19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92"/>
      <c r="B350" s="192"/>
      <c r="C350" s="192"/>
      <c r="D350" s="192"/>
      <c r="E350" s="192"/>
      <c r="F350" s="192"/>
      <c r="G350" s="192" t="str">
        <f>IFERROR(__xludf.DUMMYFUNCTION("""COMPUTED_VALUE"""),"Sanjit Chauhan")</f>
        <v>Sanjit Chauhan</v>
      </c>
      <c r="H350" s="192" t="str">
        <f>IFERROR(__xludf.DUMMYFUNCTION("""COMPUTED_VALUE"""),"sanjit.chauhan@zupee.in")</f>
        <v>sanjit.chauhan@zupee.in</v>
      </c>
      <c r="I350" s="192" t="str">
        <f>IFERROR(__xludf.DUMMYFUNCTION("""COMPUTED_VALUE"""),": - ")</f>
        <v>: - </v>
      </c>
      <c r="J350" s="19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92"/>
      <c r="B351" s="192"/>
      <c r="C351" s="192"/>
      <c r="D351" s="192"/>
      <c r="E351" s="192"/>
      <c r="F351" s="192"/>
      <c r="G351" s="192" t="str">
        <f>IFERROR(__xludf.DUMMYFUNCTION("""COMPUTED_VALUE"""),"Sankalp Sharma")</f>
        <v>Sankalp Sharma</v>
      </c>
      <c r="H351" s="192" t="str">
        <f>IFERROR(__xludf.DUMMYFUNCTION("""COMPUTED_VALUE"""),"sankalp.sharma@zupee.in")</f>
        <v>sankalp.sharma@zupee.in</v>
      </c>
      <c r="I351" s="192" t="str">
        <f>IFERROR(__xludf.DUMMYFUNCTION("""COMPUTED_VALUE"""),": - ")</f>
        <v>: - </v>
      </c>
      <c r="J351" s="19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92"/>
      <c r="B352" s="192"/>
      <c r="C352" s="192"/>
      <c r="D352" s="192"/>
      <c r="E352" s="192"/>
      <c r="F352" s="192"/>
      <c r="G352" s="192" t="str">
        <f>IFERROR(__xludf.DUMMYFUNCTION("""COMPUTED_VALUE"""),"Saravana Gupta")</f>
        <v>Saravana Gupta</v>
      </c>
      <c r="H352" s="192" t="str">
        <f>IFERROR(__xludf.DUMMYFUNCTION("""COMPUTED_VALUE"""),"saravana.gupta@zupee.in")</f>
        <v>saravana.gupta@zupee.in</v>
      </c>
      <c r="I352" s="192" t="str">
        <f>IFERROR(__xludf.DUMMYFUNCTION("""COMPUTED_VALUE"""),": - ")</f>
        <v>: - </v>
      </c>
      <c r="J352" s="19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92"/>
      <c r="B353" s="192"/>
      <c r="C353" s="192"/>
      <c r="D353" s="192"/>
      <c r="E353" s="192"/>
      <c r="F353" s="192"/>
      <c r="G353" s="192" t="str">
        <f>IFERROR(__xludf.DUMMYFUNCTION("""COMPUTED_VALUE"""),"Satish Chandra")</f>
        <v>Satish Chandra</v>
      </c>
      <c r="H353" s="192" t="str">
        <f>IFERROR(__xludf.DUMMYFUNCTION("""COMPUTED_VALUE"""),"satish.chandra@zupee.in")</f>
        <v>satish.chandra@zupee.in</v>
      </c>
      <c r="I353" s="192" t="str">
        <f>IFERROR(__xludf.DUMMYFUNCTION("""COMPUTED_VALUE"""),": - ")</f>
        <v>: - </v>
      </c>
      <c r="J353" s="19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92"/>
      <c r="B354" s="192"/>
      <c r="C354" s="192"/>
      <c r="D354" s="192"/>
      <c r="E354" s="192"/>
      <c r="F354" s="192"/>
      <c r="G354" s="192" t="str">
        <f>IFERROR(__xludf.DUMMYFUNCTION("""COMPUTED_VALUE"""),"Saurabh Dandriyal")</f>
        <v>Saurabh Dandriyal</v>
      </c>
      <c r="H354" s="192" t="str">
        <f>IFERROR(__xludf.DUMMYFUNCTION("""COMPUTED_VALUE"""),"saurabh.dandriyal@zupee.in")</f>
        <v>saurabh.dandriyal@zupee.in</v>
      </c>
      <c r="I354" s="192" t="str">
        <f>IFERROR(__xludf.DUMMYFUNCTION("""COMPUTED_VALUE"""),": - ")</f>
        <v>: - </v>
      </c>
      <c r="J354" s="19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92"/>
      <c r="B355" s="192"/>
      <c r="C355" s="192"/>
      <c r="D355" s="192"/>
      <c r="E355" s="192"/>
      <c r="F355" s="192"/>
      <c r="G355" s="192" t="str">
        <f>IFERROR(__xludf.DUMMYFUNCTION("""COMPUTED_VALUE"""),"Saurabh Shrivastava")</f>
        <v>Saurabh Shrivastava</v>
      </c>
      <c r="H355" s="192" t="str">
        <f>IFERROR(__xludf.DUMMYFUNCTION("""COMPUTED_VALUE"""),"saurabh.shrivastava@zupee.in")</f>
        <v>saurabh.shrivastava@zupee.in</v>
      </c>
      <c r="I355" s="192" t="str">
        <f>IFERROR(__xludf.DUMMYFUNCTION("""COMPUTED_VALUE"""),": - ")</f>
        <v>: - </v>
      </c>
      <c r="J355" s="19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92"/>
      <c r="B356" s="192"/>
      <c r="C356" s="192"/>
      <c r="D356" s="192"/>
      <c r="E356" s="192"/>
      <c r="F356" s="192"/>
      <c r="G356" s="192" t="str">
        <f>IFERROR(__xludf.DUMMYFUNCTION("""COMPUTED_VALUE"""),"Saurabh Srivastava")</f>
        <v>Saurabh Srivastava</v>
      </c>
      <c r="H356" s="192" t="str">
        <f>IFERROR(__xludf.DUMMYFUNCTION("""COMPUTED_VALUE"""),"saurabh.srivastava@zupee.in")</f>
        <v>saurabh.srivastava@zupee.in</v>
      </c>
      <c r="I356" s="192" t="str">
        <f>IFERROR(__xludf.DUMMYFUNCTION("""COMPUTED_VALUE"""),": - ")</f>
        <v>: - </v>
      </c>
      <c r="J356" s="19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92"/>
      <c r="B357" s="192"/>
      <c r="C357" s="192"/>
      <c r="D357" s="192"/>
      <c r="E357" s="192"/>
      <c r="F357" s="192"/>
      <c r="G357" s="192" t="str">
        <f>IFERROR(__xludf.DUMMYFUNCTION("""COMPUTED_VALUE"""),"Saurabh Yadav")</f>
        <v>Saurabh Yadav</v>
      </c>
      <c r="H357" s="192" t="str">
        <f>IFERROR(__xludf.DUMMYFUNCTION("""COMPUTED_VALUE"""),"saurabh.yadav@zupee.in")</f>
        <v>saurabh.yadav@zupee.in</v>
      </c>
      <c r="I357" s="192" t="str">
        <f>IFERROR(__xludf.DUMMYFUNCTION("""COMPUTED_VALUE"""),": - ")</f>
        <v>: - </v>
      </c>
      <c r="J357" s="19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92"/>
      <c r="B358" s="192"/>
      <c r="C358" s="192"/>
      <c r="D358" s="192"/>
      <c r="E358" s="192"/>
      <c r="F358" s="192"/>
      <c r="G358" s="192" t="str">
        <f>IFERROR(__xludf.DUMMYFUNCTION("""COMPUTED_VALUE"""),"Saurav Temp")</f>
        <v>Saurav Temp</v>
      </c>
      <c r="H358" s="192" t="str">
        <f>IFERROR(__xludf.DUMMYFUNCTION("""COMPUTED_VALUE"""),"saurav.temp@zupee.in")</f>
        <v>saurav.temp@zupee.in</v>
      </c>
      <c r="I358" s="192" t="str">
        <f>IFERROR(__xludf.DUMMYFUNCTION("""COMPUTED_VALUE"""),": - ")</f>
        <v>: - </v>
      </c>
      <c r="J358" s="19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92"/>
      <c r="B359" s="192"/>
      <c r="C359" s="192"/>
      <c r="D359" s="192"/>
      <c r="E359" s="192"/>
      <c r="F359" s="192"/>
      <c r="G359" s="192" t="str">
        <f>IFERROR(__xludf.DUMMYFUNCTION("""COMPUTED_VALUE"""),"Sayantima Paul")</f>
        <v>Sayantima Paul</v>
      </c>
      <c r="H359" s="192" t="str">
        <f>IFERROR(__xludf.DUMMYFUNCTION("""COMPUTED_VALUE"""),"sayantima.paul@zupee.in")</f>
        <v>sayantima.paul@zupee.in</v>
      </c>
      <c r="I359" s="192" t="str">
        <f>IFERROR(__xludf.DUMMYFUNCTION("""COMPUTED_VALUE"""),": - ")</f>
        <v>: - </v>
      </c>
      <c r="J359" s="19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92"/>
      <c r="B360" s="192"/>
      <c r="C360" s="192"/>
      <c r="D360" s="192"/>
      <c r="E360" s="192"/>
      <c r="F360" s="192"/>
      <c r="G360" s="192" t="str">
        <f>IFERROR(__xludf.DUMMYFUNCTION("""COMPUTED_VALUE"""),"Mohd Shaad Khan")</f>
        <v>Mohd Shaad Khan</v>
      </c>
      <c r="H360" s="192" t="str">
        <f>IFERROR(__xludf.DUMMYFUNCTION("""COMPUTED_VALUE"""),"shaad.khan@zupee.in")</f>
        <v>shaad.khan@zupee.in</v>
      </c>
      <c r="I360" s="192" t="str">
        <f>IFERROR(__xludf.DUMMYFUNCTION("""COMPUTED_VALUE"""),": - ")</f>
        <v>: - </v>
      </c>
      <c r="J360" s="19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92"/>
      <c r="B361" s="192"/>
      <c r="C361" s="192"/>
      <c r="D361" s="192"/>
      <c r="E361" s="192"/>
      <c r="F361" s="192"/>
      <c r="G361" s="192" t="str">
        <f>IFERROR(__xludf.DUMMYFUNCTION("""COMPUTED_VALUE"""),"Shahid Rabbani")</f>
        <v>Shahid Rabbani</v>
      </c>
      <c r="H361" s="192" t="str">
        <f>IFERROR(__xludf.DUMMYFUNCTION("""COMPUTED_VALUE"""),"shahid.rabbani@zupee.in")</f>
        <v>shahid.rabbani@zupee.in</v>
      </c>
      <c r="I361" s="192" t="str">
        <f>IFERROR(__xludf.DUMMYFUNCTION("""COMPUTED_VALUE"""),": - ")</f>
        <v>: - </v>
      </c>
      <c r="J361" s="19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92"/>
      <c r="B362" s="192"/>
      <c r="C362" s="192"/>
      <c r="D362" s="192"/>
      <c r="E362" s="192"/>
      <c r="F362" s="192"/>
      <c r="G362" s="192" t="str">
        <f>IFERROR(__xludf.DUMMYFUNCTION("""COMPUTED_VALUE"""),"Shailendra Singh Bhadouriya")</f>
        <v>Shailendra Singh Bhadouriya</v>
      </c>
      <c r="H362" s="192" t="str">
        <f>IFERROR(__xludf.DUMMYFUNCTION("""COMPUTED_VALUE"""),"shailendra.bhadouriya@zupee.in")</f>
        <v>shailendra.bhadouriya@zupee.in</v>
      </c>
      <c r="I362" s="192" t="str">
        <f>IFERROR(__xludf.DUMMYFUNCTION("""COMPUTED_VALUE"""),": - ")</f>
        <v>: - </v>
      </c>
      <c r="J362" s="19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92"/>
      <c r="B363" s="192"/>
      <c r="C363" s="192"/>
      <c r="D363" s="192"/>
      <c r="E363" s="192"/>
      <c r="F363" s="192"/>
      <c r="G363" s="192" t="str">
        <f>IFERROR(__xludf.DUMMYFUNCTION("""COMPUTED_VALUE"""),"Shameek Datta")</f>
        <v>Shameek Datta</v>
      </c>
      <c r="H363" s="192" t="str">
        <f>IFERROR(__xludf.DUMMYFUNCTION("""COMPUTED_VALUE"""),"shameek.datta@zupee.in")</f>
        <v>shameek.datta@zupee.in</v>
      </c>
      <c r="I363" s="192" t="str">
        <f>IFERROR(__xludf.DUMMYFUNCTION("""COMPUTED_VALUE"""),": - ")</f>
        <v>: - </v>
      </c>
      <c r="J363" s="19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92"/>
      <c r="B364" s="192"/>
      <c r="C364" s="192"/>
      <c r="D364" s="192"/>
      <c r="E364" s="192"/>
      <c r="F364" s="192"/>
      <c r="G364" s="192" t="str">
        <f>IFERROR(__xludf.DUMMYFUNCTION("""COMPUTED_VALUE"""),"Shankhaneel Saikia")</f>
        <v>Shankhaneel Saikia</v>
      </c>
      <c r="H364" s="192" t="str">
        <f>IFERROR(__xludf.DUMMYFUNCTION("""COMPUTED_VALUE"""),"shankhaneel.saikia@zupee.in")</f>
        <v>shankhaneel.saikia@zupee.in</v>
      </c>
      <c r="I364" s="192" t="str">
        <f>IFERROR(__xludf.DUMMYFUNCTION("""COMPUTED_VALUE"""),": - ")</f>
        <v>: - </v>
      </c>
      <c r="J364" s="19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92"/>
      <c r="B365" s="192"/>
      <c r="C365" s="192"/>
      <c r="D365" s="192"/>
      <c r="E365" s="192"/>
      <c r="F365" s="192"/>
      <c r="G365" s="192" t="str">
        <f>IFERROR(__xludf.DUMMYFUNCTION("""COMPUTED_VALUE"""),"Sharath Kowligi")</f>
        <v>Sharath Kowligi</v>
      </c>
      <c r="H365" s="192" t="str">
        <f>IFERROR(__xludf.DUMMYFUNCTION("""COMPUTED_VALUE"""),"sharath.kowligi@zupee.in")</f>
        <v>sharath.kowligi@zupee.in</v>
      </c>
      <c r="I365" s="192" t="str">
        <f>IFERROR(__xludf.DUMMYFUNCTION("""COMPUTED_VALUE"""),": - ")</f>
        <v>: - </v>
      </c>
      <c r="J365" s="19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92"/>
      <c r="B366" s="192"/>
      <c r="C366" s="192"/>
      <c r="D366" s="192"/>
      <c r="E366" s="192"/>
      <c r="F366" s="192"/>
      <c r="G366" s="192" t="str">
        <f>IFERROR(__xludf.DUMMYFUNCTION("""COMPUTED_VALUE"""),"Shashwati Ghosh")</f>
        <v>Shashwati Ghosh</v>
      </c>
      <c r="H366" s="192" t="str">
        <f>IFERROR(__xludf.DUMMYFUNCTION("""COMPUTED_VALUE"""),"shashwati.ghosh@zupee.in")</f>
        <v>shashwati.ghosh@zupee.in</v>
      </c>
      <c r="I366" s="192" t="str">
        <f>IFERROR(__xludf.DUMMYFUNCTION("""COMPUTED_VALUE"""),": - ")</f>
        <v>: - </v>
      </c>
      <c r="J366" s="19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92"/>
      <c r="B367" s="192"/>
      <c r="C367" s="192"/>
      <c r="D367" s="192"/>
      <c r="E367" s="192"/>
      <c r="F367" s="192"/>
      <c r="G367" s="192" t="str">
        <f>IFERROR(__xludf.DUMMYFUNCTION("""COMPUTED_VALUE"""),"Shaurya Upadhyay")</f>
        <v>Shaurya Upadhyay</v>
      </c>
      <c r="H367" s="192" t="str">
        <f>IFERROR(__xludf.DUMMYFUNCTION("""COMPUTED_VALUE"""),"shaurya.upadhyay@zupee.in")</f>
        <v>shaurya.upadhyay@zupee.in</v>
      </c>
      <c r="I367" s="192" t="str">
        <f>IFERROR(__xludf.DUMMYFUNCTION("""COMPUTED_VALUE"""),": - ")</f>
        <v>: - </v>
      </c>
      <c r="J367" s="19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92"/>
      <c r="B368" s="192"/>
      <c r="C368" s="192"/>
      <c r="D368" s="192"/>
      <c r="E368" s="192"/>
      <c r="F368" s="192"/>
      <c r="G368" s="192" t="str">
        <f>IFERROR(__xludf.DUMMYFUNCTION("""COMPUTED_VALUE"""),"Shikha Devrani")</f>
        <v>Shikha Devrani</v>
      </c>
      <c r="H368" s="192" t="str">
        <f>IFERROR(__xludf.DUMMYFUNCTION("""COMPUTED_VALUE"""),"shikha.devrani@zupee.in")</f>
        <v>shikha.devrani@zupee.in</v>
      </c>
      <c r="I368" s="192" t="str">
        <f>IFERROR(__xludf.DUMMYFUNCTION("""COMPUTED_VALUE"""),": - ")</f>
        <v>: - </v>
      </c>
      <c r="J368" s="19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92"/>
      <c r="B369" s="192"/>
      <c r="C369" s="192"/>
      <c r="D369" s="192"/>
      <c r="E369" s="192"/>
      <c r="F369" s="192"/>
      <c r="G369" s="192" t="str">
        <f>IFERROR(__xludf.DUMMYFUNCTION("""COMPUTED_VALUE"""),"Shikha Maheshwari")</f>
        <v>Shikha Maheshwari</v>
      </c>
      <c r="H369" s="192" t="str">
        <f>IFERROR(__xludf.DUMMYFUNCTION("""COMPUTED_VALUE"""),"shikha.maheshwari@zupee.in")</f>
        <v>shikha.maheshwari@zupee.in</v>
      </c>
      <c r="I369" s="192" t="str">
        <f>IFERROR(__xludf.DUMMYFUNCTION("""COMPUTED_VALUE"""),": - ")</f>
        <v>: - </v>
      </c>
      <c r="J369" s="19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92"/>
      <c r="B370" s="192"/>
      <c r="C370" s="192"/>
      <c r="D370" s="192"/>
      <c r="E370" s="192"/>
      <c r="F370" s="192"/>
      <c r="G370" s="192" t="str">
        <f>IFERROR(__xludf.DUMMYFUNCTION("""COMPUTED_VALUE"""),"Shikha Meheshwari")</f>
        <v>Shikha Meheshwari</v>
      </c>
      <c r="H370" s="192" t="str">
        <f>IFERROR(__xludf.DUMMYFUNCTION("""COMPUTED_VALUE"""),"shikha.meheshwari@zupee.in")</f>
        <v>shikha.meheshwari@zupee.in</v>
      </c>
      <c r="I370" s="192" t="str">
        <f>IFERROR(__xludf.DUMMYFUNCTION("""COMPUTED_VALUE"""),": - ")</f>
        <v>: - </v>
      </c>
      <c r="J370" s="19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92"/>
      <c r="B371" s="192"/>
      <c r="C371" s="192"/>
      <c r="D371" s="192"/>
      <c r="E371" s="192"/>
      <c r="F371" s="192"/>
      <c r="G371" s="192" t="str">
        <f>IFERROR(__xludf.DUMMYFUNCTION("""COMPUTED_VALUE"""),"Shikha Tripathi")</f>
        <v>Shikha Tripathi</v>
      </c>
      <c r="H371" s="192" t="str">
        <f>IFERROR(__xludf.DUMMYFUNCTION("""COMPUTED_VALUE"""),"shikha.tripathi@zupee.in")</f>
        <v>shikha.tripathi@zupee.in</v>
      </c>
      <c r="I371" s="192" t="str">
        <f>IFERROR(__xludf.DUMMYFUNCTION("""COMPUTED_VALUE"""),": - ")</f>
        <v>: - </v>
      </c>
      <c r="J371" s="19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92"/>
      <c r="B372" s="192"/>
      <c r="C372" s="192"/>
      <c r="D372" s="192"/>
      <c r="E372" s="192"/>
      <c r="F372" s="192"/>
      <c r="G372" s="192" t="str">
        <f>IFERROR(__xludf.DUMMYFUNCTION("""COMPUTED_VALUE"""),"Shikha Verma")</f>
        <v>Shikha Verma</v>
      </c>
      <c r="H372" s="192" t="str">
        <f>IFERROR(__xludf.DUMMYFUNCTION("""COMPUTED_VALUE"""),"shikha.verma@zupee.in")</f>
        <v>shikha.verma@zupee.in</v>
      </c>
      <c r="I372" s="192" t="str">
        <f>IFERROR(__xludf.DUMMYFUNCTION("""COMPUTED_VALUE"""),": - ")</f>
        <v>: - </v>
      </c>
      <c r="J372" s="19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92"/>
      <c r="B373" s="192"/>
      <c r="C373" s="192"/>
      <c r="D373" s="192"/>
      <c r="E373" s="192"/>
      <c r="F373" s="192"/>
      <c r="G373" s="192" t="str">
        <f>IFERROR(__xludf.DUMMYFUNCTION("""COMPUTED_VALUE"""),"Shikhar Varshney")</f>
        <v>Shikhar Varshney</v>
      </c>
      <c r="H373" s="192" t="str">
        <f>IFERROR(__xludf.DUMMYFUNCTION("""COMPUTED_VALUE"""),"shikhar.varshney@zupee.in")</f>
        <v>shikhar.varshney@zupee.in</v>
      </c>
      <c r="I373" s="192" t="str">
        <f>IFERROR(__xludf.DUMMYFUNCTION("""COMPUTED_VALUE"""),": - ")</f>
        <v>: - </v>
      </c>
      <c r="J373" s="19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92"/>
      <c r="B374" s="192"/>
      <c r="C374" s="192"/>
      <c r="D374" s="192"/>
      <c r="E374" s="192"/>
      <c r="F374" s="192"/>
      <c r="G374" s="192" t="str">
        <f>IFERROR(__xludf.DUMMYFUNCTION("""COMPUTED_VALUE"""),"Shilpasree Chatterjee")</f>
        <v>Shilpasree Chatterjee</v>
      </c>
      <c r="H374" s="192" t="str">
        <f>IFERROR(__xludf.DUMMYFUNCTION("""COMPUTED_VALUE"""),"shilpasree.chatterjee@zupee.in")</f>
        <v>shilpasree.chatterjee@zupee.in</v>
      </c>
      <c r="I374" s="192" t="str">
        <f>IFERROR(__xludf.DUMMYFUNCTION("""COMPUTED_VALUE"""),": - ")</f>
        <v>: - </v>
      </c>
      <c r="J374" s="19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92"/>
      <c r="B375" s="192"/>
      <c r="C375" s="192"/>
      <c r="D375" s="192"/>
      <c r="E375" s="192"/>
      <c r="F375" s="192"/>
      <c r="G375" s="192" t="str">
        <f>IFERROR(__xludf.DUMMYFUNCTION("""COMPUTED_VALUE"""),"Shirish Shubhanker")</f>
        <v>Shirish Shubhanker</v>
      </c>
      <c r="H375" s="192" t="str">
        <f>IFERROR(__xludf.DUMMYFUNCTION("""COMPUTED_VALUE"""),"shirish.shubhanker@zupee.in")</f>
        <v>shirish.shubhanker@zupee.in</v>
      </c>
      <c r="I375" s="192" t="str">
        <f>IFERROR(__xludf.DUMMYFUNCTION("""COMPUTED_VALUE"""),": - ")</f>
        <v>: - </v>
      </c>
      <c r="J375" s="19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92"/>
      <c r="B376" s="192"/>
      <c r="C376" s="192"/>
      <c r="D376" s="192"/>
      <c r="E376" s="192"/>
      <c r="F376" s="192"/>
      <c r="G376" s="192" t="str">
        <f>IFERROR(__xludf.DUMMYFUNCTION("""COMPUTED_VALUE"""),"Shiv Kumar ( IT )")</f>
        <v>Shiv Kumar ( IT )</v>
      </c>
      <c r="H376" s="192" t="str">
        <f>IFERROR(__xludf.DUMMYFUNCTION("""COMPUTED_VALUE"""),"shiv.kumar@zupee.in")</f>
        <v>shiv.kumar@zupee.in</v>
      </c>
      <c r="I376" s="192" t="str">
        <f>IFERROR(__xludf.DUMMYFUNCTION("""COMPUTED_VALUE"""),": - ")</f>
        <v>: - </v>
      </c>
      <c r="J376" s="19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92"/>
      <c r="B377" s="192"/>
      <c r="C377" s="192"/>
      <c r="D377" s="192"/>
      <c r="E377" s="192"/>
      <c r="F377" s="192"/>
      <c r="G377" s="192" t="str">
        <f>IFERROR(__xludf.DUMMYFUNCTION("""COMPUTED_VALUE"""),"Shiv Sharma")</f>
        <v>Shiv Sharma</v>
      </c>
      <c r="H377" s="192" t="str">
        <f>IFERROR(__xludf.DUMMYFUNCTION("""COMPUTED_VALUE"""),"shiv.sharma@zupee.in")</f>
        <v>shiv.sharma@zupee.in</v>
      </c>
      <c r="I377" s="192" t="str">
        <f>IFERROR(__xludf.DUMMYFUNCTION("""COMPUTED_VALUE"""),": - ")</f>
        <v>: - </v>
      </c>
      <c r="J377" s="19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92"/>
      <c r="B378" s="192"/>
      <c r="C378" s="192"/>
      <c r="D378" s="192"/>
      <c r="E378" s="192"/>
      <c r="F378" s="192"/>
      <c r="G378" s="192" t="str">
        <f>IFERROR(__xludf.DUMMYFUNCTION("""COMPUTED_VALUE"""),"Shivangi")</f>
        <v>Shivangi</v>
      </c>
      <c r="H378" s="192" t="str">
        <f>IFERROR(__xludf.DUMMYFUNCTION("""COMPUTED_VALUE"""),"shivangi.shivangi@zupee.in")</f>
        <v>shivangi.shivangi@zupee.in</v>
      </c>
      <c r="I378" s="192" t="str">
        <f>IFERROR(__xludf.DUMMYFUNCTION("""COMPUTED_VALUE"""),": - ")</f>
        <v>: - </v>
      </c>
      <c r="J378" s="19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92"/>
      <c r="B379" s="192"/>
      <c r="C379" s="192"/>
      <c r="D379" s="192"/>
      <c r="E379" s="192"/>
      <c r="F379" s="192"/>
      <c r="G379" s="192" t="str">
        <f>IFERROR(__xludf.DUMMYFUNCTION("""COMPUTED_VALUE"""),"shivani mehta")</f>
        <v>shivani mehta</v>
      </c>
      <c r="H379" s="192" t="str">
        <f>IFERROR(__xludf.DUMMYFUNCTION("""COMPUTED_VALUE"""),"shivani.mehta@zupee.in")</f>
        <v>shivani.mehta@zupee.in</v>
      </c>
      <c r="I379" s="192" t="str">
        <f>IFERROR(__xludf.DUMMYFUNCTION("""COMPUTED_VALUE"""),": - ")</f>
        <v>: - </v>
      </c>
      <c r="J379" s="19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92"/>
      <c r="B380" s="192"/>
      <c r="C380" s="192"/>
      <c r="D380" s="192"/>
      <c r="E380" s="192"/>
      <c r="F380" s="192"/>
      <c r="G380" s="192" t="str">
        <f>IFERROR(__xludf.DUMMYFUNCTION("""COMPUTED_VALUE"""),"Shoorvir Gupta")</f>
        <v>Shoorvir Gupta</v>
      </c>
      <c r="H380" s="192" t="str">
        <f>IFERROR(__xludf.DUMMYFUNCTION("""COMPUTED_VALUE"""),"shoorvir.gupta@zupee.in")</f>
        <v>shoorvir.gupta@zupee.in</v>
      </c>
      <c r="I380" s="192" t="str">
        <f>IFERROR(__xludf.DUMMYFUNCTION("""COMPUTED_VALUE"""),": - ")</f>
        <v>: - </v>
      </c>
      <c r="J380" s="19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92"/>
      <c r="B381" s="192"/>
      <c r="C381" s="192"/>
      <c r="D381" s="192"/>
      <c r="E381" s="192"/>
      <c r="F381" s="192"/>
      <c r="G381" s="192" t="str">
        <f>IFERROR(__xludf.DUMMYFUNCTION("""COMPUTED_VALUE"""),"Shreya Manchanda")</f>
        <v>Shreya Manchanda</v>
      </c>
      <c r="H381" s="192" t="str">
        <f>IFERROR(__xludf.DUMMYFUNCTION("""COMPUTED_VALUE"""),"shreya.manchanda@zupee.in")</f>
        <v>shreya.manchanda@zupee.in</v>
      </c>
      <c r="I381" s="192" t="str">
        <f>IFERROR(__xludf.DUMMYFUNCTION("""COMPUTED_VALUE"""),": - ")</f>
        <v>: - </v>
      </c>
      <c r="J381" s="19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92"/>
      <c r="B382" s="192"/>
      <c r="C382" s="192"/>
      <c r="D382" s="192"/>
      <c r="E382" s="192"/>
      <c r="F382" s="192"/>
      <c r="G382" s="192" t="str">
        <f>IFERROR(__xludf.DUMMYFUNCTION("""COMPUTED_VALUE"""),"Shreyansh Bengani")</f>
        <v>Shreyansh Bengani</v>
      </c>
      <c r="H382" s="192" t="str">
        <f>IFERROR(__xludf.DUMMYFUNCTION("""COMPUTED_VALUE"""),"shreyansh.bengani@zupee.in")</f>
        <v>shreyansh.bengani@zupee.in</v>
      </c>
      <c r="I382" s="192" t="str">
        <f>IFERROR(__xludf.DUMMYFUNCTION("""COMPUTED_VALUE"""),": - ")</f>
        <v>: - </v>
      </c>
      <c r="J382" s="19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92"/>
      <c r="B383" s="192"/>
      <c r="C383" s="192"/>
      <c r="D383" s="192"/>
      <c r="E383" s="192"/>
      <c r="F383" s="192"/>
      <c r="G383" s="192" t="str">
        <f>IFERROR(__xludf.DUMMYFUNCTION("""COMPUTED_VALUE"""),"Shreyansh Goel")</f>
        <v>Shreyansh Goel</v>
      </c>
      <c r="H383" s="192" t="str">
        <f>IFERROR(__xludf.DUMMYFUNCTION("""COMPUTED_VALUE"""),"shreyansh.goel@zupee.in")</f>
        <v>shreyansh.goel@zupee.in</v>
      </c>
      <c r="I383" s="192" t="str">
        <f>IFERROR(__xludf.DUMMYFUNCTION("""COMPUTED_VALUE"""),": - ")</f>
        <v>: - </v>
      </c>
      <c r="J383" s="19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92"/>
      <c r="B384" s="192"/>
      <c r="C384" s="192"/>
      <c r="D384" s="192"/>
      <c r="E384" s="192"/>
      <c r="F384" s="192"/>
      <c r="G384" s="192" t="str">
        <f>IFERROR(__xludf.DUMMYFUNCTION("""COMPUTED_VALUE"""),"shreyansh.jain")</f>
        <v>shreyansh.jain</v>
      </c>
      <c r="H384" s="192" t="str">
        <f>IFERROR(__xludf.DUMMYFUNCTION("""COMPUTED_VALUE"""),"shreyansh.jain@zupee.in")</f>
        <v>shreyansh.jain@zupee.in</v>
      </c>
      <c r="I384" s="192" t="str">
        <f>IFERROR(__xludf.DUMMYFUNCTION("""COMPUTED_VALUE"""),": - ")</f>
        <v>: - </v>
      </c>
      <c r="J384" s="19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92"/>
      <c r="B385" s="192"/>
      <c r="C385" s="192"/>
      <c r="D385" s="192"/>
      <c r="E385" s="192"/>
      <c r="F385" s="192"/>
      <c r="G385" s="192" t="str">
        <f>IFERROR(__xludf.DUMMYFUNCTION("""COMPUTED_VALUE"""),"Shristi Agrawal")</f>
        <v>Shristi Agrawal</v>
      </c>
      <c r="H385" s="192" t="str">
        <f>IFERROR(__xludf.DUMMYFUNCTION("""COMPUTED_VALUE"""),"shristi.agrawal@zupee.in")</f>
        <v>shristi.agrawal@zupee.in</v>
      </c>
      <c r="I385" s="192" t="str">
        <f>IFERROR(__xludf.DUMMYFUNCTION("""COMPUTED_VALUE"""),": - ")</f>
        <v>: - </v>
      </c>
      <c r="J385" s="19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92"/>
      <c r="B386" s="192"/>
      <c r="C386" s="192"/>
      <c r="D386" s="192"/>
      <c r="E386" s="192"/>
      <c r="F386" s="192"/>
      <c r="G386" s="192" t="str">
        <f>IFERROR(__xludf.DUMMYFUNCTION("""COMPUTED_VALUE"""),"Shruti sachdeva")</f>
        <v>Shruti sachdeva</v>
      </c>
      <c r="H386" s="192" t="str">
        <f>IFERROR(__xludf.DUMMYFUNCTION("""COMPUTED_VALUE"""),"shrutisachdeva16@gmail.com")</f>
        <v>shrutisachdeva16@gmail.com</v>
      </c>
      <c r="I386" s="192" t="str">
        <f>IFERROR(__xludf.DUMMYFUNCTION("""COMPUTED_VALUE"""),": - ")</f>
        <v>: - </v>
      </c>
      <c r="J386" s="19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92"/>
      <c r="B387" s="192"/>
      <c r="C387" s="192"/>
      <c r="D387" s="192"/>
      <c r="E387" s="192"/>
      <c r="F387" s="192"/>
      <c r="G387" s="192" t="str">
        <f>IFERROR(__xludf.DUMMYFUNCTION("""COMPUTED_VALUE"""),"Shubham Agarwal")</f>
        <v>Shubham Agarwal</v>
      </c>
      <c r="H387" s="192" t="str">
        <f>IFERROR(__xludf.DUMMYFUNCTION("""COMPUTED_VALUE"""),"shubham.agarwal@zupee.in")</f>
        <v>shubham.agarwal@zupee.in</v>
      </c>
      <c r="I387" s="192" t="str">
        <f>IFERROR(__xludf.DUMMYFUNCTION("""COMPUTED_VALUE"""),": - ")</f>
        <v>: - </v>
      </c>
      <c r="J387" s="19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92"/>
      <c r="B388" s="192"/>
      <c r="C388" s="192"/>
      <c r="D388" s="192"/>
      <c r="E388" s="192"/>
      <c r="F388" s="192"/>
      <c r="G388" s="192" t="str">
        <f>IFERROR(__xludf.DUMMYFUNCTION("""COMPUTED_VALUE"""),"Shubham Chander")</f>
        <v>Shubham Chander</v>
      </c>
      <c r="H388" s="192" t="str">
        <f>IFERROR(__xludf.DUMMYFUNCTION("""COMPUTED_VALUE"""),"shubham.chander@zupee.in")</f>
        <v>shubham.chander@zupee.in</v>
      </c>
      <c r="I388" s="192" t="str">
        <f>IFERROR(__xludf.DUMMYFUNCTION("""COMPUTED_VALUE"""),": - ")</f>
        <v>: - </v>
      </c>
      <c r="J388" s="19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92"/>
      <c r="B389" s="192"/>
      <c r="C389" s="192"/>
      <c r="D389" s="192"/>
      <c r="E389" s="192"/>
      <c r="F389" s="192"/>
      <c r="G389" s="192" t="str">
        <f>IFERROR(__xludf.DUMMYFUNCTION("""COMPUTED_VALUE"""),"Shubham Gupta")</f>
        <v>Shubham Gupta</v>
      </c>
      <c r="H389" s="192" t="str">
        <f>IFERROR(__xludf.DUMMYFUNCTION("""COMPUTED_VALUE"""),"shubham.gupta@zupee.in")</f>
        <v>shubham.gupta@zupee.in</v>
      </c>
      <c r="I389" s="192" t="str">
        <f>IFERROR(__xludf.DUMMYFUNCTION("""COMPUTED_VALUE"""),": - ")</f>
        <v>: - </v>
      </c>
      <c r="J389" s="19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92"/>
      <c r="B390" s="192"/>
      <c r="C390" s="192"/>
      <c r="D390" s="192"/>
      <c r="E390" s="192"/>
      <c r="F390" s="192"/>
      <c r="G390" s="192" t="str">
        <f>IFERROR(__xludf.DUMMYFUNCTION("""COMPUTED_VALUE"""),"Shubham Vishwakarma")</f>
        <v>Shubham Vishwakarma</v>
      </c>
      <c r="H390" s="192" t="str">
        <f>IFERROR(__xludf.DUMMYFUNCTION("""COMPUTED_VALUE"""),"shubham.vishwakarma@zupee.in")</f>
        <v>shubham.vishwakarma@zupee.in</v>
      </c>
      <c r="I390" s="192" t="str">
        <f>IFERROR(__xludf.DUMMYFUNCTION("""COMPUTED_VALUE"""),": - ")</f>
        <v>: - </v>
      </c>
      <c r="J390" s="19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92"/>
      <c r="B391" s="192"/>
      <c r="C391" s="192"/>
      <c r="D391" s="192"/>
      <c r="E391" s="192"/>
      <c r="F391" s="192"/>
      <c r="G391" s="192" t="str">
        <f>IFERROR(__xludf.DUMMYFUNCTION("""COMPUTED_VALUE"""),"Shwetank Anand")</f>
        <v>Shwetank Anand</v>
      </c>
      <c r="H391" s="192" t="str">
        <f>IFERROR(__xludf.DUMMYFUNCTION("""COMPUTED_VALUE"""),"shwetank.anand@zupee.in")</f>
        <v>shwetank.anand@zupee.in</v>
      </c>
      <c r="I391" s="192" t="str">
        <f>IFERROR(__xludf.DUMMYFUNCTION("""COMPUTED_VALUE"""),": - ")</f>
        <v>: - </v>
      </c>
      <c r="J391" s="19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92"/>
      <c r="B392" s="192"/>
      <c r="C392" s="192"/>
      <c r="D392" s="192"/>
      <c r="E392" s="192"/>
      <c r="F392" s="192"/>
      <c r="G392" s="192" t="str">
        <f>IFERROR(__xludf.DUMMYFUNCTION("""COMPUTED_VALUE"""),"Shyam Singh")</f>
        <v>Shyam Singh</v>
      </c>
      <c r="H392" s="192" t="str">
        <f>IFERROR(__xludf.DUMMYFUNCTION("""COMPUTED_VALUE"""),"shyam.singh@zupee.in")</f>
        <v>shyam.singh@zupee.in</v>
      </c>
      <c r="I392" s="192" t="str">
        <f>IFERROR(__xludf.DUMMYFUNCTION("""COMPUTED_VALUE"""),": - ")</f>
        <v>: - </v>
      </c>
      <c r="J392" s="19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92"/>
      <c r="B393" s="192"/>
      <c r="C393" s="192"/>
      <c r="D393" s="192"/>
      <c r="E393" s="192"/>
      <c r="F393" s="192"/>
      <c r="G393" s="192" t="str">
        <f>IFERROR(__xludf.DUMMYFUNCTION("""COMPUTED_VALUE"""),"Siddharth Jain")</f>
        <v>Siddharth Jain</v>
      </c>
      <c r="H393" s="192" t="str">
        <f>IFERROR(__xludf.DUMMYFUNCTION("""COMPUTED_VALUE"""),"siddharth.jain@zupee.in")</f>
        <v>siddharth.jain@zupee.in</v>
      </c>
      <c r="I393" s="192" t="str">
        <f>IFERROR(__xludf.DUMMYFUNCTION("""COMPUTED_VALUE"""),": - ")</f>
        <v>: - </v>
      </c>
      <c r="J393" s="19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92"/>
      <c r="B394" s="192"/>
      <c r="C394" s="192"/>
      <c r="D394" s="192"/>
      <c r="E394" s="192"/>
      <c r="F394" s="192"/>
      <c r="G394" s="192" t="str">
        <f>IFERROR(__xludf.DUMMYFUNCTION("""COMPUTED_VALUE"""),"Siddharth Rehani")</f>
        <v>Siddharth Rehani</v>
      </c>
      <c r="H394" s="192" t="str">
        <f>IFERROR(__xludf.DUMMYFUNCTION("""COMPUTED_VALUE"""),"siddharth.rehani@zupee.in")</f>
        <v>siddharth.rehani@zupee.in</v>
      </c>
      <c r="I394" s="192" t="str">
        <f>IFERROR(__xludf.DUMMYFUNCTION("""COMPUTED_VALUE"""),": - ")</f>
        <v>: - </v>
      </c>
      <c r="J394" s="19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92"/>
      <c r="B395" s="192"/>
      <c r="C395" s="192"/>
      <c r="D395" s="192"/>
      <c r="E395" s="192"/>
      <c r="F395" s="192"/>
      <c r="G395" s="192" t="str">
        <f>IFERROR(__xludf.DUMMYFUNCTION("""COMPUTED_VALUE"""),"Simran Bansal (BDO)")</f>
        <v>Simran Bansal (BDO)</v>
      </c>
      <c r="H395" s="192" t="str">
        <f>IFERROR(__xludf.DUMMYFUNCTION("""COMPUTED_VALUE"""),"simran.bansal@zupee.in")</f>
        <v>simran.bansal@zupee.in</v>
      </c>
      <c r="I395" s="192" t="str">
        <f>IFERROR(__xludf.DUMMYFUNCTION("""COMPUTED_VALUE"""),": - ")</f>
        <v>: - </v>
      </c>
      <c r="J395" s="19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92"/>
      <c r="B396" s="192"/>
      <c r="C396" s="192"/>
      <c r="D396" s="192"/>
      <c r="E396" s="192"/>
      <c r="F396" s="192"/>
      <c r="G396" s="192" t="str">
        <f>IFERROR(__xludf.DUMMYFUNCTION("""COMPUTED_VALUE"""),"Simran Mukhia")</f>
        <v>Simran Mukhia</v>
      </c>
      <c r="H396" s="192" t="str">
        <f>IFERROR(__xludf.DUMMYFUNCTION("""COMPUTED_VALUE"""),"simran.mukhia@zupee.in")</f>
        <v>simran.mukhia@zupee.in</v>
      </c>
      <c r="I396" s="192" t="str">
        <f>IFERROR(__xludf.DUMMYFUNCTION("""COMPUTED_VALUE"""),": - ")</f>
        <v>: - </v>
      </c>
      <c r="J396" s="19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92"/>
      <c r="B397" s="192"/>
      <c r="C397" s="192"/>
      <c r="D397" s="192"/>
      <c r="E397" s="192"/>
      <c r="F397" s="192"/>
      <c r="G397" s="192" t="str">
        <f>IFERROR(__xludf.DUMMYFUNCTION("""COMPUTED_VALUE"""),"Simran Taneja")</f>
        <v>Simran Taneja</v>
      </c>
      <c r="H397" s="192" t="str">
        <f>IFERROR(__xludf.DUMMYFUNCTION("""COMPUTED_VALUE"""),"simran.taneja@zupee.in")</f>
        <v>simran.taneja@zupee.in</v>
      </c>
      <c r="I397" s="192" t="str">
        <f>IFERROR(__xludf.DUMMYFUNCTION("""COMPUTED_VALUE"""),": - ")</f>
        <v>: - </v>
      </c>
      <c r="J397" s="19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92"/>
      <c r="B398" s="192"/>
      <c r="C398" s="192"/>
      <c r="D398" s="192"/>
      <c r="E398" s="192"/>
      <c r="F398" s="192"/>
      <c r="G398" s="192" t="str">
        <f>IFERROR(__xludf.DUMMYFUNCTION("""COMPUTED_VALUE"""),"Sneha Thapa")</f>
        <v>Sneha Thapa</v>
      </c>
      <c r="H398" s="192" t="str">
        <f>IFERROR(__xludf.DUMMYFUNCTION("""COMPUTED_VALUE"""),"sneha.thapa@zupee.in")</f>
        <v>sneha.thapa@zupee.in</v>
      </c>
      <c r="I398" s="192" t="str">
        <f>IFERROR(__xludf.DUMMYFUNCTION("""COMPUTED_VALUE"""),": - ")</f>
        <v>: - </v>
      </c>
      <c r="J398" s="19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92"/>
      <c r="B399" s="192"/>
      <c r="C399" s="192"/>
      <c r="D399" s="192"/>
      <c r="E399" s="192"/>
      <c r="F399" s="192"/>
      <c r="G399" s="192" t="str">
        <f>IFERROR(__xludf.DUMMYFUNCTION("""COMPUTED_VALUE"""),"Snigdha Tripathi")</f>
        <v>Snigdha Tripathi</v>
      </c>
      <c r="H399" s="192" t="str">
        <f>IFERROR(__xludf.DUMMYFUNCTION("""COMPUTED_VALUE"""),"snigdha.tripathi@zupee.in")</f>
        <v>snigdha.tripathi@zupee.in</v>
      </c>
      <c r="I399" s="192" t="str">
        <f>IFERROR(__xludf.DUMMYFUNCTION("""COMPUTED_VALUE"""),": - ")</f>
        <v>: - </v>
      </c>
      <c r="J399" s="19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92"/>
      <c r="B400" s="192"/>
      <c r="C400" s="192"/>
      <c r="D400" s="192"/>
      <c r="E400" s="192"/>
      <c r="F400" s="192"/>
      <c r="G400" s="192" t="str">
        <f>IFERROR(__xludf.DUMMYFUNCTION("""COMPUTED_VALUE"""),"Somanshu")</f>
        <v>Somanshu</v>
      </c>
      <c r="H400" s="192" t="str">
        <f>IFERROR(__xludf.DUMMYFUNCTION("""COMPUTED_VALUE"""),"somanshu.suran@zupee.in")</f>
        <v>somanshu.suran@zupee.in</v>
      </c>
      <c r="I400" s="192" t="str">
        <f>IFERROR(__xludf.DUMMYFUNCTION("""COMPUTED_VALUE"""),": - ")</f>
        <v>: - </v>
      </c>
      <c r="J400" s="19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92"/>
      <c r="B401" s="192"/>
      <c r="C401" s="192"/>
      <c r="D401" s="192"/>
      <c r="E401" s="192"/>
      <c r="F401" s="192"/>
      <c r="G401" s="192" t="str">
        <f>IFERROR(__xludf.DUMMYFUNCTION("""COMPUTED_VALUE"""),"Somya Singla")</f>
        <v>Somya Singla</v>
      </c>
      <c r="H401" s="192" t="str">
        <f>IFERROR(__xludf.DUMMYFUNCTION("""COMPUTED_VALUE"""),"somya.singla@zupee.in")</f>
        <v>somya.singla@zupee.in</v>
      </c>
      <c r="I401" s="192" t="str">
        <f>IFERROR(__xludf.DUMMYFUNCTION("""COMPUTED_VALUE"""),": - ")</f>
        <v>: - </v>
      </c>
      <c r="J401" s="19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92"/>
      <c r="B402" s="192"/>
      <c r="C402" s="192"/>
      <c r="D402" s="192"/>
      <c r="E402" s="192"/>
      <c r="F402" s="192"/>
      <c r="G402" s="192" t="str">
        <f>IFERROR(__xludf.DUMMYFUNCTION("""COMPUTED_VALUE"""),"Sonali Pandey")</f>
        <v>Sonali Pandey</v>
      </c>
      <c r="H402" s="192" t="str">
        <f>IFERROR(__xludf.DUMMYFUNCTION("""COMPUTED_VALUE"""),"sonali.pandey@zupee.in")</f>
        <v>sonali.pandey@zupee.in</v>
      </c>
      <c r="I402" s="192" t="str">
        <f>IFERROR(__xludf.DUMMYFUNCTION("""COMPUTED_VALUE"""),": - ")</f>
        <v>: - </v>
      </c>
      <c r="J402" s="19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92"/>
      <c r="B403" s="192"/>
      <c r="C403" s="192"/>
      <c r="D403" s="192"/>
      <c r="E403" s="192"/>
      <c r="F403" s="192"/>
      <c r="G403" s="192" t="str">
        <f>IFERROR(__xludf.DUMMYFUNCTION("""COMPUTED_VALUE"""),"Sonam Gupta")</f>
        <v>Sonam Gupta</v>
      </c>
      <c r="H403" s="192" t="str">
        <f>IFERROR(__xludf.DUMMYFUNCTION("""COMPUTED_VALUE"""),"sonam.gupta@zupee.in")</f>
        <v>sonam.gupta@zupee.in</v>
      </c>
      <c r="I403" s="192" t="str">
        <f>IFERROR(__xludf.DUMMYFUNCTION("""COMPUTED_VALUE"""),": - ")</f>
        <v>: - </v>
      </c>
      <c r="J403" s="19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92"/>
      <c r="B404" s="192"/>
      <c r="C404" s="192"/>
      <c r="D404" s="192"/>
      <c r="E404" s="192"/>
      <c r="F404" s="192"/>
      <c r="G404" s="192" t="str">
        <f>IFERROR(__xludf.DUMMYFUNCTION("""COMPUTED_VALUE"""),"Sonam Rathore")</f>
        <v>Sonam Rathore</v>
      </c>
      <c r="H404" s="192" t="str">
        <f>IFERROR(__xludf.DUMMYFUNCTION("""COMPUTED_VALUE"""),"sonam.rathore@zupee.in")</f>
        <v>sonam.rathore@zupee.in</v>
      </c>
      <c r="I404" s="192" t="str">
        <f>IFERROR(__xludf.DUMMYFUNCTION("""COMPUTED_VALUE"""),": - ")</f>
        <v>: - </v>
      </c>
      <c r="J404" s="19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92"/>
      <c r="B405" s="192"/>
      <c r="C405" s="192"/>
      <c r="D405" s="192"/>
      <c r="E405" s="192"/>
      <c r="F405" s="192"/>
      <c r="G405" s="192" t="str">
        <f>IFERROR(__xludf.DUMMYFUNCTION("""COMPUTED_VALUE"""),"Soni Saurav")</f>
        <v>Soni Saurav</v>
      </c>
      <c r="H405" s="192" t="str">
        <f>IFERROR(__xludf.DUMMYFUNCTION("""COMPUTED_VALUE"""),"soni.saurav@zupee.in")</f>
        <v>soni.saurav@zupee.in</v>
      </c>
      <c r="I405" s="192" t="str">
        <f>IFERROR(__xludf.DUMMYFUNCTION("""COMPUTED_VALUE"""),": - ")</f>
        <v>: - </v>
      </c>
      <c r="J405" s="19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92"/>
      <c r="B406" s="192"/>
      <c r="C406" s="192"/>
      <c r="D406" s="192"/>
      <c r="E406" s="192"/>
      <c r="F406" s="192"/>
      <c r="G406" s="192" t="str">
        <f>IFERROR(__xludf.DUMMYFUNCTION("""COMPUTED_VALUE"""),"Soumyadip Deb")</f>
        <v>Soumyadip Deb</v>
      </c>
      <c r="H406" s="192" t="str">
        <f>IFERROR(__xludf.DUMMYFUNCTION("""COMPUTED_VALUE"""),"soumyadip.deb@zupee.in")</f>
        <v>soumyadip.deb@zupee.in</v>
      </c>
      <c r="I406" s="192" t="str">
        <f>IFERROR(__xludf.DUMMYFUNCTION("""COMPUTED_VALUE"""),": - ")</f>
        <v>: - </v>
      </c>
      <c r="J406" s="19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92"/>
      <c r="B407" s="192"/>
      <c r="C407" s="192"/>
      <c r="D407" s="192"/>
      <c r="E407" s="192"/>
      <c r="F407" s="192"/>
      <c r="G407" s="192" t="str">
        <f>IFERROR(__xludf.DUMMYFUNCTION("""COMPUTED_VALUE"""),"Sourabh Mukherjee")</f>
        <v>Sourabh Mukherjee</v>
      </c>
      <c r="H407" s="192" t="str">
        <f>IFERROR(__xludf.DUMMYFUNCTION("""COMPUTED_VALUE"""),"sourabh.mukherjee@zupee.in")</f>
        <v>sourabh.mukherjee@zupee.in</v>
      </c>
      <c r="I407" s="192" t="str">
        <f>IFERROR(__xludf.DUMMYFUNCTION("""COMPUTED_VALUE"""),": - ")</f>
        <v>: - </v>
      </c>
      <c r="J407" s="19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92"/>
      <c r="B408" s="192"/>
      <c r="C408" s="192"/>
      <c r="D408" s="192"/>
      <c r="E408" s="192"/>
      <c r="F408" s="192"/>
      <c r="G408" s="192" t="str">
        <f>IFERROR(__xludf.DUMMYFUNCTION("""COMPUTED_VALUE"""),"Sourabh Singh")</f>
        <v>Sourabh Singh</v>
      </c>
      <c r="H408" s="192" t="str">
        <f>IFERROR(__xludf.DUMMYFUNCTION("""COMPUTED_VALUE"""),"sourabh.singh@zupee.in")</f>
        <v>sourabh.singh@zupee.in</v>
      </c>
      <c r="I408" s="192" t="str">
        <f>IFERROR(__xludf.DUMMYFUNCTION("""COMPUTED_VALUE"""),": - ")</f>
        <v>: - </v>
      </c>
      <c r="J408" s="19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92"/>
      <c r="B409" s="192"/>
      <c r="C409" s="192"/>
      <c r="D409" s="192"/>
      <c r="E409" s="192"/>
      <c r="F409" s="192"/>
      <c r="G409" s="192" t="str">
        <f>IFERROR(__xludf.DUMMYFUNCTION("""COMPUTED_VALUE"""),"Sruja Gangolu")</f>
        <v>Sruja Gangolu</v>
      </c>
      <c r="H409" s="192" t="str">
        <f>IFERROR(__xludf.DUMMYFUNCTION("""COMPUTED_VALUE"""),"sruja.gangolu@zupee.in")</f>
        <v>sruja.gangolu@zupee.in</v>
      </c>
      <c r="I409" s="192" t="str">
        <f>IFERROR(__xludf.DUMMYFUNCTION("""COMPUTED_VALUE"""),": - ")</f>
        <v>: - </v>
      </c>
      <c r="J409" s="19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92"/>
      <c r="B410" s="192"/>
      <c r="C410" s="192"/>
      <c r="D410" s="192"/>
      <c r="E410" s="192"/>
      <c r="F410" s="192"/>
      <c r="G410" s="192" t="str">
        <f>IFERROR(__xludf.DUMMYFUNCTION("""COMPUTED_VALUE"""),"Subhrajit Makur")</f>
        <v>Subhrajit Makur</v>
      </c>
      <c r="H410" s="192" t="str">
        <f>IFERROR(__xludf.DUMMYFUNCTION("""COMPUTED_VALUE"""),"subhrajit.makur@zupee.in")</f>
        <v>subhrajit.makur@zupee.in</v>
      </c>
      <c r="I410" s="192" t="str">
        <f>IFERROR(__xludf.DUMMYFUNCTION("""COMPUTED_VALUE"""),": - ")</f>
        <v>: - </v>
      </c>
      <c r="J410" s="19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92"/>
      <c r="B411" s="192"/>
      <c r="C411" s="192"/>
      <c r="D411" s="192"/>
      <c r="E411" s="192"/>
      <c r="F411" s="192"/>
      <c r="G411" s="192" t="str">
        <f>IFERROR(__xludf.DUMMYFUNCTION("""COMPUTED_VALUE"""),"Dr Subi Chaturvedi")</f>
        <v>Dr Subi Chaturvedi</v>
      </c>
      <c r="H411" s="192" t="str">
        <f>IFERROR(__xludf.DUMMYFUNCTION("""COMPUTED_VALUE"""),"subi.chaturvedi@zupee.in")</f>
        <v>subi.chaturvedi@zupee.in</v>
      </c>
      <c r="I411" s="192" t="str">
        <f>IFERROR(__xludf.DUMMYFUNCTION("""COMPUTED_VALUE"""),": - ")</f>
        <v>: - </v>
      </c>
      <c r="J411" s="19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92"/>
      <c r="B412" s="192"/>
      <c r="C412" s="192"/>
      <c r="D412" s="192"/>
      <c r="E412" s="192"/>
      <c r="F412" s="192"/>
      <c r="G412" s="192" t="str">
        <f>IFERROR(__xludf.DUMMYFUNCTION("""COMPUTED_VALUE"""),"Sucheta Sharma")</f>
        <v>Sucheta Sharma</v>
      </c>
      <c r="H412" s="192" t="str">
        <f>IFERROR(__xludf.DUMMYFUNCTION("""COMPUTED_VALUE"""),"sucheta.sharma@zupee.in")</f>
        <v>sucheta.sharma@zupee.in</v>
      </c>
      <c r="I412" s="192" t="str">
        <f>IFERROR(__xludf.DUMMYFUNCTION("""COMPUTED_VALUE"""),": - ")</f>
        <v>: - </v>
      </c>
      <c r="J412" s="19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92"/>
      <c r="B413" s="192"/>
      <c r="C413" s="192"/>
      <c r="D413" s="192"/>
      <c r="E413" s="192"/>
      <c r="F413" s="192"/>
      <c r="G413" s="192" t="str">
        <f>IFERROR(__xludf.DUMMYFUNCTION("""COMPUTED_VALUE"""),"Sudhanshu Singh")</f>
        <v>Sudhanshu Singh</v>
      </c>
      <c r="H413" s="192" t="str">
        <f>IFERROR(__xludf.DUMMYFUNCTION("""COMPUTED_VALUE"""),"sudhanshu.singh@zupee.in")</f>
        <v>sudhanshu.singh@zupee.in</v>
      </c>
      <c r="I413" s="192" t="str">
        <f>IFERROR(__xludf.DUMMYFUNCTION("""COMPUTED_VALUE"""),": - ")</f>
        <v>: - </v>
      </c>
      <c r="J413" s="19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92"/>
      <c r="B414" s="192"/>
      <c r="C414" s="192"/>
      <c r="D414" s="192"/>
      <c r="E414" s="192"/>
      <c r="F414" s="192"/>
      <c r="G414" s="192" t="str">
        <f>IFERROR(__xludf.DUMMYFUNCTION("""COMPUTED_VALUE"""),"Suhani Arya")</f>
        <v>Suhani Arya</v>
      </c>
      <c r="H414" s="192" t="str">
        <f>IFERROR(__xludf.DUMMYFUNCTION("""COMPUTED_VALUE"""),"suhani.arya@zupee.in")</f>
        <v>suhani.arya@zupee.in</v>
      </c>
      <c r="I414" s="192" t="str">
        <f>IFERROR(__xludf.DUMMYFUNCTION("""COMPUTED_VALUE"""),": - ")</f>
        <v>: - </v>
      </c>
      <c r="J414" s="19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92"/>
      <c r="B415" s="192"/>
      <c r="C415" s="192"/>
      <c r="D415" s="192"/>
      <c r="E415" s="192"/>
      <c r="F415" s="192"/>
      <c r="G415" s="192" t="str">
        <f>IFERROR(__xludf.DUMMYFUNCTION("""COMPUTED_VALUE"""),"Sujoy Ghosh")</f>
        <v>Sujoy Ghosh</v>
      </c>
      <c r="H415" s="192" t="str">
        <f>IFERROR(__xludf.DUMMYFUNCTION("""COMPUTED_VALUE"""),"sujoy.ghosh@zupee.in")</f>
        <v>sujoy.ghosh@zupee.in</v>
      </c>
      <c r="I415" s="192" t="str">
        <f>IFERROR(__xludf.DUMMYFUNCTION("""COMPUTED_VALUE"""),": - ")</f>
        <v>: - </v>
      </c>
      <c r="J415" s="19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92"/>
      <c r="B416" s="192"/>
      <c r="C416" s="192"/>
      <c r="D416" s="192"/>
      <c r="E416" s="192"/>
      <c r="F416" s="192"/>
      <c r="G416" s="192" t="str">
        <f>IFERROR(__xludf.DUMMYFUNCTION("""COMPUTED_VALUE"""),"sumit.‚Äãchugh")</f>
        <v>sumit.‚Äãchugh</v>
      </c>
      <c r="H416" s="192" t="str">
        <f>IFERROR(__xludf.DUMMYFUNCTION("""COMPUTED_VALUE"""),"sumit.chugh@zupee.in")</f>
        <v>sumit.chugh@zupee.in</v>
      </c>
      <c r="I416" s="192" t="str">
        <f>IFERROR(__xludf.DUMMYFUNCTION("""COMPUTED_VALUE"""),": - ")</f>
        <v>: - </v>
      </c>
      <c r="J416" s="19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92"/>
      <c r="B417" s="192"/>
      <c r="C417" s="192"/>
      <c r="D417" s="192"/>
      <c r="E417" s="192"/>
      <c r="F417" s="192"/>
      <c r="G417" s="192" t="str">
        <f>IFERROR(__xludf.DUMMYFUNCTION("""COMPUTED_VALUE"""),"Sumit Kumar")</f>
        <v>Sumit Kumar</v>
      </c>
      <c r="H417" s="192" t="str">
        <f>IFERROR(__xludf.DUMMYFUNCTION("""COMPUTED_VALUE"""),"sumit.k@zupee.in")</f>
        <v>sumit.k@zupee.in</v>
      </c>
      <c r="I417" s="192" t="str">
        <f>IFERROR(__xludf.DUMMYFUNCTION("""COMPUTED_VALUE"""),": - ")</f>
        <v>: - </v>
      </c>
      <c r="J417" s="19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92"/>
      <c r="B418" s="192"/>
      <c r="C418" s="192"/>
      <c r="D418" s="192"/>
      <c r="E418" s="192"/>
      <c r="F418" s="192"/>
      <c r="G418" s="192" t="str">
        <f>IFERROR(__xludf.DUMMYFUNCTION("""COMPUTED_VALUE"""),"Sumit Kumar")</f>
        <v>Sumit Kumar</v>
      </c>
      <c r="H418" s="192" t="str">
        <f>IFERROR(__xludf.DUMMYFUNCTION("""COMPUTED_VALUE"""),"sumit.kumar@zupee.in")</f>
        <v>sumit.kumar@zupee.in</v>
      </c>
      <c r="I418" s="192" t="str">
        <f>IFERROR(__xludf.DUMMYFUNCTION("""COMPUTED_VALUE"""),": - ")</f>
        <v>: - </v>
      </c>
      <c r="J418" s="19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92"/>
      <c r="B419" s="192"/>
      <c r="C419" s="192"/>
      <c r="D419" s="192"/>
      <c r="E419" s="192"/>
      <c r="F419" s="192"/>
      <c r="G419" s="192" t="str">
        <f>IFERROR(__xludf.DUMMYFUNCTION("""COMPUTED_VALUE"""),"Sandeep Sharma")</f>
        <v>Sandeep Sharma</v>
      </c>
      <c r="H419" s="192" t="str">
        <f>IFERROR(__xludf.DUMMYFUNCTION("""COMPUTED_VALUE"""),"sundeep.sharma@zupee.in")</f>
        <v>sundeep.sharma@zupee.in</v>
      </c>
      <c r="I419" s="192" t="str">
        <f>IFERROR(__xludf.DUMMYFUNCTION("""COMPUTED_VALUE"""),": - ")</f>
        <v>: - </v>
      </c>
      <c r="J419" s="19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92"/>
      <c r="B420" s="192"/>
      <c r="C420" s="192"/>
      <c r="D420" s="192"/>
      <c r="E420" s="192"/>
      <c r="F420" s="192"/>
      <c r="G420" s="192" t="str">
        <f>IFERROR(__xludf.DUMMYFUNCTION("""COMPUTED_VALUE"""),"Sunil Gupta")</f>
        <v>Sunil Gupta</v>
      </c>
      <c r="H420" s="192" t="str">
        <f>IFERROR(__xludf.DUMMYFUNCTION("""COMPUTED_VALUE"""),"sunil.gupta@zupee.in")</f>
        <v>sunil.gupta@zupee.in</v>
      </c>
      <c r="I420" s="192" t="str">
        <f>IFERROR(__xludf.DUMMYFUNCTION("""COMPUTED_VALUE"""),": - ")</f>
        <v>: - </v>
      </c>
      <c r="J420" s="19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92"/>
      <c r="B421" s="192"/>
      <c r="C421" s="192"/>
      <c r="D421" s="192"/>
      <c r="E421" s="192"/>
      <c r="F421" s="192"/>
      <c r="G421" s="192" t="str">
        <f>IFERROR(__xludf.DUMMYFUNCTION("""COMPUTED_VALUE"""),"Supreet Kaur")</f>
        <v>Supreet Kaur</v>
      </c>
      <c r="H421" s="192" t="str">
        <f>IFERROR(__xludf.DUMMYFUNCTION("""COMPUTED_VALUE"""),"supreet.kaur@zupee.in")</f>
        <v>supreet.kaur@zupee.in</v>
      </c>
      <c r="I421" s="192" t="str">
        <f>IFERROR(__xludf.DUMMYFUNCTION("""COMPUTED_VALUE"""),": - ")</f>
        <v>: - </v>
      </c>
      <c r="J421" s="19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92"/>
      <c r="B422" s="192"/>
      <c r="C422" s="192"/>
      <c r="D422" s="192"/>
      <c r="E422" s="192"/>
      <c r="F422" s="192"/>
      <c r="G422" s="192" t="str">
        <f>IFERROR(__xludf.DUMMYFUNCTION("""COMPUTED_VALUE"""),"Supreet Srivastava")</f>
        <v>Supreet Srivastava</v>
      </c>
      <c r="H422" s="192" t="str">
        <f>IFERROR(__xludf.DUMMYFUNCTION("""COMPUTED_VALUE"""),"supreet.srivastava@zupee.in")</f>
        <v>supreet.srivastava@zupee.in</v>
      </c>
      <c r="I422" s="192" t="str">
        <f>IFERROR(__xludf.DUMMYFUNCTION("""COMPUTED_VALUE"""),": - ")</f>
        <v>: - </v>
      </c>
      <c r="J422" s="19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92"/>
      <c r="B423" s="192"/>
      <c r="C423" s="192"/>
      <c r="D423" s="192"/>
      <c r="E423" s="192"/>
      <c r="F423" s="192"/>
      <c r="G423" s="192" t="str">
        <f>IFERROR(__xludf.DUMMYFUNCTION("""COMPUTED_VALUE"""),"Supriya Chauhan")</f>
        <v>Supriya Chauhan</v>
      </c>
      <c r="H423" s="192" t="str">
        <f>IFERROR(__xludf.DUMMYFUNCTION("""COMPUTED_VALUE"""),"supriya.chauhan@zupee.in")</f>
        <v>supriya.chauhan@zupee.in</v>
      </c>
      <c r="I423" s="192" t="str">
        <f>IFERROR(__xludf.DUMMYFUNCTION("""COMPUTED_VALUE"""),": - ")</f>
        <v>: - </v>
      </c>
      <c r="J423" s="19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92"/>
      <c r="B424" s="192"/>
      <c r="C424" s="192"/>
      <c r="D424" s="192"/>
      <c r="E424" s="192"/>
      <c r="F424" s="192"/>
      <c r="G424" s="192" t="str">
        <f>IFERROR(__xludf.DUMMYFUNCTION("""COMPUTED_VALUE"""),"Surabhi Sanchita")</f>
        <v>Surabhi Sanchita</v>
      </c>
      <c r="H424" s="192" t="str">
        <f>IFERROR(__xludf.DUMMYFUNCTION("""COMPUTED_VALUE"""),"surabhi.sanchita@zupee.in")</f>
        <v>surabhi.sanchita@zupee.in</v>
      </c>
      <c r="I424" s="192" t="str">
        <f>IFERROR(__xludf.DUMMYFUNCTION("""COMPUTED_VALUE"""),": - ")</f>
        <v>: - </v>
      </c>
      <c r="J424" s="19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92"/>
      <c r="B425" s="192"/>
      <c r="C425" s="192"/>
      <c r="D425" s="192"/>
      <c r="E425" s="192"/>
      <c r="F425" s="192"/>
      <c r="G425" s="192" t="str">
        <f>IFERROR(__xludf.DUMMYFUNCTION("""COMPUTED_VALUE"""),"Suresh Gupta")</f>
        <v>Suresh Gupta</v>
      </c>
      <c r="H425" s="192" t="str">
        <f>IFERROR(__xludf.DUMMYFUNCTION("""COMPUTED_VALUE"""),"suresh.gupta@zupee.in")</f>
        <v>suresh.gupta@zupee.in</v>
      </c>
      <c r="I425" s="192" t="str">
        <f>IFERROR(__xludf.DUMMYFUNCTION("""COMPUTED_VALUE"""),": - ")</f>
        <v>: - </v>
      </c>
      <c r="J425" s="19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92"/>
      <c r="B426" s="192"/>
      <c r="C426" s="192"/>
      <c r="D426" s="192"/>
      <c r="E426" s="192"/>
      <c r="F426" s="192"/>
      <c r="G426" s="192" t="str">
        <f>IFERROR(__xludf.DUMMYFUNCTION("""COMPUTED_VALUE"""),"Swati Bhardwaj")</f>
        <v>Swati Bhardwaj</v>
      </c>
      <c r="H426" s="192" t="str">
        <f>IFERROR(__xludf.DUMMYFUNCTION("""COMPUTED_VALUE"""),"swati.bhardwaj@zupee.in")</f>
        <v>swati.bhardwaj@zupee.in</v>
      </c>
      <c r="I426" s="192" t="str">
        <f>IFERROR(__xludf.DUMMYFUNCTION("""COMPUTED_VALUE"""),": - ")</f>
        <v>: - </v>
      </c>
      <c r="J426" s="19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92"/>
      <c r="B427" s="192"/>
      <c r="C427" s="192"/>
      <c r="D427" s="192"/>
      <c r="E427" s="192"/>
      <c r="F427" s="192"/>
      <c r="G427" s="192" t="str">
        <f>IFERROR(__xludf.DUMMYFUNCTION("""COMPUTED_VALUE"""),"Syed Suheb Hussain")</f>
        <v>Syed Suheb Hussain</v>
      </c>
      <c r="H427" s="192" t="str">
        <f>IFERROR(__xludf.DUMMYFUNCTION("""COMPUTED_VALUE"""),"syed.hussain@zupee.in")</f>
        <v>syed.hussain@zupee.in</v>
      </c>
      <c r="I427" s="192" t="str">
        <f>IFERROR(__xludf.DUMMYFUNCTION("""COMPUTED_VALUE"""),": - ")</f>
        <v>: - </v>
      </c>
      <c r="J427" s="19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92"/>
      <c r="B428" s="192"/>
      <c r="C428" s="192"/>
      <c r="D428" s="192"/>
      <c r="E428" s="192"/>
      <c r="F428" s="192"/>
      <c r="G428" s="192" t="str">
        <f>IFERROR(__xludf.DUMMYFUNCTION("""COMPUTED_VALUE"""),"Tanisha Gupta")</f>
        <v>Tanisha Gupta</v>
      </c>
      <c r="H428" s="192" t="str">
        <f>IFERROR(__xludf.DUMMYFUNCTION("""COMPUTED_VALUE"""),"tanisha.gupta@zupee.in")</f>
        <v>tanisha.gupta@zupee.in</v>
      </c>
      <c r="I428" s="192" t="str">
        <f>IFERROR(__xludf.DUMMYFUNCTION("""COMPUTED_VALUE"""),": - ")</f>
        <v>: - </v>
      </c>
      <c r="J428" s="19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92"/>
      <c r="B429" s="192"/>
      <c r="C429" s="192"/>
      <c r="D429" s="192"/>
      <c r="E429" s="192"/>
      <c r="F429" s="192"/>
      <c r="G429" s="192" t="str">
        <f>IFERROR(__xludf.DUMMYFUNCTION("""COMPUTED_VALUE"""),"Tanmeet Ahuja")</f>
        <v>Tanmeet Ahuja</v>
      </c>
      <c r="H429" s="192" t="str">
        <f>IFERROR(__xludf.DUMMYFUNCTION("""COMPUTED_VALUE"""),"tanmeet.ahuja@zupee.in")</f>
        <v>tanmeet.ahuja@zupee.in</v>
      </c>
      <c r="I429" s="192" t="str">
        <f>IFERROR(__xludf.DUMMYFUNCTION("""COMPUTED_VALUE"""),": - ")</f>
        <v>: - </v>
      </c>
      <c r="J429" s="19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92"/>
      <c r="B430" s="192"/>
      <c r="C430" s="192"/>
      <c r="D430" s="192"/>
      <c r="E430" s="192"/>
      <c r="F430" s="192"/>
      <c r="G430" s="192" t="str">
        <f>IFERROR(__xludf.DUMMYFUNCTION("""COMPUTED_VALUE"""),"Taranpreet Kaur")</f>
        <v>Taranpreet Kaur</v>
      </c>
      <c r="H430" s="192" t="str">
        <f>IFERROR(__xludf.DUMMYFUNCTION("""COMPUTED_VALUE"""),"taranpreet.kaur@zupee.in")</f>
        <v>taranpreet.kaur@zupee.in</v>
      </c>
      <c r="I430" s="192" t="str">
        <f>IFERROR(__xludf.DUMMYFUNCTION("""COMPUTED_VALUE"""),": - ")</f>
        <v>: - </v>
      </c>
      <c r="J430" s="19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92"/>
      <c r="B431" s="192"/>
      <c r="C431" s="192"/>
      <c r="D431" s="192"/>
      <c r="E431" s="192"/>
      <c r="F431" s="192"/>
      <c r="G431" s="192" t="str">
        <f>IFERROR(__xludf.DUMMYFUNCTION("""COMPUTED_VALUE"""),"Tarun Misra")</f>
        <v>Tarun Misra</v>
      </c>
      <c r="H431" s="192" t="str">
        <f>IFERROR(__xludf.DUMMYFUNCTION("""COMPUTED_VALUE"""),"tarun.misra@zupee.in")</f>
        <v>tarun.misra@zupee.in</v>
      </c>
      <c r="I431" s="192" t="str">
        <f>IFERROR(__xludf.DUMMYFUNCTION("""COMPUTED_VALUE"""),": - ")</f>
        <v>: - </v>
      </c>
      <c r="J431" s="19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92"/>
      <c r="B432" s="192"/>
      <c r="C432" s="192"/>
      <c r="D432" s="192"/>
      <c r="E432" s="192"/>
      <c r="F432" s="192"/>
      <c r="G432" s="192" t="str">
        <f>IFERROR(__xludf.DUMMYFUNCTION("""COMPUTED_VALUE"""),"Tarun Talan")</f>
        <v>Tarun Talan</v>
      </c>
      <c r="H432" s="192" t="str">
        <f>IFERROR(__xludf.DUMMYFUNCTION("""COMPUTED_VALUE"""),"tarun.talan@zupee.in")</f>
        <v>tarun.talan@zupee.in</v>
      </c>
      <c r="I432" s="192" t="str">
        <f>IFERROR(__xludf.DUMMYFUNCTION("""COMPUTED_VALUE"""),": - ")</f>
        <v>: - </v>
      </c>
      <c r="J432" s="19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92"/>
      <c r="B433" s="192"/>
      <c r="C433" s="192"/>
      <c r="D433" s="192"/>
      <c r="E433" s="192"/>
      <c r="F433" s="192"/>
      <c r="G433" s="192" t="str">
        <f>IFERROR(__xludf.DUMMYFUNCTION("""COMPUTED_VALUE"""),"taufique.khan")</f>
        <v>taufique.khan</v>
      </c>
      <c r="H433" s="192" t="str">
        <f>IFERROR(__xludf.DUMMYFUNCTION("""COMPUTED_VALUE"""),"taufique.khan@zupee.in")</f>
        <v>taufique.khan@zupee.in</v>
      </c>
      <c r="I433" s="192" t="str">
        <f>IFERROR(__xludf.DUMMYFUNCTION("""COMPUTED_VALUE"""),": - ")</f>
        <v>: - </v>
      </c>
      <c r="J433" s="19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92"/>
      <c r="B434" s="192"/>
      <c r="C434" s="192"/>
      <c r="D434" s="192"/>
      <c r="E434" s="192"/>
      <c r="F434" s="192"/>
      <c r="G434" s="192" t="str">
        <f>IFERROR(__xludf.DUMMYFUNCTION("""COMPUTED_VALUE"""),"Tavisi Malpani")</f>
        <v>Tavisi Malpani</v>
      </c>
      <c r="H434" s="192" t="str">
        <f>IFERROR(__xludf.DUMMYFUNCTION("""COMPUTED_VALUE"""),"tavisi.malpani@zupee.in")</f>
        <v>tavisi.malpani@zupee.in</v>
      </c>
      <c r="I434" s="192" t="str">
        <f>IFERROR(__xludf.DUMMYFUNCTION("""COMPUTED_VALUE"""),": - ")</f>
        <v>: - </v>
      </c>
      <c r="J434" s="19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92"/>
      <c r="B435" s="192"/>
      <c r="C435" s="192"/>
      <c r="D435" s="192"/>
      <c r="E435" s="192"/>
      <c r="F435" s="192"/>
      <c r="G435" s="192" t="str">
        <f>IFERROR(__xludf.DUMMYFUNCTION("""COMPUTED_VALUE"""),"Tejveer Singh")</f>
        <v>Tejveer Singh</v>
      </c>
      <c r="H435" s="192" t="str">
        <f>IFERROR(__xludf.DUMMYFUNCTION("""COMPUTED_VALUE"""),"tejveer.singh@zupee.in")</f>
        <v>tejveer.singh@zupee.in</v>
      </c>
      <c r="I435" s="192" t="str">
        <f>IFERROR(__xludf.DUMMYFUNCTION("""COMPUTED_VALUE"""),": - ")</f>
        <v>: - </v>
      </c>
      <c r="J435" s="19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92"/>
      <c r="B436" s="192"/>
      <c r="C436" s="192"/>
      <c r="D436" s="192"/>
      <c r="E436" s="192"/>
      <c r="F436" s="192"/>
      <c r="G436" s="192" t="str">
        <f>IFERROR(__xludf.DUMMYFUNCTION("""COMPUTED_VALUE"""),"test.it10")</f>
        <v>test.it10</v>
      </c>
      <c r="H436" s="192" t="str">
        <f>IFERROR(__xludf.DUMMYFUNCTION("""COMPUTED_VALUE"""),"test.it10@zupee.in")</f>
        <v>test.it10@zupee.in</v>
      </c>
      <c r="I436" s="192" t="str">
        <f>IFERROR(__xludf.DUMMYFUNCTION("""COMPUTED_VALUE"""),": - ")</f>
        <v>: - </v>
      </c>
      <c r="J436" s="19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92"/>
      <c r="B437" s="192"/>
      <c r="C437" s="192"/>
      <c r="D437" s="192"/>
      <c r="E437" s="192"/>
      <c r="F437" s="192"/>
      <c r="G437" s="192" t="str">
        <f>IFERROR(__xludf.DUMMYFUNCTION("""COMPUTED_VALUE"""),"test.it7")</f>
        <v>test.it7</v>
      </c>
      <c r="H437" s="192" t="str">
        <f>IFERROR(__xludf.DUMMYFUNCTION("""COMPUTED_VALUE"""),"test.it7@zupee.in")</f>
        <v>test.it7@zupee.in</v>
      </c>
      <c r="I437" s="192" t="str">
        <f>IFERROR(__xludf.DUMMYFUNCTION("""COMPUTED_VALUE"""),": - ")</f>
        <v>: - </v>
      </c>
      <c r="J437" s="19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92"/>
      <c r="B438" s="192"/>
      <c r="C438" s="192"/>
      <c r="D438" s="192"/>
      <c r="E438" s="192"/>
      <c r="F438" s="192"/>
      <c r="G438" s="192" t="str">
        <f>IFERROR(__xludf.DUMMYFUNCTION("""COMPUTED_VALUE"""),"Tripti Jain")</f>
        <v>Tripti Jain</v>
      </c>
      <c r="H438" s="192" t="str">
        <f>IFERROR(__xludf.DUMMYFUNCTION("""COMPUTED_VALUE"""),"tripti.jain@zupee.in")</f>
        <v>tripti.jain@zupee.in</v>
      </c>
      <c r="I438" s="192" t="str">
        <f>IFERROR(__xludf.DUMMYFUNCTION("""COMPUTED_VALUE"""),": - ")</f>
        <v>: - </v>
      </c>
      <c r="J438" s="19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92"/>
      <c r="B439" s="192"/>
      <c r="C439" s="192"/>
      <c r="D439" s="192"/>
      <c r="E439" s="192"/>
      <c r="F439" s="192"/>
      <c r="G439" s="192" t="str">
        <f>IFERROR(__xludf.DUMMYFUNCTION("""COMPUTED_VALUE"""),"Udit Mahendra")</f>
        <v>Udit Mahendra</v>
      </c>
      <c r="H439" s="192" t="str">
        <f>IFERROR(__xludf.DUMMYFUNCTION("""COMPUTED_VALUE"""),"udit.mahendra@zupee.in")</f>
        <v>udit.mahendra@zupee.in</v>
      </c>
      <c r="I439" s="192" t="str">
        <f>IFERROR(__xludf.DUMMYFUNCTION("""COMPUTED_VALUE"""),": - ")</f>
        <v>: - </v>
      </c>
      <c r="J439" s="19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92"/>
      <c r="B440" s="192"/>
      <c r="C440" s="192"/>
      <c r="D440" s="192"/>
      <c r="E440" s="192"/>
      <c r="F440" s="192"/>
      <c r="G440" s="192" t="str">
        <f>IFERROR(__xludf.DUMMYFUNCTION("""COMPUTED_VALUE"""),"Umesh Patnaik")</f>
        <v>Umesh Patnaik</v>
      </c>
      <c r="H440" s="192" t="str">
        <f>IFERROR(__xludf.DUMMYFUNCTION("""COMPUTED_VALUE"""),"umesh.patnaik@zupee.in")</f>
        <v>umesh.patnaik@zupee.in</v>
      </c>
      <c r="I440" s="192" t="str">
        <f>IFERROR(__xludf.DUMMYFUNCTION("""COMPUTED_VALUE"""),": - ")</f>
        <v>: - </v>
      </c>
      <c r="J440" s="19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92"/>
      <c r="B441" s="192"/>
      <c r="C441" s="192"/>
      <c r="D441" s="192"/>
      <c r="E441" s="192"/>
      <c r="F441" s="192"/>
      <c r="G441" s="192" t="str">
        <f>IFERROR(__xludf.DUMMYFUNCTION("""COMPUTED_VALUE"""),"Umme Asma")</f>
        <v>Umme Asma</v>
      </c>
      <c r="H441" s="192" t="str">
        <f>IFERROR(__xludf.DUMMYFUNCTION("""COMPUTED_VALUE"""),"umme.asma@zupee.in")</f>
        <v>umme.asma@zupee.in</v>
      </c>
      <c r="I441" s="192" t="str">
        <f>IFERROR(__xludf.DUMMYFUNCTION("""COMPUTED_VALUE"""),": - ")</f>
        <v>: - </v>
      </c>
      <c r="J441" s="19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92"/>
      <c r="B442" s="192"/>
      <c r="C442" s="192"/>
      <c r="D442" s="192"/>
      <c r="E442" s="192"/>
      <c r="F442" s="192"/>
      <c r="G442" s="192" t="str">
        <f>IFERROR(__xludf.DUMMYFUNCTION("""COMPUTED_VALUE"""),"Vaibhav Sharma")</f>
        <v>Vaibhav Sharma</v>
      </c>
      <c r="H442" s="192" t="str">
        <f>IFERROR(__xludf.DUMMYFUNCTION("""COMPUTED_VALUE"""),"vaibhav.sharma@zupee.in")</f>
        <v>vaibhav.sharma@zupee.in</v>
      </c>
      <c r="I442" s="192" t="str">
        <f>IFERROR(__xludf.DUMMYFUNCTION("""COMPUTED_VALUE"""),": - ")</f>
        <v>: - </v>
      </c>
      <c r="J442" s="19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92"/>
      <c r="B443" s="192"/>
      <c r="C443" s="192"/>
      <c r="D443" s="192"/>
      <c r="E443" s="192"/>
      <c r="F443" s="192"/>
      <c r="G443" s="192" t="str">
        <f>IFERROR(__xludf.DUMMYFUNCTION("""COMPUTED_VALUE"""),"Vamci Vishal")</f>
        <v>Vamci Vishal</v>
      </c>
      <c r="H443" s="192" t="str">
        <f>IFERROR(__xludf.DUMMYFUNCTION("""COMPUTED_VALUE"""),"vamci.vishal@zupee.in")</f>
        <v>vamci.vishal@zupee.in</v>
      </c>
      <c r="I443" s="192" t="str">
        <f>IFERROR(__xludf.DUMMYFUNCTION("""COMPUTED_VALUE"""),": - ")</f>
        <v>: - </v>
      </c>
      <c r="J443" s="19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92"/>
      <c r="B444" s="192"/>
      <c r="C444" s="192"/>
      <c r="D444" s="192"/>
      <c r="E444" s="192"/>
      <c r="F444" s="192"/>
      <c r="G444" s="192" t="str">
        <f>IFERROR(__xludf.DUMMYFUNCTION("""COMPUTED_VALUE"""),"Vanshika Rathi")</f>
        <v>Vanshika Rathi</v>
      </c>
      <c r="H444" s="192" t="str">
        <f>IFERROR(__xludf.DUMMYFUNCTION("""COMPUTED_VALUE"""),"vanshika.rathi@zupee.in")</f>
        <v>vanshika.rathi@zupee.in</v>
      </c>
      <c r="I444" s="192" t="str">
        <f>IFERROR(__xludf.DUMMYFUNCTION("""COMPUTED_VALUE"""),": - ")</f>
        <v>: - </v>
      </c>
      <c r="J444" s="19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92"/>
      <c r="B445" s="192"/>
      <c r="C445" s="192"/>
      <c r="D445" s="192"/>
      <c r="E445" s="192"/>
      <c r="F445" s="192"/>
      <c r="G445" s="192" t="str">
        <f>IFERROR(__xludf.DUMMYFUNCTION("""COMPUTED_VALUE"""),"Varsha Sk")</f>
        <v>Varsha Sk</v>
      </c>
      <c r="H445" s="192" t="str">
        <f>IFERROR(__xludf.DUMMYFUNCTION("""COMPUTED_VALUE"""),"varsha.sk@zupee.in")</f>
        <v>varsha.sk@zupee.in</v>
      </c>
      <c r="I445" s="192" t="str">
        <f>IFERROR(__xludf.DUMMYFUNCTION("""COMPUTED_VALUE"""),": - ")</f>
        <v>: - </v>
      </c>
      <c r="J445" s="19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92"/>
      <c r="B446" s="192"/>
      <c r="C446" s="192"/>
      <c r="D446" s="192"/>
      <c r="E446" s="192"/>
      <c r="F446" s="192"/>
      <c r="G446" s="192" t="str">
        <f>IFERROR(__xludf.DUMMYFUNCTION("""COMPUTED_VALUE"""),"Vartin Jain")</f>
        <v>Vartin Jain</v>
      </c>
      <c r="H446" s="192" t="str">
        <f>IFERROR(__xludf.DUMMYFUNCTION("""COMPUTED_VALUE"""),"vartin.jain@zupee.in")</f>
        <v>vartin.jain@zupee.in</v>
      </c>
      <c r="I446" s="192" t="str">
        <f>IFERROR(__xludf.DUMMYFUNCTION("""COMPUTED_VALUE"""),": - ")</f>
        <v>: - </v>
      </c>
      <c r="J446" s="19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92"/>
      <c r="B447" s="192"/>
      <c r="C447" s="192"/>
      <c r="D447" s="192"/>
      <c r="E447" s="192"/>
      <c r="F447" s="192"/>
      <c r="G447" s="192" t="str">
        <f>IFERROR(__xludf.DUMMYFUNCTION("""COMPUTED_VALUE"""),"Varun Yadav")</f>
        <v>Varun Yadav</v>
      </c>
      <c r="H447" s="192" t="str">
        <f>IFERROR(__xludf.DUMMYFUNCTION("""COMPUTED_VALUE"""),"varun.yadav@zupee.in")</f>
        <v>varun.yadav@zupee.in</v>
      </c>
      <c r="I447" s="192" t="str">
        <f>IFERROR(__xludf.DUMMYFUNCTION("""COMPUTED_VALUE"""),": - ")</f>
        <v>: - </v>
      </c>
      <c r="J447" s="19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92"/>
      <c r="B448" s="192"/>
      <c r="C448" s="192"/>
      <c r="D448" s="192"/>
      <c r="E448" s="192"/>
      <c r="F448" s="192"/>
      <c r="G448" s="192" t="str">
        <f>IFERROR(__xludf.DUMMYFUNCTION("""COMPUTED_VALUE"""),"Vasudev Yadav")</f>
        <v>Vasudev Yadav</v>
      </c>
      <c r="H448" s="192" t="str">
        <f>IFERROR(__xludf.DUMMYFUNCTION("""COMPUTED_VALUE"""),"vasudev.yadav@zupee.in")</f>
        <v>vasudev.yadav@zupee.in</v>
      </c>
      <c r="I448" s="192" t="str">
        <f>IFERROR(__xludf.DUMMYFUNCTION("""COMPUTED_VALUE"""),": - ")</f>
        <v>: - </v>
      </c>
      <c r="J448" s="19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92"/>
      <c r="B449" s="192"/>
      <c r="C449" s="192"/>
      <c r="D449" s="192"/>
      <c r="E449" s="192"/>
      <c r="F449" s="192"/>
      <c r="G449" s="192" t="str">
        <f>IFERROR(__xludf.DUMMYFUNCTION("""COMPUTED_VALUE"""),"Vicky Mehra")</f>
        <v>Vicky Mehra</v>
      </c>
      <c r="H449" s="192" t="str">
        <f>IFERROR(__xludf.DUMMYFUNCTION("""COMPUTED_VALUE"""),"vicky.mehra@zupee.in")</f>
        <v>vicky.mehra@zupee.in</v>
      </c>
      <c r="I449" s="192" t="str">
        <f>IFERROR(__xludf.DUMMYFUNCTION("""COMPUTED_VALUE"""),": - ")</f>
        <v>: - </v>
      </c>
      <c r="J449" s="19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92"/>
      <c r="B450" s="192"/>
      <c r="C450" s="192"/>
      <c r="D450" s="192"/>
      <c r="E450" s="192"/>
      <c r="F450" s="192"/>
      <c r="G450" s="192" t="str">
        <f>IFERROR(__xludf.DUMMYFUNCTION("""COMPUTED_VALUE"""),"Vidhi Arora")</f>
        <v>Vidhi Arora</v>
      </c>
      <c r="H450" s="192" t="str">
        <f>IFERROR(__xludf.DUMMYFUNCTION("""COMPUTED_VALUE"""),"vidhi.arora@zupee.in")</f>
        <v>vidhi.arora@zupee.in</v>
      </c>
      <c r="I450" s="192" t="str">
        <f>IFERROR(__xludf.DUMMYFUNCTION("""COMPUTED_VALUE"""),": - ")</f>
        <v>: - </v>
      </c>
      <c r="J450" s="19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92"/>
      <c r="B451" s="192"/>
      <c r="C451" s="192"/>
      <c r="D451" s="192"/>
      <c r="E451" s="192"/>
      <c r="F451" s="192"/>
      <c r="G451" s="192" t="str">
        <f>IFERROR(__xludf.DUMMYFUNCTION("""COMPUTED_VALUE"""),"Vidhi Dutta")</f>
        <v>Vidhi Dutta</v>
      </c>
      <c r="H451" s="192" t="str">
        <f>IFERROR(__xludf.DUMMYFUNCTION("""COMPUTED_VALUE"""),"vidhi.dutta@zupee.in")</f>
        <v>vidhi.dutta@zupee.in</v>
      </c>
      <c r="I451" s="192" t="str">
        <f>IFERROR(__xludf.DUMMYFUNCTION("""COMPUTED_VALUE"""),": - ")</f>
        <v>: - </v>
      </c>
      <c r="J451" s="19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92"/>
      <c r="B452" s="192"/>
      <c r="C452" s="192"/>
      <c r="D452" s="192"/>
      <c r="E452" s="192"/>
      <c r="F452" s="192"/>
      <c r="G452" s="192" t="str">
        <f>IFERROR(__xludf.DUMMYFUNCTION("""COMPUTED_VALUE"""),"Vidushi Gupta")</f>
        <v>Vidushi Gupta</v>
      </c>
      <c r="H452" s="192" t="str">
        <f>IFERROR(__xludf.DUMMYFUNCTION("""COMPUTED_VALUE"""),"vidushi.gupta@zupee.in")</f>
        <v>vidushi.gupta@zupee.in</v>
      </c>
      <c r="I452" s="192" t="str">
        <f>IFERROR(__xludf.DUMMYFUNCTION("""COMPUTED_VALUE"""),": - ")</f>
        <v>: - </v>
      </c>
      <c r="J452" s="19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92"/>
      <c r="B453" s="192"/>
      <c r="C453" s="192"/>
      <c r="D453" s="192"/>
      <c r="E453" s="192"/>
      <c r="F453" s="192"/>
      <c r="G453" s="192" t="str">
        <f>IFERROR(__xludf.DUMMYFUNCTION("""COMPUTED_VALUE"""),"Vidya Bhushan")</f>
        <v>Vidya Bhushan</v>
      </c>
      <c r="H453" s="192" t="str">
        <f>IFERROR(__xludf.DUMMYFUNCTION("""COMPUTED_VALUE"""),"vidya.bhushan@zupee.in")</f>
        <v>vidya.bhushan@zupee.in</v>
      </c>
      <c r="I453" s="192" t="str">
        <f>IFERROR(__xludf.DUMMYFUNCTION("""COMPUTED_VALUE"""),": - ")</f>
        <v>: - </v>
      </c>
      <c r="J453" s="19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92"/>
      <c r="B454" s="192"/>
      <c r="C454" s="192"/>
      <c r="D454" s="192"/>
      <c r="E454" s="192"/>
      <c r="F454" s="192"/>
      <c r="G454" s="192" t="str">
        <f>IFERROR(__xludf.DUMMYFUNCTION("""COMPUTED_VALUE"""),"Vihsal Agarwal")</f>
        <v>Vihsal Agarwal</v>
      </c>
      <c r="H454" s="192" t="str">
        <f>IFERROR(__xludf.DUMMYFUNCTION("""COMPUTED_VALUE"""),"vihsal.agarwal@zupee.in")</f>
        <v>vihsal.agarwal@zupee.in</v>
      </c>
      <c r="I454" s="192" t="str">
        <f>IFERROR(__xludf.DUMMYFUNCTION("""COMPUTED_VALUE"""),": - ")</f>
        <v>: - </v>
      </c>
      <c r="J454" s="19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92"/>
      <c r="B455" s="192"/>
      <c r="C455" s="192"/>
      <c r="D455" s="192"/>
      <c r="E455" s="192"/>
      <c r="F455" s="192"/>
      <c r="G455" s="192" t="str">
        <f>IFERROR(__xludf.DUMMYFUNCTION("""COMPUTED_VALUE"""),"Vijay Mr")</f>
        <v>Vijay Mr</v>
      </c>
      <c r="H455" s="192" t="str">
        <f>IFERROR(__xludf.DUMMYFUNCTION("""COMPUTED_VALUE"""),"vijay.mr@zupee.in")</f>
        <v>vijay.mr@zupee.in</v>
      </c>
      <c r="I455" s="192" t="str">
        <f>IFERROR(__xludf.DUMMYFUNCTION("""COMPUTED_VALUE"""),": - ")</f>
        <v>: - </v>
      </c>
      <c r="J455" s="19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92"/>
      <c r="B456" s="192"/>
      <c r="C456" s="192"/>
      <c r="D456" s="192"/>
      <c r="E456" s="192"/>
      <c r="F456" s="192"/>
      <c r="G456" s="192" t="str">
        <f>IFERROR(__xludf.DUMMYFUNCTION("""COMPUTED_VALUE"""),"Vikas Kumar")</f>
        <v>Vikas Kumar</v>
      </c>
      <c r="H456" s="192" t="str">
        <f>IFERROR(__xludf.DUMMYFUNCTION("""COMPUTED_VALUE"""),"vikas.kumar@zupee.in")</f>
        <v>vikas.kumar@zupee.in</v>
      </c>
      <c r="I456" s="192" t="str">
        <f>IFERROR(__xludf.DUMMYFUNCTION("""COMPUTED_VALUE"""),": - ")</f>
        <v>: - </v>
      </c>
      <c r="J456" s="19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92"/>
      <c r="B457" s="192"/>
      <c r="C457" s="192"/>
      <c r="D457" s="192"/>
      <c r="E457" s="192"/>
      <c r="F457" s="192"/>
      <c r="G457" s="192" t="str">
        <f>IFERROR(__xludf.DUMMYFUNCTION("""COMPUTED_VALUE"""),"Vikram Bhadoriya")</f>
        <v>Vikram Bhadoriya</v>
      </c>
      <c r="H457" s="192" t="str">
        <f>IFERROR(__xludf.DUMMYFUNCTION("""COMPUTED_VALUE"""),"vikram.bhadoriya@zupee.in")</f>
        <v>vikram.bhadoriya@zupee.in</v>
      </c>
      <c r="I457" s="192" t="str">
        <f>IFERROR(__xludf.DUMMYFUNCTION("""COMPUTED_VALUE"""),": - ")</f>
        <v>: - </v>
      </c>
      <c r="J457" s="19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92"/>
      <c r="B458" s="192"/>
      <c r="C458" s="192"/>
      <c r="D458" s="192"/>
      <c r="E458" s="192"/>
      <c r="F458" s="192"/>
      <c r="G458" s="192" t="str">
        <f>IFERROR(__xludf.DUMMYFUNCTION("""COMPUTED_VALUE"""),"Vinay Pratap")</f>
        <v>Vinay Pratap</v>
      </c>
      <c r="H458" s="192" t="str">
        <f>IFERROR(__xludf.DUMMYFUNCTION("""COMPUTED_VALUE"""),"vinay.pratap@zupee.in")</f>
        <v>vinay.pratap@zupee.in</v>
      </c>
      <c r="I458" s="192" t="str">
        <f>IFERROR(__xludf.DUMMYFUNCTION("""COMPUTED_VALUE"""),": - ")</f>
        <v>: - </v>
      </c>
      <c r="J458" s="19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92"/>
      <c r="B459" s="192"/>
      <c r="C459" s="192"/>
      <c r="D459" s="192"/>
      <c r="E459" s="192"/>
      <c r="F459" s="192"/>
      <c r="G459" s="192" t="str">
        <f>IFERROR(__xludf.DUMMYFUNCTION("""COMPUTED_VALUE"""),"Vinay Singh Rawat")</f>
        <v>Vinay Singh Rawat</v>
      </c>
      <c r="H459" s="192" t="str">
        <f>IFERROR(__xludf.DUMMYFUNCTION("""COMPUTED_VALUE"""),"vinay.rawat@zupee.in")</f>
        <v>vinay.rawat@zupee.in</v>
      </c>
      <c r="I459" s="192" t="str">
        <f>IFERROR(__xludf.DUMMYFUNCTION("""COMPUTED_VALUE"""),": - ")</f>
        <v>: - </v>
      </c>
      <c r="J459" s="19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92"/>
      <c r="B460" s="192"/>
      <c r="C460" s="192"/>
      <c r="D460" s="192"/>
      <c r="E460" s="192"/>
      <c r="F460" s="192"/>
      <c r="G460" s="192" t="str">
        <f>IFERROR(__xludf.DUMMYFUNCTION("""COMPUTED_VALUE"""),"Vinni Kalra Francis")</f>
        <v>Vinni Kalra Francis</v>
      </c>
      <c r="H460" s="192" t="str">
        <f>IFERROR(__xludf.DUMMYFUNCTION("""COMPUTED_VALUE"""),"vinni.francis@zupee.in")</f>
        <v>vinni.francis@zupee.in</v>
      </c>
      <c r="I460" s="192" t="str">
        <f>IFERROR(__xludf.DUMMYFUNCTION("""COMPUTED_VALUE"""),": - ")</f>
        <v>: - </v>
      </c>
      <c r="J460" s="19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92"/>
      <c r="B461" s="192"/>
      <c r="C461" s="192"/>
      <c r="D461" s="192"/>
      <c r="E461" s="192"/>
      <c r="F461" s="192"/>
      <c r="G461" s="192" t="str">
        <f>IFERROR(__xludf.DUMMYFUNCTION("""COMPUTED_VALUE"""),"Vinoth R")</f>
        <v>Vinoth R</v>
      </c>
      <c r="H461" s="192" t="str">
        <f>IFERROR(__xludf.DUMMYFUNCTION("""COMPUTED_VALUE"""),"vinoth.r@zupee.in")</f>
        <v>vinoth.r@zupee.in</v>
      </c>
      <c r="I461" s="192" t="str">
        <f>IFERROR(__xludf.DUMMYFUNCTION("""COMPUTED_VALUE"""),": - ")</f>
        <v>: - </v>
      </c>
      <c r="J461" s="19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92"/>
      <c r="B462" s="192"/>
      <c r="C462" s="192"/>
      <c r="D462" s="192"/>
      <c r="E462" s="192"/>
      <c r="F462" s="192"/>
      <c r="G462" s="192" t="str">
        <f>IFERROR(__xludf.DUMMYFUNCTION("""COMPUTED_VALUE"""),"Vipul Jalal")</f>
        <v>Vipul Jalal</v>
      </c>
      <c r="H462" s="192" t="str">
        <f>IFERROR(__xludf.DUMMYFUNCTION("""COMPUTED_VALUE"""),"vipul.jalal@zupee.in")</f>
        <v>vipul.jalal@zupee.in</v>
      </c>
      <c r="I462" s="192" t="str">
        <f>IFERROR(__xludf.DUMMYFUNCTION("""COMPUTED_VALUE"""),": - ")</f>
        <v>: - </v>
      </c>
      <c r="J462" s="19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92"/>
      <c r="B463" s="192"/>
      <c r="C463" s="192"/>
      <c r="D463" s="192"/>
      <c r="E463" s="192"/>
      <c r="F463" s="192"/>
      <c r="G463" s="192" t="str">
        <f>IFERROR(__xludf.DUMMYFUNCTION("""COMPUTED_VALUE"""),"virender.gupta")</f>
        <v>virender.gupta</v>
      </c>
      <c r="H463" s="192" t="str">
        <f>IFERROR(__xludf.DUMMYFUNCTION("""COMPUTED_VALUE"""),"virender.gupta@zupee.in")</f>
        <v>virender.gupta@zupee.in</v>
      </c>
      <c r="I463" s="192" t="str">
        <f>IFERROR(__xludf.DUMMYFUNCTION("""COMPUTED_VALUE"""),": - ")</f>
        <v>: - </v>
      </c>
      <c r="J463" s="19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92"/>
      <c r="B464" s="192"/>
      <c r="C464" s="192"/>
      <c r="D464" s="192"/>
      <c r="E464" s="192"/>
      <c r="F464" s="192"/>
      <c r="G464" s="192" t="str">
        <f>IFERROR(__xludf.DUMMYFUNCTION("""COMPUTED_VALUE"""),"Vishal Kumar Saw")</f>
        <v>Vishal Kumar Saw</v>
      </c>
      <c r="H464" s="192" t="str">
        <f>IFERROR(__xludf.DUMMYFUNCTION("""COMPUTED_VALUE"""),"vishal.saw@zupee.in")</f>
        <v>vishal.saw@zupee.in</v>
      </c>
      <c r="I464" s="192" t="str">
        <f>IFERROR(__xludf.DUMMYFUNCTION("""COMPUTED_VALUE"""),": - ")</f>
        <v>: - </v>
      </c>
      <c r="J464" s="19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92"/>
      <c r="B465" s="192"/>
      <c r="C465" s="192"/>
      <c r="D465" s="192"/>
      <c r="E465" s="192"/>
      <c r="F465" s="192"/>
      <c r="G465" s="192" t="str">
        <f>IFERROR(__xludf.DUMMYFUNCTION("""COMPUTED_VALUE"""),"Vishu Chopra")</f>
        <v>Vishu Chopra</v>
      </c>
      <c r="H465" s="192" t="str">
        <f>IFERROR(__xludf.DUMMYFUNCTION("""COMPUTED_VALUE"""),"vishu.chopra@zupee.in")</f>
        <v>vishu.chopra@zupee.in</v>
      </c>
      <c r="I465" s="192" t="str">
        <f>IFERROR(__xludf.DUMMYFUNCTION("""COMPUTED_VALUE"""),": - ")</f>
        <v>: - </v>
      </c>
      <c r="J465" s="19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92"/>
      <c r="B466" s="192"/>
      <c r="C466" s="192"/>
      <c r="D466" s="192"/>
      <c r="E466" s="192"/>
      <c r="F466" s="192"/>
      <c r="G466" s="192" t="str">
        <f>IFERROR(__xludf.DUMMYFUNCTION("""COMPUTED_VALUE"""),"Vishu Singh")</f>
        <v>Vishu Singh</v>
      </c>
      <c r="H466" s="192" t="str">
        <f>IFERROR(__xludf.DUMMYFUNCTION("""COMPUTED_VALUE"""),"vishu.singh@zupee.in")</f>
        <v>vishu.singh@zupee.in</v>
      </c>
      <c r="I466" s="192" t="str">
        <f>IFERROR(__xludf.DUMMYFUNCTION("""COMPUTED_VALUE"""),": - ")</f>
        <v>: - </v>
      </c>
      <c r="J466" s="19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92"/>
      <c r="B467" s="192"/>
      <c r="C467" s="192"/>
      <c r="D467" s="192"/>
      <c r="E467" s="192"/>
      <c r="F467" s="192"/>
      <c r="G467" s="192" t="str">
        <f>IFERROR(__xludf.DUMMYFUNCTION("""COMPUTED_VALUE"""),"Vivek Goyal")</f>
        <v>Vivek Goyal</v>
      </c>
      <c r="H467" s="192" t="str">
        <f>IFERROR(__xludf.DUMMYFUNCTION("""COMPUTED_VALUE"""),"vivek.goyal@zupee.in")</f>
        <v>vivek.goyal@zupee.in</v>
      </c>
      <c r="I467" s="192" t="str">
        <f>IFERROR(__xludf.DUMMYFUNCTION("""COMPUTED_VALUE"""),": - ")</f>
        <v>: - </v>
      </c>
      <c r="J467" s="19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92"/>
      <c r="B468" s="192"/>
      <c r="C468" s="192"/>
      <c r="D468" s="192"/>
      <c r="E468" s="192"/>
      <c r="F468" s="192"/>
      <c r="G468" s="192" t="str">
        <f>IFERROR(__xludf.DUMMYFUNCTION("""COMPUTED_VALUE"""),"Vivek Sharma")</f>
        <v>Vivek Sharma</v>
      </c>
      <c r="H468" s="192" t="str">
        <f>IFERROR(__xludf.DUMMYFUNCTION("""COMPUTED_VALUE"""),"vivek.sharma@zupee.in")</f>
        <v>vivek.sharma@zupee.in</v>
      </c>
      <c r="I468" s="192" t="str">
        <f>IFERROR(__xludf.DUMMYFUNCTION("""COMPUTED_VALUE"""),": - ")</f>
        <v>: - </v>
      </c>
      <c r="J468" s="19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92"/>
      <c r="B469" s="192"/>
      <c r="C469" s="192"/>
      <c r="D469" s="192"/>
      <c r="E469" s="192"/>
      <c r="F469" s="192"/>
      <c r="G469" s="192" t="str">
        <f>IFERROR(__xludf.DUMMYFUNCTION("""COMPUTED_VALUE"""),"Vivek Walecha")</f>
        <v>Vivek Walecha</v>
      </c>
      <c r="H469" s="192" t="str">
        <f>IFERROR(__xludf.DUMMYFUNCTION("""COMPUTED_VALUE"""),"vivek.walecha@zupee.in")</f>
        <v>vivek.walecha@zupee.in</v>
      </c>
      <c r="I469" s="192" t="str">
        <f>IFERROR(__xludf.DUMMYFUNCTION("""COMPUTED_VALUE"""),": - ")</f>
        <v>: - </v>
      </c>
      <c r="J469" s="19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92"/>
      <c r="B470" s="192"/>
      <c r="C470" s="192"/>
      <c r="D470" s="192"/>
      <c r="E470" s="192"/>
      <c r="F470" s="192"/>
      <c r="G470" s="192" t="str">
        <f>IFERROR(__xludf.DUMMYFUNCTION("""COMPUTED_VALUE"""),"Vivek Yadav")</f>
        <v>Vivek Yadav</v>
      </c>
      <c r="H470" s="192" t="str">
        <f>IFERROR(__xludf.DUMMYFUNCTION("""COMPUTED_VALUE"""),"vivek.yadav@zupee.in")</f>
        <v>vivek.yadav@zupee.in</v>
      </c>
      <c r="I470" s="192" t="str">
        <f>IFERROR(__xludf.DUMMYFUNCTION("""COMPUTED_VALUE"""),": - ")</f>
        <v>: - </v>
      </c>
      <c r="J470" s="19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92"/>
      <c r="B471" s="192"/>
      <c r="C471" s="192"/>
      <c r="D471" s="192"/>
      <c r="E471" s="192"/>
      <c r="F471" s="192"/>
      <c r="G471" s="192" t="str">
        <f>IFERROR(__xludf.DUMMYFUNCTION("""COMPUTED_VALUE"""),"Wajid Ali Ansari")</f>
        <v>Wajid Ali Ansari</v>
      </c>
      <c r="H471" s="192" t="str">
        <f>IFERROR(__xludf.DUMMYFUNCTION("""COMPUTED_VALUE"""),"wajid.ansari@zupee.in")</f>
        <v>wajid.ansari@zupee.in</v>
      </c>
      <c r="I471" s="192" t="str">
        <f>IFERROR(__xludf.DUMMYFUNCTION("""COMPUTED_VALUE"""),": - ")</f>
        <v>: - </v>
      </c>
      <c r="J471" s="19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92"/>
      <c r="B472" s="192"/>
      <c r="C472" s="192"/>
      <c r="D472" s="192"/>
      <c r="E472" s="192"/>
      <c r="F472" s="192"/>
      <c r="G472" s="192" t="str">
        <f>IFERROR(__xludf.DUMMYFUNCTION("""COMPUTED_VALUE"""),"Yash Anand")</f>
        <v>Yash Anand</v>
      </c>
      <c r="H472" s="192" t="str">
        <f>IFERROR(__xludf.DUMMYFUNCTION("""COMPUTED_VALUE"""),"yash.anand@zupee.in")</f>
        <v>yash.anand@zupee.in</v>
      </c>
      <c r="I472" s="192" t="str">
        <f>IFERROR(__xludf.DUMMYFUNCTION("""COMPUTED_VALUE"""),": - ")</f>
        <v>: - </v>
      </c>
      <c r="J472" s="19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92"/>
      <c r="B473" s="192"/>
      <c r="C473" s="192"/>
      <c r="D473" s="192"/>
      <c r="E473" s="192"/>
      <c r="F473" s="192"/>
      <c r="G473" s="192" t="str">
        <f>IFERROR(__xludf.DUMMYFUNCTION("""COMPUTED_VALUE"""),"Yash Dixit")</f>
        <v>Yash Dixit</v>
      </c>
      <c r="H473" s="192" t="str">
        <f>IFERROR(__xludf.DUMMYFUNCTION("""COMPUTED_VALUE"""),"yash.dixit@zupee.in")</f>
        <v>yash.dixit@zupee.in</v>
      </c>
      <c r="I473" s="192" t="str">
        <f>IFERROR(__xludf.DUMMYFUNCTION("""COMPUTED_VALUE"""),": - ")</f>
        <v>: - </v>
      </c>
      <c r="J473" s="19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92"/>
      <c r="B474" s="192"/>
      <c r="C474" s="192"/>
      <c r="D474" s="192"/>
      <c r="E474" s="192"/>
      <c r="F474" s="192"/>
      <c r="G474" s="192" t="str">
        <f>IFERROR(__xludf.DUMMYFUNCTION("""COMPUTED_VALUE"""),"Yash Gola")</f>
        <v>Yash Gola</v>
      </c>
      <c r="H474" s="192" t="str">
        <f>IFERROR(__xludf.DUMMYFUNCTION("""COMPUTED_VALUE"""),"yash.gola@zupee.in")</f>
        <v>yash.gola@zupee.in</v>
      </c>
      <c r="I474" s="192" t="str">
        <f>IFERROR(__xludf.DUMMYFUNCTION("""COMPUTED_VALUE"""),": - ")</f>
        <v>: - </v>
      </c>
      <c r="J474" s="19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92"/>
      <c r="B475" s="192"/>
      <c r="C475" s="192"/>
      <c r="D475" s="192"/>
      <c r="E475" s="192"/>
      <c r="F475" s="192"/>
      <c r="G475" s="192" t="str">
        <f>IFERROR(__xludf.DUMMYFUNCTION("""COMPUTED_VALUE"""),"Yash Lamba")</f>
        <v>Yash Lamba</v>
      </c>
      <c r="H475" s="192" t="str">
        <f>IFERROR(__xludf.DUMMYFUNCTION("""COMPUTED_VALUE"""),"yash.lamba@zupee.in")</f>
        <v>yash.lamba@zupee.in</v>
      </c>
      <c r="I475" s="192" t="str">
        <f>IFERROR(__xludf.DUMMYFUNCTION("""COMPUTED_VALUE"""),": - ")</f>
        <v>: - </v>
      </c>
      <c r="J475" s="19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92"/>
      <c r="B476" s="192"/>
      <c r="C476" s="192"/>
      <c r="D476" s="192"/>
      <c r="E476" s="192"/>
      <c r="F476" s="192"/>
      <c r="G476" s="192" t="str">
        <f>IFERROR(__xludf.DUMMYFUNCTION("""COMPUTED_VALUE"""),"Yuvika Duggal")</f>
        <v>Yuvika Duggal</v>
      </c>
      <c r="H476" s="192" t="str">
        <f>IFERROR(__xludf.DUMMYFUNCTION("""COMPUTED_VALUE"""),"yuvika.duggal@zupee.in")</f>
        <v>yuvika.duggal@zupee.in</v>
      </c>
      <c r="I476" s="192" t="str">
        <f>IFERROR(__xludf.DUMMYFUNCTION("""COMPUTED_VALUE"""),": - ")</f>
        <v>: - </v>
      </c>
      <c r="J476" s="19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92"/>
      <c r="B477" s="192"/>
      <c r="C477" s="192"/>
      <c r="D477" s="192"/>
      <c r="E477" s="192"/>
      <c r="F477" s="192"/>
      <c r="G477" s="192" t="str">
        <f>IFERROR(__xludf.DUMMYFUNCTION("""COMPUTED_VALUE"""),"Zeba Sheikh")</f>
        <v>Zeba Sheikh</v>
      </c>
      <c r="H477" s="192" t="str">
        <f>IFERROR(__xludf.DUMMYFUNCTION("""COMPUTED_VALUE"""),"zeba.sheikh@zupee.in")</f>
        <v>zeba.sheikh@zupee.in</v>
      </c>
      <c r="I477" s="192" t="str">
        <f>IFERROR(__xludf.DUMMYFUNCTION("""COMPUTED_VALUE"""),": - ")</f>
        <v>: - </v>
      </c>
      <c r="J477" s="19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92"/>
      <c r="B478" s="192"/>
      <c r="C478" s="192"/>
      <c r="D478" s="192"/>
      <c r="E478" s="192"/>
      <c r="F478" s="192"/>
      <c r="G478" s="192" t="str">
        <f>IFERROR(__xludf.DUMMYFUNCTION("""COMPUTED_VALUE"""),"Zoya Ruhi")</f>
        <v>Zoya Ruhi</v>
      </c>
      <c r="H478" s="192" t="str">
        <f>IFERROR(__xludf.DUMMYFUNCTION("""COMPUTED_VALUE"""),"zoya.ruhi@zupee.in")</f>
        <v>zoya.ruhi@zupee.in</v>
      </c>
      <c r="I478" s="192" t="str">
        <f>IFERROR(__xludf.DUMMYFUNCTION("""COMPUTED_VALUE"""),": - ")</f>
        <v>: - </v>
      </c>
      <c r="J478" s="19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92"/>
      <c r="B479" s="192"/>
      <c r="C479" s="192"/>
      <c r="D479" s="192"/>
      <c r="E479" s="192"/>
      <c r="F479" s="192"/>
      <c r="G479" s="192" t="str">
        <f>IFERROR(__xludf.DUMMYFUNCTION("""COMPUTED_VALUE"""),"Aaditya Singh")</f>
        <v>Aaditya Singh</v>
      </c>
      <c r="H479" s="192" t="str">
        <f>IFERROR(__xludf.DUMMYFUNCTION("""COMPUTED_VALUE"""),"aaditya.singh@zupee.in")</f>
        <v>aaditya.singh@zupee.in</v>
      </c>
      <c r="I479" s="192" t="str">
        <f>IFERROR(__xludf.DUMMYFUNCTION("""COMPUTED_VALUE"""),"katha.tara@zupee.in: - Brand Marketing")</f>
        <v>katha.tara@zupee.in: - Brand Marketing</v>
      </c>
      <c r="J479" s="19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92"/>
      <c r="B480" s="192"/>
      <c r="C480" s="192"/>
      <c r="D480" s="192"/>
      <c r="E480" s="192"/>
      <c r="F480" s="192"/>
      <c r="G480" s="192" t="str">
        <f>IFERROR(__xludf.DUMMYFUNCTION("""COMPUTED_VALUE"""),"Aakash Phogat")</f>
        <v>Aakash Phogat</v>
      </c>
      <c r="H480" s="192" t="str">
        <f>IFERROR(__xludf.DUMMYFUNCTION("""COMPUTED_VALUE"""),"aakash.phogat@zupee.in")</f>
        <v>aakash.phogat@zupee.in</v>
      </c>
      <c r="I480" s="192" t="str">
        <f>IFERROR(__xludf.DUMMYFUNCTION("""COMPUTED_VALUE"""),"aman.k@zupee.in: - Technology")</f>
        <v>aman.k@zupee.in: - Technology</v>
      </c>
      <c r="J480" s="19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92"/>
      <c r="B481" s="192"/>
      <c r="C481" s="192"/>
      <c r="D481" s="192"/>
      <c r="E481" s="192"/>
      <c r="F481" s="192"/>
      <c r="G481" s="192" t="str">
        <f>IFERROR(__xludf.DUMMYFUNCTION("""COMPUTED_VALUE"""),"Aakashdeep Madaan")</f>
        <v>Aakashdeep Madaan</v>
      </c>
      <c r="H481" s="192" t="str">
        <f>IFERROR(__xludf.DUMMYFUNCTION("""COMPUTED_VALUE"""),"aakashdeep.madaan@zupee.in")</f>
        <v>aakashdeep.madaan@zupee.in</v>
      </c>
      <c r="I481" s="192" t="str">
        <f>IFERROR(__xludf.DUMMYFUNCTION("""COMPUTED_VALUE"""),"saurav.yadav@zupee.in: - Technology")</f>
        <v>saurav.yadav@zupee.in: - Technology</v>
      </c>
      <c r="J481" s="19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92"/>
      <c r="B482" s="192"/>
      <c r="C482" s="192"/>
      <c r="D482" s="192"/>
      <c r="E482" s="192"/>
      <c r="F482" s="192"/>
      <c r="G482" s="192" t="str">
        <f>IFERROR(__xludf.DUMMYFUNCTION("""COMPUTED_VALUE"""),"Aashi Mangal")</f>
        <v>Aashi Mangal</v>
      </c>
      <c r="H482" s="192" t="str">
        <f>IFERROR(__xludf.DUMMYFUNCTION("""COMPUTED_VALUE"""),"aashi.mangal@zupee.in")</f>
        <v>aashi.mangal@zupee.in</v>
      </c>
      <c r="I482" s="192" t="str">
        <f>IFERROR(__xludf.DUMMYFUNCTION("""COMPUTED_VALUE"""),"rahul.sharma@zupee.in: - Technology")</f>
        <v>rahul.sharma@zupee.in: - Technology</v>
      </c>
      <c r="J482" s="19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92"/>
      <c r="B483" s="192"/>
      <c r="C483" s="192"/>
      <c r="D483" s="192"/>
      <c r="E483" s="192"/>
      <c r="F483" s="192"/>
      <c r="G483" s="192" t="str">
        <f>IFERROR(__xludf.DUMMYFUNCTION("""COMPUTED_VALUE"""),"Abhay Kumar")</f>
        <v>Abhay Kumar</v>
      </c>
      <c r="H483" s="192" t="str">
        <f>IFERROR(__xludf.DUMMYFUNCTION("""COMPUTED_VALUE"""),"abhay.kumar@zupee.in")</f>
        <v>abhay.kumar@zupee.in</v>
      </c>
      <c r="I483" s="192" t="str">
        <f>IFERROR(__xludf.DUMMYFUNCTION("""COMPUTED_VALUE"""),"yogesh.yadav@zupee.in: - Technology")</f>
        <v>yogesh.yadav@zupee.in: - Technology</v>
      </c>
      <c r="J483" s="19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92"/>
      <c r="B484" s="192"/>
      <c r="C484" s="192"/>
      <c r="D484" s="192"/>
      <c r="E484" s="192"/>
      <c r="F484" s="192"/>
      <c r="G484" s="192" t="str">
        <f>IFERROR(__xludf.DUMMYFUNCTION("""COMPUTED_VALUE"""),"Abhishek Gupta")</f>
        <v>Abhishek Gupta</v>
      </c>
      <c r="H484" s="192" t="str">
        <f>IFERROR(__xludf.DUMMYFUNCTION("""COMPUTED_VALUE"""),"abhishek.g@zupee.in")</f>
        <v>abhishek.g@zupee.in</v>
      </c>
      <c r="I484" s="192" t="str">
        <f>IFERROR(__xludf.DUMMYFUNCTION("""COMPUTED_VALUE"""),"bal.sikandar@zupee.in: - Technology")</f>
        <v>bal.sikandar@zupee.in: - Technology</v>
      </c>
      <c r="J484" s="19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92"/>
      <c r="B485" s="192"/>
      <c r="C485" s="192"/>
      <c r="D485" s="192"/>
      <c r="E485" s="192"/>
      <c r="F485" s="192"/>
      <c r="G485" s="192" t="str">
        <f>IFERROR(__xludf.DUMMYFUNCTION("""COMPUTED_VALUE"""),"Abhishek Swami")</f>
        <v>Abhishek Swami</v>
      </c>
      <c r="H485" s="192" t="str">
        <f>IFERROR(__xludf.DUMMYFUNCTION("""COMPUTED_VALUE"""),"abhishek.swami@zupee.in")</f>
        <v>abhishek.swami@zupee.in</v>
      </c>
      <c r="I485" s="192" t="str">
        <f>IFERROR(__xludf.DUMMYFUNCTION("""COMPUTED_VALUE"""),"ritwika.maitra@zupee.in: - Digital Marketing")</f>
        <v>ritwika.maitra@zupee.in: - Digital Marketing</v>
      </c>
      <c r="J485" s="19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92"/>
      <c r="B486" s="192"/>
      <c r="C486" s="192"/>
      <c r="D486" s="192"/>
      <c r="E486" s="192"/>
      <c r="F486" s="192"/>
      <c r="G486" s="192" t="str">
        <f>IFERROR(__xludf.DUMMYFUNCTION("""COMPUTED_VALUE"""),"Abhishek Dharmman")</f>
        <v>Abhishek Dharmman</v>
      </c>
      <c r="H486" s="192" t="str">
        <f>IFERROR(__xludf.DUMMYFUNCTION("""COMPUTED_VALUE"""),"abhishek.dharmman@zupee.in")</f>
        <v>abhishek.dharmman@zupee.in</v>
      </c>
      <c r="I486" s="192" t="str">
        <f>IFERROR(__xludf.DUMMYFUNCTION("""COMPUTED_VALUE"""),"vishal.agarwal@zupee.in: - Technology")</f>
        <v>vishal.agarwal@zupee.in: - Technology</v>
      </c>
      <c r="J486" s="19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92"/>
      <c r="B487" s="192"/>
      <c r="C487" s="192"/>
      <c r="D487" s="192"/>
      <c r="E487" s="192"/>
      <c r="F487" s="192"/>
      <c r="G487" s="192" t="str">
        <f>IFERROR(__xludf.DUMMYFUNCTION("""COMPUTED_VALUE"""),"Abhishek Bisht")</f>
        <v>Abhishek Bisht</v>
      </c>
      <c r="H487" s="192" t="str">
        <f>IFERROR(__xludf.DUMMYFUNCTION("""COMPUTED_VALUE"""),"abhishek.bisht@zupee.in")</f>
        <v>abhishek.bisht@zupee.in</v>
      </c>
      <c r="I487" s="192" t="str">
        <f>IFERROR(__xludf.DUMMYFUNCTION("""COMPUTED_VALUE"""),"sahil.puri@zupee.in: - Technology")</f>
        <v>sahil.puri@zupee.in: - Technology</v>
      </c>
      <c r="J487" s="19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92"/>
      <c r="B488" s="192"/>
      <c r="C488" s="192"/>
      <c r="D488" s="192"/>
      <c r="E488" s="192"/>
      <c r="F488" s="192"/>
      <c r="G488" s="192" t="str">
        <f>IFERROR(__xludf.DUMMYFUNCTION("""COMPUTED_VALUE"""),"Abhishek Kumar")</f>
        <v>Abhishek Kumar</v>
      </c>
      <c r="H488" s="192" t="str">
        <f>IFERROR(__xludf.DUMMYFUNCTION("""COMPUTED_VALUE"""),"abhishek.kumar1@zupee.in")</f>
        <v>abhishek.kumar1@zupee.in</v>
      </c>
      <c r="I488" s="192" t="str">
        <f>IFERROR(__xludf.DUMMYFUNCTION("""COMPUTED_VALUE"""),"vishal.agarwal@zupee.in: - Technology")</f>
        <v>vishal.agarwal@zupee.in: - Technology</v>
      </c>
      <c r="J488" s="19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92"/>
      <c r="B489" s="192"/>
      <c r="C489" s="192"/>
      <c r="D489" s="192"/>
      <c r="E489" s="192"/>
      <c r="F489" s="192"/>
      <c r="G489" s="192" t="str">
        <f>IFERROR(__xludf.DUMMYFUNCTION("""COMPUTED_VALUE"""),"Abhishek Kumar")</f>
        <v>Abhishek Kumar</v>
      </c>
      <c r="H489" s="192" t="str">
        <f>IFERROR(__xludf.DUMMYFUNCTION("""COMPUTED_VALUE"""),"abhishek.k@zupee.in")</f>
        <v>abhishek.k@zupee.in</v>
      </c>
      <c r="I489" s="192" t="str">
        <f>IFERROR(__xludf.DUMMYFUNCTION("""COMPUTED_VALUE"""),"mritunjay.kumar@zupee.in: - Customer Experience")</f>
        <v>mritunjay.kumar@zupee.in: - Customer Experience</v>
      </c>
      <c r="J489" s="19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92"/>
      <c r="B490" s="192"/>
      <c r="C490" s="192"/>
      <c r="D490" s="192"/>
      <c r="E490" s="192"/>
      <c r="F490" s="192"/>
      <c r="G490" s="192" t="str">
        <f>IFERROR(__xludf.DUMMYFUNCTION("""COMPUTED_VALUE"""),"Abhishek Gupta")</f>
        <v>Abhishek Gupta</v>
      </c>
      <c r="H490" s="192" t="str">
        <f>IFERROR(__xludf.DUMMYFUNCTION("""COMPUTED_VALUE"""),"abhishek.gupta@zupee.in")</f>
        <v>abhishek.gupta@zupee.in</v>
      </c>
      <c r="I490" s="192" t="str">
        <f>IFERROR(__xludf.DUMMYFUNCTION("""COMPUTED_VALUE"""),"dilsher.malhi@zupee.in: - Technology")</f>
        <v>dilsher.malhi@zupee.in: - Technology</v>
      </c>
      <c r="J490" s="19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92"/>
      <c r="B491" s="192"/>
      <c r="C491" s="192"/>
      <c r="D491" s="192"/>
      <c r="E491" s="192"/>
      <c r="F491" s="192"/>
      <c r="G491" s="192" t="str">
        <f>IFERROR(__xludf.DUMMYFUNCTION("""COMPUTED_VALUE"""),"Adarsh Kumar")</f>
        <v>Adarsh Kumar</v>
      </c>
      <c r="H491" s="192" t="str">
        <f>IFERROR(__xludf.DUMMYFUNCTION("""COMPUTED_VALUE"""),"adarsh.kumar@zupee.in")</f>
        <v>adarsh.kumar@zupee.in</v>
      </c>
      <c r="I491" s="192" t="str">
        <f>IFERROR(__xludf.DUMMYFUNCTION("""COMPUTED_VALUE"""),"anuj.baghel@zupee.in: - Technology")</f>
        <v>anuj.baghel@zupee.in: - Technology</v>
      </c>
      <c r="J491" s="19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92"/>
      <c r="B492" s="192"/>
      <c r="C492" s="192"/>
      <c r="D492" s="192"/>
      <c r="E492" s="192"/>
      <c r="F492" s="192"/>
      <c r="G492" s="192" t="str">
        <f>IFERROR(__xludf.DUMMYFUNCTION("""COMPUTED_VALUE"""),"Aditya Pathak")</f>
        <v>Aditya Pathak</v>
      </c>
      <c r="H492" s="192" t="str">
        <f>IFERROR(__xludf.DUMMYFUNCTION("""COMPUTED_VALUE"""),"aditya.pathak@zupee.in")</f>
        <v>aditya.pathak@zupee.in</v>
      </c>
      <c r="I492" s="192" t="str">
        <f>IFERROR(__xludf.DUMMYFUNCTION("""COMPUTED_VALUE"""),"aman.khare@zupee.in: - Customer Experience")</f>
        <v>aman.khare@zupee.in: - Customer Experience</v>
      </c>
      <c r="J492" s="19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92"/>
      <c r="B493" s="192"/>
      <c r="C493" s="192"/>
      <c r="D493" s="192"/>
      <c r="E493" s="192"/>
      <c r="F493" s="192"/>
      <c r="G493" s="192" t="str">
        <f>IFERROR(__xludf.DUMMYFUNCTION("""COMPUTED_VALUE"""),"Aditya Kumar Chaubey")</f>
        <v>Aditya Kumar Chaubey</v>
      </c>
      <c r="H493" s="192" t="str">
        <f>IFERROR(__xludf.DUMMYFUNCTION("""COMPUTED_VALUE"""),"aditya.chaubey@zupee.in")</f>
        <v>aditya.chaubey@zupee.in</v>
      </c>
      <c r="I493" s="192" t="str">
        <f>IFERROR(__xludf.DUMMYFUNCTION("""COMPUTED_VALUE"""),"mritunjay.kumar@zupee.in: - Customer Experience")</f>
        <v>mritunjay.kumar@zupee.in: - Customer Experience</v>
      </c>
      <c r="J493" s="19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92"/>
      <c r="B494" s="192"/>
      <c r="C494" s="192"/>
      <c r="D494" s="192"/>
      <c r="E494" s="192"/>
      <c r="F494" s="192"/>
      <c r="G494" s="192" t="str">
        <f>IFERROR(__xludf.DUMMYFUNCTION("""COMPUTED_VALUE"""),"Aditya Rai")</f>
        <v>Aditya Rai</v>
      </c>
      <c r="H494" s="192" t="str">
        <f>IFERROR(__xludf.DUMMYFUNCTION("""COMPUTED_VALUE"""),"aditya.rai@zupee.in")</f>
        <v>aditya.rai@zupee.in</v>
      </c>
      <c r="I494" s="192" t="str">
        <f>IFERROR(__xludf.DUMMYFUNCTION("""COMPUTED_VALUE"""),"karan.aggarwal@zupee.in: - Strategy")</f>
        <v>karan.aggarwal@zupee.in: - Strategy</v>
      </c>
      <c r="J494" s="19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92"/>
      <c r="B495" s="192"/>
      <c r="C495" s="192"/>
      <c r="D495" s="192"/>
      <c r="E495" s="192"/>
      <c r="F495" s="192"/>
      <c r="G495" s="192" t="str">
        <f>IFERROR(__xludf.DUMMYFUNCTION("""COMPUTED_VALUE"""),"Aditya Jha")</f>
        <v>Aditya Jha</v>
      </c>
      <c r="H495" s="192" t="str">
        <f>IFERROR(__xludf.DUMMYFUNCTION("""COMPUTED_VALUE"""),"aditya.jha@zupee.in")</f>
        <v>aditya.jha@zupee.in</v>
      </c>
      <c r="I495" s="192" t="str">
        <f>IFERROR(__xludf.DUMMYFUNCTION("""COMPUTED_VALUE"""),"ishank.mehta@zupee.in: - Strategy")</f>
        <v>ishank.mehta@zupee.in: - Strategy</v>
      </c>
      <c r="J495" s="19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92"/>
      <c r="B496" s="192"/>
      <c r="C496" s="192"/>
      <c r="D496" s="192"/>
      <c r="E496" s="192"/>
      <c r="F496" s="192"/>
      <c r="G496" s="192" t="str">
        <f>IFERROR(__xludf.DUMMYFUNCTION("""COMPUTED_VALUE"""),"Agrim Panwar")</f>
        <v>Agrim Panwar</v>
      </c>
      <c r="H496" s="192" t="str">
        <f>IFERROR(__xludf.DUMMYFUNCTION("""COMPUTED_VALUE"""),"agrim.panwar@zupee.in")</f>
        <v>agrim.panwar@zupee.in</v>
      </c>
      <c r="I496" s="192" t="str">
        <f>IFERROR(__xludf.DUMMYFUNCTION("""COMPUTED_VALUE"""),"abhishek.goyal@zupee.in: - Strategy")</f>
        <v>abhishek.goyal@zupee.in: - Strategy</v>
      </c>
      <c r="J496" s="19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92"/>
      <c r="B497" s="192"/>
      <c r="C497" s="192"/>
      <c r="D497" s="192"/>
      <c r="E497" s="192"/>
      <c r="F497" s="192"/>
      <c r="G497" s="192" t="str">
        <f>IFERROR(__xludf.DUMMYFUNCTION("""COMPUTED_VALUE"""),"Ajay Talukdar")</f>
        <v>Ajay Talukdar</v>
      </c>
      <c r="H497" s="192" t="str">
        <f>IFERROR(__xludf.DUMMYFUNCTION("""COMPUTED_VALUE"""),"ajay.talukdar@zupee.in")</f>
        <v>ajay.talukdar@zupee.in</v>
      </c>
      <c r="I497" s="192" t="str">
        <f>IFERROR(__xludf.DUMMYFUNCTION("""COMPUTED_VALUE"""),"aman.kumar@zupee.in: - Data")</f>
        <v>aman.kumar@zupee.in: - Data</v>
      </c>
      <c r="J497" s="19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92"/>
      <c r="B498" s="192"/>
      <c r="C498" s="192"/>
      <c r="D498" s="192"/>
      <c r="E498" s="192"/>
      <c r="F498" s="192"/>
      <c r="G498" s="192" t="str">
        <f>IFERROR(__xludf.DUMMYFUNCTION("""COMPUTED_VALUE"""),"Akanksha Anand")</f>
        <v>Akanksha Anand</v>
      </c>
      <c r="H498" s="192" t="str">
        <f>IFERROR(__xludf.DUMMYFUNCTION("""COMPUTED_VALUE"""),"akanksha.anand@zupee.in")</f>
        <v>akanksha.anand@zupee.in</v>
      </c>
      <c r="I498" s="192" t="str">
        <f>IFERROR(__xludf.DUMMYFUNCTION("""COMPUTED_VALUE"""),"saumil.shah@zupee.in: - Digital Marketing")</f>
        <v>saumil.shah@zupee.in: - Digital Marketing</v>
      </c>
      <c r="J498" s="19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92"/>
      <c r="B499" s="192"/>
      <c r="C499" s="192"/>
      <c r="D499" s="192"/>
      <c r="E499" s="192"/>
      <c r="F499" s="192"/>
      <c r="G499" s="192" t="str">
        <f>IFERROR(__xludf.DUMMYFUNCTION("""COMPUTED_VALUE"""),"Akhilesh Singh")</f>
        <v>Akhilesh Singh</v>
      </c>
      <c r="H499" s="192" t="str">
        <f>IFERROR(__xludf.DUMMYFUNCTION("""COMPUTED_VALUE"""),"akhilesh.singh@zupee.in")</f>
        <v>akhilesh.singh@zupee.in</v>
      </c>
      <c r="I499" s="192" t="str">
        <f>IFERROR(__xludf.DUMMYFUNCTION("""COMPUTED_VALUE"""),"vipul.gupta@zupee.in: - Technology")</f>
        <v>vipul.gupta@zupee.in: - Technology</v>
      </c>
      <c r="J499" s="19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92"/>
      <c r="B500" s="192"/>
      <c r="C500" s="192"/>
      <c r="D500" s="192"/>
      <c r="E500" s="192"/>
      <c r="F500" s="192"/>
      <c r="G500" s="192" t="str">
        <f>IFERROR(__xludf.DUMMYFUNCTION("""COMPUTED_VALUE"""),"Akshata Upari")</f>
        <v>Akshata Upari</v>
      </c>
      <c r="H500" s="192" t="str">
        <f>IFERROR(__xludf.DUMMYFUNCTION("""COMPUTED_VALUE"""),"akshata.upari@zupee.in")</f>
        <v>akshata.upari@zupee.in</v>
      </c>
      <c r="I500" s="192" t="str">
        <f>IFERROR(__xludf.DUMMYFUNCTION("""COMPUTED_VALUE"""),"mritunjay.kumar@zupee.in: - Customer Experience")</f>
        <v>mritunjay.kumar@zupee.in: - Customer Experience</v>
      </c>
      <c r="J500" s="19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92"/>
      <c r="B501" s="192"/>
      <c r="C501" s="192"/>
      <c r="D501" s="192"/>
      <c r="E501" s="192"/>
      <c r="F501" s="192"/>
      <c r="G501" s="192" t="str">
        <f>IFERROR(__xludf.DUMMYFUNCTION("""COMPUTED_VALUE"""),"Akshit Batra HR Consultant")</f>
        <v>Akshit Batra HR Consultant</v>
      </c>
      <c r="H501" s="192" t="str">
        <f>IFERROR(__xludf.DUMMYFUNCTION("""COMPUTED_VALUE"""),"akshit.batra@zupee.in")</f>
        <v>akshit.batra@zupee.in</v>
      </c>
      <c r="I501" s="192" t="str">
        <f>IFERROR(__xludf.DUMMYFUNCTION("""COMPUTED_VALUE"""),"vivek.jain@zupee.in: - Human Resources")</f>
        <v>vivek.jain@zupee.in: - Human Resources</v>
      </c>
      <c r="J501" s="19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92"/>
      <c r="B502" s="192"/>
      <c r="C502" s="192"/>
      <c r="D502" s="192"/>
      <c r="E502" s="192"/>
      <c r="F502" s="192"/>
      <c r="G502" s="192" t="str">
        <f>IFERROR(__xludf.DUMMYFUNCTION("""COMPUTED_VALUE"""),"Aman Khare")</f>
        <v>Aman Khare</v>
      </c>
      <c r="H502" s="192" t="str">
        <f>IFERROR(__xludf.DUMMYFUNCTION("""COMPUTED_VALUE"""),"aman.khare@zupee.in")</f>
        <v>aman.khare@zupee.in</v>
      </c>
      <c r="I502" s="192" t="str">
        <f>IFERROR(__xludf.DUMMYFUNCTION("""COMPUTED_VALUE"""),"sumit.yadav@zupee.in: - Customer Experience")</f>
        <v>sumit.yadav@zupee.in: - Customer Experience</v>
      </c>
      <c r="J502" s="19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92"/>
      <c r="B503" s="192"/>
      <c r="C503" s="192"/>
      <c r="D503" s="192"/>
      <c r="E503" s="192"/>
      <c r="F503" s="192"/>
      <c r="G503" s="192" t="str">
        <f>IFERROR(__xludf.DUMMYFUNCTION("""COMPUTED_VALUE"""),"Amarjeet Yadav")</f>
        <v>Amarjeet Yadav</v>
      </c>
      <c r="H503" s="192" t="str">
        <f>IFERROR(__xludf.DUMMYFUNCTION("""COMPUTED_VALUE"""),"amarjeet.yadav@zupee.in")</f>
        <v>amarjeet.yadav@zupee.in</v>
      </c>
      <c r="I503" s="192" t="str">
        <f>IFERROR(__xludf.DUMMYFUNCTION("""COMPUTED_VALUE"""),"jatin.kinra@zupee.in: - Technology")</f>
        <v>jatin.kinra@zupee.in: - Technology</v>
      </c>
      <c r="J503" s="19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92"/>
      <c r="B504" s="192"/>
      <c r="C504" s="192"/>
      <c r="D504" s="192"/>
      <c r="E504" s="192"/>
      <c r="F504" s="192"/>
      <c r="G504" s="192" t="str">
        <f>IFERROR(__xludf.DUMMYFUNCTION("""COMPUTED_VALUE"""),"Amit Mohanta")</f>
        <v>Amit Mohanta</v>
      </c>
      <c r="H504" s="192" t="str">
        <f>IFERROR(__xludf.DUMMYFUNCTION("""COMPUTED_VALUE"""),"amit.mohanta@zupee.in")</f>
        <v>amit.mohanta@zupee.in</v>
      </c>
      <c r="I504" s="192" t="str">
        <f>IFERROR(__xludf.DUMMYFUNCTION("""COMPUTED_VALUE"""),"aarti.luthra@zupee.in: - Product Design")</f>
        <v>aarti.luthra@zupee.in: - Product Design</v>
      </c>
      <c r="J504" s="19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92"/>
      <c r="B505" s="192"/>
      <c r="C505" s="192"/>
      <c r="D505" s="192"/>
      <c r="E505" s="192"/>
      <c r="F505" s="192"/>
      <c r="G505" s="192" t="str">
        <f>IFERROR(__xludf.DUMMYFUNCTION("""COMPUTED_VALUE"""),"Amroj Sandhu")</f>
        <v>Amroj Sandhu</v>
      </c>
      <c r="H505" s="192" t="str">
        <f>IFERROR(__xludf.DUMMYFUNCTION("""COMPUTED_VALUE"""),"amroj.sandhu@zupee.in")</f>
        <v>amroj.sandhu@zupee.in</v>
      </c>
      <c r="I505" s="192" t="str">
        <f>IFERROR(__xludf.DUMMYFUNCTION("""COMPUTED_VALUE"""),"aman.g@zupee.in: - Technology")</f>
        <v>aman.g@zupee.in: - Technology</v>
      </c>
      <c r="J505" s="19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92"/>
      <c r="B506" s="192"/>
      <c r="C506" s="192"/>
      <c r="D506" s="192"/>
      <c r="E506" s="192"/>
      <c r="F506" s="192"/>
      <c r="G506" s="192" t="str">
        <f>IFERROR(__xludf.DUMMYFUNCTION("""COMPUTED_VALUE"""),"Anant Upadhyaya")</f>
        <v>Anant Upadhyaya</v>
      </c>
      <c r="H506" s="192" t="str">
        <f>IFERROR(__xludf.DUMMYFUNCTION("""COMPUTED_VALUE"""),"anant.upadhyaya@zupee.in")</f>
        <v>anant.upadhyaya@zupee.in</v>
      </c>
      <c r="I506" s="192" t="str">
        <f>IFERROR(__xludf.DUMMYFUNCTION("""COMPUTED_VALUE"""),"pankaj.gautam@zupee.in: - Data")</f>
        <v>pankaj.gautam@zupee.in: - Data</v>
      </c>
      <c r="J506" s="19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92"/>
      <c r="B507" s="192"/>
      <c r="C507" s="192"/>
      <c r="D507" s="192"/>
      <c r="E507" s="192"/>
      <c r="F507" s="192"/>
      <c r="G507" s="192" t="str">
        <f>IFERROR(__xludf.DUMMYFUNCTION("""COMPUTED_VALUE"""),"Anant P Barla")</f>
        <v>Anant P Barla</v>
      </c>
      <c r="H507" s="192" t="str">
        <f>IFERROR(__xludf.DUMMYFUNCTION("""COMPUTED_VALUE"""),"anant.barla@zupee.in")</f>
        <v>anant.barla@zupee.in</v>
      </c>
      <c r="I507" s="192" t="str">
        <f>IFERROR(__xludf.DUMMYFUNCTION("""COMPUTED_VALUE"""),"abhishek.srivastava@zupee.in: - Product Design")</f>
        <v>abhishek.srivastava@zupee.in: - Product Design</v>
      </c>
      <c r="J507" s="19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92"/>
      <c r="B508" s="192"/>
      <c r="C508" s="192"/>
      <c r="D508" s="192"/>
      <c r="E508" s="192"/>
      <c r="F508" s="192"/>
      <c r="G508" s="192" t="str">
        <f>IFERROR(__xludf.DUMMYFUNCTION("""COMPUTED_VALUE"""),"Anish Agarwal")</f>
        <v>Anish Agarwal</v>
      </c>
      <c r="H508" s="192" t="str">
        <f>IFERROR(__xludf.DUMMYFUNCTION("""COMPUTED_VALUE"""),"anish.agarwal@zupee.in")</f>
        <v>anish.agarwal@zupee.in</v>
      </c>
      <c r="I508" s="192" t="str">
        <f>IFERROR(__xludf.DUMMYFUNCTION("""COMPUTED_VALUE"""),"pulkit.sehgal@zupee.in: - Finance")</f>
        <v>pulkit.sehgal@zupee.in: - Finance</v>
      </c>
      <c r="J508" s="19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92"/>
      <c r="B509" s="192"/>
      <c r="C509" s="192"/>
      <c r="D509" s="192"/>
      <c r="E509" s="192"/>
      <c r="F509" s="192"/>
      <c r="G509" s="192" t="str">
        <f>IFERROR(__xludf.DUMMYFUNCTION("""COMPUTED_VALUE"""),"Anjelina Tirkey")</f>
        <v>Anjelina Tirkey</v>
      </c>
      <c r="H509" s="192" t="str">
        <f>IFERROR(__xludf.DUMMYFUNCTION("""COMPUTED_VALUE"""),"anjelina.tirkey@zupee.in")</f>
        <v>anjelina.tirkey@zupee.in</v>
      </c>
      <c r="I509" s="192" t="str">
        <f>IFERROR(__xludf.DUMMYFUNCTION("""COMPUTED_VALUE"""),"ishank.mehta@zupee.in: - Strategy")</f>
        <v>ishank.mehta@zupee.in: - Strategy</v>
      </c>
      <c r="J509" s="19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92"/>
      <c r="B510" s="192"/>
      <c r="C510" s="192"/>
      <c r="D510" s="192"/>
      <c r="E510" s="192"/>
      <c r="F510" s="192"/>
      <c r="G510" s="192" t="str">
        <f>IFERROR(__xludf.DUMMYFUNCTION("""COMPUTED_VALUE"""),"Ankur Agarwal")</f>
        <v>Ankur Agarwal</v>
      </c>
      <c r="H510" s="192" t="str">
        <f>IFERROR(__xludf.DUMMYFUNCTION("""COMPUTED_VALUE"""),"ankur.a@zupee.in")</f>
        <v>ankur.a@zupee.in</v>
      </c>
      <c r="I510" s="192" t="str">
        <f>IFERROR(__xludf.DUMMYFUNCTION("""COMPUTED_VALUE"""),"ankit.maheshwari@zupee.in: - Finance")</f>
        <v>ankit.maheshwari@zupee.in: - Finance</v>
      </c>
      <c r="J510" s="19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92"/>
      <c r="B511" s="192"/>
      <c r="C511" s="192"/>
      <c r="D511" s="192"/>
      <c r="E511" s="192"/>
      <c r="F511" s="192"/>
      <c r="G511" s="192" t="str">
        <f>IFERROR(__xludf.DUMMYFUNCTION("""COMPUTED_VALUE"""),"Ankush Gupta")</f>
        <v>Ankush Gupta</v>
      </c>
      <c r="H511" s="192" t="str">
        <f>IFERROR(__xludf.DUMMYFUNCTION("""COMPUTED_VALUE"""),"ankush.gupta@zupee.in")</f>
        <v>ankush.gupta@zupee.in</v>
      </c>
      <c r="I511" s="192" t="str">
        <f>IFERROR(__xludf.DUMMYFUNCTION("""COMPUTED_VALUE"""),"suryanshu.shekhar@zupee.in: - Data")</f>
        <v>suryanshu.shekhar@zupee.in: - Data</v>
      </c>
      <c r="J511" s="19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92"/>
      <c r="B512" s="192"/>
      <c r="C512" s="192"/>
      <c r="D512" s="192"/>
      <c r="E512" s="192"/>
      <c r="F512" s="192"/>
      <c r="G512" s="192" t="str">
        <f>IFERROR(__xludf.DUMMYFUNCTION("""COMPUTED_VALUE"""),"Anubhav Pandey")</f>
        <v>Anubhav Pandey</v>
      </c>
      <c r="H512" s="192" t="str">
        <f>IFERROR(__xludf.DUMMYFUNCTION("""COMPUTED_VALUE"""),"anubhav.pandey@zupee.in")</f>
        <v>anubhav.pandey@zupee.in</v>
      </c>
      <c r="I512" s="192" t="str">
        <f>IFERROR(__xludf.DUMMYFUNCTION("""COMPUTED_VALUE"""),"aman.khare@zupee.in: - Customer Experience")</f>
        <v>aman.khare@zupee.in: - Customer Experience</v>
      </c>
      <c r="J512" s="19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92"/>
      <c r="B513" s="192"/>
      <c r="C513" s="192"/>
      <c r="D513" s="192"/>
      <c r="E513" s="192"/>
      <c r="F513" s="192"/>
      <c r="G513" s="192" t="str">
        <f>IFERROR(__xludf.DUMMYFUNCTION("""COMPUTED_VALUE"""),"Anuj Gupta")</f>
        <v>Anuj Gupta</v>
      </c>
      <c r="H513" s="192" t="str">
        <f>IFERROR(__xludf.DUMMYFUNCTION("""COMPUTED_VALUE"""),"anuj.gupta@zupee.in")</f>
        <v>anuj.gupta@zupee.in</v>
      </c>
      <c r="I513" s="192" t="str">
        <f>IFERROR(__xludf.DUMMYFUNCTION("""COMPUTED_VALUE"""),"pranav.jaradi@zupee.in: - Technology")</f>
        <v>pranav.jaradi@zupee.in: - Technology</v>
      </c>
      <c r="J513" s="19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92"/>
      <c r="B514" s="192"/>
      <c r="C514" s="192"/>
      <c r="D514" s="192"/>
      <c r="E514" s="192"/>
      <c r="F514" s="192"/>
      <c r="G514" s="192" t="str">
        <f>IFERROR(__xludf.DUMMYFUNCTION("""COMPUTED_VALUE"""),"Anuradha Sharma")</f>
        <v>Anuradha Sharma</v>
      </c>
      <c r="H514" s="192" t="str">
        <f>IFERROR(__xludf.DUMMYFUNCTION("""COMPUTED_VALUE"""),"anuradha.sharma@zupee.in")</f>
        <v>anuradha.sharma@zupee.in</v>
      </c>
      <c r="I514" s="192" t="str">
        <f>IFERROR(__xludf.DUMMYFUNCTION("""COMPUTED_VALUE"""),"-: - Customer Experience")</f>
        <v>-: - Customer Experience</v>
      </c>
      <c r="J514" s="19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92"/>
      <c r="B515" s="192"/>
      <c r="C515" s="192"/>
      <c r="D515" s="192"/>
      <c r="E515" s="192"/>
      <c r="F515" s="192"/>
      <c r="G515" s="192" t="str">
        <f>IFERROR(__xludf.DUMMYFUNCTION("""COMPUTED_VALUE"""),"Anurag Dwivedi")</f>
        <v>Anurag Dwivedi</v>
      </c>
      <c r="H515" s="192" t="str">
        <f>IFERROR(__xludf.DUMMYFUNCTION("""COMPUTED_VALUE"""),"anurag.dwivedi@zupee.in")</f>
        <v>anurag.dwivedi@zupee.in</v>
      </c>
      <c r="I515" s="192" t="str">
        <f>IFERROR(__xludf.DUMMYFUNCTION("""COMPUTED_VALUE"""),"aman.khare@zupee.in: - Customer Experience")</f>
        <v>aman.khare@zupee.in: - Customer Experience</v>
      </c>
      <c r="J515" s="19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92"/>
      <c r="B516" s="192"/>
      <c r="C516" s="192"/>
      <c r="D516" s="192"/>
      <c r="E516" s="192"/>
      <c r="F516" s="192"/>
      <c r="G516" s="192" t="str">
        <f>IFERROR(__xludf.DUMMYFUNCTION("""COMPUTED_VALUE"""),"Anushka Murgudkar")</f>
        <v>Anushka Murgudkar</v>
      </c>
      <c r="H516" s="192" t="str">
        <f>IFERROR(__xludf.DUMMYFUNCTION("""COMPUTED_VALUE"""),"anushka.murgudkar@zupee.in")</f>
        <v>anushka.murgudkar@zupee.in</v>
      </c>
      <c r="I516" s="192" t="str">
        <f>IFERROR(__xludf.DUMMYFUNCTION("""COMPUTED_VALUE"""),"vishal.agarwal@zupee.in: - Technology")</f>
        <v>vishal.agarwal@zupee.in: - Technology</v>
      </c>
      <c r="J516" s="19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92"/>
      <c r="B517" s="192"/>
      <c r="C517" s="192"/>
      <c r="D517" s="192"/>
      <c r="E517" s="192"/>
      <c r="F517" s="192"/>
      <c r="G517" s="192" t="str">
        <f>IFERROR(__xludf.DUMMYFUNCTION("""COMPUTED_VALUE"""),"Apoorv Mathur")</f>
        <v>Apoorv Mathur</v>
      </c>
      <c r="H517" s="192" t="str">
        <f>IFERROR(__xludf.DUMMYFUNCTION("""COMPUTED_VALUE"""),"apoorv.mathur@zupee.in")</f>
        <v>apoorv.mathur@zupee.in</v>
      </c>
      <c r="I517" s="192" t="str">
        <f>IFERROR(__xludf.DUMMYFUNCTION("""COMPUTED_VALUE"""),"aman.kumar@zupee.in: - Data")</f>
        <v>aman.kumar@zupee.in: - Data</v>
      </c>
      <c r="J517" s="19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92"/>
      <c r="B518" s="192"/>
      <c r="C518" s="192"/>
      <c r="D518" s="192"/>
      <c r="E518" s="192"/>
      <c r="F518" s="192"/>
      <c r="G518" s="192" t="str">
        <f>IFERROR(__xludf.DUMMYFUNCTION("""COMPUTED_VALUE"""),"Aradhana choudhary")</f>
        <v>Aradhana choudhary</v>
      </c>
      <c r="H518" s="192" t="str">
        <f>IFERROR(__xludf.DUMMYFUNCTION("""COMPUTED_VALUE"""),"aradhana.choudhary@zupee.in")</f>
        <v>aradhana.choudhary@zupee.in</v>
      </c>
      <c r="I518" s="192" t="str">
        <f>IFERROR(__xludf.DUMMYFUNCTION("""COMPUTED_VALUE"""),"mrityunjay.k@zupee.in: - Customer Experience")</f>
        <v>mrityunjay.k@zupee.in: - Customer Experience</v>
      </c>
      <c r="J518" s="19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92"/>
      <c r="B519" s="192"/>
      <c r="C519" s="192"/>
      <c r="D519" s="192"/>
      <c r="E519" s="192"/>
      <c r="F519" s="192"/>
      <c r="G519" s="192" t="str">
        <f>IFERROR(__xludf.DUMMYFUNCTION("""COMPUTED_VALUE"""),"Arpit Rathore")</f>
        <v>Arpit Rathore</v>
      </c>
      <c r="H519" s="192" t="str">
        <f>IFERROR(__xludf.DUMMYFUNCTION("""COMPUTED_VALUE"""),"arpit.rathore@zupee.in")</f>
        <v>arpit.rathore@zupee.in</v>
      </c>
      <c r="I519" s="192" t="str">
        <f>IFERROR(__xludf.DUMMYFUNCTION("""COMPUTED_VALUE"""),"shiwani.pokhriyal@zupee.in: - Customer Experience")</f>
        <v>shiwani.pokhriyal@zupee.in: - Customer Experience</v>
      </c>
      <c r="J519" s="19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92"/>
      <c r="B520" s="192"/>
      <c r="C520" s="192"/>
      <c r="D520" s="192"/>
      <c r="E520" s="192"/>
      <c r="F520" s="192"/>
      <c r="G520" s="192" t="str">
        <f>IFERROR(__xludf.DUMMYFUNCTION("""COMPUTED_VALUE"""),"Arsalan Abbasi")</f>
        <v>Arsalan Abbasi</v>
      </c>
      <c r="H520" s="192" t="str">
        <f>IFERROR(__xludf.DUMMYFUNCTION("""COMPUTED_VALUE"""),"arsalan.abbasi@zupee.in")</f>
        <v>arsalan.abbasi@zupee.in</v>
      </c>
      <c r="I520" s="192" t="str">
        <f>IFERROR(__xludf.DUMMYFUNCTION("""COMPUTED_VALUE"""),"ritwika.maitra@zupee.in: - Digital Marketing")</f>
        <v>ritwika.maitra@zupee.in: - Digital Marketing</v>
      </c>
      <c r="J520" s="19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92"/>
      <c r="B521" s="192"/>
      <c r="C521" s="192"/>
      <c r="D521" s="192"/>
      <c r="E521" s="192"/>
      <c r="F521" s="192"/>
      <c r="G521" s="192" t="str">
        <f>IFERROR(__xludf.DUMMYFUNCTION("""COMPUTED_VALUE"""),"Arushi Patni")</f>
        <v>Arushi Patni</v>
      </c>
      <c r="H521" s="192" t="str">
        <f>IFERROR(__xludf.DUMMYFUNCTION("""COMPUTED_VALUE"""),"arushi.patni@zupee.in")</f>
        <v>arushi.patni@zupee.in</v>
      </c>
      <c r="I521" s="192" t="str">
        <f>IFERROR(__xludf.DUMMYFUNCTION("""COMPUTED_VALUE"""),"shashank.gupta@zupee.in: - Finance")</f>
        <v>shashank.gupta@zupee.in: - Finance</v>
      </c>
      <c r="J521" s="19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92"/>
      <c r="B522" s="192"/>
      <c r="C522" s="192"/>
      <c r="D522" s="192"/>
      <c r="E522" s="192"/>
      <c r="F522" s="192"/>
      <c r="G522" s="192" t="str">
        <f>IFERROR(__xludf.DUMMYFUNCTION("""COMPUTED_VALUE"""),"Arvind Kumar Gupta")</f>
        <v>Arvind Kumar Gupta</v>
      </c>
      <c r="H522" s="192" t="str">
        <f>IFERROR(__xludf.DUMMYFUNCTION("""COMPUTED_VALUE"""),"arvind.gupta@zupee.in")</f>
        <v>arvind.gupta@zupee.in</v>
      </c>
      <c r="I522" s="192" t="str">
        <f>IFERROR(__xludf.DUMMYFUNCTION("""COMPUTED_VALUE"""),"katha.tara@zupee.in: - Brand Marketing")</f>
        <v>katha.tara@zupee.in: - Brand Marketing</v>
      </c>
      <c r="J522" s="19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92"/>
      <c r="B523" s="192"/>
      <c r="C523" s="192"/>
      <c r="D523" s="192"/>
      <c r="E523" s="192"/>
      <c r="F523" s="192"/>
      <c r="G523" s="192" t="str">
        <f>IFERROR(__xludf.DUMMYFUNCTION("""COMPUTED_VALUE"""),"Atharv Dinesh Bende")</f>
        <v>Atharv Dinesh Bende</v>
      </c>
      <c r="H523" s="192" t="str">
        <f>IFERROR(__xludf.DUMMYFUNCTION("""COMPUTED_VALUE"""),"atharv.bende@zupee.in")</f>
        <v>atharv.bende@zupee.in</v>
      </c>
      <c r="I523" s="192" t="str">
        <f>IFERROR(__xludf.DUMMYFUNCTION("""COMPUTED_VALUE"""),"vishal.agarwal@zupee.in: - Technology")</f>
        <v>vishal.agarwal@zupee.in: - Technology</v>
      </c>
      <c r="J523" s="19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92"/>
      <c r="B524" s="192"/>
      <c r="C524" s="192"/>
      <c r="D524" s="192"/>
      <c r="E524" s="192"/>
      <c r="F524" s="192"/>
      <c r="G524" s="192" t="str">
        <f>IFERROR(__xludf.DUMMYFUNCTION("""COMPUTED_VALUE"""),"Atiullaha Siddiqui")</f>
        <v>Atiullaha Siddiqui</v>
      </c>
      <c r="H524" s="192" t="str">
        <f>IFERROR(__xludf.DUMMYFUNCTION("""COMPUTED_VALUE"""),"atiullaha.siddiqui@zupee.in")</f>
        <v>atiullaha.siddiqui@zupee.in</v>
      </c>
      <c r="I524" s="192" t="str">
        <f>IFERROR(__xludf.DUMMYFUNCTION("""COMPUTED_VALUE"""),"aman.khare@zupee.in: - Customer Experience")</f>
        <v>aman.khare@zupee.in: - Customer Experience</v>
      </c>
      <c r="J524" s="19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92"/>
      <c r="B525" s="192"/>
      <c r="C525" s="192"/>
      <c r="D525" s="192"/>
      <c r="E525" s="192"/>
      <c r="F525" s="192"/>
      <c r="G525" s="192" t="str">
        <f>IFERROR(__xludf.DUMMYFUNCTION("""COMPUTED_VALUE"""),"Atul Kumar Sangwan")</f>
        <v>Atul Kumar Sangwan</v>
      </c>
      <c r="H525" s="192" t="str">
        <f>IFERROR(__xludf.DUMMYFUNCTION("""COMPUTED_VALUE"""),"atul.sangwan@zupee.in")</f>
        <v>atul.sangwan@zupee.in</v>
      </c>
      <c r="I525" s="192" t="str">
        <f>IFERROR(__xludf.DUMMYFUNCTION("""COMPUTED_VALUE"""),"shivam.bali@zupee.in: - Customer Experience")</f>
        <v>shivam.bali@zupee.in: - Customer Experience</v>
      </c>
      <c r="J525" s="19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92"/>
      <c r="B526" s="192"/>
      <c r="C526" s="192"/>
      <c r="D526" s="192"/>
      <c r="E526" s="192"/>
      <c r="F526" s="192"/>
      <c r="G526" s="192" t="str">
        <f>IFERROR(__xludf.DUMMYFUNCTION("""COMPUTED_VALUE"""),"Ayan Pathan")</f>
        <v>Ayan Pathan</v>
      </c>
      <c r="H526" s="192" t="str">
        <f>IFERROR(__xludf.DUMMYFUNCTION("""COMPUTED_VALUE"""),"ayan.pathan@zupee.in")</f>
        <v>ayan.pathan@zupee.in</v>
      </c>
      <c r="I526" s="192" t="str">
        <f>IFERROR(__xludf.DUMMYFUNCTION("""COMPUTED_VALUE"""),"mohini.bhardwaj@zupee.in: - Customer Experience")</f>
        <v>mohini.bhardwaj@zupee.in: - Customer Experience</v>
      </c>
      <c r="J526" s="19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92"/>
      <c r="B527" s="192"/>
      <c r="C527" s="192"/>
      <c r="D527" s="192"/>
      <c r="E527" s="192"/>
      <c r="F527" s="192"/>
      <c r="G527" s="192" t="str">
        <f>IFERROR(__xludf.DUMMYFUNCTION("""COMPUTED_VALUE"""),"Ayush Singhal")</f>
        <v>Ayush Singhal</v>
      </c>
      <c r="H527" s="192" t="str">
        <f>IFERROR(__xludf.DUMMYFUNCTION("""COMPUTED_VALUE"""),"ayush.singhal@zupee.in")</f>
        <v>ayush.singhal@zupee.in</v>
      </c>
      <c r="I527" s="192" t="str">
        <f>IFERROR(__xludf.DUMMYFUNCTION("""COMPUTED_VALUE"""),"divya.koundal@zupee.in: - Technology")</f>
        <v>divya.koundal@zupee.in: - Technology</v>
      </c>
      <c r="J527" s="19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92"/>
      <c r="B528" s="192"/>
      <c r="C528" s="192"/>
      <c r="D528" s="192"/>
      <c r="E528" s="192"/>
      <c r="F528" s="192"/>
      <c r="G528" s="192" t="str">
        <f>IFERROR(__xludf.DUMMYFUNCTION("""COMPUTED_VALUE"""),"Ayush Kumar")</f>
        <v>Ayush Kumar</v>
      </c>
      <c r="H528" s="192" t="str">
        <f>IFERROR(__xludf.DUMMYFUNCTION("""COMPUTED_VALUE"""),"ayush.k@zupee.in")</f>
        <v>ayush.k@zupee.in</v>
      </c>
      <c r="I528" s="192" t="str">
        <f>IFERROR(__xludf.DUMMYFUNCTION("""COMPUTED_VALUE"""),"shivam.sharma@zupee.in: - Technology")</f>
        <v>shivam.sharma@zupee.in: - Technology</v>
      </c>
      <c r="J528" s="19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92"/>
      <c r="B529" s="192"/>
      <c r="C529" s="192"/>
      <c r="D529" s="192"/>
      <c r="E529" s="192"/>
      <c r="F529" s="192"/>
      <c r="G529" s="192" t="str">
        <f>IFERROR(__xludf.DUMMYFUNCTION("""COMPUTED_VALUE"""),"Ayushi Sharma")</f>
        <v>Ayushi Sharma</v>
      </c>
      <c r="H529" s="192" t="str">
        <f>IFERROR(__xludf.DUMMYFUNCTION("""COMPUTED_VALUE"""),"ayushi.sharma@zupee.in")</f>
        <v>ayushi.sharma@zupee.in</v>
      </c>
      <c r="I529" s="192" t="str">
        <f>IFERROR(__xludf.DUMMYFUNCTION("""COMPUTED_VALUE"""),"aman.g@zupee.in: - Technology")</f>
        <v>aman.g@zupee.in: - Technology</v>
      </c>
      <c r="J529" s="19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92"/>
      <c r="B530" s="192"/>
      <c r="C530" s="192"/>
      <c r="D530" s="192"/>
      <c r="E530" s="192"/>
      <c r="F530" s="192"/>
      <c r="G530" s="192" t="str">
        <f>IFERROR(__xludf.DUMMYFUNCTION("""COMPUTED_VALUE"""),"Bal Sikandar")</f>
        <v>Bal Sikandar</v>
      </c>
      <c r="H530" s="192" t="str">
        <f>IFERROR(__xludf.DUMMYFUNCTION("""COMPUTED_VALUE"""),"bal.sikandar@zupee.in")</f>
        <v>bal.sikandar@zupee.in</v>
      </c>
      <c r="I530" s="192" t="str">
        <f>IFERROR(__xludf.DUMMYFUNCTION("""COMPUTED_VALUE"""),"anshul.mittal@zupee.in: - Technology")</f>
        <v>anshul.mittal@zupee.in: - Technology</v>
      </c>
      <c r="J530" s="19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92"/>
      <c r="B531" s="192"/>
      <c r="C531" s="192"/>
      <c r="D531" s="192"/>
      <c r="E531" s="192"/>
      <c r="F531" s="192"/>
      <c r="G531" s="192" t="str">
        <f>IFERROR(__xludf.DUMMYFUNCTION("""COMPUTED_VALUE"""),"Baljinder Kaur")</f>
        <v>Baljinder Kaur</v>
      </c>
      <c r="H531" s="192" t="str">
        <f>IFERROR(__xludf.DUMMYFUNCTION("""COMPUTED_VALUE"""),"baljinder.kaur@zupee.in")</f>
        <v>baljinder.kaur@zupee.in</v>
      </c>
      <c r="I531" s="192" t="str">
        <f>IFERROR(__xludf.DUMMYFUNCTION("""COMPUTED_VALUE"""),"naveen.kadyan@zupee.in: - Product")</f>
        <v>naveen.kadyan@zupee.in: - Product</v>
      </c>
      <c r="J531" s="19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92"/>
      <c r="B532" s="192"/>
      <c r="C532" s="192"/>
      <c r="D532" s="192"/>
      <c r="E532" s="192"/>
      <c r="F532" s="192"/>
      <c r="G532" s="192" t="str">
        <f>IFERROR(__xludf.DUMMYFUNCTION("""COMPUTED_VALUE"""),"Banta Singh")</f>
        <v>Banta Singh</v>
      </c>
      <c r="H532" s="192" t="str">
        <f>IFERROR(__xludf.DUMMYFUNCTION("""COMPUTED_VALUE"""),"banta.singh@zupee.in")</f>
        <v>banta.singh@zupee.in</v>
      </c>
      <c r="I532" s="192" t="str">
        <f>IFERROR(__xludf.DUMMYFUNCTION("""COMPUTED_VALUE"""),"divya.khare@zupee.in: - Customer Experience")</f>
        <v>divya.khare@zupee.in: - Customer Experience</v>
      </c>
      <c r="J532" s="19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92"/>
      <c r="B533" s="192"/>
      <c r="C533" s="192"/>
      <c r="D533" s="192"/>
      <c r="E533" s="192"/>
      <c r="F533" s="192"/>
      <c r="G533" s="192" t="str">
        <f>IFERROR(__xludf.DUMMYFUNCTION("""COMPUTED_VALUE"""),"Bhanu Pratap")</f>
        <v>Bhanu Pratap</v>
      </c>
      <c r="H533" s="192" t="str">
        <f>IFERROR(__xludf.DUMMYFUNCTION("""COMPUTED_VALUE"""),"bhanu.pratap@zupee.in")</f>
        <v>bhanu.pratap@zupee.in</v>
      </c>
      <c r="I533" s="192" t="str">
        <f>IFERROR(__xludf.DUMMYFUNCTION("""COMPUTED_VALUE"""),"mrityunjay.k@zupee.in: - Customer Experience")</f>
        <v>mrityunjay.k@zupee.in: - Customer Experience</v>
      </c>
      <c r="J533" s="19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92"/>
      <c r="B534" s="192"/>
      <c r="C534" s="192"/>
      <c r="D534" s="192"/>
      <c r="E534" s="192"/>
      <c r="F534" s="192"/>
      <c r="G534" s="192" t="str">
        <f>IFERROR(__xludf.DUMMYFUNCTION("""COMPUTED_VALUE"""),"Bharti Rani")</f>
        <v>Bharti Rani</v>
      </c>
      <c r="H534" s="192" t="str">
        <f>IFERROR(__xludf.DUMMYFUNCTION("""COMPUTED_VALUE"""),"bharti.rani@zupee.in")</f>
        <v>bharti.rani@zupee.in</v>
      </c>
      <c r="I534" s="192" t="str">
        <f>IFERROR(__xludf.DUMMYFUNCTION("""COMPUTED_VALUE"""),"mritunjay.kumar@zupee.in: - Customer Experience")</f>
        <v>mritunjay.kumar@zupee.in: - Customer Experience</v>
      </c>
      <c r="J534" s="19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92"/>
      <c r="B535" s="192"/>
      <c r="C535" s="192"/>
      <c r="D535" s="192"/>
      <c r="E535" s="192"/>
      <c r="F535" s="192"/>
      <c r="G535" s="192" t="str">
        <f>IFERROR(__xludf.DUMMYFUNCTION("""COMPUTED_VALUE"""),"Bhoomika Arora")</f>
        <v>Bhoomika Arora</v>
      </c>
      <c r="H535" s="192" t="str">
        <f>IFERROR(__xludf.DUMMYFUNCTION("""COMPUTED_VALUE"""),"bhoomika.arora@zupee.in")</f>
        <v>bhoomika.arora@zupee.in</v>
      </c>
      <c r="I535" s="192" t="str">
        <f>IFERROR(__xludf.DUMMYFUNCTION("""COMPUTED_VALUE"""),"mohini.bhardwaj@zupee.in: - Customer Experience")</f>
        <v>mohini.bhardwaj@zupee.in: - Customer Experience</v>
      </c>
      <c r="J535" s="19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92"/>
      <c r="B536" s="192"/>
      <c r="C536" s="192"/>
      <c r="D536" s="192"/>
      <c r="E536" s="192"/>
      <c r="F536" s="192"/>
      <c r="G536" s="192" t="str">
        <f>IFERROR(__xludf.DUMMYFUNCTION("""COMPUTED_VALUE"""),"Bikash Kumar Jha")</f>
        <v>Bikash Kumar Jha</v>
      </c>
      <c r="H536" s="192" t="str">
        <f>IFERROR(__xludf.DUMMYFUNCTION("""COMPUTED_VALUE"""),"bikash.jha@zupee.in")</f>
        <v>bikash.jha@zupee.in</v>
      </c>
      <c r="I536" s="192" t="str">
        <f>IFERROR(__xludf.DUMMYFUNCTION("""COMPUTED_VALUE"""),"vishal.agarwal@zupee.in: - Technology")</f>
        <v>vishal.agarwal@zupee.in: - Technology</v>
      </c>
      <c r="J536" s="19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92"/>
      <c r="B537" s="192"/>
      <c r="C537" s="192"/>
      <c r="D537" s="192"/>
      <c r="E537" s="192"/>
      <c r="F537" s="192"/>
      <c r="G537" s="192" t="str">
        <f>IFERROR(__xludf.DUMMYFUNCTION("""COMPUTED_VALUE"""),"Bishan Bhadra")</f>
        <v>Bishan Bhadra</v>
      </c>
      <c r="H537" s="192" t="str">
        <f>IFERROR(__xludf.DUMMYFUNCTION("""COMPUTED_VALUE"""),"bishan.bhadra@zupee.in")</f>
        <v>bishan.bhadra@zupee.in</v>
      </c>
      <c r="I537" s="192" t="str">
        <f>IFERROR(__xludf.DUMMYFUNCTION("""COMPUTED_VALUE"""),"raman.malik@zupee.in: - Data")</f>
        <v>raman.malik@zupee.in: - Data</v>
      </c>
      <c r="J537" s="19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92"/>
      <c r="B538" s="192"/>
      <c r="C538" s="192"/>
      <c r="D538" s="192"/>
      <c r="E538" s="192"/>
      <c r="F538" s="192"/>
      <c r="G538" s="192" t="str">
        <f>IFERROR(__xludf.DUMMYFUNCTION("""COMPUTED_VALUE"""),"Biswajit Dey")</f>
        <v>Biswajit Dey</v>
      </c>
      <c r="H538" s="192" t="str">
        <f>IFERROR(__xludf.DUMMYFUNCTION("""COMPUTED_VALUE"""),"biswajit.dey@zupee.in")</f>
        <v>biswajit.dey@zupee.in</v>
      </c>
      <c r="I538" s="192" t="str">
        <f>IFERROR(__xludf.DUMMYFUNCTION("""COMPUTED_VALUE"""),"khushali.bagga@zupee.in: - Brand Marketing")</f>
        <v>khushali.bagga@zupee.in: - Brand Marketing</v>
      </c>
      <c r="J538" s="19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92"/>
      <c r="B539" s="192"/>
      <c r="C539" s="192"/>
      <c r="D539" s="192"/>
      <c r="E539" s="192"/>
      <c r="F539" s="192"/>
      <c r="G539" s="192" t="str">
        <f>IFERROR(__xludf.DUMMYFUNCTION("""COMPUTED_VALUE"""),"Chaitanya Kapoor")</f>
        <v>Chaitanya Kapoor</v>
      </c>
      <c r="H539" s="192" t="str">
        <f>IFERROR(__xludf.DUMMYFUNCTION("""COMPUTED_VALUE"""),"chaitanya.kapoor@zupee.in")</f>
        <v>chaitanya.kapoor@zupee.in</v>
      </c>
      <c r="I539" s="192" t="str">
        <f>IFERROR(__xludf.DUMMYFUNCTION("""COMPUTED_VALUE"""),"raman.malik@zupee.in: - Data")</f>
        <v>raman.malik@zupee.in: - Data</v>
      </c>
      <c r="J539" s="19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92"/>
      <c r="B540" s="192"/>
      <c r="C540" s="192"/>
      <c r="D540" s="192"/>
      <c r="E540" s="192"/>
      <c r="F540" s="192"/>
      <c r="G540" s="192" t="str">
        <f>IFERROR(__xludf.DUMMYFUNCTION("""COMPUTED_VALUE"""),"Daksh Tyagi")</f>
        <v>Daksh Tyagi</v>
      </c>
      <c r="H540" s="192" t="str">
        <f>IFERROR(__xludf.DUMMYFUNCTION("""COMPUTED_VALUE"""),"daksh.tyagi@zupee.in")</f>
        <v>daksh.tyagi@zupee.in</v>
      </c>
      <c r="I540" s="192" t="str">
        <f>IFERROR(__xludf.DUMMYFUNCTION("""COMPUTED_VALUE"""),"thomas.phillippe@zupee.in: - Legal")</f>
        <v>thomas.phillippe@zupee.in: - Legal</v>
      </c>
      <c r="J540" s="19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92"/>
      <c r="B541" s="192"/>
      <c r="C541" s="192"/>
      <c r="D541" s="192"/>
      <c r="E541" s="192"/>
      <c r="F541" s="192"/>
      <c r="G541" s="192" t="str">
        <f>IFERROR(__xludf.DUMMYFUNCTION("""COMPUTED_VALUE"""),"Deep Dwivedi")</f>
        <v>Deep Dwivedi</v>
      </c>
      <c r="H541" s="192" t="str">
        <f>IFERROR(__xludf.DUMMYFUNCTION("""COMPUTED_VALUE"""),"deep.dwivedi@zupee.in")</f>
        <v>deep.dwivedi@zupee.in</v>
      </c>
      <c r="I541" s="192" t="str">
        <f>IFERROR(__xludf.DUMMYFUNCTION("""COMPUTED_VALUE"""),"sairam.mushyam@zupee.in: - Data")</f>
        <v>sairam.mushyam@zupee.in: - Data</v>
      </c>
      <c r="J541" s="19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92"/>
      <c r="B542" s="192"/>
      <c r="C542" s="192"/>
      <c r="D542" s="192"/>
      <c r="E542" s="192"/>
      <c r="F542" s="192"/>
      <c r="G542" s="192" t="str">
        <f>IFERROR(__xludf.DUMMYFUNCTION("""COMPUTED_VALUE"""),"Deepak Singh Rawat")</f>
        <v>Deepak Singh Rawat</v>
      </c>
      <c r="H542" s="192" t="str">
        <f>IFERROR(__xludf.DUMMYFUNCTION("""COMPUTED_VALUE"""),"deepak.rawat@zupee.in")</f>
        <v>deepak.rawat@zupee.in</v>
      </c>
      <c r="I542" s="192" t="str">
        <f>IFERROR(__xludf.DUMMYFUNCTION("""COMPUTED_VALUE"""),"mohini.bhardwaj@zupee.in: - Customer Experience")</f>
        <v>mohini.bhardwaj@zupee.in: - Customer Experience</v>
      </c>
      <c r="J542" s="19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92"/>
      <c r="B543" s="192"/>
      <c r="C543" s="192"/>
      <c r="D543" s="192"/>
      <c r="E543" s="192"/>
      <c r="F543" s="192"/>
      <c r="G543" s="192" t="str">
        <f>IFERROR(__xludf.DUMMYFUNCTION("""COMPUTED_VALUE"""),"Deeplata Singh")</f>
        <v>Deeplata Singh</v>
      </c>
      <c r="H543" s="192" t="str">
        <f>IFERROR(__xludf.DUMMYFUNCTION("""COMPUTED_VALUE"""),"deeplata.singh@zupee.in")</f>
        <v>deeplata.singh@zupee.in</v>
      </c>
      <c r="I543" s="192" t="str">
        <f>IFERROR(__xludf.DUMMYFUNCTION("""COMPUTED_VALUE"""),"mritunjay.kumar@zupee.in: - Customer Experience")</f>
        <v>mritunjay.kumar@zupee.in: - Customer Experience</v>
      </c>
      <c r="J543" s="19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92"/>
      <c r="B544" s="192"/>
      <c r="C544" s="192"/>
      <c r="D544" s="192"/>
      <c r="E544" s="192"/>
      <c r="F544" s="192"/>
      <c r="G544" s="192" t="str">
        <f>IFERROR(__xludf.DUMMYFUNCTION("""COMPUTED_VALUE"""),"Dev Peshawari")</f>
        <v>Dev Peshawari</v>
      </c>
      <c r="H544" s="192" t="str">
        <f>IFERROR(__xludf.DUMMYFUNCTION("""COMPUTED_VALUE"""),"dev.peshawari@zupee.in")</f>
        <v>dev.peshawari@zupee.in</v>
      </c>
      <c r="I544" s="192" t="str">
        <f>IFERROR(__xludf.DUMMYFUNCTION("""COMPUTED_VALUE"""),"rahul.sharma@zupee.in: - Technology")</f>
        <v>rahul.sharma@zupee.in: - Technology</v>
      </c>
      <c r="J544" s="19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92"/>
      <c r="B545" s="192"/>
      <c r="C545" s="192"/>
      <c r="D545" s="192"/>
      <c r="E545" s="192"/>
      <c r="F545" s="192"/>
      <c r="G545" s="192" t="str">
        <f>IFERROR(__xludf.DUMMYFUNCTION("""COMPUTED_VALUE"""),"Dev Gupta")</f>
        <v>Dev Gupta</v>
      </c>
      <c r="H545" s="192" t="str">
        <f>IFERROR(__xludf.DUMMYFUNCTION("""COMPUTED_VALUE"""),"dev.gupta@zupee.in")</f>
        <v>dev.gupta@zupee.in</v>
      </c>
      <c r="I545" s="192" t="str">
        <f>IFERROR(__xludf.DUMMYFUNCTION("""COMPUTED_VALUE"""),"mritunjay.kumar@zupee.in: - Customer Experience")</f>
        <v>mritunjay.kumar@zupee.in: - Customer Experience</v>
      </c>
      <c r="J545" s="19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92"/>
      <c r="B546" s="192"/>
      <c r="C546" s="192"/>
      <c r="D546" s="192"/>
      <c r="E546" s="192"/>
      <c r="F546" s="192"/>
      <c r="G546" s="192" t="str">
        <f>IFERROR(__xludf.DUMMYFUNCTION("""COMPUTED_VALUE"""),"Dhanishtha Bansal")</f>
        <v>Dhanishtha Bansal</v>
      </c>
      <c r="H546" s="192" t="str">
        <f>IFERROR(__xludf.DUMMYFUNCTION("""COMPUTED_VALUE"""),"dhanishtha.bansal@zupee.in")</f>
        <v>dhanishtha.bansal@zupee.in</v>
      </c>
      <c r="I546" s="192" t="str">
        <f>IFERROR(__xludf.DUMMYFUNCTION("""COMPUTED_VALUE"""),"rahul.sharma@zupee.in: - Technology")</f>
        <v>rahul.sharma@zupee.in: - Technology</v>
      </c>
      <c r="J546" s="19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92"/>
      <c r="B547" s="192"/>
      <c r="C547" s="192"/>
      <c r="D547" s="192"/>
      <c r="E547" s="192"/>
      <c r="F547" s="192"/>
      <c r="G547" s="192" t="str">
        <f>IFERROR(__xludf.DUMMYFUNCTION("""COMPUTED_VALUE"""),"Diksha Verma")</f>
        <v>Diksha Verma</v>
      </c>
      <c r="H547" s="192" t="str">
        <f>IFERROR(__xludf.DUMMYFUNCTION("""COMPUTED_VALUE"""),"diksha.verma@zupee.in")</f>
        <v>diksha.verma@zupee.in</v>
      </c>
      <c r="I547" s="192" t="str">
        <f>IFERROR(__xludf.DUMMYFUNCTION("""COMPUTED_VALUE"""),"mritunjay.kumar@zupee.in: - Customer Experience")</f>
        <v>mritunjay.kumar@zupee.in: - Customer Experience</v>
      </c>
      <c r="J547" s="19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92"/>
      <c r="B548" s="192"/>
      <c r="C548" s="192"/>
      <c r="D548" s="192"/>
      <c r="E548" s="192"/>
      <c r="F548" s="192"/>
      <c r="G548" s="192" t="str">
        <f>IFERROR(__xludf.DUMMYFUNCTION("""COMPUTED_VALUE"""),"Divang Singh")</f>
        <v>Divang Singh</v>
      </c>
      <c r="H548" s="192" t="str">
        <f>IFERROR(__xludf.DUMMYFUNCTION("""COMPUTED_VALUE"""),"divang.singh@zupee.in")</f>
        <v>divang.singh@zupee.in</v>
      </c>
      <c r="I548" s="192" t="str">
        <f>IFERROR(__xludf.DUMMYFUNCTION("""COMPUTED_VALUE"""),"shivam.bali@zupee.in: - Customer Experience")</f>
        <v>shivam.bali@zupee.in: - Customer Experience</v>
      </c>
      <c r="J548" s="19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92"/>
      <c r="B549" s="192"/>
      <c r="C549" s="192"/>
      <c r="D549" s="192"/>
      <c r="E549" s="192"/>
      <c r="F549" s="192"/>
      <c r="G549" s="192" t="str">
        <f>IFERROR(__xludf.DUMMYFUNCTION("""COMPUTED_VALUE"""),"Divij Bhola")</f>
        <v>Divij Bhola</v>
      </c>
      <c r="H549" s="192" t="str">
        <f>IFERROR(__xludf.DUMMYFUNCTION("""COMPUTED_VALUE"""),"divij.bhola@zupee.in")</f>
        <v>divij.bhola@zupee.in</v>
      </c>
      <c r="I549" s="192" t="str">
        <f>IFERROR(__xludf.DUMMYFUNCTION("""COMPUTED_VALUE"""),"rohit.saini@zupee.in: - Technology")</f>
        <v>rohit.saini@zupee.in: - Technology</v>
      </c>
      <c r="J549" s="19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92"/>
      <c r="B550" s="192"/>
      <c r="C550" s="192"/>
      <c r="D550" s="192"/>
      <c r="E550" s="192"/>
      <c r="F550" s="192"/>
      <c r="G550" s="192" t="str">
        <f>IFERROR(__xludf.DUMMYFUNCTION("""COMPUTED_VALUE"""),"Divya Dhiman")</f>
        <v>Divya Dhiman</v>
      </c>
      <c r="H550" s="192" t="str">
        <f>IFERROR(__xludf.DUMMYFUNCTION("""COMPUTED_VALUE"""),"divya.dhiman@zupee.in")</f>
        <v>divya.dhiman@zupee.in</v>
      </c>
      <c r="I550" s="192" t="str">
        <f>IFERROR(__xludf.DUMMYFUNCTION("""COMPUTED_VALUE"""),"divya.khare@zupee.in: - Customer Experience")</f>
        <v>divya.khare@zupee.in: - Customer Experience</v>
      </c>
      <c r="J550" s="19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92"/>
      <c r="B551" s="192"/>
      <c r="C551" s="192"/>
      <c r="D551" s="192"/>
      <c r="E551" s="192"/>
      <c r="F551" s="192"/>
      <c r="G551" s="192" t="str">
        <f>IFERROR(__xludf.DUMMYFUNCTION("""COMPUTED_VALUE"""),"Divyansh Singh")</f>
        <v>Divyansh Singh</v>
      </c>
      <c r="H551" s="192" t="str">
        <f>IFERROR(__xludf.DUMMYFUNCTION("""COMPUTED_VALUE"""),"divyansh.singh@zupee.in")</f>
        <v>divyansh.singh@zupee.in</v>
      </c>
      <c r="I551" s="192" t="str">
        <f>IFERROR(__xludf.DUMMYFUNCTION("""COMPUTED_VALUE"""),"puneet.dhiman@zupee.in: - Technology")</f>
        <v>puneet.dhiman@zupee.in: - Technology</v>
      </c>
      <c r="J551" s="19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92"/>
      <c r="B552" s="192"/>
      <c r="C552" s="192"/>
      <c r="D552" s="192"/>
      <c r="E552" s="192"/>
      <c r="F552" s="192"/>
      <c r="G552" s="192" t="str">
        <f>IFERROR(__xludf.DUMMYFUNCTION("""COMPUTED_VALUE"""),"Gargi Singh Bhadu")</f>
        <v>Gargi Singh Bhadu</v>
      </c>
      <c r="H552" s="192" t="str">
        <f>IFERROR(__xludf.DUMMYFUNCTION("""COMPUTED_VALUE"""),"gargi.bhadu@zupee.in")</f>
        <v>gargi.bhadu@zupee.in</v>
      </c>
      <c r="I552" s="192" t="str">
        <f>IFERROR(__xludf.DUMMYFUNCTION("""COMPUTED_VALUE"""),"katha.tara@zupee.in: - Brand Marketing")</f>
        <v>katha.tara@zupee.in: - Brand Marketing</v>
      </c>
      <c r="J552" s="19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92"/>
      <c r="B553" s="192"/>
      <c r="C553" s="192"/>
      <c r="D553" s="192"/>
      <c r="E553" s="192"/>
      <c r="F553" s="192"/>
      <c r="G553" s="192" t="str">
        <f>IFERROR(__xludf.DUMMYFUNCTION("""COMPUTED_VALUE"""),"Gaurav Midda")</f>
        <v>Gaurav Midda</v>
      </c>
      <c r="H553" s="192" t="str">
        <f>IFERROR(__xludf.DUMMYFUNCTION("""COMPUTED_VALUE"""),"gaurav.midda@zupee.in")</f>
        <v>gaurav.midda@zupee.in</v>
      </c>
      <c r="I553" s="192" t="str">
        <f>IFERROR(__xludf.DUMMYFUNCTION("""COMPUTED_VALUE"""),"bishan.bhadra@zupee.in: - Data")</f>
        <v>bishan.bhadra@zupee.in: - Data</v>
      </c>
      <c r="J553" s="19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92"/>
      <c r="B554" s="192"/>
      <c r="C554" s="192"/>
      <c r="D554" s="192"/>
      <c r="E554" s="192"/>
      <c r="F554" s="192"/>
      <c r="G554" s="192" t="str">
        <f>IFERROR(__xludf.DUMMYFUNCTION("""COMPUTED_VALUE"""),"Gauri Menghani")</f>
        <v>Gauri Menghani</v>
      </c>
      <c r="H554" s="192" t="str">
        <f>IFERROR(__xludf.DUMMYFUNCTION("""COMPUTED_VALUE"""),"gauri.menghani@zupee.in")</f>
        <v>gauri.menghani@zupee.in</v>
      </c>
      <c r="I554" s="192" t="str">
        <f>IFERROR(__xludf.DUMMYFUNCTION("""COMPUTED_VALUE"""),"mritunjay.kumar@zupee.in: - Customer Experience")</f>
        <v>mritunjay.kumar@zupee.in: - Customer Experience</v>
      </c>
      <c r="J554" s="19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92"/>
      <c r="B555" s="192"/>
      <c r="C555" s="192"/>
      <c r="D555" s="192"/>
      <c r="E555" s="192"/>
      <c r="F555" s="192"/>
      <c r="G555" s="192" t="str">
        <f>IFERROR(__xludf.DUMMYFUNCTION("""COMPUTED_VALUE"""),"Goldee Arora")</f>
        <v>Goldee Arora</v>
      </c>
      <c r="H555" s="192" t="str">
        <f>IFERROR(__xludf.DUMMYFUNCTION("""COMPUTED_VALUE"""),"goldee.arora@zupee.in")</f>
        <v>goldee.arora@zupee.in</v>
      </c>
      <c r="I555" s="192" t="str">
        <f>IFERROR(__xludf.DUMMYFUNCTION("""COMPUTED_VALUE"""),"abhishek.gupta@zupee.in: - Technology")</f>
        <v>abhishek.gupta@zupee.in: - Technology</v>
      </c>
      <c r="J555" s="19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92"/>
      <c r="B556" s="192"/>
      <c r="C556" s="192"/>
      <c r="D556" s="192"/>
      <c r="E556" s="192"/>
      <c r="F556" s="192"/>
      <c r="G556" s="192" t="str">
        <f>IFERROR(__xludf.DUMMYFUNCTION("""COMPUTED_VALUE"""),"Gulshan Varshney")</f>
        <v>Gulshan Varshney</v>
      </c>
      <c r="H556" s="192" t="str">
        <f>IFERROR(__xludf.DUMMYFUNCTION("""COMPUTED_VALUE"""),"gulshan.varshney@zupee.in")</f>
        <v>gulshan.varshney@zupee.in</v>
      </c>
      <c r="I556" s="192" t="str">
        <f>IFERROR(__xludf.DUMMYFUNCTION("""COMPUTED_VALUE"""),"vishal.agarwal@zupee.in: - Technology")</f>
        <v>vishal.agarwal@zupee.in: - Technology</v>
      </c>
      <c r="J556" s="19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92"/>
      <c r="B557" s="192"/>
      <c r="C557" s="192"/>
      <c r="D557" s="192"/>
      <c r="E557" s="192"/>
      <c r="F557" s="192"/>
      <c r="G557" s="192" t="str">
        <f>IFERROR(__xludf.DUMMYFUNCTION("""COMPUTED_VALUE"""),"Gunn Bhargava")</f>
        <v>Gunn Bhargava</v>
      </c>
      <c r="H557" s="192" t="str">
        <f>IFERROR(__xludf.DUMMYFUNCTION("""COMPUTED_VALUE"""),"gunn.bhargava@zupee.in")</f>
        <v>gunn.bhargava@zupee.in</v>
      </c>
      <c r="I557" s="192" t="str">
        <f>IFERROR(__xludf.DUMMYFUNCTION("""COMPUTED_VALUE"""),"siddharth.monga@zupee.in: - Finance")</f>
        <v>siddharth.monga@zupee.in: - Finance</v>
      </c>
      <c r="J557" s="19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92"/>
      <c r="B558" s="192"/>
      <c r="C558" s="192"/>
      <c r="D558" s="192"/>
      <c r="E558" s="192"/>
      <c r="F558" s="192"/>
      <c r="G558" s="192" t="str">
        <f>IFERROR(__xludf.DUMMYFUNCTION("""COMPUTED_VALUE"""),"Gurchetan Singh")</f>
        <v>Gurchetan Singh</v>
      </c>
      <c r="H558" s="192" t="str">
        <f>IFERROR(__xludf.DUMMYFUNCTION("""COMPUTED_VALUE"""),"gurchetan.singh@zupee.in")</f>
        <v>gurchetan.singh@zupee.in</v>
      </c>
      <c r="I558" s="192" t="str">
        <f>IFERROR(__xludf.DUMMYFUNCTION("""COMPUTED_VALUE"""),"deep.dwivedi@zupee.in: - Data")</f>
        <v>deep.dwivedi@zupee.in: - Data</v>
      </c>
      <c r="J558" s="19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92"/>
      <c r="B559" s="192"/>
      <c r="C559" s="192"/>
      <c r="D559" s="192"/>
      <c r="E559" s="192"/>
      <c r="F559" s="192"/>
      <c r="G559" s="192" t="str">
        <f>IFERROR(__xludf.DUMMYFUNCTION("""COMPUTED_VALUE"""),"Harkirat Singh")</f>
        <v>Harkirat Singh</v>
      </c>
      <c r="H559" s="192" t="str">
        <f>IFERROR(__xludf.DUMMYFUNCTION("""COMPUTED_VALUE"""),"harkirat.singh@zupee.in")</f>
        <v>harkirat.singh@zupee.in</v>
      </c>
      <c r="I559" s="192" t="str">
        <f>IFERROR(__xludf.DUMMYFUNCTION("""COMPUTED_VALUE"""),"saurav.yadav@zupee.in: - Technology")</f>
        <v>saurav.yadav@zupee.in: - Technology</v>
      </c>
      <c r="J559" s="19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92"/>
      <c r="B560" s="192"/>
      <c r="C560" s="192"/>
      <c r="D560" s="192"/>
      <c r="E560" s="192"/>
      <c r="F560" s="192"/>
      <c r="G560" s="192" t="str">
        <f>IFERROR(__xludf.DUMMYFUNCTION("""COMPUTED_VALUE"""),"Harsh Raghuvanshi")</f>
        <v>Harsh Raghuvanshi</v>
      </c>
      <c r="H560" s="192" t="str">
        <f>IFERROR(__xludf.DUMMYFUNCTION("""COMPUTED_VALUE"""),"harsh.raghuvanshi@zupee.in")</f>
        <v>harsh.raghuvanshi@zupee.in</v>
      </c>
      <c r="I560" s="192" t="str">
        <f>IFERROR(__xludf.DUMMYFUNCTION("""COMPUTED_VALUE"""),"satya.vart@zupee.in: - Technology")</f>
        <v>satya.vart@zupee.in: - Technology</v>
      </c>
      <c r="J560" s="19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92"/>
      <c r="B561" s="192"/>
      <c r="C561" s="192"/>
      <c r="D561" s="192"/>
      <c r="E561" s="192"/>
      <c r="F561" s="192"/>
      <c r="G561" s="192" t="str">
        <f>IFERROR(__xludf.DUMMYFUNCTION("""COMPUTED_VALUE"""),"Harsh Anand")</f>
        <v>Harsh Anand</v>
      </c>
      <c r="H561" s="192" t="str">
        <f>IFERROR(__xludf.DUMMYFUNCTION("""COMPUTED_VALUE"""),"harsh.anand@zupee.in")</f>
        <v>harsh.anand@zupee.in</v>
      </c>
      <c r="I561" s="192" t="str">
        <f>IFERROR(__xludf.DUMMYFUNCTION("""COMPUTED_VALUE"""),"deep.dwivedi@zupee.in: - Data")</f>
        <v>deep.dwivedi@zupee.in: - Data</v>
      </c>
      <c r="J561" s="19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92"/>
      <c r="B562" s="192"/>
      <c r="C562" s="192"/>
      <c r="D562" s="192"/>
      <c r="E562" s="192"/>
      <c r="F562" s="192"/>
      <c r="G562" s="192" t="str">
        <f>IFERROR(__xludf.DUMMYFUNCTION("""COMPUTED_VALUE"""),"Harsh Yadav")</f>
        <v>Harsh Yadav</v>
      </c>
      <c r="H562" s="192" t="str">
        <f>IFERROR(__xludf.DUMMYFUNCTION("""COMPUTED_VALUE"""),"harsh.yadav@zupee.in")</f>
        <v>harsh.yadav@zupee.in</v>
      </c>
      <c r="I562" s="192" t="str">
        <f>IFERROR(__xludf.DUMMYFUNCTION("""COMPUTED_VALUE"""),"vishal.agarwal@zupee.in: - Technology")</f>
        <v>vishal.agarwal@zupee.in: - Technology</v>
      </c>
      <c r="J562" s="19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92"/>
      <c r="B563" s="192"/>
      <c r="C563" s="192"/>
      <c r="D563" s="192"/>
      <c r="E563" s="192"/>
      <c r="F563" s="192"/>
      <c r="G563" s="192" t="str">
        <f>IFERROR(__xludf.DUMMYFUNCTION("""COMPUTED_VALUE"""),"Harsh Mehta")</f>
        <v>Harsh Mehta</v>
      </c>
      <c r="H563" s="192" t="str">
        <f>IFERROR(__xludf.DUMMYFUNCTION("""COMPUTED_VALUE"""),"harsh.m@zupee.in")</f>
        <v>harsh.m@zupee.in</v>
      </c>
      <c r="I563" s="192" t="str">
        <f>IFERROR(__xludf.DUMMYFUNCTION("""COMPUTED_VALUE"""),"mrityunjay.k@zupee.in: - Customer Experience")</f>
        <v>mrityunjay.k@zupee.in: - Customer Experience</v>
      </c>
      <c r="J563" s="19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92"/>
      <c r="B564" s="192"/>
      <c r="C564" s="192"/>
      <c r="D564" s="192"/>
      <c r="E564" s="192"/>
      <c r="F564" s="192"/>
      <c r="G564" s="192" t="str">
        <f>IFERROR(__xludf.DUMMYFUNCTION("""COMPUTED_VALUE"""),"Harsh ratwaya")</f>
        <v>Harsh ratwaya</v>
      </c>
      <c r="H564" s="192" t="str">
        <f>IFERROR(__xludf.DUMMYFUNCTION("""COMPUTED_VALUE"""),"harsh.ratwaya@zupee.in")</f>
        <v>harsh.ratwaya@zupee.in</v>
      </c>
      <c r="I564" s="192" t="str">
        <f>IFERROR(__xludf.DUMMYFUNCTION("""COMPUTED_VALUE"""),"mrityunjay.k@zupee.in: - Customer Experience")</f>
        <v>mrityunjay.k@zupee.in: - Customer Experience</v>
      </c>
      <c r="J564" s="19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92"/>
      <c r="B565" s="192"/>
      <c r="C565" s="192"/>
      <c r="D565" s="192"/>
      <c r="E565" s="192"/>
      <c r="F565" s="192"/>
      <c r="G565" s="192" t="str">
        <f>IFERROR(__xludf.DUMMYFUNCTION("""COMPUTED_VALUE"""),"Harsh Thaplyal")</f>
        <v>Harsh Thaplyal</v>
      </c>
      <c r="H565" s="192" t="str">
        <f>IFERROR(__xludf.DUMMYFUNCTION("""COMPUTED_VALUE"""),"harsh.thaplyal@zupee.in")</f>
        <v>harsh.thaplyal@zupee.in</v>
      </c>
      <c r="I565" s="192" t="str">
        <f>IFERROR(__xludf.DUMMYFUNCTION("""COMPUTED_VALUE"""),"mohini.bhardwaj@zupee.in: - Customer Experience")</f>
        <v>mohini.bhardwaj@zupee.in: - Customer Experience</v>
      </c>
      <c r="J565" s="19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92"/>
      <c r="B566" s="192"/>
      <c r="C566" s="192"/>
      <c r="D566" s="192"/>
      <c r="E566" s="192"/>
      <c r="F566" s="192"/>
      <c r="G566" s="192" t="str">
        <f>IFERROR(__xludf.DUMMYFUNCTION("""COMPUTED_VALUE"""),"Harsha Nanwani")</f>
        <v>Harsha Nanwani</v>
      </c>
      <c r="H566" s="192" t="str">
        <f>IFERROR(__xludf.DUMMYFUNCTION("""COMPUTED_VALUE"""),"harsha.nanwani@zupee.in")</f>
        <v>harsha.nanwani@zupee.in</v>
      </c>
      <c r="I566" s="192" t="str">
        <f>IFERROR(__xludf.DUMMYFUNCTION("""COMPUTED_VALUE"""),"m.sangeetha@zupee.in: - Human Resources")</f>
        <v>m.sangeetha@zupee.in: - Human Resources</v>
      </c>
      <c r="J566" s="19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92"/>
      <c r="B567" s="192"/>
      <c r="C567" s="192"/>
      <c r="D567" s="192"/>
      <c r="E567" s="192"/>
      <c r="F567" s="192"/>
      <c r="G567" s="192" t="str">
        <f>IFERROR(__xludf.DUMMYFUNCTION("""COMPUTED_VALUE"""),"Hemant Dandotiya")</f>
        <v>Hemant Dandotiya</v>
      </c>
      <c r="H567" s="192" t="str">
        <f>IFERROR(__xludf.DUMMYFUNCTION("""COMPUTED_VALUE"""),"hemant.dandotiya@zupee.in")</f>
        <v>hemant.dandotiya@zupee.in</v>
      </c>
      <c r="I567" s="192" t="str">
        <f>IFERROR(__xludf.DUMMYFUNCTION("""COMPUTED_VALUE"""),"aarti.luthra@zupee.in: - Product Design")</f>
        <v>aarti.luthra@zupee.in: - Product Design</v>
      </c>
      <c r="J567" s="19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92"/>
      <c r="B568" s="192"/>
      <c r="C568" s="192"/>
      <c r="D568" s="192"/>
      <c r="E568" s="192"/>
      <c r="F568" s="192"/>
      <c r="G568" s="192" t="str">
        <f>IFERROR(__xludf.DUMMYFUNCTION("""COMPUTED_VALUE"""),"Himanshu Solanki")</f>
        <v>Himanshu Solanki</v>
      </c>
      <c r="H568" s="192" t="str">
        <f>IFERROR(__xludf.DUMMYFUNCTION("""COMPUTED_VALUE"""),"himanshu.solanki@zupee.in")</f>
        <v>himanshu.solanki@zupee.in</v>
      </c>
      <c r="I568" s="192" t="str">
        <f>IFERROR(__xludf.DUMMYFUNCTION("""COMPUTED_VALUE"""),"ritwika.rai@zupee.in: - Digital Marketing")</f>
        <v>ritwika.rai@zupee.in: - Digital Marketing</v>
      </c>
      <c r="J568" s="19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92"/>
      <c r="B569" s="192"/>
      <c r="C569" s="192"/>
      <c r="D569" s="192"/>
      <c r="E569" s="192"/>
      <c r="F569" s="192"/>
      <c r="G569" s="192" t="str">
        <f>IFERROR(__xludf.DUMMYFUNCTION("""COMPUTED_VALUE"""),"Himanshu Sharma")</f>
        <v>Himanshu Sharma</v>
      </c>
      <c r="H569" s="192" t="str">
        <f>IFERROR(__xludf.DUMMYFUNCTION("""COMPUTED_VALUE"""),"himanshu.sharma@zupee.in")</f>
        <v>himanshu.sharma@zupee.in</v>
      </c>
      <c r="I569" s="192" t="str">
        <f>IFERROR(__xludf.DUMMYFUNCTION("""COMPUTED_VALUE"""),"akshit.sharma@zupee.in: - Product Design")</f>
        <v>akshit.sharma@zupee.in: - Product Design</v>
      </c>
      <c r="J569" s="19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92"/>
      <c r="B570" s="192"/>
      <c r="C570" s="192"/>
      <c r="D570" s="192"/>
      <c r="E570" s="192"/>
      <c r="F570" s="192"/>
      <c r="G570" s="192" t="str">
        <f>IFERROR(__xludf.DUMMYFUNCTION("""COMPUTED_VALUE"""),"Hitesh Kwatra")</f>
        <v>Hitesh Kwatra</v>
      </c>
      <c r="H570" s="192" t="str">
        <f>IFERROR(__xludf.DUMMYFUNCTION("""COMPUTED_VALUE"""),"hitesh.kwatra@zupee.in")</f>
        <v>hitesh.kwatra@zupee.in</v>
      </c>
      <c r="I570" s="192" t="str">
        <f>IFERROR(__xludf.DUMMYFUNCTION("""COMPUTED_VALUE"""),"amit.garg@zupee.in: - Technology")</f>
        <v>amit.garg@zupee.in: - Technology</v>
      </c>
      <c r="J570" s="19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92"/>
      <c r="B571" s="192"/>
      <c r="C571" s="192"/>
      <c r="D571" s="192"/>
      <c r="E571" s="192"/>
      <c r="F571" s="192"/>
      <c r="G571" s="192" t="str">
        <f>IFERROR(__xludf.DUMMYFUNCTION("""COMPUTED_VALUE"""),"Hritik Garg")</f>
        <v>Hritik Garg</v>
      </c>
      <c r="H571" s="192" t="str">
        <f>IFERROR(__xludf.DUMMYFUNCTION("""COMPUTED_VALUE"""),"hritik.garg@zupee.in")</f>
        <v>hritik.garg@zupee.in</v>
      </c>
      <c r="I571" s="192" t="str">
        <f>IFERROR(__xludf.DUMMYFUNCTION("""COMPUTED_VALUE"""),"raman.malik@zupee.in: - Data")</f>
        <v>raman.malik@zupee.in: - Data</v>
      </c>
      <c r="J571" s="19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92"/>
      <c r="B572" s="192"/>
      <c r="C572" s="192"/>
      <c r="D572" s="192"/>
      <c r="E572" s="192"/>
      <c r="F572" s="192"/>
      <c r="G572" s="192" t="str">
        <f>IFERROR(__xludf.DUMMYFUNCTION("""COMPUTED_VALUE"""),"Iqra Islam")</f>
        <v>Iqra Islam</v>
      </c>
      <c r="H572" s="192" t="str">
        <f>IFERROR(__xludf.DUMMYFUNCTION("""COMPUTED_VALUE"""),"iqra.islam@zupee.in")</f>
        <v>iqra.islam@zupee.in</v>
      </c>
      <c r="I572" s="192" t="str">
        <f>IFERROR(__xludf.DUMMYFUNCTION("""COMPUTED_VALUE"""),"shivam.bali@zupee.in: - Customer Experience")</f>
        <v>shivam.bali@zupee.in: - Customer Experience</v>
      </c>
      <c r="J572" s="19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92"/>
      <c r="B573" s="192"/>
      <c r="C573" s="192"/>
      <c r="D573" s="192"/>
      <c r="E573" s="192"/>
      <c r="F573" s="192"/>
      <c r="G573" s="192" t="str">
        <f>IFERROR(__xludf.DUMMYFUNCTION("""COMPUTED_VALUE"""),"Ishpreet Singh")</f>
        <v>Ishpreet Singh</v>
      </c>
      <c r="H573" s="192" t="str">
        <f>IFERROR(__xludf.DUMMYFUNCTION("""COMPUTED_VALUE"""),"ishpreet.singh@zupee.in")</f>
        <v>ishpreet.singh@zupee.in</v>
      </c>
      <c r="I573" s="192" t="str">
        <f>IFERROR(__xludf.DUMMYFUNCTION("""COMPUTED_VALUE"""),"shivam.bali@zupee.in: - Customer Experience")</f>
        <v>shivam.bali@zupee.in: - Customer Experience</v>
      </c>
      <c r="J573" s="19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92"/>
      <c r="B574" s="192"/>
      <c r="C574" s="192"/>
      <c r="D574" s="192"/>
      <c r="E574" s="192"/>
      <c r="F574" s="192"/>
      <c r="G574" s="192" t="str">
        <f>IFERROR(__xludf.DUMMYFUNCTION("""COMPUTED_VALUE"""),"Iteshree Ipsita")</f>
        <v>Iteshree Ipsita</v>
      </c>
      <c r="H574" s="192" t="str">
        <f>IFERROR(__xludf.DUMMYFUNCTION("""COMPUTED_VALUE"""),"iteshree.ipsita@zupee.in")</f>
        <v>iteshree.ipsita@zupee.in</v>
      </c>
      <c r="I574" s="192" t="str">
        <f>IFERROR(__xludf.DUMMYFUNCTION("""COMPUTED_VALUE"""),"mritunjay.kumar@zupee.in: - Customer Experience")</f>
        <v>mritunjay.kumar@zupee.in: - Customer Experience</v>
      </c>
      <c r="J574" s="19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92"/>
      <c r="B575" s="192"/>
      <c r="C575" s="192"/>
      <c r="D575" s="192"/>
      <c r="E575" s="192"/>
      <c r="F575" s="192"/>
      <c r="G575" s="192" t="str">
        <f>IFERROR(__xludf.DUMMYFUNCTION("""COMPUTED_VALUE"""),"Janvi Rajpoot")</f>
        <v>Janvi Rajpoot</v>
      </c>
      <c r="H575" s="192" t="str">
        <f>IFERROR(__xludf.DUMMYFUNCTION("""COMPUTED_VALUE"""),"janvi.rajpoot@zupee.in")</f>
        <v>janvi.rajpoot@zupee.in</v>
      </c>
      <c r="I575" s="192" t="str">
        <f>IFERROR(__xludf.DUMMYFUNCTION("""COMPUTED_VALUE"""),"mritunjay.kumar@zupee.in: - Customer Experience")</f>
        <v>mritunjay.kumar@zupee.in: - Customer Experience</v>
      </c>
      <c r="J575" s="19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92"/>
      <c r="B576" s="192"/>
      <c r="C576" s="192"/>
      <c r="D576" s="192"/>
      <c r="E576" s="192"/>
      <c r="F576" s="192"/>
      <c r="G576" s="192" t="str">
        <f>IFERROR(__xludf.DUMMYFUNCTION("""COMPUTED_VALUE"""),"Jasleen Kaur")</f>
        <v>Jasleen Kaur</v>
      </c>
      <c r="H576" s="192" t="str">
        <f>IFERROR(__xludf.DUMMYFUNCTION("""COMPUTED_VALUE"""),"jasleen.kaur@zupee.in")</f>
        <v>jasleen.kaur@zupee.in</v>
      </c>
      <c r="I576" s="192" t="str">
        <f>IFERROR(__xludf.DUMMYFUNCTION("""COMPUTED_VALUE"""),"mrityunjay.k@zupee.in: - Customer Experience")</f>
        <v>mrityunjay.k@zupee.in: - Customer Experience</v>
      </c>
      <c r="J576" s="19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92"/>
      <c r="B577" s="192"/>
      <c r="C577" s="192"/>
      <c r="D577" s="192"/>
      <c r="E577" s="192"/>
      <c r="F577" s="192"/>
      <c r="G577" s="192" t="str">
        <f>IFERROR(__xludf.DUMMYFUNCTION("""COMPUTED_VALUE"""),"Jeevan Kumar Singla")</f>
        <v>Jeevan Kumar Singla</v>
      </c>
      <c r="H577" s="192" t="str">
        <f>IFERROR(__xludf.DUMMYFUNCTION("""COMPUTED_VALUE"""),"jeevan.singla@zupee.in")</f>
        <v>jeevan.singla@zupee.in</v>
      </c>
      <c r="I577" s="192" t="str">
        <f>IFERROR(__xludf.DUMMYFUNCTION("""COMPUTED_VALUE"""),"anuj.baghel@zupee.in: - Technology")</f>
        <v>anuj.baghel@zupee.in: - Technology</v>
      </c>
      <c r="J577" s="19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92"/>
      <c r="B578" s="192"/>
      <c r="C578" s="192"/>
      <c r="D578" s="192"/>
      <c r="E578" s="192"/>
      <c r="F578" s="192"/>
      <c r="G578" s="192" t="str">
        <f>IFERROR(__xludf.DUMMYFUNCTION("""COMPUTED_VALUE"""),"Jitendra Rawat")</f>
        <v>Jitendra Rawat</v>
      </c>
      <c r="H578" s="192" t="str">
        <f>IFERROR(__xludf.DUMMYFUNCTION("""COMPUTED_VALUE"""),"jitendra.rawat@zupee.in")</f>
        <v>jitendra.rawat@zupee.in</v>
      </c>
      <c r="I578" s="192" t="str">
        <f>IFERROR(__xludf.DUMMYFUNCTION("""COMPUTED_VALUE"""),"nishant.jaiswal@zupee.in: - Digital Marketing")</f>
        <v>nishant.jaiswal@zupee.in: - Digital Marketing</v>
      </c>
      <c r="J578" s="19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92"/>
      <c r="B579" s="192"/>
      <c r="C579" s="192"/>
      <c r="D579" s="192"/>
      <c r="E579" s="192"/>
      <c r="F579" s="192"/>
      <c r="G579" s="192" t="str">
        <f>IFERROR(__xludf.DUMMYFUNCTION("""COMPUTED_VALUE"""),"Jitesh Suneja")</f>
        <v>Jitesh Suneja</v>
      </c>
      <c r="H579" s="192" t="str">
        <f>IFERROR(__xludf.DUMMYFUNCTION("""COMPUTED_VALUE"""),"jitesh.suneja@zupee.in")</f>
        <v>jitesh.suneja@zupee.in</v>
      </c>
      <c r="I579" s="192" t="str">
        <f>IFERROR(__xludf.DUMMYFUNCTION("""COMPUTED_VALUE"""),"rahul.satija@zupee.in: - Finance")</f>
        <v>rahul.satija@zupee.in: - Finance</v>
      </c>
      <c r="J579" s="19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92"/>
      <c r="B580" s="192"/>
      <c r="C580" s="192"/>
      <c r="D580" s="192"/>
      <c r="E580" s="192"/>
      <c r="F580" s="192"/>
      <c r="G580" s="192" t="str">
        <f>IFERROR(__xludf.DUMMYFUNCTION("""COMPUTED_VALUE"""),"Jyoti Singh")</f>
        <v>Jyoti Singh</v>
      </c>
      <c r="H580" s="192" t="str">
        <f>IFERROR(__xludf.DUMMYFUNCTION("""COMPUTED_VALUE"""),"jyoti.singh@zupee.in")</f>
        <v>jyoti.singh@zupee.in</v>
      </c>
      <c r="I580" s="192" t="str">
        <f>IFERROR(__xludf.DUMMYFUNCTION("""COMPUTED_VALUE"""),"vishal.agarwal@zupee.in: - Technology")</f>
        <v>vishal.agarwal@zupee.in: - Technology</v>
      </c>
      <c r="J580" s="19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92"/>
      <c r="B581" s="192"/>
      <c r="C581" s="192"/>
      <c r="D581" s="192"/>
      <c r="E581" s="192"/>
      <c r="F581" s="192"/>
      <c r="G581" s="192" t="str">
        <f>IFERROR(__xludf.DUMMYFUNCTION("""COMPUTED_VALUE"""),"Kailash Lalta")</f>
        <v>Kailash Lalta</v>
      </c>
      <c r="H581" s="192" t="str">
        <f>IFERROR(__xludf.DUMMYFUNCTION("""COMPUTED_VALUE"""),"kailash.lalta@zupee.in")</f>
        <v>kailash.lalta@zupee.in</v>
      </c>
      <c r="I581" s="192" t="str">
        <f>IFERROR(__xludf.DUMMYFUNCTION("""COMPUTED_VALUE"""),"mritunjay.kumar@zupee.in: - Customer Experience")</f>
        <v>mritunjay.kumar@zupee.in: - Customer Experience</v>
      </c>
      <c r="J581" s="19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92"/>
      <c r="B582" s="192"/>
      <c r="C582" s="192"/>
      <c r="D582" s="192"/>
      <c r="E582" s="192"/>
      <c r="F582" s="192"/>
      <c r="G582" s="192" t="str">
        <f>IFERROR(__xludf.DUMMYFUNCTION("""COMPUTED_VALUE"""),"Kailash Chand")</f>
        <v>Kailash Chand</v>
      </c>
      <c r="H582" s="192" t="str">
        <f>IFERROR(__xludf.DUMMYFUNCTION("""COMPUTED_VALUE"""),"kailash.chand@zupee.in")</f>
        <v>kailash.chand@zupee.in</v>
      </c>
      <c r="I582" s="192" t="str">
        <f>IFERROR(__xludf.DUMMYFUNCTION("""COMPUTED_VALUE"""),"pavit.batra@zupee.in: - Finance")</f>
        <v>pavit.batra@zupee.in: - Finance</v>
      </c>
      <c r="J582" s="19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92"/>
      <c r="B583" s="192"/>
      <c r="C583" s="192"/>
      <c r="D583" s="192"/>
      <c r="E583" s="192"/>
      <c r="F583" s="192"/>
      <c r="G583" s="192" t="str">
        <f>IFERROR(__xludf.DUMMYFUNCTION("""COMPUTED_VALUE"""),"Karan Goyal")</f>
        <v>Karan Goyal</v>
      </c>
      <c r="H583" s="192" t="str">
        <f>IFERROR(__xludf.DUMMYFUNCTION("""COMPUTED_VALUE"""),"karan.goyal@zupee.in")</f>
        <v>karan.goyal@zupee.in</v>
      </c>
      <c r="I583" s="192" t="str">
        <f>IFERROR(__xludf.DUMMYFUNCTION("""COMPUTED_VALUE"""),"maneesha.negi@zupee.in: - Product")</f>
        <v>maneesha.negi@zupee.in: - Product</v>
      </c>
      <c r="J583" s="19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92"/>
      <c r="B584" s="192"/>
      <c r="C584" s="192"/>
      <c r="D584" s="192"/>
      <c r="E584" s="192"/>
      <c r="F584" s="192"/>
      <c r="G584" s="192" t="str">
        <f>IFERROR(__xludf.DUMMYFUNCTION("""COMPUTED_VALUE"""),"Karan Aggarwal")</f>
        <v>Karan Aggarwal</v>
      </c>
      <c r="H584" s="192" t="str">
        <f>IFERROR(__xludf.DUMMYFUNCTION("""COMPUTED_VALUE"""),"karan.aggarwal@zupee.in")</f>
        <v>karan.aggarwal@zupee.in</v>
      </c>
      <c r="I584" s="192" t="str">
        <f>IFERROR(__xludf.DUMMYFUNCTION("""COMPUTED_VALUE"""),"dilsher.malhi@zupee.in: - Strategy")</f>
        <v>dilsher.malhi@zupee.in: - Strategy</v>
      </c>
      <c r="J584" s="19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92"/>
      <c r="B585" s="192"/>
      <c r="C585" s="192"/>
      <c r="D585" s="192"/>
      <c r="E585" s="192"/>
      <c r="F585" s="192"/>
      <c r="G585" s="192" t="str">
        <f>IFERROR(__xludf.DUMMYFUNCTION("""COMPUTED_VALUE"""),"Kashish Nagpal")</f>
        <v>Kashish Nagpal</v>
      </c>
      <c r="H585" s="192" t="str">
        <f>IFERROR(__xludf.DUMMYFUNCTION("""COMPUTED_VALUE"""),"kashish.nagpal@zupee.in")</f>
        <v>kashish.nagpal@zupee.in</v>
      </c>
      <c r="I585" s="192" t="str">
        <f>IFERROR(__xludf.DUMMYFUNCTION("""COMPUTED_VALUE"""),"mrityunjay.k@zupee.in: - Customer Experience")</f>
        <v>mrityunjay.k@zupee.in: - Customer Experience</v>
      </c>
      <c r="J585" s="19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92"/>
      <c r="B586" s="192"/>
      <c r="C586" s="192"/>
      <c r="D586" s="192"/>
      <c r="E586" s="192"/>
      <c r="F586" s="192"/>
      <c r="G586" s="192" t="str">
        <f>IFERROR(__xludf.DUMMYFUNCTION("""COMPUTED_VALUE"""),"Kashish Rathore")</f>
        <v>Kashish Rathore</v>
      </c>
      <c r="H586" s="192" t="str">
        <f>IFERROR(__xludf.DUMMYFUNCTION("""COMPUTED_VALUE"""),"kashish.rathore@zupee.in")</f>
        <v>kashish.rathore@zupee.in</v>
      </c>
      <c r="I586" s="192" t="str">
        <f>IFERROR(__xludf.DUMMYFUNCTION("""COMPUTED_VALUE"""),"pankaj.gautam@zupee.in: - Data")</f>
        <v>pankaj.gautam@zupee.in: - Data</v>
      </c>
      <c r="J586" s="19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92"/>
      <c r="B587" s="192"/>
      <c r="C587" s="192"/>
      <c r="D587" s="192"/>
      <c r="E587" s="192"/>
      <c r="F587" s="192"/>
      <c r="G587" s="192" t="str">
        <f>IFERROR(__xludf.DUMMYFUNCTION("""COMPUTED_VALUE"""),"Keshav Khatri")</f>
        <v>Keshav Khatri</v>
      </c>
      <c r="H587" s="192" t="str">
        <f>IFERROR(__xludf.DUMMYFUNCTION("""COMPUTED_VALUE"""),"keshav.khatri@zupee.in")</f>
        <v>keshav.khatri@zupee.in</v>
      </c>
      <c r="I587" s="192" t="str">
        <f>IFERROR(__xludf.DUMMYFUNCTION("""COMPUTED_VALUE"""),"hitesh.vats@zupee.in: - Finance")</f>
        <v>hitesh.vats@zupee.in: - Finance</v>
      </c>
      <c r="J587" s="19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92"/>
      <c r="B588" s="192"/>
      <c r="C588" s="192"/>
      <c r="D588" s="192"/>
      <c r="E588" s="192"/>
      <c r="F588" s="192"/>
      <c r="G588" s="192" t="str">
        <f>IFERROR(__xludf.DUMMYFUNCTION("""COMPUTED_VALUE"""),"Khushboo Chopra")</f>
        <v>Khushboo Chopra</v>
      </c>
      <c r="H588" s="192" t="str">
        <f>IFERROR(__xludf.DUMMYFUNCTION("""COMPUTED_VALUE"""),"khushboo.chopra@zupee.in")</f>
        <v>khushboo.chopra@zupee.in</v>
      </c>
      <c r="I588" s="192" t="str">
        <f>IFERROR(__xludf.DUMMYFUNCTION("""COMPUTED_VALUE"""),"katha.tara@zupee.in: - Brand Marketing")</f>
        <v>katha.tara@zupee.in: - Brand Marketing</v>
      </c>
      <c r="J588" s="19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92"/>
      <c r="B589" s="192"/>
      <c r="C589" s="192"/>
      <c r="D589" s="192"/>
      <c r="E589" s="192"/>
      <c r="F589" s="192"/>
      <c r="G589" s="192" t="str">
        <f>IFERROR(__xludf.DUMMYFUNCTION("""COMPUTED_VALUE"""),"Khushboo Yadav")</f>
        <v>Khushboo Yadav</v>
      </c>
      <c r="H589" s="192" t="str">
        <f>IFERROR(__xludf.DUMMYFUNCTION("""COMPUTED_VALUE"""),"khushboo.yadav@zupee.in")</f>
        <v>khushboo.yadav@zupee.in</v>
      </c>
      <c r="I589" s="192" t="str">
        <f>IFERROR(__xludf.DUMMYFUNCTION("""COMPUTED_VALUE"""),"mrityunjay.k@zupee.in: - Customer Experience")</f>
        <v>mrityunjay.k@zupee.in: - Customer Experience</v>
      </c>
      <c r="J589" s="19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92"/>
      <c r="B590" s="192"/>
      <c r="C590" s="192"/>
      <c r="D590" s="192"/>
      <c r="E590" s="192"/>
      <c r="F590" s="192"/>
      <c r="G590" s="192" t="str">
        <f>IFERROR(__xludf.DUMMYFUNCTION("""COMPUTED_VALUE"""),"Kirtesh Paliwal")</f>
        <v>Kirtesh Paliwal</v>
      </c>
      <c r="H590" s="192" t="str">
        <f>IFERROR(__xludf.DUMMYFUNCTION("""COMPUTED_VALUE"""),"kirtesh.paliwal@zupee.in")</f>
        <v>kirtesh.paliwal@zupee.in</v>
      </c>
      <c r="I590" s="192" t="str">
        <f>IFERROR(__xludf.DUMMYFUNCTION("""COMPUTED_VALUE"""),"vishal.agarwal@zupee.in: - Technology")</f>
        <v>vishal.agarwal@zupee.in: - Technology</v>
      </c>
      <c r="J590" s="19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92"/>
      <c r="B591" s="192"/>
      <c r="C591" s="192"/>
      <c r="D591" s="192"/>
      <c r="E591" s="192"/>
      <c r="F591" s="192"/>
      <c r="G591" s="192" t="str">
        <f>IFERROR(__xludf.DUMMYFUNCTION("""COMPUTED_VALUE"""),"Kishan Singh")</f>
        <v>Kishan Singh</v>
      </c>
      <c r="H591" s="192" t="str">
        <f>IFERROR(__xludf.DUMMYFUNCTION("""COMPUTED_VALUE"""),"kishan.singh@zupee.in")</f>
        <v>kishan.singh@zupee.in</v>
      </c>
      <c r="I591" s="192" t="str">
        <f>IFERROR(__xludf.DUMMYFUNCTION("""COMPUTED_VALUE"""),"mrityunjay.k@zupee.in: - Customer Experience")</f>
        <v>mrityunjay.k@zupee.in: - Customer Experience</v>
      </c>
      <c r="J591" s="19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92"/>
      <c r="B592" s="192"/>
      <c r="C592" s="192"/>
      <c r="D592" s="192"/>
      <c r="E592" s="192"/>
      <c r="F592" s="192"/>
      <c r="G592" s="192" t="str">
        <f>IFERROR(__xludf.DUMMYFUNCTION("""COMPUTED_VALUE"""),"KS Chetan")</f>
        <v>KS Chetan</v>
      </c>
      <c r="H592" s="192" t="str">
        <f>IFERROR(__xludf.DUMMYFUNCTION("""COMPUTED_VALUE"""),"ks.chetan@zupee.in")</f>
        <v>ks.chetan@zupee.in</v>
      </c>
      <c r="I592" s="192" t="str">
        <f>IFERROR(__xludf.DUMMYFUNCTION("""COMPUTED_VALUE"""),"vishal.agarwal@zupee.in: - Technology")</f>
        <v>vishal.agarwal@zupee.in: - Technology</v>
      </c>
      <c r="J592" s="19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92"/>
      <c r="B593" s="192"/>
      <c r="C593" s="192"/>
      <c r="D593" s="192"/>
      <c r="E593" s="192"/>
      <c r="F593" s="192"/>
      <c r="G593" s="192" t="str">
        <f>IFERROR(__xludf.DUMMYFUNCTION("""COMPUTED_VALUE"""),"Lakshya Jain")</f>
        <v>Lakshya Jain</v>
      </c>
      <c r="H593" s="192" t="str">
        <f>IFERROR(__xludf.DUMMYFUNCTION("""COMPUTED_VALUE"""),"lakshya.jain@zupee.in")</f>
        <v>lakshya.jain@zupee.in</v>
      </c>
      <c r="I593" s="192" t="str">
        <f>IFERROR(__xludf.DUMMYFUNCTION("""COMPUTED_VALUE"""),"eeshma.anand@zupee.in: - Product")</f>
        <v>eeshma.anand@zupee.in: - Product</v>
      </c>
      <c r="J593" s="19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92"/>
      <c r="B594" s="192"/>
      <c r="C594" s="192"/>
      <c r="D594" s="192"/>
      <c r="E594" s="192"/>
      <c r="F594" s="192"/>
      <c r="G594" s="192" t="str">
        <f>IFERROR(__xludf.DUMMYFUNCTION("""COMPUTED_VALUE"""),"Lalit Jadli")</f>
        <v>Lalit Jadli</v>
      </c>
      <c r="H594" s="192" t="str">
        <f>IFERROR(__xludf.DUMMYFUNCTION("""COMPUTED_VALUE"""),"lalit.jadli@zupee.in")</f>
        <v>lalit.jadli@zupee.in</v>
      </c>
      <c r="I594" s="192" t="str">
        <f>IFERROR(__xludf.DUMMYFUNCTION("""COMPUTED_VALUE"""),"sanjeev.kumar@zupee.in: - Customer Experience")</f>
        <v>sanjeev.kumar@zupee.in: - Customer Experience</v>
      </c>
      <c r="J594" s="19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92"/>
      <c r="B595" s="192"/>
      <c r="C595" s="192"/>
      <c r="D595" s="192"/>
      <c r="E595" s="192"/>
      <c r="F595" s="192"/>
      <c r="G595" s="192" t="str">
        <f>IFERROR(__xludf.DUMMYFUNCTION("""COMPUTED_VALUE"""),"Lokesh Gawande")</f>
        <v>Lokesh Gawande</v>
      </c>
      <c r="H595" s="192" t="str">
        <f>IFERROR(__xludf.DUMMYFUNCTION("""COMPUTED_VALUE"""),"lokesh.gawande@zupee.in")</f>
        <v>lokesh.gawande@zupee.in</v>
      </c>
      <c r="I595" s="192" t="str">
        <f>IFERROR(__xludf.DUMMYFUNCTION("""COMPUTED_VALUE"""),"sahil.puri@zupee.in: - Technology")</f>
        <v>sahil.puri@zupee.in: - Technology</v>
      </c>
      <c r="J595" s="19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92"/>
      <c r="B596" s="192"/>
      <c r="C596" s="192"/>
      <c r="D596" s="192"/>
      <c r="E596" s="192"/>
      <c r="F596" s="192"/>
      <c r="G596" s="192" t="str">
        <f>IFERROR(__xludf.DUMMYFUNCTION("""COMPUTED_VALUE"""),"Lucky Singh - Jindal")</f>
        <v>Lucky Singh - Jindal</v>
      </c>
      <c r="H596" s="192" t="str">
        <f>IFERROR(__xludf.DUMMYFUNCTION("""COMPUTED_VALUE"""),"lucky.singh@zupee.in")</f>
        <v>lucky.singh@zupee.in</v>
      </c>
      <c r="I596" s="192" t="str">
        <f>IFERROR(__xludf.DUMMYFUNCTION("""COMPUTED_VALUE"""),"mohini.bhardwaj@zupee.in: - Customer Experience")</f>
        <v>mohini.bhardwaj@zupee.in: - Customer Experience</v>
      </c>
      <c r="J596" s="19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92"/>
      <c r="B597" s="192"/>
      <c r="C597" s="192"/>
      <c r="D597" s="192"/>
      <c r="E597" s="192"/>
      <c r="F597" s="192"/>
      <c r="G597" s="192" t="str">
        <f>IFERROR(__xludf.DUMMYFUNCTION("""COMPUTED_VALUE"""),"Madhurika Nayak")</f>
        <v>Madhurika Nayak</v>
      </c>
      <c r="H597" s="192" t="str">
        <f>IFERROR(__xludf.DUMMYFUNCTION("""COMPUTED_VALUE"""),"madhurika.nayak@zupee.in")</f>
        <v>madhurika.nayak@zupee.in</v>
      </c>
      <c r="I597" s="192" t="str">
        <f>IFERROR(__xludf.DUMMYFUNCTION("""COMPUTED_VALUE"""),"vishal.agarwal@zupee.in: - Technology")</f>
        <v>vishal.agarwal@zupee.in: - Technology</v>
      </c>
      <c r="J597" s="19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92"/>
      <c r="B598" s="192"/>
      <c r="C598" s="192"/>
      <c r="D598" s="192"/>
      <c r="E598" s="192"/>
      <c r="F598" s="192"/>
      <c r="G598" s="192" t="str">
        <f>IFERROR(__xludf.DUMMYFUNCTION("""COMPUTED_VALUE"""),"Mamta Pandey")</f>
        <v>Mamta Pandey</v>
      </c>
      <c r="H598" s="192" t="str">
        <f>IFERROR(__xludf.DUMMYFUNCTION("""COMPUTED_VALUE"""),"mamta.pandey@zupee.in")</f>
        <v>mamta.pandey@zupee.in</v>
      </c>
      <c r="I598" s="192" t="str">
        <f>IFERROR(__xludf.DUMMYFUNCTION("""COMPUTED_VALUE"""),"rajneesh.yadav@zupee.in: - Human Resources")</f>
        <v>rajneesh.yadav@zupee.in: - Human Resources</v>
      </c>
      <c r="J598" s="19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92"/>
      <c r="B599" s="192"/>
      <c r="C599" s="192"/>
      <c r="D599" s="192"/>
      <c r="E599" s="192"/>
      <c r="F599" s="192"/>
      <c r="G599" s="192" t="str">
        <f>IFERROR(__xludf.DUMMYFUNCTION("""COMPUTED_VALUE"""),"Manas Singh")</f>
        <v>Manas Singh</v>
      </c>
      <c r="H599" s="192" t="str">
        <f>IFERROR(__xludf.DUMMYFUNCTION("""COMPUTED_VALUE"""),"manas.singh@zupee.in")</f>
        <v>manas.singh@zupee.in</v>
      </c>
      <c r="I599" s="192" t="str">
        <f>IFERROR(__xludf.DUMMYFUNCTION("""COMPUTED_VALUE"""),"abhishek.gupta@zupee.in: - Technology")</f>
        <v>abhishek.gupta@zupee.in: - Technology</v>
      </c>
      <c r="J599" s="19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92"/>
      <c r="B600" s="192"/>
      <c r="C600" s="192"/>
      <c r="D600" s="192"/>
      <c r="E600" s="192"/>
      <c r="F600" s="192"/>
      <c r="G600" s="192" t="str">
        <f>IFERROR(__xludf.DUMMYFUNCTION("""COMPUTED_VALUE"""),"Manjot Juyal")</f>
        <v>Manjot Juyal</v>
      </c>
      <c r="H600" s="192" t="str">
        <f>IFERROR(__xludf.DUMMYFUNCTION("""COMPUTED_VALUE"""),"manjot.juyal@zupee.in")</f>
        <v>manjot.juyal@zupee.in</v>
      </c>
      <c r="I600" s="192" t="str">
        <f>IFERROR(__xludf.DUMMYFUNCTION("""COMPUTED_VALUE"""),"katha.tara@zupee.in: - Brand Marketing")</f>
        <v>katha.tara@zupee.in: - Brand Marketing</v>
      </c>
      <c r="J600" s="19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92"/>
      <c r="B601" s="192"/>
      <c r="C601" s="192"/>
      <c r="D601" s="192"/>
      <c r="E601" s="192"/>
      <c r="F601" s="192"/>
      <c r="G601" s="192" t="str">
        <f>IFERROR(__xludf.DUMMYFUNCTION("""COMPUTED_VALUE"""),"Manoj M")</f>
        <v>Manoj M</v>
      </c>
      <c r="H601" s="192" t="str">
        <f>IFERROR(__xludf.DUMMYFUNCTION("""COMPUTED_VALUE"""),"manoj.m@zupee.in")</f>
        <v>manoj.m@zupee.in</v>
      </c>
      <c r="I601" s="192" t="str">
        <f>IFERROR(__xludf.DUMMYFUNCTION("""COMPUTED_VALUE"""),"vishal.agarwal@zupee.in: - Technology")</f>
        <v>vishal.agarwal@zupee.in: - Technology</v>
      </c>
      <c r="J601" s="19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92"/>
      <c r="B602" s="192"/>
      <c r="C602" s="192"/>
      <c r="D602" s="192"/>
      <c r="E602" s="192"/>
      <c r="F602" s="192"/>
      <c r="G602" s="192" t="str">
        <f>IFERROR(__xludf.DUMMYFUNCTION("""COMPUTED_VALUE"""),"Mayank Goyal")</f>
        <v>Mayank Goyal</v>
      </c>
      <c r="H602" s="192" t="str">
        <f>IFERROR(__xludf.DUMMYFUNCTION("""COMPUTED_VALUE"""),"mayank.goyal@zupee.in")</f>
        <v>mayank.goyal@zupee.in</v>
      </c>
      <c r="I602" s="192" t="str">
        <f>IFERROR(__xludf.DUMMYFUNCTION("""COMPUTED_VALUE"""),"shashank.gupta@zupee.in: - Finance")</f>
        <v>shashank.gupta@zupee.in: - Finance</v>
      </c>
      <c r="J602" s="19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92"/>
      <c r="B603" s="192"/>
      <c r="C603" s="192"/>
      <c r="D603" s="192"/>
      <c r="E603" s="192"/>
      <c r="F603" s="192"/>
      <c r="G603" s="192" t="str">
        <f>IFERROR(__xludf.DUMMYFUNCTION("""COMPUTED_VALUE"""),"Mayank Kumar")</f>
        <v>Mayank Kumar</v>
      </c>
      <c r="H603" s="192" t="str">
        <f>IFERROR(__xludf.DUMMYFUNCTION("""COMPUTED_VALUE"""),"mayank.kumar@zupee.in")</f>
        <v>mayank.kumar@zupee.in</v>
      </c>
      <c r="I603" s="192" t="str">
        <f>IFERROR(__xludf.DUMMYFUNCTION("""COMPUTED_VALUE"""),"anshul.mittal@zupee.in: - Technology")</f>
        <v>anshul.mittal@zupee.in: - Technology</v>
      </c>
      <c r="J603" s="19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92"/>
      <c r="B604" s="192"/>
      <c r="C604" s="192"/>
      <c r="D604" s="192"/>
      <c r="E604" s="192"/>
      <c r="F604" s="192"/>
      <c r="G604" s="192" t="str">
        <f>IFERROR(__xludf.DUMMYFUNCTION("""COMPUTED_VALUE"""),"Mayank Kakkar")</f>
        <v>Mayank Kakkar</v>
      </c>
      <c r="H604" s="192" t="str">
        <f>IFERROR(__xludf.DUMMYFUNCTION("""COMPUTED_VALUE"""),"mayank.kakkar@zupee.in")</f>
        <v>mayank.kakkar@zupee.in</v>
      </c>
      <c r="I604" s="192" t="str">
        <f>IFERROR(__xludf.DUMMYFUNCTION("""COMPUTED_VALUE"""),"narender.tyagi@zupee.in: - Technology")</f>
        <v>narender.tyagi@zupee.in: - Technology</v>
      </c>
      <c r="J604" s="19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92"/>
      <c r="B605" s="192"/>
      <c r="C605" s="192"/>
      <c r="D605" s="192"/>
      <c r="E605" s="192"/>
      <c r="F605" s="192"/>
      <c r="G605" s="192" t="str">
        <f>IFERROR(__xludf.DUMMYFUNCTION("""COMPUTED_VALUE"""),"Md Neyaz")</f>
        <v>Md Neyaz</v>
      </c>
      <c r="H605" s="192" t="str">
        <f>IFERROR(__xludf.DUMMYFUNCTION("""COMPUTED_VALUE"""),"md.neyaz@zupee.in")</f>
        <v>md.neyaz@zupee.in</v>
      </c>
      <c r="I605" s="192" t="str">
        <f>IFERROR(__xludf.DUMMYFUNCTION("""COMPUTED_VALUE"""),"vishal.agarwal@zupee.in: - Technology")</f>
        <v>vishal.agarwal@zupee.in: - Technology</v>
      </c>
      <c r="J605" s="19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92"/>
      <c r="B606" s="192"/>
      <c r="C606" s="192"/>
      <c r="D606" s="192"/>
      <c r="E606" s="192"/>
      <c r="F606" s="192"/>
      <c r="G606" s="192" t="str">
        <f>IFERROR(__xludf.DUMMYFUNCTION("""COMPUTED_VALUE"""),"Md Sameer Alam")</f>
        <v>Md Sameer Alam</v>
      </c>
      <c r="H606" s="192" t="str">
        <f>IFERROR(__xludf.DUMMYFUNCTION("""COMPUTED_VALUE"""),"sameer.alam@zupee.in")</f>
        <v>sameer.alam@zupee.in</v>
      </c>
      <c r="I606" s="192" t="str">
        <f>IFERROR(__xludf.DUMMYFUNCTION("""COMPUTED_VALUE"""),"rahul.sharma@zupee.in: - Technology")</f>
        <v>rahul.sharma@zupee.in: - Technology</v>
      </c>
      <c r="J606" s="19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92"/>
      <c r="B607" s="192"/>
      <c r="C607" s="192"/>
      <c r="D607" s="192"/>
      <c r="E607" s="192"/>
      <c r="F607" s="192"/>
      <c r="G607" s="192" t="str">
        <f>IFERROR(__xludf.DUMMYFUNCTION("""COMPUTED_VALUE"""),"Meenu Gupta")</f>
        <v>Meenu Gupta</v>
      </c>
      <c r="H607" s="192" t="str">
        <f>IFERROR(__xludf.DUMMYFUNCTION("""COMPUTED_VALUE"""),"meenu.gupta@zupee.in")</f>
        <v>meenu.gupta@zupee.in</v>
      </c>
      <c r="I607" s="192" t="str">
        <f>IFERROR(__xludf.DUMMYFUNCTION("""COMPUTED_VALUE"""),"vishal.agarwal@zupee.in: - Technology")</f>
        <v>vishal.agarwal@zupee.in: - Technology</v>
      </c>
      <c r="J607" s="19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92"/>
      <c r="B608" s="192"/>
      <c r="C608" s="192"/>
      <c r="D608" s="192"/>
      <c r="E608" s="192"/>
      <c r="F608" s="192"/>
      <c r="G608" s="192" t="str">
        <f>IFERROR(__xludf.DUMMYFUNCTION("""COMPUTED_VALUE"""),"Mohammed Nayeem")</f>
        <v>Mohammed Nayeem</v>
      </c>
      <c r="H608" s="192" t="str">
        <f>IFERROR(__xludf.DUMMYFUNCTION("""COMPUTED_VALUE"""),"mohammed.nayeem@zupee.in")</f>
        <v>mohammed.nayeem@zupee.in</v>
      </c>
      <c r="I608" s="192" t="str">
        <f>IFERROR(__xludf.DUMMYFUNCTION("""COMPUTED_VALUE"""),"katha.tara@zupee.in: - Brand Marketing")</f>
        <v>katha.tara@zupee.in: - Brand Marketing</v>
      </c>
      <c r="J608" s="19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92"/>
      <c r="B609" s="192"/>
      <c r="C609" s="192"/>
      <c r="D609" s="192"/>
      <c r="E609" s="192"/>
      <c r="F609" s="192"/>
      <c r="G609" s="192" t="str">
        <f>IFERROR(__xludf.DUMMYFUNCTION("""COMPUTED_VALUE"""),"Mohd Mohiuddin Khan")</f>
        <v>Mohd Mohiuddin Khan</v>
      </c>
      <c r="H609" s="192" t="str">
        <f>IFERROR(__xludf.DUMMYFUNCTION("""COMPUTED_VALUE"""),"mohd.khan@zupee.in")</f>
        <v>mohd.khan@zupee.in</v>
      </c>
      <c r="I609" s="192" t="str">
        <f>IFERROR(__xludf.DUMMYFUNCTION("""COMPUTED_VALUE"""),"vishal.agarwal@zupee.in: - Technology")</f>
        <v>vishal.agarwal@zupee.in: - Technology</v>
      </c>
      <c r="J609" s="19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92"/>
      <c r="B610" s="192"/>
      <c r="C610" s="192"/>
      <c r="D610" s="192"/>
      <c r="E610" s="192"/>
      <c r="F610" s="192"/>
      <c r="G610" s="192" t="str">
        <f>IFERROR(__xludf.DUMMYFUNCTION("""COMPUTED_VALUE"""),"Mohd Ghufran Ansari")</f>
        <v>Mohd Ghufran Ansari</v>
      </c>
      <c r="H610" s="192" t="str">
        <f>IFERROR(__xludf.DUMMYFUNCTION("""COMPUTED_VALUE"""),"mohd.ghufran@zupee.in")</f>
        <v>mohd.ghufran@zupee.in</v>
      </c>
      <c r="I610" s="192" t="str">
        <f>IFERROR(__xludf.DUMMYFUNCTION("""COMPUTED_VALUE"""),"saurabh.khurana@zupee.in: - Data")</f>
        <v>saurabh.khurana@zupee.in: - Data</v>
      </c>
      <c r="J610" s="19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92"/>
      <c r="B611" s="192"/>
      <c r="C611" s="192"/>
      <c r="D611" s="192"/>
      <c r="E611" s="192"/>
      <c r="F611" s="192"/>
      <c r="G611" s="192" t="str">
        <f>IFERROR(__xludf.DUMMYFUNCTION("""COMPUTED_VALUE"""),"Mohini Lal")</f>
        <v>Mohini Lal</v>
      </c>
      <c r="H611" s="192" t="str">
        <f>IFERROR(__xludf.DUMMYFUNCTION("""COMPUTED_VALUE"""),"mohini.lal@zupee.in")</f>
        <v>mohini.lal@zupee.in</v>
      </c>
      <c r="I611" s="192" t="str">
        <f>IFERROR(__xludf.DUMMYFUNCTION("""COMPUTED_VALUE"""),"anshul.mittal@zupee.in: - Technology")</f>
        <v>anshul.mittal@zupee.in: - Technology</v>
      </c>
      <c r="J611" s="19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92"/>
      <c r="B612" s="192"/>
      <c r="C612" s="192"/>
      <c r="D612" s="192"/>
      <c r="E612" s="192"/>
      <c r="F612" s="192"/>
      <c r="G612" s="192" t="str">
        <f>IFERROR(__xludf.DUMMYFUNCTION("""COMPUTED_VALUE"""),"Mohini Bhardwaj")</f>
        <v>Mohini Bhardwaj</v>
      </c>
      <c r="H612" s="192" t="str">
        <f>IFERROR(__xludf.DUMMYFUNCTION("""COMPUTED_VALUE"""),"mohini.bhardwaj@zupee.in")</f>
        <v>mohini.bhardwaj@zupee.in</v>
      </c>
      <c r="I612" s="192" t="str">
        <f>IFERROR(__xludf.DUMMYFUNCTION("""COMPUTED_VALUE"""),"sumit.yadav@zupee.in: - Customer Experience")</f>
        <v>sumit.yadav@zupee.in: - Customer Experience</v>
      </c>
      <c r="J612" s="19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92"/>
      <c r="B613" s="192"/>
      <c r="C613" s="192"/>
      <c r="D613" s="192"/>
      <c r="E613" s="192"/>
      <c r="F613" s="192"/>
      <c r="G613" s="192" t="str">
        <f>IFERROR(__xludf.DUMMYFUNCTION("""COMPUTED_VALUE"""),"Mohit Tanwar")</f>
        <v>Mohit Tanwar</v>
      </c>
      <c r="H613" s="192" t="str">
        <f>IFERROR(__xludf.DUMMYFUNCTION("""COMPUTED_VALUE"""),"mohit.tanwar@zupee.in")</f>
        <v>mohit.tanwar@zupee.in</v>
      </c>
      <c r="I613" s="192" t="str">
        <f>IFERROR(__xludf.DUMMYFUNCTION("""COMPUTED_VALUE"""),"rahul.sharma@zupee.in: - Technology")</f>
        <v>rahul.sharma@zupee.in: - Technology</v>
      </c>
      <c r="J613" s="19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92"/>
      <c r="B614" s="192"/>
      <c r="C614" s="192"/>
      <c r="D614" s="192"/>
      <c r="E614" s="192"/>
      <c r="F614" s="192"/>
      <c r="G614" s="192" t="str">
        <f>IFERROR(__xludf.DUMMYFUNCTION("""COMPUTED_VALUE"""),"Mohit Choudhary")</f>
        <v>Mohit Choudhary</v>
      </c>
      <c r="H614" s="192" t="str">
        <f>IFERROR(__xludf.DUMMYFUNCTION("""COMPUTED_VALUE"""),"mohit.choudhary@zupee.in")</f>
        <v>mohit.choudhary@zupee.in</v>
      </c>
      <c r="I614" s="192" t="str">
        <f>IFERROR(__xludf.DUMMYFUNCTION("""COMPUTED_VALUE"""),"pankaj.gautam@zupee.in: - Data")</f>
        <v>pankaj.gautam@zupee.in: - Data</v>
      </c>
      <c r="J614" s="19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92"/>
      <c r="B615" s="192"/>
      <c r="C615" s="192"/>
      <c r="D615" s="192"/>
      <c r="E615" s="192"/>
      <c r="F615" s="192"/>
      <c r="G615" s="192" t="str">
        <f>IFERROR(__xludf.DUMMYFUNCTION("""COMPUTED_VALUE"""),"Mohit kumar")</f>
        <v>Mohit kumar</v>
      </c>
      <c r="H615" s="192" t="str">
        <f>IFERROR(__xludf.DUMMYFUNCTION("""COMPUTED_VALUE"""),"mohit.kumar@zupee.in")</f>
        <v>mohit.kumar@zupee.in</v>
      </c>
      <c r="I615" s="192" t="str">
        <f>IFERROR(__xludf.DUMMYFUNCTION("""COMPUTED_VALUE"""),"vishal.agarwal@zupee.in: - Technology")</f>
        <v>vishal.agarwal@zupee.in: - Technology</v>
      </c>
      <c r="J615" s="19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92"/>
      <c r="B616" s="192"/>
      <c r="C616" s="192"/>
      <c r="D616" s="192"/>
      <c r="E616" s="192"/>
      <c r="F616" s="192"/>
      <c r="G616" s="192" t="str">
        <f>IFERROR(__xludf.DUMMYFUNCTION("""COMPUTED_VALUE"""),"Mritunjay Kumar")</f>
        <v>Mritunjay Kumar</v>
      </c>
      <c r="H616" s="192" t="str">
        <f>IFERROR(__xludf.DUMMYFUNCTION("""COMPUTED_VALUE"""),"mritunjay.kumar@zupee.in")</f>
        <v>mritunjay.kumar@zupee.in</v>
      </c>
      <c r="I616" s="192" t="str">
        <f>IFERROR(__xludf.DUMMYFUNCTION("""COMPUTED_VALUE"""),"shivam.bali@zupee.in: - Customer Experience")</f>
        <v>shivam.bali@zupee.in: - Customer Experience</v>
      </c>
      <c r="J616" s="19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92"/>
      <c r="B617" s="192"/>
      <c r="C617" s="192"/>
      <c r="D617" s="192"/>
      <c r="E617" s="192"/>
      <c r="F617" s="192"/>
      <c r="G617" s="192" t="str">
        <f>IFERROR(__xludf.DUMMYFUNCTION("""COMPUTED_VALUE"""),"Mudit Jain")</f>
        <v>Mudit Jain</v>
      </c>
      <c r="H617" s="192" t="str">
        <f>IFERROR(__xludf.DUMMYFUNCTION("""COMPUTED_VALUE"""),"mudit.jain@zupee.in")</f>
        <v>mudit.jain@zupee.in</v>
      </c>
      <c r="I617" s="192" t="str">
        <f>IFERROR(__xludf.DUMMYFUNCTION("""COMPUTED_VALUE"""),"saurav.yadav@zupee.in: - Technology")</f>
        <v>saurav.yadav@zupee.in: - Technology</v>
      </c>
      <c r="J617" s="19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92"/>
      <c r="B618" s="192"/>
      <c r="C618" s="192"/>
      <c r="D618" s="192"/>
      <c r="E618" s="192"/>
      <c r="F618" s="192"/>
      <c r="G618" s="192" t="str">
        <f>IFERROR(__xludf.DUMMYFUNCTION("""COMPUTED_VALUE"""),"Mukul Chaudhary")</f>
        <v>Mukul Chaudhary</v>
      </c>
      <c r="H618" s="192" t="str">
        <f>IFERROR(__xludf.DUMMYFUNCTION("""COMPUTED_VALUE"""),"mukul.chaudhary@zupee.in")</f>
        <v>mukul.chaudhary@zupee.in</v>
      </c>
      <c r="I618" s="192" t="str">
        <f>IFERROR(__xludf.DUMMYFUNCTION("""COMPUTED_VALUE"""),"katha.tara@zupee.in: - Brand Marketing")</f>
        <v>katha.tara@zupee.in: - Brand Marketing</v>
      </c>
      <c r="J618" s="19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92"/>
      <c r="B619" s="192"/>
      <c r="C619" s="192"/>
      <c r="D619" s="192"/>
      <c r="E619" s="192"/>
      <c r="F619" s="192"/>
      <c r="G619" s="192" t="str">
        <f>IFERROR(__xludf.DUMMYFUNCTION("""COMPUTED_VALUE"""),"Munnu Kumar")</f>
        <v>Munnu Kumar</v>
      </c>
      <c r="H619" s="192" t="str">
        <f>IFERROR(__xludf.DUMMYFUNCTION("""COMPUTED_VALUE"""),"munnu.kumar@zupee.in")</f>
        <v>munnu.kumar@zupee.in</v>
      </c>
      <c r="I619" s="192" t="str">
        <f>IFERROR(__xludf.DUMMYFUNCTION("""COMPUTED_VALUE"""),"amit.garg@zupee.in: - Technology")</f>
        <v>amit.garg@zupee.in: - Technology</v>
      </c>
      <c r="J619" s="19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92"/>
      <c r="B620" s="192"/>
      <c r="C620" s="192"/>
      <c r="D620" s="192"/>
      <c r="E620" s="192"/>
      <c r="F620" s="192"/>
      <c r="G620" s="192" t="str">
        <f>IFERROR(__xludf.DUMMYFUNCTION("""COMPUTED_VALUE"""),"Muskan Khan - Jindal")</f>
        <v>Muskan Khan - Jindal</v>
      </c>
      <c r="H620" s="192" t="str">
        <f>IFERROR(__xludf.DUMMYFUNCTION("""COMPUTED_VALUE"""),"muskan.khan@zupee.in")</f>
        <v>muskan.khan@zupee.in</v>
      </c>
      <c r="I620" s="192" t="str">
        <f>IFERROR(__xludf.DUMMYFUNCTION("""COMPUTED_VALUE"""),"mohini.bhardwaj@zupee.in: - Customer Experience")</f>
        <v>mohini.bhardwaj@zupee.in: - Customer Experience</v>
      </c>
      <c r="J620" s="19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92"/>
      <c r="B621" s="192"/>
      <c r="C621" s="192"/>
      <c r="D621" s="192"/>
      <c r="E621" s="192"/>
      <c r="F621" s="192"/>
      <c r="G621" s="192" t="str">
        <f>IFERROR(__xludf.DUMMYFUNCTION("""COMPUTED_VALUE"""),"Naman Vijay")</f>
        <v>Naman Vijay</v>
      </c>
      <c r="H621" s="192" t="str">
        <f>IFERROR(__xludf.DUMMYFUNCTION("""COMPUTED_VALUE"""),"naman.vijay@zupee.in")</f>
        <v>naman.vijay@zupee.in</v>
      </c>
      <c r="I621" s="192" t="str">
        <f>IFERROR(__xludf.DUMMYFUNCTION("""COMPUTED_VALUE"""),"rahul.satija@zupee.in: - Finance")</f>
        <v>rahul.satija@zupee.in: - Finance</v>
      </c>
      <c r="J621" s="19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92"/>
      <c r="B622" s="192"/>
      <c r="C622" s="192"/>
      <c r="D622" s="192"/>
      <c r="E622" s="192"/>
      <c r="F622" s="192"/>
      <c r="G622" s="192" t="str">
        <f>IFERROR(__xludf.DUMMYFUNCTION("""COMPUTED_VALUE"""),"Naman Khandelwal")</f>
        <v>Naman Khandelwal</v>
      </c>
      <c r="H622" s="192" t="str">
        <f>IFERROR(__xludf.DUMMYFUNCTION("""COMPUTED_VALUE"""),"naman.khandelwal@zupee.in")</f>
        <v>naman.khandelwal@zupee.in</v>
      </c>
      <c r="I622" s="192" t="str">
        <f>IFERROR(__xludf.DUMMYFUNCTION("""COMPUTED_VALUE"""),"narender.tyagi@zupee.in: - Technology")</f>
        <v>narender.tyagi@zupee.in: - Technology</v>
      </c>
      <c r="J622" s="19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92"/>
      <c r="B623" s="192"/>
      <c r="C623" s="192"/>
      <c r="D623" s="192"/>
      <c r="E623" s="192"/>
      <c r="F623" s="192"/>
      <c r="G623" s="192" t="str">
        <f>IFERROR(__xludf.DUMMYFUNCTION("""COMPUTED_VALUE"""),"Nasir Ali")</f>
        <v>Nasir Ali</v>
      </c>
      <c r="H623" s="192" t="str">
        <f>IFERROR(__xludf.DUMMYFUNCTION("""COMPUTED_VALUE"""),"nasir.ali@zupee.in")</f>
        <v>nasir.ali@zupee.in</v>
      </c>
      <c r="I623" s="192" t="str">
        <f>IFERROR(__xludf.DUMMYFUNCTION("""COMPUTED_VALUE"""),"deepak.khandelwal@zupee.in: - Technology")</f>
        <v>deepak.khandelwal@zupee.in: - Technology</v>
      </c>
      <c r="J623" s="19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92"/>
      <c r="B624" s="192"/>
      <c r="C624" s="192"/>
      <c r="D624" s="192"/>
      <c r="E624" s="192"/>
      <c r="F624" s="192"/>
      <c r="G624" s="192" t="str">
        <f>IFERROR(__xludf.DUMMYFUNCTION("""COMPUTED_VALUE"""),"Naveen Yadav")</f>
        <v>Naveen Yadav</v>
      </c>
      <c r="H624" s="192" t="str">
        <f>IFERROR(__xludf.DUMMYFUNCTION("""COMPUTED_VALUE"""),"naveen.yadav@zupee.in")</f>
        <v>naveen.yadav@zupee.in</v>
      </c>
      <c r="I624" s="192" t="str">
        <f>IFERROR(__xludf.DUMMYFUNCTION("""COMPUTED_VALUE"""),"pankaj.gautam@zupee.in: - Data")</f>
        <v>pankaj.gautam@zupee.in: - Data</v>
      </c>
      <c r="J624" s="19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92"/>
      <c r="B625" s="192"/>
      <c r="C625" s="192"/>
      <c r="D625" s="192"/>
      <c r="E625" s="192"/>
      <c r="F625" s="192"/>
      <c r="G625" s="192" t="str">
        <f>IFERROR(__xludf.DUMMYFUNCTION("""COMPUTED_VALUE"""),"Naveen Sangepu")</f>
        <v>Naveen Sangepu</v>
      </c>
      <c r="H625" s="192" t="str">
        <f>IFERROR(__xludf.DUMMYFUNCTION("""COMPUTED_VALUE"""),"naveen.sangepu@zupee.in")</f>
        <v>naveen.sangepu@zupee.in</v>
      </c>
      <c r="I625" s="192" t="str">
        <f>IFERROR(__xludf.DUMMYFUNCTION("""COMPUTED_VALUE"""),"piyush.shukla@zupee.in: - Technology")</f>
        <v>piyush.shukla@zupee.in: - Technology</v>
      </c>
      <c r="J625" s="19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92"/>
      <c r="B626" s="192"/>
      <c r="C626" s="192"/>
      <c r="D626" s="192"/>
      <c r="E626" s="192"/>
      <c r="F626" s="192"/>
      <c r="G626" s="192" t="str">
        <f>IFERROR(__xludf.DUMMYFUNCTION("""COMPUTED_VALUE"""),"Naveen Kumar")</f>
        <v>Naveen Kumar</v>
      </c>
      <c r="H626" s="192" t="str">
        <f>IFERROR(__xludf.DUMMYFUNCTION("""COMPUTED_VALUE"""),"naveen.k@zupee.in")</f>
        <v>naveen.k@zupee.in</v>
      </c>
      <c r="I626" s="192" t="str">
        <f>IFERROR(__xludf.DUMMYFUNCTION("""COMPUTED_VALUE"""),"rajkumar.singh@zupee.in: - IT Infra")</f>
        <v>rajkumar.singh@zupee.in: - IT Infra</v>
      </c>
      <c r="J626" s="19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92"/>
      <c r="B627" s="192"/>
      <c r="C627" s="192"/>
      <c r="D627" s="192"/>
      <c r="E627" s="192"/>
      <c r="F627" s="192"/>
      <c r="G627" s="192" t="str">
        <f>IFERROR(__xludf.DUMMYFUNCTION("""COMPUTED_VALUE"""),"Neha Sharma")</f>
        <v>Neha Sharma</v>
      </c>
      <c r="H627" s="192" t="str">
        <f>IFERROR(__xludf.DUMMYFUNCTION("""COMPUTED_VALUE"""),"neha.sharma@zupee.in")</f>
        <v>neha.sharma@zupee.in</v>
      </c>
      <c r="I627" s="192" t="str">
        <f>IFERROR(__xludf.DUMMYFUNCTION("""COMPUTED_VALUE"""),"anshul.mittal@zupee.in: - Technology")</f>
        <v>anshul.mittal@zupee.in: - Technology</v>
      </c>
      <c r="J627" s="19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92"/>
      <c r="B628" s="192"/>
      <c r="C628" s="192"/>
      <c r="D628" s="192"/>
      <c r="E628" s="192"/>
      <c r="F628" s="192"/>
      <c r="G628" s="192" t="str">
        <f>IFERROR(__xludf.DUMMYFUNCTION("""COMPUTED_VALUE"""),"Nidhi Khedekar")</f>
        <v>Nidhi Khedekar</v>
      </c>
      <c r="H628" s="192" t="str">
        <f>IFERROR(__xludf.DUMMYFUNCTION("""COMPUTED_VALUE"""),"nidhi.khedekar@zupee.in")</f>
        <v>nidhi.khedekar@zupee.in</v>
      </c>
      <c r="I628" s="192" t="str">
        <f>IFERROR(__xludf.DUMMYFUNCTION("""COMPUTED_VALUE"""),": - Human Resources")</f>
        <v>: - Human Resources</v>
      </c>
      <c r="J628" s="19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92"/>
      <c r="B629" s="192"/>
      <c r="C629" s="192"/>
      <c r="D629" s="192"/>
      <c r="E629" s="192"/>
      <c r="F629" s="192"/>
      <c r="G629" s="192" t="str">
        <f>IFERROR(__xludf.DUMMYFUNCTION("""COMPUTED_VALUE"""),"Nikhil Sharma")</f>
        <v>Nikhil Sharma</v>
      </c>
      <c r="H629" s="192" t="str">
        <f>IFERROR(__xludf.DUMMYFUNCTION("""COMPUTED_VALUE"""),"nikhil.sharma@zupee.in")</f>
        <v>nikhil.sharma@zupee.in</v>
      </c>
      <c r="I629" s="192" t="str">
        <f>IFERROR(__xludf.DUMMYFUNCTION("""COMPUTED_VALUE"""),"raman.malik@zupee.in: - Data")</f>
        <v>raman.malik@zupee.in: - Data</v>
      </c>
      <c r="J629" s="19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92"/>
      <c r="B630" s="192"/>
      <c r="C630" s="192"/>
      <c r="D630" s="192"/>
      <c r="E630" s="192"/>
      <c r="F630" s="192"/>
      <c r="G630" s="192" t="str">
        <f>IFERROR(__xludf.DUMMYFUNCTION("""COMPUTED_VALUE"""),"Nikhil Kansotia")</f>
        <v>Nikhil Kansotia</v>
      </c>
      <c r="H630" s="192" t="str">
        <f>IFERROR(__xludf.DUMMYFUNCTION("""COMPUTED_VALUE"""),"nikhil.kansotia@zupee.in")</f>
        <v>nikhil.kansotia@zupee.in</v>
      </c>
      <c r="I630" s="192" t="str">
        <f>IFERROR(__xludf.DUMMYFUNCTION("""COMPUTED_VALUE"""),"deepak.khandelwal@zupee.in: - Technology")</f>
        <v>deepak.khandelwal@zupee.in: - Technology</v>
      </c>
      <c r="J630" s="19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92"/>
      <c r="B631" s="192"/>
      <c r="C631" s="192"/>
      <c r="D631" s="192"/>
      <c r="E631" s="192"/>
      <c r="F631" s="192"/>
      <c r="G631" s="192" t="str">
        <f>IFERROR(__xludf.DUMMYFUNCTION("""COMPUTED_VALUE"""),"Nikhil Kumar")</f>
        <v>Nikhil Kumar</v>
      </c>
      <c r="H631" s="192" t="str">
        <f>IFERROR(__xludf.DUMMYFUNCTION("""COMPUTED_VALUE"""),"nikhil.kumar@zupee.in")</f>
        <v>nikhil.kumar@zupee.in</v>
      </c>
      <c r="I631" s="192" t="str">
        <f>IFERROR(__xludf.DUMMYFUNCTION("""COMPUTED_VALUE"""),"shivam.bali@zupee.in: - Customer Experience")</f>
        <v>shivam.bali@zupee.in: - Customer Experience</v>
      </c>
      <c r="J631" s="19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92"/>
      <c r="B632" s="192"/>
      <c r="C632" s="192"/>
      <c r="D632" s="192"/>
      <c r="E632" s="192"/>
      <c r="F632" s="192"/>
      <c r="G632" s="192" t="str">
        <f>IFERROR(__xludf.DUMMYFUNCTION("""COMPUTED_VALUE"""),"Nikita Mantri")</f>
        <v>Nikita Mantri</v>
      </c>
      <c r="H632" s="192" t="str">
        <f>IFERROR(__xludf.DUMMYFUNCTION("""COMPUTED_VALUE"""),"nikita.mantri@zupee.in")</f>
        <v>nikita.mantri@zupee.in</v>
      </c>
      <c r="I632" s="192" t="str">
        <f>IFERROR(__xludf.DUMMYFUNCTION("""COMPUTED_VALUE"""),"katha.tara@zupee.in: - Brand Marketing")</f>
        <v>katha.tara@zupee.in: - Brand Marketing</v>
      </c>
      <c r="J632" s="19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92"/>
      <c r="B633" s="192"/>
      <c r="C633" s="192"/>
      <c r="D633" s="192"/>
      <c r="E633" s="192"/>
      <c r="F633" s="192"/>
      <c r="G633" s="192" t="str">
        <f>IFERROR(__xludf.DUMMYFUNCTION("""COMPUTED_VALUE"""),"Nishant Tripathi")</f>
        <v>Nishant Tripathi</v>
      </c>
      <c r="H633" s="192" t="str">
        <f>IFERROR(__xludf.DUMMYFUNCTION("""COMPUTED_VALUE"""),"nishant.tripathi@zupee.in")</f>
        <v>nishant.tripathi@zupee.in</v>
      </c>
      <c r="I633" s="192" t="str">
        <f>IFERROR(__xludf.DUMMYFUNCTION("""COMPUTED_VALUE"""),"pratyaksh.rawat@zupee.in: - Org")</f>
        <v>pratyaksh.rawat@zupee.in: - Org</v>
      </c>
      <c r="J633" s="19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92"/>
      <c r="B634" s="192"/>
      <c r="C634" s="192"/>
      <c r="D634" s="192"/>
      <c r="E634" s="192"/>
      <c r="F634" s="192"/>
      <c r="G634" s="192" t="str">
        <f>IFERROR(__xludf.DUMMYFUNCTION("""COMPUTED_VALUE"""),"Nitin Kaplas")</f>
        <v>Nitin Kaplas</v>
      </c>
      <c r="H634" s="192" t="str">
        <f>IFERROR(__xludf.DUMMYFUNCTION("""COMPUTED_VALUE"""),"nitin.kaplas@zupee.in")</f>
        <v>nitin.kaplas@zupee.in</v>
      </c>
      <c r="I634" s="192" t="str">
        <f>IFERROR(__xludf.DUMMYFUNCTION("""COMPUTED_VALUE"""),"abhishek.gupta@zupee.in: - Technology")</f>
        <v>abhishek.gupta@zupee.in: - Technology</v>
      </c>
      <c r="J634" s="19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92"/>
      <c r="B635" s="192"/>
      <c r="C635" s="192"/>
      <c r="D635" s="192"/>
      <c r="E635" s="192"/>
      <c r="F635" s="192"/>
      <c r="G635" s="192" t="str">
        <f>IFERROR(__xludf.DUMMYFUNCTION("""COMPUTED_VALUE"""),"Pankaj Pankaj")</f>
        <v>Pankaj Pankaj</v>
      </c>
      <c r="H635" s="192" t="str">
        <f>IFERROR(__xludf.DUMMYFUNCTION("""COMPUTED_VALUE"""),"pankaj.pankaj@zupee.in")</f>
        <v>pankaj.pankaj@zupee.in</v>
      </c>
      <c r="I635" s="192" t="str">
        <f>IFERROR(__xludf.DUMMYFUNCTION("""COMPUTED_VALUE"""),"aman.kumar@zupee.in: - Technology")</f>
        <v>aman.kumar@zupee.in: - Technology</v>
      </c>
      <c r="J635" s="19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92"/>
      <c r="B636" s="192"/>
      <c r="C636" s="192"/>
      <c r="D636" s="192"/>
      <c r="E636" s="192"/>
      <c r="F636" s="192"/>
      <c r="G636" s="192" t="str">
        <f>IFERROR(__xludf.DUMMYFUNCTION("""COMPUTED_VALUE"""),"Pankaj Rana")</f>
        <v>Pankaj Rana</v>
      </c>
      <c r="H636" s="192" t="str">
        <f>IFERROR(__xludf.DUMMYFUNCTION("""COMPUTED_VALUE"""),"pankaj.rana@zupee.in")</f>
        <v>pankaj.rana@zupee.in</v>
      </c>
      <c r="I636" s="192" t="str">
        <f>IFERROR(__xludf.DUMMYFUNCTION("""COMPUTED_VALUE"""),"anshul.mittal@zupee.in: - Technology")</f>
        <v>anshul.mittal@zupee.in: - Technology</v>
      </c>
      <c r="J636" s="19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92"/>
      <c r="B637" s="192"/>
      <c r="C637" s="192"/>
      <c r="D637" s="192"/>
      <c r="E637" s="192"/>
      <c r="F637" s="192"/>
      <c r="G637" s="192" t="str">
        <f>IFERROR(__xludf.DUMMYFUNCTION("""COMPUTED_VALUE"""),"Pankaj Garg")</f>
        <v>Pankaj Garg</v>
      </c>
      <c r="H637" s="192" t="str">
        <f>IFERROR(__xludf.DUMMYFUNCTION("""COMPUTED_VALUE"""),"pankaj.garg@zupee.in")</f>
        <v>pankaj.garg@zupee.in</v>
      </c>
      <c r="I637" s="192" t="str">
        <f>IFERROR(__xludf.DUMMYFUNCTION("""COMPUTED_VALUE"""),"suryanshu.shekhar@zupee.in: - Data")</f>
        <v>suryanshu.shekhar@zupee.in: - Data</v>
      </c>
      <c r="J637" s="19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92"/>
      <c r="B638" s="192"/>
      <c r="C638" s="192"/>
      <c r="D638" s="192"/>
      <c r="E638" s="192"/>
      <c r="F638" s="192"/>
      <c r="G638" s="192" t="str">
        <f>IFERROR(__xludf.DUMMYFUNCTION("""COMPUTED_VALUE"""),"Pawan Kumar Sarswat")</f>
        <v>Pawan Kumar Sarswat</v>
      </c>
      <c r="H638" s="192" t="str">
        <f>IFERROR(__xludf.DUMMYFUNCTION("""COMPUTED_VALUE"""),"pawan.sarswat@zupee.in")</f>
        <v>pawan.sarswat@zupee.in</v>
      </c>
      <c r="I638" s="192" t="str">
        <f>IFERROR(__xludf.DUMMYFUNCTION("""COMPUTED_VALUE"""),"aman.khare@zupee.in: - Customer Experience")</f>
        <v>aman.khare@zupee.in: - Customer Experience</v>
      </c>
      <c r="J638" s="19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92"/>
      <c r="B639" s="192"/>
      <c r="C639" s="192"/>
      <c r="D639" s="192"/>
      <c r="E639" s="192"/>
      <c r="F639" s="192"/>
      <c r="G639" s="192" t="str">
        <f>IFERROR(__xludf.DUMMYFUNCTION("""COMPUTED_VALUE"""),"Piyush Kumar")</f>
        <v>Piyush Kumar</v>
      </c>
      <c r="H639" s="192" t="str">
        <f>IFERROR(__xludf.DUMMYFUNCTION("""COMPUTED_VALUE"""),"piyush.kumar@zupee.in")</f>
        <v>piyush.kumar@zupee.in</v>
      </c>
      <c r="I639" s="192" t="str">
        <f>IFERROR(__xludf.DUMMYFUNCTION("""COMPUTED_VALUE"""),"amit.garg@zupee.in: - Technology")</f>
        <v>amit.garg@zupee.in: - Technology</v>
      </c>
      <c r="J639" s="19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92"/>
      <c r="B640" s="192"/>
      <c r="C640" s="192"/>
      <c r="D640" s="192"/>
      <c r="E640" s="192"/>
      <c r="F640" s="192"/>
      <c r="G640" s="192" t="str">
        <f>IFERROR(__xludf.DUMMYFUNCTION("""COMPUTED_VALUE"""),"Piyush Bansal")</f>
        <v>Piyush Bansal</v>
      </c>
      <c r="H640" s="192" t="str">
        <f>IFERROR(__xludf.DUMMYFUNCTION("""COMPUTED_VALUE"""),"piyush.b@zupee.in")</f>
        <v>piyush.b@zupee.in</v>
      </c>
      <c r="I640" s="192" t="str">
        <f>IFERROR(__xludf.DUMMYFUNCTION("""COMPUTED_VALUE"""),"deepak.khandelwal@zupee.in: - Technology")</f>
        <v>deepak.khandelwal@zupee.in: - Technology</v>
      </c>
      <c r="J640" s="19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92"/>
      <c r="B641" s="192"/>
      <c r="C641" s="192"/>
      <c r="D641" s="192"/>
      <c r="E641" s="192"/>
      <c r="F641" s="192"/>
      <c r="G641" s="192" t="str">
        <f>IFERROR(__xludf.DUMMYFUNCTION("""COMPUTED_VALUE"""),"Pooja Lunia")</f>
        <v>Pooja Lunia</v>
      </c>
      <c r="H641" s="192" t="str">
        <f>IFERROR(__xludf.DUMMYFUNCTION("""COMPUTED_VALUE"""),"pooja.lunia@zupee.in")</f>
        <v>pooja.lunia@zupee.in</v>
      </c>
      <c r="I641" s="192" t="str">
        <f>IFERROR(__xludf.DUMMYFUNCTION("""COMPUTED_VALUE"""),"katha.tara@zupee.in: - Brand Marketing")</f>
        <v>katha.tara@zupee.in: - Brand Marketing</v>
      </c>
      <c r="J641" s="19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92"/>
      <c r="B642" s="192"/>
      <c r="C642" s="192"/>
      <c r="D642" s="192"/>
      <c r="E642" s="192"/>
      <c r="F642" s="192"/>
      <c r="G642" s="192" t="str">
        <f>IFERROR(__xludf.DUMMYFUNCTION("""COMPUTED_VALUE"""),"Pooja Kumari")</f>
        <v>Pooja Kumari</v>
      </c>
      <c r="H642" s="192" t="str">
        <f>IFERROR(__xludf.DUMMYFUNCTION("""COMPUTED_VALUE"""),"pooja.kumari@zupee.in")</f>
        <v>pooja.kumari@zupee.in</v>
      </c>
      <c r="I642" s="192" t="str">
        <f>IFERROR(__xludf.DUMMYFUNCTION("""COMPUTED_VALUE"""),"-: - Customer Experience")</f>
        <v>-: - Customer Experience</v>
      </c>
      <c r="J642" s="19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92"/>
      <c r="B643" s="192"/>
      <c r="C643" s="192"/>
      <c r="D643" s="192"/>
      <c r="E643" s="192"/>
      <c r="F643" s="192"/>
      <c r="G643" s="192" t="str">
        <f>IFERROR(__xludf.DUMMYFUNCTION("""COMPUTED_VALUE"""),"Prachi Kabthiyal")</f>
        <v>Prachi Kabthiyal</v>
      </c>
      <c r="H643" s="192" t="str">
        <f>IFERROR(__xludf.DUMMYFUNCTION("""COMPUTED_VALUE"""),"prachi.kabthiyal@zupee.in")</f>
        <v>prachi.kabthiyal@zupee.in</v>
      </c>
      <c r="I643" s="192" t="str">
        <f>IFERROR(__xludf.DUMMYFUNCTION("""COMPUTED_VALUE"""),"amrit.anand@zupee.in: - P R &amp; Corporate Comms")</f>
        <v>amrit.anand@zupee.in: - P R &amp; Corporate Comms</v>
      </c>
      <c r="J643" s="19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92"/>
      <c r="B644" s="192"/>
      <c r="C644" s="192"/>
      <c r="D644" s="192"/>
      <c r="E644" s="192"/>
      <c r="F644" s="192"/>
      <c r="G644" s="192" t="str">
        <f>IFERROR(__xludf.DUMMYFUNCTION("""COMPUTED_VALUE"""),"Pragya Singh")</f>
        <v>Pragya Singh</v>
      </c>
      <c r="H644" s="192" t="str">
        <f>IFERROR(__xludf.DUMMYFUNCTION("""COMPUTED_VALUE"""),"pragya.singh@zupee.in")</f>
        <v>pragya.singh@zupee.in</v>
      </c>
      <c r="I644" s="192" t="str">
        <f>IFERROR(__xludf.DUMMYFUNCTION("""COMPUTED_VALUE"""),"anshul.mittal@zupee.in: - Technology")</f>
        <v>anshul.mittal@zupee.in: - Technology</v>
      </c>
      <c r="J644" s="19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92"/>
      <c r="B645" s="192"/>
      <c r="C645" s="192"/>
      <c r="D645" s="192"/>
      <c r="E645" s="192"/>
      <c r="F645" s="192"/>
      <c r="G645" s="192" t="str">
        <f>IFERROR(__xludf.DUMMYFUNCTION("""COMPUTED_VALUE"""),"Pranjal Saxena")</f>
        <v>Pranjal Saxena</v>
      </c>
      <c r="H645" s="192" t="str">
        <f>IFERROR(__xludf.DUMMYFUNCTION("""COMPUTED_VALUE"""),"pranjal.saxena@zupee.in")</f>
        <v>pranjal.saxena@zupee.in</v>
      </c>
      <c r="I645" s="192" t="str">
        <f>IFERROR(__xludf.DUMMYFUNCTION("""COMPUTED_VALUE"""),"atique.firoz@zupee.in: - Technology")</f>
        <v>atique.firoz@zupee.in: - Technology</v>
      </c>
      <c r="J645" s="19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92"/>
      <c r="B646" s="192"/>
      <c r="C646" s="192"/>
      <c r="D646" s="192"/>
      <c r="E646" s="192"/>
      <c r="F646" s="192"/>
      <c r="G646" s="192" t="str">
        <f>IFERROR(__xludf.DUMMYFUNCTION("""COMPUTED_VALUE"""),"Pranjay Dhamija")</f>
        <v>Pranjay Dhamija</v>
      </c>
      <c r="H646" s="192" t="str">
        <f>IFERROR(__xludf.DUMMYFUNCTION("""COMPUTED_VALUE"""),"pranjay.dhamija@zupee.in")</f>
        <v>pranjay.dhamija@zupee.in</v>
      </c>
      <c r="I646" s="192" t="str">
        <f>IFERROR(__xludf.DUMMYFUNCTION("""COMPUTED_VALUE"""),"raman.malik@zupee.in: - Data")</f>
        <v>raman.malik@zupee.in: - Data</v>
      </c>
      <c r="J646" s="19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92"/>
      <c r="B647" s="192"/>
      <c r="C647" s="192"/>
      <c r="D647" s="192"/>
      <c r="E647" s="192"/>
      <c r="F647" s="192"/>
      <c r="G647" s="192" t="str">
        <f>IFERROR(__xludf.DUMMYFUNCTION("""COMPUTED_VALUE"""),"Prashant Jha")</f>
        <v>Prashant Jha</v>
      </c>
      <c r="H647" s="192" t="str">
        <f>IFERROR(__xludf.DUMMYFUNCTION("""COMPUTED_VALUE"""),"prashant.jha@zupee.in")</f>
        <v>prashant.jha@zupee.in</v>
      </c>
      <c r="I647" s="192" t="str">
        <f>IFERROR(__xludf.DUMMYFUNCTION("""COMPUTED_VALUE"""),"sahil.puri@zupee.in: - Technology")</f>
        <v>sahil.puri@zupee.in: - Technology</v>
      </c>
      <c r="J647" s="19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92"/>
      <c r="B648" s="192"/>
      <c r="C648" s="192"/>
      <c r="D648" s="192"/>
      <c r="E648" s="192"/>
      <c r="F648" s="192"/>
      <c r="G648" s="192" t="str">
        <f>IFERROR(__xludf.DUMMYFUNCTION("""COMPUTED_VALUE"""),"Preeti Singh")</f>
        <v>Preeti Singh</v>
      </c>
      <c r="H648" s="192" t="str">
        <f>IFERROR(__xludf.DUMMYFUNCTION("""COMPUTED_VALUE"""),"preeti.singh@zupee.in")</f>
        <v>preeti.singh@zupee.in</v>
      </c>
      <c r="I648" s="192" t="str">
        <f>IFERROR(__xludf.DUMMYFUNCTION("""COMPUTED_VALUE"""),"govind.mittal@zupee.in: - Public Policy")</f>
        <v>govind.mittal@zupee.in: - Public Policy</v>
      </c>
      <c r="J648" s="19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92"/>
      <c r="B649" s="192"/>
      <c r="C649" s="192"/>
      <c r="D649" s="192"/>
      <c r="E649" s="192"/>
      <c r="F649" s="192"/>
      <c r="G649" s="192" t="str">
        <f>IFERROR(__xludf.DUMMYFUNCTION("""COMPUTED_VALUE"""),"Prerna Sharma")</f>
        <v>Prerna Sharma</v>
      </c>
      <c r="H649" s="192" t="str">
        <f>IFERROR(__xludf.DUMMYFUNCTION("""COMPUTED_VALUE"""),"prerna.sharma@zupee.in")</f>
        <v>prerna.sharma@zupee.in</v>
      </c>
      <c r="I649" s="192" t="str">
        <f>IFERROR(__xludf.DUMMYFUNCTION("""COMPUTED_VALUE"""),"ankit.wadhwa@zupee.in: - Finance")</f>
        <v>ankit.wadhwa@zupee.in: - Finance</v>
      </c>
      <c r="J649" s="19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92"/>
      <c r="B650" s="192"/>
      <c r="C650" s="192"/>
      <c r="D650" s="192"/>
      <c r="E650" s="192"/>
      <c r="F650" s="192"/>
      <c r="G650" s="192" t="str">
        <f>IFERROR(__xludf.DUMMYFUNCTION("""COMPUTED_VALUE"""),"Pritesh Kumar")</f>
        <v>Pritesh Kumar</v>
      </c>
      <c r="H650" s="192" t="str">
        <f>IFERROR(__xludf.DUMMYFUNCTION("""COMPUTED_VALUE"""),"pritesh.kumar@zupee.in")</f>
        <v>pritesh.kumar@zupee.in</v>
      </c>
      <c r="I650" s="192" t="str">
        <f>IFERROR(__xludf.DUMMYFUNCTION("""COMPUTED_VALUE"""),"abhishek.gupta@zupee.in: - Technology")</f>
        <v>abhishek.gupta@zupee.in: - Technology</v>
      </c>
      <c r="J650" s="19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92"/>
      <c r="B651" s="192"/>
      <c r="C651" s="192"/>
      <c r="D651" s="192"/>
      <c r="E651" s="192"/>
      <c r="F651" s="192"/>
      <c r="G651" s="192" t="str">
        <f>IFERROR(__xludf.DUMMYFUNCTION("""COMPUTED_VALUE"""),"Priyanka Tiwari - Jindal")</f>
        <v>Priyanka Tiwari - Jindal</v>
      </c>
      <c r="H651" s="192" t="str">
        <f>IFERROR(__xludf.DUMMYFUNCTION("""COMPUTED_VALUE"""),"priyanka.tiwari@zupee.in")</f>
        <v>priyanka.tiwari@zupee.in</v>
      </c>
      <c r="I651" s="192" t="str">
        <f>IFERROR(__xludf.DUMMYFUNCTION("""COMPUTED_VALUE"""),"mohini.bhardwaj@zupee.in: - Customer Experience")</f>
        <v>mohini.bhardwaj@zupee.in: - Customer Experience</v>
      </c>
      <c r="J651" s="19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92"/>
      <c r="B652" s="192"/>
      <c r="C652" s="192"/>
      <c r="D652" s="192"/>
      <c r="E652" s="192"/>
      <c r="F652" s="192"/>
      <c r="G652" s="192" t="str">
        <f>IFERROR(__xludf.DUMMYFUNCTION("""COMPUTED_VALUE"""),"Priyansh Gupta")</f>
        <v>Priyansh Gupta</v>
      </c>
      <c r="H652" s="192" t="str">
        <f>IFERROR(__xludf.DUMMYFUNCTION("""COMPUTED_VALUE"""),"priyansh.gupta@zupee.in")</f>
        <v>priyansh.gupta@zupee.in</v>
      </c>
      <c r="I652" s="192" t="str">
        <f>IFERROR(__xludf.DUMMYFUNCTION("""COMPUTED_VALUE"""),"saurav.yadav@zupee.in: - Technology")</f>
        <v>saurav.yadav@zupee.in: - Technology</v>
      </c>
      <c r="J652" s="19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92"/>
      <c r="B653" s="192"/>
      <c r="C653" s="192"/>
      <c r="D653" s="192"/>
      <c r="E653" s="192"/>
      <c r="F653" s="192"/>
      <c r="G653" s="192" t="str">
        <f>IFERROR(__xludf.DUMMYFUNCTION("""COMPUTED_VALUE"""),"Pulkit Sehgal")</f>
        <v>Pulkit Sehgal</v>
      </c>
      <c r="H653" s="192" t="str">
        <f>IFERROR(__xludf.DUMMYFUNCTION("""COMPUTED_VALUE"""),"pulkit.sehgal@zupee.in")</f>
        <v>pulkit.sehgal@zupee.in</v>
      </c>
      <c r="I653" s="192" t="str">
        <f>IFERROR(__xludf.DUMMYFUNCTION("""COMPUTED_VALUE"""),"hitesh.vats@zupee.in: - Finance")</f>
        <v>hitesh.vats@zupee.in: - Finance</v>
      </c>
      <c r="J653" s="19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92"/>
      <c r="B654" s="192"/>
      <c r="C654" s="192"/>
      <c r="D654" s="192"/>
      <c r="E654" s="192"/>
      <c r="F654" s="192"/>
      <c r="G654" s="192" t="str">
        <f>IFERROR(__xludf.DUMMYFUNCTION("""COMPUTED_VALUE"""),"Purodha Singh")</f>
        <v>Purodha Singh</v>
      </c>
      <c r="H654" s="192" t="str">
        <f>IFERROR(__xludf.DUMMYFUNCTION("""COMPUTED_VALUE"""),"purodha.singh@zupee.in")</f>
        <v>purodha.singh@zupee.in</v>
      </c>
      <c r="I654" s="192" t="str">
        <f>IFERROR(__xludf.DUMMYFUNCTION("""COMPUTED_VALUE"""),"shashank.gupta@zupee.in: - Finance")</f>
        <v>shashank.gupta@zupee.in: - Finance</v>
      </c>
      <c r="J654" s="19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92"/>
      <c r="B655" s="192"/>
      <c r="C655" s="192"/>
      <c r="D655" s="192"/>
      <c r="E655" s="192"/>
      <c r="F655" s="192"/>
      <c r="G655" s="192" t="str">
        <f>IFERROR(__xludf.DUMMYFUNCTION("""COMPUTED_VALUE"""),"Raghav Maheshwari")</f>
        <v>Raghav Maheshwari</v>
      </c>
      <c r="H655" s="192" t="str">
        <f>IFERROR(__xludf.DUMMYFUNCTION("""COMPUTED_VALUE"""),"raghav.maheshwari@zupee.in")</f>
        <v>raghav.maheshwari@zupee.in</v>
      </c>
      <c r="I655" s="192" t="str">
        <f>IFERROR(__xludf.DUMMYFUNCTION("""COMPUTED_VALUE"""),"karan.aggarwal@zupee.in: - Strategy")</f>
        <v>karan.aggarwal@zupee.in: - Strategy</v>
      </c>
      <c r="J655" s="19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92"/>
      <c r="B656" s="192"/>
      <c r="C656" s="192"/>
      <c r="D656" s="192"/>
      <c r="E656" s="192"/>
      <c r="F656" s="192"/>
      <c r="G656" s="192" t="str">
        <f>IFERROR(__xludf.DUMMYFUNCTION("""COMPUTED_VALUE"""),"Raghavv M Garg")</f>
        <v>Raghavv M Garg</v>
      </c>
      <c r="H656" s="192" t="str">
        <f>IFERROR(__xludf.DUMMYFUNCTION("""COMPUTED_VALUE"""),"raghavv.garg@zupee.in")</f>
        <v>raghavv.garg@zupee.in</v>
      </c>
      <c r="I656" s="192" t="str">
        <f>IFERROR(__xludf.DUMMYFUNCTION("""COMPUTED_VALUE"""),"pratyaksh.rawat@zupee.in: - Founder's Office")</f>
        <v>pratyaksh.rawat@zupee.in: - Founder's Office</v>
      </c>
      <c r="J656" s="19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92"/>
      <c r="B657" s="192"/>
      <c r="C657" s="192"/>
      <c r="D657" s="192"/>
      <c r="E657" s="192"/>
      <c r="F657" s="192"/>
      <c r="G657" s="192" t="str">
        <f>IFERROR(__xludf.DUMMYFUNCTION("""COMPUTED_VALUE"""),"Rahil Choudhary")</f>
        <v>Rahil Choudhary</v>
      </c>
      <c r="H657" s="192" t="str">
        <f>IFERROR(__xludf.DUMMYFUNCTION("""COMPUTED_VALUE"""),"rahil.choudhary@zupee.in")</f>
        <v>rahil.choudhary@zupee.in</v>
      </c>
      <c r="I657" s="192" t="str">
        <f>IFERROR(__xludf.DUMMYFUNCTION("""COMPUTED_VALUE"""),"mohini.bhardwaj@zupee.in: - Customer Experience")</f>
        <v>mohini.bhardwaj@zupee.in: - Customer Experience</v>
      </c>
      <c r="J657" s="19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92"/>
      <c r="B658" s="192"/>
      <c r="C658" s="192"/>
      <c r="D658" s="192"/>
      <c r="E658" s="192"/>
      <c r="F658" s="192"/>
      <c r="G658" s="192" t="str">
        <f>IFERROR(__xludf.DUMMYFUNCTION("""COMPUTED_VALUE"""),"Rahul Kundu")</f>
        <v>Rahul Kundu</v>
      </c>
      <c r="H658" s="192" t="str">
        <f>IFERROR(__xludf.DUMMYFUNCTION("""COMPUTED_VALUE"""),"rahul.kundu@zupee.in")</f>
        <v>rahul.kundu@zupee.in</v>
      </c>
      <c r="I658" s="192" t="str">
        <f>IFERROR(__xludf.DUMMYFUNCTION("""COMPUTED_VALUE"""),"vishal.agarwal@zupee.in: - Technology")</f>
        <v>vishal.agarwal@zupee.in: - Technology</v>
      </c>
      <c r="J658" s="19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92"/>
      <c r="B659" s="192"/>
      <c r="C659" s="192"/>
      <c r="D659" s="192"/>
      <c r="E659" s="192"/>
      <c r="F659" s="192"/>
      <c r="G659" s="192" t="str">
        <f>IFERROR(__xludf.DUMMYFUNCTION("""COMPUTED_VALUE"""),"Rahul Yadav")</f>
        <v>Rahul Yadav</v>
      </c>
      <c r="H659" s="192" t="str">
        <f>IFERROR(__xludf.DUMMYFUNCTION("""COMPUTED_VALUE"""),"rahul.yadav@zupee.in")</f>
        <v>rahul.yadav@zupee.in</v>
      </c>
      <c r="I659" s="192" t="str">
        <f>IFERROR(__xludf.DUMMYFUNCTION("""COMPUTED_VALUE"""),"anshul.mittal@zupee.in: - Technology")</f>
        <v>anshul.mittal@zupee.in: - Technology</v>
      </c>
      <c r="J659" s="19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92"/>
      <c r="B660" s="192"/>
      <c r="C660" s="192"/>
      <c r="D660" s="192"/>
      <c r="E660" s="192"/>
      <c r="F660" s="192"/>
      <c r="G660" s="192" t="str">
        <f>IFERROR(__xludf.DUMMYFUNCTION("""COMPUTED_VALUE"""),"Rahul Prasad Suman")</f>
        <v>Rahul Prasad Suman</v>
      </c>
      <c r="H660" s="192" t="str">
        <f>IFERROR(__xludf.DUMMYFUNCTION("""COMPUTED_VALUE"""),"rahul.suman@zupee.in")</f>
        <v>rahul.suman@zupee.in</v>
      </c>
      <c r="I660" s="192" t="str">
        <f>IFERROR(__xludf.DUMMYFUNCTION("""COMPUTED_VALUE"""),"rajkumar.singh@zupee.in: - IT Infra")</f>
        <v>rajkumar.singh@zupee.in: - IT Infra</v>
      </c>
      <c r="J660" s="19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92"/>
      <c r="B661" s="192"/>
      <c r="C661" s="192"/>
      <c r="D661" s="192"/>
      <c r="E661" s="192"/>
      <c r="F661" s="192"/>
      <c r="G661" s="192" t="str">
        <f>IFERROR(__xludf.DUMMYFUNCTION("""COMPUTED_VALUE"""),"Rahul Sharma")</f>
        <v>Rahul Sharma</v>
      </c>
      <c r="H661" s="192" t="str">
        <f>IFERROR(__xludf.DUMMYFUNCTION("""COMPUTED_VALUE"""),"rahul.s@zupee.in")</f>
        <v>rahul.s@zupee.in</v>
      </c>
      <c r="I661" s="192" t="str">
        <f>IFERROR(__xludf.DUMMYFUNCTION("""COMPUTED_VALUE"""),"vivek.jain@zupee.in: - Human Resources")</f>
        <v>vivek.jain@zupee.in: - Human Resources</v>
      </c>
      <c r="J661" s="19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92"/>
      <c r="B662" s="192"/>
      <c r="C662" s="192"/>
      <c r="D662" s="192"/>
      <c r="E662" s="192"/>
      <c r="F662" s="192"/>
      <c r="G662" s="192" t="str">
        <f>IFERROR(__xludf.DUMMYFUNCTION("""COMPUTED_VALUE"""),"Rahul Shukla")</f>
        <v>Rahul Shukla</v>
      </c>
      <c r="H662" s="192" t="str">
        <f>IFERROR(__xludf.DUMMYFUNCTION("""COMPUTED_VALUE"""),"rahul.shukla@zupee.in")</f>
        <v>rahul.shukla@zupee.in</v>
      </c>
      <c r="I662" s="192" t="str">
        <f>IFERROR(__xludf.DUMMYFUNCTION("""COMPUTED_VALUE"""),"mritunjay.kumar@zupee.in: - Customer Experience")</f>
        <v>mritunjay.kumar@zupee.in: - Customer Experience</v>
      </c>
      <c r="J662" s="19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92"/>
      <c r="B663" s="192"/>
      <c r="C663" s="192"/>
      <c r="D663" s="192"/>
      <c r="E663" s="192"/>
      <c r="F663" s="192"/>
      <c r="G663" s="192" t="str">
        <f>IFERROR(__xludf.DUMMYFUNCTION("""COMPUTED_VALUE"""),"Rahul Jaat")</f>
        <v>Rahul Jaat</v>
      </c>
      <c r="H663" s="192" t="str">
        <f>IFERROR(__xludf.DUMMYFUNCTION("""COMPUTED_VALUE"""),"rahul.jaat@zupee.in")</f>
        <v>rahul.jaat@zupee.in</v>
      </c>
      <c r="I663" s="192" t="str">
        <f>IFERROR(__xludf.DUMMYFUNCTION("""COMPUTED_VALUE"""),"mritunjay.kumar@zupee.in: - Customer Experience")</f>
        <v>mritunjay.kumar@zupee.in: - Customer Experience</v>
      </c>
      <c r="J663" s="19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92"/>
      <c r="B664" s="192"/>
      <c r="C664" s="192"/>
      <c r="D664" s="192"/>
      <c r="E664" s="192"/>
      <c r="F664" s="192"/>
      <c r="G664" s="192" t="str">
        <f>IFERROR(__xludf.DUMMYFUNCTION("""COMPUTED_VALUE"""),"Rahul Saini")</f>
        <v>Rahul Saini</v>
      </c>
      <c r="H664" s="192" t="str">
        <f>IFERROR(__xludf.DUMMYFUNCTION("""COMPUTED_VALUE"""),"rahul.saini@zupee.in")</f>
        <v>rahul.saini@zupee.in</v>
      </c>
      <c r="I664" s="192" t="str">
        <f>IFERROR(__xludf.DUMMYFUNCTION("""COMPUTED_VALUE"""),"shiwani.pokhriyal@zupee.in: - Customer Experience")</f>
        <v>shiwani.pokhriyal@zupee.in: - Customer Experience</v>
      </c>
      <c r="J664" s="19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92"/>
      <c r="B665" s="192"/>
      <c r="C665" s="192"/>
      <c r="D665" s="192"/>
      <c r="E665" s="192"/>
      <c r="F665" s="192"/>
      <c r="G665" s="192" t="str">
        <f>IFERROR(__xludf.DUMMYFUNCTION("""COMPUTED_VALUE"""),"Rahul Thakur")</f>
        <v>Rahul Thakur</v>
      </c>
      <c r="H665" s="192" t="str">
        <f>IFERROR(__xludf.DUMMYFUNCTION("""COMPUTED_VALUE"""),"rahul.thakur@zupee.in")</f>
        <v>rahul.thakur@zupee.in</v>
      </c>
      <c r="I665" s="192" t="str">
        <f>IFERROR(__xludf.DUMMYFUNCTION("""COMPUTED_VALUE"""),"mritunjay.kumar@zupee.in: - Customer Experience")</f>
        <v>mritunjay.kumar@zupee.in: - Customer Experience</v>
      </c>
      <c r="J665" s="19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92"/>
      <c r="B666" s="192"/>
      <c r="C666" s="192"/>
      <c r="D666" s="192"/>
      <c r="E666" s="192"/>
      <c r="F666" s="192"/>
      <c r="G666" s="192" t="str">
        <f>IFERROR(__xludf.DUMMYFUNCTION("""COMPUTED_VALUE"""),"Rajiv Yadav")</f>
        <v>Rajiv Yadav</v>
      </c>
      <c r="H666" s="192" t="str">
        <f>IFERROR(__xludf.DUMMYFUNCTION("""COMPUTED_VALUE"""),"rajiv.yadav@zupee.in")</f>
        <v>rajiv.yadav@zupee.in</v>
      </c>
      <c r="I666" s="192" t="str">
        <f>IFERROR(__xludf.DUMMYFUNCTION("""COMPUTED_VALUE"""),"vishal.agarwal@zupee.in: - Technology")</f>
        <v>vishal.agarwal@zupee.in: - Technology</v>
      </c>
      <c r="J666" s="19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92"/>
      <c r="B667" s="192"/>
      <c r="C667" s="192"/>
      <c r="D667" s="192"/>
      <c r="E667" s="192"/>
      <c r="F667" s="192"/>
      <c r="G667" s="192" t="str">
        <f>IFERROR(__xludf.DUMMYFUNCTION("""COMPUTED_VALUE"""),"Raman Dixit")</f>
        <v>Raman Dixit</v>
      </c>
      <c r="H667" s="192" t="str">
        <f>IFERROR(__xludf.DUMMYFUNCTION("""COMPUTED_VALUE"""),"raman.dixit@zupee.in")</f>
        <v>raman.dixit@zupee.in</v>
      </c>
      <c r="I667" s="192" t="str">
        <f>IFERROR(__xludf.DUMMYFUNCTION("""COMPUTED_VALUE"""),"aman.gupta@zupee.in: - Technology")</f>
        <v>aman.gupta@zupee.in: - Technology</v>
      </c>
      <c r="J667" s="19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92"/>
      <c r="B668" s="192"/>
      <c r="C668" s="192"/>
      <c r="D668" s="192"/>
      <c r="E668" s="192"/>
      <c r="F668" s="192"/>
      <c r="G668" s="192" t="str">
        <f>IFERROR(__xludf.DUMMYFUNCTION("""COMPUTED_VALUE"""),"Ramendra Singh")</f>
        <v>Ramendra Singh</v>
      </c>
      <c r="H668" s="192" t="str">
        <f>IFERROR(__xludf.DUMMYFUNCTION("""COMPUTED_VALUE"""),"ramendra.singh@zupee.in")</f>
        <v>ramendra.singh@zupee.in</v>
      </c>
      <c r="I668" s="192" t="str">
        <f>IFERROR(__xludf.DUMMYFUNCTION("""COMPUTED_VALUE"""),"shivam.bali@zupee.in: - Customer Experience")</f>
        <v>shivam.bali@zupee.in: - Customer Experience</v>
      </c>
      <c r="J668" s="19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92"/>
      <c r="B669" s="192"/>
      <c r="C669" s="192"/>
      <c r="D669" s="192"/>
      <c r="E669" s="192"/>
      <c r="F669" s="192"/>
      <c r="G669" s="192" t="str">
        <f>IFERROR(__xludf.DUMMYFUNCTION("""COMPUTED_VALUE"""),"Rashmi Navale")</f>
        <v>Rashmi Navale</v>
      </c>
      <c r="H669" s="192" t="str">
        <f>IFERROR(__xludf.DUMMYFUNCTION("""COMPUTED_VALUE"""),"rashmi.navale@zupee.in")</f>
        <v>rashmi.navale@zupee.in</v>
      </c>
      <c r="I669" s="192" t="str">
        <f>IFERROR(__xludf.DUMMYFUNCTION("""COMPUTED_VALUE"""),"vishal.agarwal@zupee.in: - Technology")</f>
        <v>vishal.agarwal@zupee.in: - Technology</v>
      </c>
      <c r="J669" s="19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92"/>
      <c r="B670" s="192"/>
      <c r="C670" s="192"/>
      <c r="D670" s="192"/>
      <c r="E670" s="192"/>
      <c r="F670" s="192"/>
      <c r="G670" s="192" t="str">
        <f>IFERROR(__xludf.DUMMYFUNCTION("""COMPUTED_VALUE"""),"Raushan Thakur")</f>
        <v>Raushan Thakur</v>
      </c>
      <c r="H670" s="192" t="str">
        <f>IFERROR(__xludf.DUMMYFUNCTION("""COMPUTED_VALUE"""),"raushan.thakur@zupee.in")</f>
        <v>raushan.thakur@zupee.in</v>
      </c>
      <c r="I670" s="192" t="str">
        <f>IFERROR(__xludf.DUMMYFUNCTION("""COMPUTED_VALUE"""),"sahil.puri@zupee.in: - Technology")</f>
        <v>sahil.puri@zupee.in: - Technology</v>
      </c>
      <c r="J670" s="19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92"/>
      <c r="B671" s="192"/>
      <c r="C671" s="192"/>
      <c r="D671" s="192"/>
      <c r="E671" s="192"/>
      <c r="F671" s="192"/>
      <c r="G671" s="192" t="str">
        <f>IFERROR(__xludf.DUMMYFUNCTION("""COMPUTED_VALUE"""),"Ravi Kumar")</f>
        <v>Ravi Kumar</v>
      </c>
      <c r="H671" s="192" t="str">
        <f>IFERROR(__xludf.DUMMYFUNCTION("""COMPUTED_VALUE"""),"ravi.kumar@zupee.in")</f>
        <v>ravi.kumar@zupee.in</v>
      </c>
      <c r="I671" s="192" t="str">
        <f>IFERROR(__xludf.DUMMYFUNCTION("""COMPUTED_VALUE"""),"narender.tyagi@zupee.in: - Technology")</f>
        <v>narender.tyagi@zupee.in: - Technology</v>
      </c>
      <c r="J671" s="19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92"/>
      <c r="B672" s="192"/>
      <c r="C672" s="192"/>
      <c r="D672" s="192"/>
      <c r="E672" s="192"/>
      <c r="F672" s="192"/>
      <c r="G672" s="192" t="str">
        <f>IFERROR(__xludf.DUMMYFUNCTION("""COMPUTED_VALUE"""),"Ravneet Kaur")</f>
        <v>Ravneet Kaur</v>
      </c>
      <c r="H672" s="192" t="str">
        <f>IFERROR(__xludf.DUMMYFUNCTION("""COMPUTED_VALUE"""),"ravneet.kaur@zupee.in")</f>
        <v>ravneet.kaur@zupee.in</v>
      </c>
      <c r="I672" s="192" t="str">
        <f>IFERROR(__xludf.DUMMYFUNCTION("""COMPUTED_VALUE"""),"suvra.das@zupee.in: - Customer Experience")</f>
        <v>suvra.das@zupee.in: - Customer Experience</v>
      </c>
      <c r="J672" s="19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92"/>
      <c r="B673" s="192"/>
      <c r="C673" s="192"/>
      <c r="D673" s="192"/>
      <c r="E673" s="192"/>
      <c r="F673" s="192"/>
      <c r="G673" s="192" t="str">
        <f>IFERROR(__xludf.DUMMYFUNCTION("""COMPUTED_VALUE"""),"Rhythm Jain")</f>
        <v>Rhythm Jain</v>
      </c>
      <c r="H673" s="192" t="str">
        <f>IFERROR(__xludf.DUMMYFUNCTION("""COMPUTED_VALUE"""),"rhythm.jain@zupee.in")</f>
        <v>rhythm.jain@zupee.in</v>
      </c>
      <c r="I673" s="192" t="str">
        <f>IFERROR(__xludf.DUMMYFUNCTION("""COMPUTED_VALUE"""),"mrityunjay.k@zupee.in: - Customer Experience")</f>
        <v>mrityunjay.k@zupee.in: - Customer Experience</v>
      </c>
      <c r="J673" s="19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92"/>
      <c r="B674" s="192"/>
      <c r="C674" s="192"/>
      <c r="D674" s="192"/>
      <c r="E674" s="192"/>
      <c r="F674" s="192"/>
      <c r="G674" s="192" t="str">
        <f>IFERROR(__xludf.DUMMYFUNCTION("""COMPUTED_VALUE"""),"Richa Sharma")</f>
        <v>Richa Sharma</v>
      </c>
      <c r="H674" s="192" t="str">
        <f>IFERROR(__xludf.DUMMYFUNCTION("""COMPUTED_VALUE"""),"richa.s@zupee.in")</f>
        <v>richa.s@zupee.in</v>
      </c>
      <c r="I674" s="192" t="str">
        <f>IFERROR(__xludf.DUMMYFUNCTION("""COMPUTED_VALUE"""),"mrityunjay.k@zupee.in: - Customer Experience")</f>
        <v>mrityunjay.k@zupee.in: - Customer Experience</v>
      </c>
      <c r="J674" s="19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92"/>
      <c r="B675" s="192"/>
      <c r="C675" s="192"/>
      <c r="D675" s="192"/>
      <c r="E675" s="192"/>
      <c r="F675" s="192"/>
      <c r="G675" s="192" t="str">
        <f>IFERROR(__xludf.DUMMYFUNCTION("""COMPUTED_VALUE"""),"Rijul Sehgal")</f>
        <v>Rijul Sehgal</v>
      </c>
      <c r="H675" s="192" t="str">
        <f>IFERROR(__xludf.DUMMYFUNCTION("""COMPUTED_VALUE"""),"rijul.sehgal@zupee.in")</f>
        <v>rijul.sehgal@zupee.in</v>
      </c>
      <c r="I675" s="192" t="str">
        <f>IFERROR(__xludf.DUMMYFUNCTION("""COMPUTED_VALUE"""),"katha.tara@zupee.in: - Product Design")</f>
        <v>katha.tara@zupee.in: - Product Design</v>
      </c>
      <c r="J675" s="19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92"/>
      <c r="B676" s="192"/>
      <c r="C676" s="192"/>
      <c r="D676" s="192"/>
      <c r="E676" s="192"/>
      <c r="F676" s="192"/>
      <c r="G676" s="192" t="str">
        <f>IFERROR(__xludf.DUMMYFUNCTION("""COMPUTED_VALUE"""),"Rishabh Solanki")</f>
        <v>Rishabh Solanki</v>
      </c>
      <c r="H676" s="192" t="str">
        <f>IFERROR(__xludf.DUMMYFUNCTION("""COMPUTED_VALUE"""),"rishabh.solanki@zupee.in")</f>
        <v>rishabh.solanki@zupee.in</v>
      </c>
      <c r="I676" s="192" t="str">
        <f>IFERROR(__xludf.DUMMYFUNCTION("""COMPUTED_VALUE"""),"mritunjay.kumar@zupee.in: - Customer Experience")</f>
        <v>mritunjay.kumar@zupee.in: - Customer Experience</v>
      </c>
      <c r="J676" s="19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92"/>
      <c r="B677" s="192"/>
      <c r="C677" s="192"/>
      <c r="D677" s="192"/>
      <c r="E677" s="192"/>
      <c r="F677" s="192"/>
      <c r="G677" s="192" t="str">
        <f>IFERROR(__xludf.DUMMYFUNCTION("""COMPUTED_VALUE"""),"Ritesh Gupta")</f>
        <v>Ritesh Gupta</v>
      </c>
      <c r="H677" s="192" t="str">
        <f>IFERROR(__xludf.DUMMYFUNCTION("""COMPUTED_VALUE"""),"ritesh.gupta@zupee.in")</f>
        <v>ritesh.gupta@zupee.in</v>
      </c>
      <c r="I677" s="192" t="str">
        <f>IFERROR(__xludf.DUMMYFUNCTION("""COMPUTED_VALUE"""),"-: - Technology")</f>
        <v>-: - Technology</v>
      </c>
      <c r="J677" s="19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92"/>
      <c r="B678" s="192"/>
      <c r="C678" s="192"/>
      <c r="D678" s="192"/>
      <c r="E678" s="192"/>
      <c r="F678" s="192"/>
      <c r="G678" s="192" t="str">
        <f>IFERROR(__xludf.DUMMYFUNCTION("""COMPUTED_VALUE"""),"Ritik Kumar")</f>
        <v>Ritik Kumar</v>
      </c>
      <c r="H678" s="192" t="str">
        <f>IFERROR(__xludf.DUMMYFUNCTION("""COMPUTED_VALUE"""),"ritik.kumar@zupee.in")</f>
        <v>ritik.kumar@zupee.in</v>
      </c>
      <c r="I678" s="192" t="str">
        <f>IFERROR(__xludf.DUMMYFUNCTION("""COMPUTED_VALUE"""),"sanjeev.kumar@zupee.in: - Customer Experience")</f>
        <v>sanjeev.kumar@zupee.in: - Customer Experience</v>
      </c>
      <c r="J678" s="19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92"/>
      <c r="B679" s="192"/>
      <c r="C679" s="192"/>
      <c r="D679" s="192"/>
      <c r="E679" s="192"/>
      <c r="F679" s="192"/>
      <c r="G679" s="192" t="str">
        <f>IFERROR(__xludf.DUMMYFUNCTION("""COMPUTED_VALUE"""),"Ritwika Maitra")</f>
        <v>Ritwika Maitra</v>
      </c>
      <c r="H679" s="192" t="str">
        <f>IFERROR(__xludf.DUMMYFUNCTION("""COMPUTED_VALUE"""),"ritwika.maitra@zupee.in")</f>
        <v>ritwika.maitra@zupee.in</v>
      </c>
      <c r="I679" s="192" t="str">
        <f>IFERROR(__xludf.DUMMYFUNCTION("""COMPUTED_VALUE"""),"nishant.jaiswal@zupee.in: - Digital Marketing")</f>
        <v>nishant.jaiswal@zupee.in: - Digital Marketing</v>
      </c>
      <c r="J679" s="19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92"/>
      <c r="B680" s="192"/>
      <c r="C680" s="192"/>
      <c r="D680" s="192"/>
      <c r="E680" s="192"/>
      <c r="F680" s="192"/>
      <c r="G680" s="192" t="str">
        <f>IFERROR(__xludf.DUMMYFUNCTION("""COMPUTED_VALUE"""),"Ritwika Rai")</f>
        <v>Ritwika Rai</v>
      </c>
      <c r="H680" s="192" t="str">
        <f>IFERROR(__xludf.DUMMYFUNCTION("""COMPUTED_VALUE"""),"ritwika.rai@zupee.in")</f>
        <v>ritwika.rai@zupee.in</v>
      </c>
      <c r="I680" s="192" t="str">
        <f>IFERROR(__xludf.DUMMYFUNCTION("""COMPUTED_VALUE"""),"nishant.jaiswal@zupee.in: - Digital Marketing")</f>
        <v>nishant.jaiswal@zupee.in: - Digital Marketing</v>
      </c>
      <c r="J680" s="19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92"/>
      <c r="B681" s="192"/>
      <c r="C681" s="192"/>
      <c r="D681" s="192"/>
      <c r="E681" s="192"/>
      <c r="F681" s="192"/>
      <c r="G681" s="192" t="str">
        <f>IFERROR(__xludf.DUMMYFUNCTION("""COMPUTED_VALUE"""),"Rohit Sahni")</f>
        <v>Rohit Sahni</v>
      </c>
      <c r="H681" s="192" t="str">
        <f>IFERROR(__xludf.DUMMYFUNCTION("""COMPUTED_VALUE"""),"rohit.sahni@zupee.in")</f>
        <v>rohit.sahni@zupee.in</v>
      </c>
      <c r="I681" s="192" t="str">
        <f>IFERROR(__xludf.DUMMYFUNCTION("""COMPUTED_VALUE"""),"shivam.bali@zupee.in: - Customer Experience")</f>
        <v>shivam.bali@zupee.in: - Customer Experience</v>
      </c>
      <c r="J681" s="19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92"/>
      <c r="B682" s="192"/>
      <c r="C682" s="192"/>
      <c r="D682" s="192"/>
      <c r="E682" s="192"/>
      <c r="F682" s="192"/>
      <c r="G682" s="192" t="str">
        <f>IFERROR(__xludf.DUMMYFUNCTION("""COMPUTED_VALUE"""),"Rohit Chhabra")</f>
        <v>Rohit Chhabra</v>
      </c>
      <c r="H682" s="192" t="str">
        <f>IFERROR(__xludf.DUMMYFUNCTION("""COMPUTED_VALUE"""),"rohit.chhabra@zupee.in")</f>
        <v>rohit.chhabra@zupee.in</v>
      </c>
      <c r="I682" s="192" t="str">
        <f>IFERROR(__xludf.DUMMYFUNCTION("""COMPUTED_VALUE"""),"hitesh.vats@zupee.in: - Finance")</f>
        <v>hitesh.vats@zupee.in: - Finance</v>
      </c>
      <c r="J682" s="19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92"/>
      <c r="B683" s="192"/>
      <c r="C683" s="192"/>
      <c r="D683" s="192"/>
      <c r="E683" s="192"/>
      <c r="F683" s="192"/>
      <c r="G683" s="192" t="str">
        <f>IFERROR(__xludf.DUMMYFUNCTION("""COMPUTED_VALUE"""),"Rohit Raj")</f>
        <v>Rohit Raj</v>
      </c>
      <c r="H683" s="192" t="str">
        <f>IFERROR(__xludf.DUMMYFUNCTION("""COMPUTED_VALUE"""),"rohit.raj@zupee.in")</f>
        <v>rohit.raj@zupee.in</v>
      </c>
      <c r="I683" s="192" t="str">
        <f>IFERROR(__xludf.DUMMYFUNCTION("""COMPUTED_VALUE"""),"rahul.sharma@zupee.in: - Technology")</f>
        <v>rahul.sharma@zupee.in: - Technology</v>
      </c>
      <c r="J683" s="19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92"/>
      <c r="B684" s="192"/>
      <c r="C684" s="192"/>
      <c r="D684" s="192"/>
      <c r="E684" s="192"/>
      <c r="F684" s="192"/>
      <c r="G684" s="192" t="str">
        <f>IFERROR(__xludf.DUMMYFUNCTION("""COMPUTED_VALUE"""),"Roma Mehta")</f>
        <v>Roma Mehta</v>
      </c>
      <c r="H684" s="192" t="str">
        <f>IFERROR(__xludf.DUMMYFUNCTION("""COMPUTED_VALUE"""),"roma.mehta@zupee.in")</f>
        <v>roma.mehta@zupee.in</v>
      </c>
      <c r="I684" s="192" t="str">
        <f>IFERROR(__xludf.DUMMYFUNCTION("""COMPUTED_VALUE"""),"rajkumar.singh@zupee.in: - IT Infra")</f>
        <v>rajkumar.singh@zupee.in: - IT Infra</v>
      </c>
      <c r="J684" s="19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92"/>
      <c r="B685" s="192"/>
      <c r="C685" s="192"/>
      <c r="D685" s="192"/>
      <c r="E685" s="192"/>
      <c r="F685" s="192"/>
      <c r="G685" s="192" t="str">
        <f>IFERROR(__xludf.DUMMYFUNCTION("""COMPUTED_VALUE"""),"Saaksshi Makkar")</f>
        <v>Saaksshi Makkar</v>
      </c>
      <c r="H685" s="192" t="str">
        <f>IFERROR(__xludf.DUMMYFUNCTION("""COMPUTED_VALUE"""),"saaksshi.makkar@zupee.in")</f>
        <v>saaksshi.makkar@zupee.in</v>
      </c>
      <c r="I685" s="192" t="str">
        <f>IFERROR(__xludf.DUMMYFUNCTION("""COMPUTED_VALUE"""),"naveen.kadyan@zupee.in: - Product")</f>
        <v>naveen.kadyan@zupee.in: - Product</v>
      </c>
      <c r="J685" s="19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92"/>
      <c r="B686" s="192"/>
      <c r="C686" s="192"/>
      <c r="D686" s="192"/>
      <c r="E686" s="192"/>
      <c r="F686" s="192"/>
      <c r="G686" s="192" t="str">
        <f>IFERROR(__xludf.DUMMYFUNCTION("""COMPUTED_VALUE"""),"Sagar Kumar Tekriwal - Jindal")</f>
        <v>Sagar Kumar Tekriwal - Jindal</v>
      </c>
      <c r="H686" s="192" t="str">
        <f>IFERROR(__xludf.DUMMYFUNCTION("""COMPUTED_VALUE"""),"sagar.tekriwal@zupee.in")</f>
        <v>sagar.tekriwal@zupee.in</v>
      </c>
      <c r="I686" s="192" t="str">
        <f>IFERROR(__xludf.DUMMYFUNCTION("""COMPUTED_VALUE"""),"sanjeev.kumar@zupee.in: - Customer Experience")</f>
        <v>sanjeev.kumar@zupee.in: - Customer Experience</v>
      </c>
      <c r="J686" s="19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92"/>
      <c r="B687" s="192"/>
      <c r="C687" s="192"/>
      <c r="D687" s="192"/>
      <c r="E687" s="192"/>
      <c r="F687" s="192"/>
      <c r="G687" s="192" t="str">
        <f>IFERROR(__xludf.DUMMYFUNCTION("""COMPUTED_VALUE"""),"Sagar Saini")</f>
        <v>Sagar Saini</v>
      </c>
      <c r="H687" s="192" t="str">
        <f>IFERROR(__xludf.DUMMYFUNCTION("""COMPUTED_VALUE"""),"sagar.saini@zupee.in")</f>
        <v>sagar.saini@zupee.in</v>
      </c>
      <c r="I687" s="192" t="str">
        <f>IFERROR(__xludf.DUMMYFUNCTION("""COMPUTED_VALUE"""),"sanjeev.kumar@zupee.in: - Customer Experience")</f>
        <v>sanjeev.kumar@zupee.in: - Customer Experience</v>
      </c>
      <c r="J687" s="19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92"/>
      <c r="B688" s="192"/>
      <c r="C688" s="192"/>
      <c r="D688" s="192"/>
      <c r="E688" s="192"/>
      <c r="F688" s="192"/>
      <c r="G688" s="192" t="str">
        <f>IFERROR(__xludf.DUMMYFUNCTION("""COMPUTED_VALUE"""),"Sahil Singh")</f>
        <v>Sahil Singh</v>
      </c>
      <c r="H688" s="192" t="str">
        <f>IFERROR(__xludf.DUMMYFUNCTION("""COMPUTED_VALUE"""),"sahil.singh@zupee.in")</f>
        <v>sahil.singh@zupee.in</v>
      </c>
      <c r="I688" s="192" t="str">
        <f>IFERROR(__xludf.DUMMYFUNCTION("""COMPUTED_VALUE"""),"aman.kumar2@zupee.in: - Technology")</f>
        <v>aman.kumar2@zupee.in: - Technology</v>
      </c>
      <c r="J688" s="19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92"/>
      <c r="B689" s="192"/>
      <c r="C689" s="192"/>
      <c r="D689" s="192"/>
      <c r="E689" s="192"/>
      <c r="F689" s="192"/>
      <c r="G689" s="192" t="str">
        <f>IFERROR(__xludf.DUMMYFUNCTION("""COMPUTED_VALUE"""),"Sameer Negi")</f>
        <v>Sameer Negi</v>
      </c>
      <c r="H689" s="192" t="str">
        <f>IFERROR(__xludf.DUMMYFUNCTION("""COMPUTED_VALUE"""),"sameer.negi@zupee.in")</f>
        <v>sameer.negi@zupee.in</v>
      </c>
      <c r="I689" s="192" t="str">
        <f>IFERROR(__xludf.DUMMYFUNCTION("""COMPUTED_VALUE"""),"rajkumar.singh@zupee.in: - IT Infra")</f>
        <v>rajkumar.singh@zupee.in: - IT Infra</v>
      </c>
      <c r="J689" s="19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92"/>
      <c r="B690" s="192"/>
      <c r="C690" s="192"/>
      <c r="D690" s="192"/>
      <c r="E690" s="192"/>
      <c r="F690" s="192"/>
      <c r="G690" s="192" t="str">
        <f>IFERROR(__xludf.DUMMYFUNCTION("""COMPUTED_VALUE"""),"Sameer Abbasi")</f>
        <v>Sameer Abbasi</v>
      </c>
      <c r="H690" s="192" t="str">
        <f>IFERROR(__xludf.DUMMYFUNCTION("""COMPUTED_VALUE"""),"sameer.abbasi@zupee.in")</f>
        <v>sameer.abbasi@zupee.in</v>
      </c>
      <c r="I690" s="192" t="str">
        <f>IFERROR(__xludf.DUMMYFUNCTION("""COMPUTED_VALUE"""),"sanjeev.kumar@zupee.in: - Customer Experience")</f>
        <v>sanjeev.kumar@zupee.in: - Customer Experience</v>
      </c>
      <c r="J690" s="19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92"/>
      <c r="B691" s="192"/>
      <c r="C691" s="192"/>
      <c r="D691" s="192"/>
      <c r="E691" s="192"/>
      <c r="F691" s="192"/>
      <c r="G691" s="192" t="str">
        <f>IFERROR(__xludf.DUMMYFUNCTION("""COMPUTED_VALUE"""),"Samir Halder ( External )")</f>
        <v>Samir Halder ( External )</v>
      </c>
      <c r="H691" s="192" t="str">
        <f>IFERROR(__xludf.DUMMYFUNCTION("""COMPUTED_VALUE"""),"samir.halder@zupee.in")</f>
        <v>samir.halder@zupee.in</v>
      </c>
      <c r="I691" s="192" t="str">
        <f>IFERROR(__xludf.DUMMYFUNCTION("""COMPUTED_VALUE"""),"nishant.jaiswal@zupee.in: - Digital Marketing")</f>
        <v>nishant.jaiswal@zupee.in: - Digital Marketing</v>
      </c>
      <c r="J691" s="19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92"/>
      <c r="B692" s="192"/>
      <c r="C692" s="192"/>
      <c r="D692" s="192"/>
      <c r="E692" s="192"/>
      <c r="F692" s="192"/>
      <c r="G692" s="192" t="str">
        <f>IFERROR(__xludf.DUMMYFUNCTION("""COMPUTED_VALUE"""),"Sanjana Bhardwaj")</f>
        <v>Sanjana Bhardwaj</v>
      </c>
      <c r="H692" s="192" t="str">
        <f>IFERROR(__xludf.DUMMYFUNCTION("""COMPUTED_VALUE"""),"sanjana.bhardwaj@zupee.in")</f>
        <v>sanjana.bhardwaj@zupee.in</v>
      </c>
      <c r="I692" s="192" t="str">
        <f>IFERROR(__xludf.DUMMYFUNCTION("""COMPUTED_VALUE"""),"mrityunjay.k@zupee.in: - Customer Experience")</f>
        <v>mrityunjay.k@zupee.in: - Customer Experience</v>
      </c>
      <c r="J692" s="19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92"/>
      <c r="B693" s="192"/>
      <c r="C693" s="192"/>
      <c r="D693" s="192"/>
      <c r="E693" s="192"/>
      <c r="F693" s="192"/>
      <c r="G693" s="192" t="str">
        <f>IFERROR(__xludf.DUMMYFUNCTION("""COMPUTED_VALUE"""),"Sanjeev Kumar")</f>
        <v>Sanjeev Kumar</v>
      </c>
      <c r="H693" s="192" t="str">
        <f>IFERROR(__xludf.DUMMYFUNCTION("""COMPUTED_VALUE"""),"sanjeev.kumar@zupee.in")</f>
        <v>sanjeev.kumar@zupee.in</v>
      </c>
      <c r="I693" s="192" t="str">
        <f>IFERROR(__xludf.DUMMYFUNCTION("""COMPUTED_VALUE"""),"mrityunjay.k@zupee.in: - Customer Experience")</f>
        <v>mrityunjay.k@zupee.in: - Customer Experience</v>
      </c>
      <c r="J693" s="19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92"/>
      <c r="B694" s="192"/>
      <c r="C694" s="192"/>
      <c r="D694" s="192"/>
      <c r="E694" s="192"/>
      <c r="F694" s="192"/>
      <c r="G694" s="192" t="str">
        <f>IFERROR(__xludf.DUMMYFUNCTION("""COMPUTED_VALUE"""),"Sanket Jain")</f>
        <v>Sanket Jain</v>
      </c>
      <c r="H694" s="192" t="str">
        <f>IFERROR(__xludf.DUMMYFUNCTION("""COMPUTED_VALUE"""),"sanket.jain@zupee.in")</f>
        <v>sanket.jain@zupee.in</v>
      </c>
      <c r="I694" s="192" t="str">
        <f>IFERROR(__xludf.DUMMYFUNCTION("""COMPUTED_VALUE"""),"ishank.mehta@zupee.in: - Strategy")</f>
        <v>ishank.mehta@zupee.in: - Strategy</v>
      </c>
      <c r="J694" s="19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92"/>
      <c r="B695" s="192"/>
      <c r="C695" s="192"/>
      <c r="D695" s="192"/>
      <c r="E695" s="192"/>
      <c r="F695" s="192"/>
      <c r="G695" s="192" t="str">
        <f>IFERROR(__xludf.DUMMYFUNCTION("""COMPUTED_VALUE"""),"Saravana Kumar")</f>
        <v>Saravana Kumar</v>
      </c>
      <c r="H695" s="192" t="str">
        <f>IFERROR(__xludf.DUMMYFUNCTION("""COMPUTED_VALUE"""),"saravana.kumar@zupee.in")</f>
        <v>saravana.kumar@zupee.in</v>
      </c>
      <c r="I695" s="192" t="str">
        <f>IFERROR(__xludf.DUMMYFUNCTION("""COMPUTED_VALUE"""),"naveen.kadyan@zupee.in: - Product")</f>
        <v>naveen.kadyan@zupee.in: - Product</v>
      </c>
      <c r="J695" s="19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92"/>
      <c r="B696" s="192"/>
      <c r="C696" s="192"/>
      <c r="D696" s="192"/>
      <c r="E696" s="192"/>
      <c r="F696" s="192"/>
      <c r="G696" s="192" t="str">
        <f>IFERROR(__xludf.DUMMYFUNCTION("""COMPUTED_VALUE"""),"Sarthak Jain")</f>
        <v>Sarthak Jain</v>
      </c>
      <c r="H696" s="192" t="str">
        <f>IFERROR(__xludf.DUMMYFUNCTION("""COMPUTED_VALUE"""),"sarthak.jain@zupee.in")</f>
        <v>sarthak.jain@zupee.in</v>
      </c>
      <c r="I696" s="192" t="str">
        <f>IFERROR(__xludf.DUMMYFUNCTION("""COMPUTED_VALUE"""),"ankit.maheshwari@zupee.in: - Finance")</f>
        <v>ankit.maheshwari@zupee.in: - Finance</v>
      </c>
      <c r="J696" s="19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92"/>
      <c r="B697" s="192"/>
      <c r="C697" s="192"/>
      <c r="D697" s="192"/>
      <c r="E697" s="192"/>
      <c r="F697" s="192"/>
      <c r="G697" s="192" t="str">
        <f>IFERROR(__xludf.DUMMYFUNCTION("""COMPUTED_VALUE"""),"Satish Kumar")</f>
        <v>Satish Kumar</v>
      </c>
      <c r="H697" s="192" t="str">
        <f>IFERROR(__xludf.DUMMYFUNCTION("""COMPUTED_VALUE"""),"satish.kumar@zupee.in")</f>
        <v>satish.kumar@zupee.in</v>
      </c>
      <c r="I697" s="192" t="str">
        <f>IFERROR(__xludf.DUMMYFUNCTION("""COMPUTED_VALUE"""),"vishal.agarwal@zupee.in: - Technology")</f>
        <v>vishal.agarwal@zupee.in: - Technology</v>
      </c>
      <c r="J697" s="19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92"/>
      <c r="B698" s="192"/>
      <c r="C698" s="192"/>
      <c r="D698" s="192"/>
      <c r="E698" s="192"/>
      <c r="F698" s="192"/>
      <c r="G698" s="192" t="str">
        <f>IFERROR(__xludf.DUMMYFUNCTION("""COMPUTED_VALUE"""),"Satya Vart")</f>
        <v>Satya Vart</v>
      </c>
      <c r="H698" s="192" t="str">
        <f>IFERROR(__xludf.DUMMYFUNCTION("""COMPUTED_VALUE"""),"satya.vart@zupee.in")</f>
        <v>satya.vart@zupee.in</v>
      </c>
      <c r="I698" s="192" t="str">
        <f>IFERROR(__xludf.DUMMYFUNCTION("""COMPUTED_VALUE"""),"amit.garg@zupee.in: - Technology")</f>
        <v>amit.garg@zupee.in: - Technology</v>
      </c>
      <c r="J698" s="19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92"/>
      <c r="B699" s="192"/>
      <c r="C699" s="192"/>
      <c r="D699" s="192"/>
      <c r="E699" s="192"/>
      <c r="F699" s="192"/>
      <c r="G699" s="192" t="str">
        <f>IFERROR(__xludf.DUMMYFUNCTION("""COMPUTED_VALUE"""),"Saumya Ranjan Behera")</f>
        <v>Saumya Ranjan Behera</v>
      </c>
      <c r="H699" s="192" t="str">
        <f>IFERROR(__xludf.DUMMYFUNCTION("""COMPUTED_VALUE"""),"saumya.behera@zupee.in")</f>
        <v>saumya.behera@zupee.in</v>
      </c>
      <c r="I699" s="192" t="str">
        <f>IFERROR(__xludf.DUMMYFUNCTION("""COMPUTED_VALUE"""),"vishal.agarwal@zupee.in: - Technology")</f>
        <v>vishal.agarwal@zupee.in: - Technology</v>
      </c>
      <c r="J699" s="19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92"/>
      <c r="B700" s="192"/>
      <c r="C700" s="192"/>
      <c r="D700" s="192"/>
      <c r="E700" s="192"/>
      <c r="F700" s="192"/>
      <c r="G700" s="192" t="str">
        <f>IFERROR(__xludf.DUMMYFUNCTION("""COMPUTED_VALUE"""),"Saurav Garg")</f>
        <v>Saurav Garg</v>
      </c>
      <c r="H700" s="192" t="str">
        <f>IFERROR(__xludf.DUMMYFUNCTION("""COMPUTED_VALUE"""),"saurav.garg@zupee.in")</f>
        <v>saurav.garg@zupee.in</v>
      </c>
      <c r="I700" s="192" t="str">
        <f>IFERROR(__xludf.DUMMYFUNCTION("""COMPUTED_VALUE"""),"vishal.agarwal@zupee.in: - Technology")</f>
        <v>vishal.agarwal@zupee.in: - Technology</v>
      </c>
      <c r="J700" s="19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92"/>
      <c r="B701" s="192"/>
      <c r="C701" s="192"/>
      <c r="D701" s="192"/>
      <c r="E701" s="192"/>
      <c r="F701" s="192"/>
      <c r="G701" s="192" t="str">
        <f>IFERROR(__xludf.DUMMYFUNCTION("""COMPUTED_VALUE"""),"Sayanika Nandi")</f>
        <v>Sayanika Nandi</v>
      </c>
      <c r="H701" s="192" t="str">
        <f>IFERROR(__xludf.DUMMYFUNCTION("""COMPUTED_VALUE"""),"sayanika.nandi@zupee.in")</f>
        <v>sayanika.nandi@zupee.in</v>
      </c>
      <c r="I701" s="192" t="str">
        <f>IFERROR(__xludf.DUMMYFUNCTION("""COMPUTED_VALUE"""),"vishal.agarwal@zupee.in: - Technology")</f>
        <v>vishal.agarwal@zupee.in: - Technology</v>
      </c>
      <c r="J701" s="19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92"/>
      <c r="B702" s="192"/>
      <c r="C702" s="192"/>
      <c r="D702" s="192"/>
      <c r="E702" s="192"/>
      <c r="F702" s="192"/>
      <c r="G702" s="192" t="str">
        <f>IFERROR(__xludf.DUMMYFUNCTION("""COMPUTED_VALUE"""),"Shambhavi Khare")</f>
        <v>Shambhavi Khare</v>
      </c>
      <c r="H702" s="192" t="str">
        <f>IFERROR(__xludf.DUMMYFUNCTION("""COMPUTED_VALUE"""),"shambhavi.khare@zupee.in")</f>
        <v>shambhavi.khare@zupee.in</v>
      </c>
      <c r="I702" s="192" t="str">
        <f>IFERROR(__xludf.DUMMYFUNCTION("""COMPUTED_VALUE"""),"amroj.sandhu@zupee.in: - Technology")</f>
        <v>amroj.sandhu@zupee.in: - Technology</v>
      </c>
      <c r="J702" s="19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92"/>
      <c r="B703" s="192"/>
      <c r="C703" s="192"/>
      <c r="D703" s="192"/>
      <c r="E703" s="192"/>
      <c r="F703" s="192"/>
      <c r="G703" s="192" t="str">
        <f>IFERROR(__xludf.DUMMYFUNCTION("""COMPUTED_VALUE"""),"Sheshant Sinha")</f>
        <v>Sheshant Sinha</v>
      </c>
      <c r="H703" s="192" t="str">
        <f>IFERROR(__xludf.DUMMYFUNCTION("""COMPUTED_VALUE"""),"sheshant.sinha@zupee.in")</f>
        <v>sheshant.sinha@zupee.in</v>
      </c>
      <c r="I703" s="192" t="str">
        <f>IFERROR(__xludf.DUMMYFUNCTION("""COMPUTED_VALUE"""),"sumit.singh@zupee.in: - Technology")</f>
        <v>sumit.singh@zupee.in: - Technology</v>
      </c>
      <c r="J703" s="19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92"/>
      <c r="B704" s="192"/>
      <c r="C704" s="192"/>
      <c r="D704" s="192"/>
      <c r="E704" s="192"/>
      <c r="F704" s="192"/>
      <c r="G704" s="192" t="str">
        <f>IFERROR(__xludf.DUMMYFUNCTION("""COMPUTED_VALUE"""),"Shitiza Arora")</f>
        <v>Shitiza Arora</v>
      </c>
      <c r="H704" s="192" t="str">
        <f>IFERROR(__xludf.DUMMYFUNCTION("""COMPUTED_VALUE"""),"shitiza.arora@zupee.in")</f>
        <v>shitiza.arora@zupee.in</v>
      </c>
      <c r="I704" s="192" t="str">
        <f>IFERROR(__xludf.DUMMYFUNCTION("""COMPUTED_VALUE"""),"shashank.gupta@zupee.in: - Finance")</f>
        <v>shashank.gupta@zupee.in: - Finance</v>
      </c>
      <c r="J704" s="19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92"/>
      <c r="B705" s="192"/>
      <c r="C705" s="192"/>
      <c r="D705" s="192"/>
      <c r="E705" s="192"/>
      <c r="F705" s="192"/>
      <c r="G705" s="192" t="str">
        <f>IFERROR(__xludf.DUMMYFUNCTION("""COMPUTED_VALUE"""),"Shivam Kumar")</f>
        <v>Shivam Kumar</v>
      </c>
      <c r="H705" s="192" t="str">
        <f>IFERROR(__xludf.DUMMYFUNCTION("""COMPUTED_VALUE"""),"shivam.kumar@zupee.in")</f>
        <v>shivam.kumar@zupee.in</v>
      </c>
      <c r="I705" s="192" t="str">
        <f>IFERROR(__xludf.DUMMYFUNCTION("""COMPUTED_VALUE"""),"rajkumar.singh@zupee.in: - IT Infra")</f>
        <v>rajkumar.singh@zupee.in: - IT Infra</v>
      </c>
      <c r="J705" s="19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92"/>
      <c r="B706" s="192"/>
      <c r="C706" s="192"/>
      <c r="D706" s="192"/>
      <c r="E706" s="192"/>
      <c r="F706" s="192"/>
      <c r="G706" s="192" t="str">
        <f>IFERROR(__xludf.DUMMYFUNCTION("""COMPUTED_VALUE"""),"Shivam Yadav")</f>
        <v>Shivam Yadav</v>
      </c>
      <c r="H706" s="192" t="str">
        <f>IFERROR(__xludf.DUMMYFUNCTION("""COMPUTED_VALUE"""),"shivam.yadav@zupee.in")</f>
        <v>shivam.yadav@zupee.in</v>
      </c>
      <c r="I706" s="192" t="str">
        <f>IFERROR(__xludf.DUMMYFUNCTION("""COMPUTED_VALUE"""),"amit.garg@zupee.in: - Technology")</f>
        <v>amit.garg@zupee.in: - Technology</v>
      </c>
      <c r="J706" s="19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92"/>
      <c r="B707" s="192"/>
      <c r="C707" s="192"/>
      <c r="D707" s="192"/>
      <c r="E707" s="192"/>
      <c r="F707" s="192"/>
      <c r="G707" s="192" t="str">
        <f>IFERROR(__xludf.DUMMYFUNCTION("""COMPUTED_VALUE"""),"Shivam Bali")</f>
        <v>Shivam Bali</v>
      </c>
      <c r="H707" s="192" t="str">
        <f>IFERROR(__xludf.DUMMYFUNCTION("""COMPUTED_VALUE"""),"shivam.bali@zupee.in")</f>
        <v>shivam.bali@zupee.in</v>
      </c>
      <c r="I707" s="192" t="str">
        <f>IFERROR(__xludf.DUMMYFUNCTION("""COMPUTED_VALUE"""),"sumit.yadav@zupee.in: - Customer Experience")</f>
        <v>sumit.yadav@zupee.in: - Customer Experience</v>
      </c>
      <c r="J707" s="19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92"/>
      <c r="B708" s="192"/>
      <c r="C708" s="192"/>
      <c r="D708" s="192"/>
      <c r="E708" s="192"/>
      <c r="F708" s="192"/>
      <c r="G708" s="192" t="str">
        <f>IFERROR(__xludf.DUMMYFUNCTION("""COMPUTED_VALUE"""),"Shivangi Dalmia")</f>
        <v>Shivangi Dalmia</v>
      </c>
      <c r="H708" s="192" t="str">
        <f>IFERROR(__xludf.DUMMYFUNCTION("""COMPUTED_VALUE"""),"shivangi.dalmia@zupee.in")</f>
        <v>shivangi.dalmia@zupee.in</v>
      </c>
      <c r="I708" s="192" t="str">
        <f>IFERROR(__xludf.DUMMYFUNCTION("""COMPUTED_VALUE"""),"ankit.maheshwari@zupee.in: - Finance")</f>
        <v>ankit.maheshwari@zupee.in: - Finance</v>
      </c>
      <c r="J708" s="19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92"/>
      <c r="B709" s="192"/>
      <c r="C709" s="192"/>
      <c r="D709" s="192"/>
      <c r="E709" s="192"/>
      <c r="F709" s="192"/>
      <c r="G709" s="192" t="str">
        <f>IFERROR(__xludf.DUMMYFUNCTION("""COMPUTED_VALUE"""),"Shivani Patil")</f>
        <v>Shivani Patil</v>
      </c>
      <c r="H709" s="192" t="str">
        <f>IFERROR(__xludf.DUMMYFUNCTION("""COMPUTED_VALUE"""),"shivani.patil@zupee.in")</f>
        <v>shivani.patil@zupee.in</v>
      </c>
      <c r="I709" s="192" t="str">
        <f>IFERROR(__xludf.DUMMYFUNCTION("""COMPUTED_VALUE"""),"vishal.agarwal@zupee.in: - Technology")</f>
        <v>vishal.agarwal@zupee.in: - Technology</v>
      </c>
      <c r="J709" s="19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92"/>
      <c r="B710" s="192"/>
      <c r="C710" s="192"/>
      <c r="D710" s="192"/>
      <c r="E710" s="192"/>
      <c r="F710" s="192"/>
      <c r="G710" s="192" t="str">
        <f>IFERROR(__xludf.DUMMYFUNCTION("""COMPUTED_VALUE"""),"Shobhit Sharma")</f>
        <v>Shobhit Sharma</v>
      </c>
      <c r="H710" s="192" t="str">
        <f>IFERROR(__xludf.DUMMYFUNCTION("""COMPUTED_VALUE"""),"shobhit.sharma@zupee.in")</f>
        <v>shobhit.sharma@zupee.in</v>
      </c>
      <c r="I710" s="192" t="str">
        <f>IFERROR(__xludf.DUMMYFUNCTION("""COMPUTED_VALUE"""),"ishan.margamwar@zupee.in: - Customer Experience")</f>
        <v>ishan.margamwar@zupee.in: - Customer Experience</v>
      </c>
      <c r="J710" s="19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92"/>
      <c r="B711" s="192"/>
      <c r="C711" s="192"/>
      <c r="D711" s="192"/>
      <c r="E711" s="192"/>
      <c r="F711" s="192"/>
      <c r="G711" s="192" t="str">
        <f>IFERROR(__xludf.DUMMYFUNCTION("""COMPUTED_VALUE"""),"Shreya Pandey")</f>
        <v>Shreya Pandey</v>
      </c>
      <c r="H711" s="192" t="str">
        <f>IFERROR(__xludf.DUMMYFUNCTION("""COMPUTED_VALUE"""),"shreya.pandey@zupee.in")</f>
        <v>shreya.pandey@zupee.in</v>
      </c>
      <c r="I711" s="192" t="str">
        <f>IFERROR(__xludf.DUMMYFUNCTION("""COMPUTED_VALUE"""),"shivam.bali@zupee.in: - Customer Experience")</f>
        <v>shivam.bali@zupee.in: - Customer Experience</v>
      </c>
      <c r="J711" s="19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92"/>
      <c r="B712" s="192"/>
      <c r="C712" s="192"/>
      <c r="D712" s="192"/>
      <c r="E712" s="192"/>
      <c r="F712" s="192"/>
      <c r="G712" s="192" t="str">
        <f>IFERROR(__xludf.DUMMYFUNCTION("""COMPUTED_VALUE"""),"Shubham Khosla")</f>
        <v>Shubham Khosla</v>
      </c>
      <c r="H712" s="192" t="str">
        <f>IFERROR(__xludf.DUMMYFUNCTION("""COMPUTED_VALUE"""),"shubham.khosla@zupee.in")</f>
        <v>shubham.khosla@zupee.in</v>
      </c>
      <c r="I712" s="192" t="str">
        <f>IFERROR(__xludf.DUMMYFUNCTION("""COMPUTED_VALUE"""),"vishal.agarwal@zupee.in: - Technology")</f>
        <v>vishal.agarwal@zupee.in: - Technology</v>
      </c>
      <c r="J712" s="19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92"/>
      <c r="B713" s="192"/>
      <c r="C713" s="192"/>
      <c r="D713" s="192"/>
      <c r="E713" s="192"/>
      <c r="F713" s="192"/>
      <c r="G713" s="192" t="str">
        <f>IFERROR(__xludf.DUMMYFUNCTION("""COMPUTED_VALUE"""),"Shubham Kumar Thakur")</f>
        <v>Shubham Kumar Thakur</v>
      </c>
      <c r="H713" s="192" t="str">
        <f>IFERROR(__xludf.DUMMYFUNCTION("""COMPUTED_VALUE"""),"shubham.thakur@zupee.in")</f>
        <v>shubham.thakur@zupee.in</v>
      </c>
      <c r="I713" s="192" t="str">
        <f>IFERROR(__xludf.DUMMYFUNCTION("""COMPUTED_VALUE"""),"hitesh.vats@zupee.in: - Finance")</f>
        <v>hitesh.vats@zupee.in: - Finance</v>
      </c>
      <c r="J713" s="19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92"/>
      <c r="B714" s="192"/>
      <c r="C714" s="192"/>
      <c r="D714" s="192"/>
      <c r="E714" s="192"/>
      <c r="F714" s="192"/>
      <c r="G714" s="192" t="str">
        <f>IFERROR(__xludf.DUMMYFUNCTION("""COMPUTED_VALUE"""),"Shubham Kumar")</f>
        <v>Shubham Kumar</v>
      </c>
      <c r="H714" s="192" t="str">
        <f>IFERROR(__xludf.DUMMYFUNCTION("""COMPUTED_VALUE"""),"shubham.kumar@zupee.in")</f>
        <v>shubham.kumar@zupee.in</v>
      </c>
      <c r="I714" s="192" t="str">
        <f>IFERROR(__xludf.DUMMYFUNCTION("""COMPUTED_VALUE"""),"nikhil.kaplas@zupee.in: - Technology")</f>
        <v>nikhil.kaplas@zupee.in: - Technology</v>
      </c>
      <c r="J714" s="19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92"/>
      <c r="B715" s="192"/>
      <c r="C715" s="192"/>
      <c r="D715" s="192"/>
      <c r="E715" s="192"/>
      <c r="F715" s="192"/>
      <c r="G715" s="192" t="str">
        <f>IFERROR(__xludf.DUMMYFUNCTION("""COMPUTED_VALUE"""),"Shubham Maurya")</f>
        <v>Shubham Maurya</v>
      </c>
      <c r="H715" s="192" t="str">
        <f>IFERROR(__xludf.DUMMYFUNCTION("""COMPUTED_VALUE"""),"shubham.maurya@zupee.in")</f>
        <v>shubham.maurya@zupee.in</v>
      </c>
      <c r="I715" s="192" t="str">
        <f>IFERROR(__xludf.DUMMYFUNCTION("""COMPUTED_VALUE"""),"vishal.agarwal@zupee.in: - Technology")</f>
        <v>vishal.agarwal@zupee.in: - Technology</v>
      </c>
      <c r="J715" s="19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92"/>
      <c r="B716" s="192"/>
      <c r="C716" s="192"/>
      <c r="D716" s="192"/>
      <c r="E716" s="192"/>
      <c r="F716" s="192"/>
      <c r="G716" s="192" t="str">
        <f>IFERROR(__xludf.DUMMYFUNCTION("""COMPUTED_VALUE"""),"Shubham Goyal")</f>
        <v>Shubham Goyal</v>
      </c>
      <c r="H716" s="192" t="str">
        <f>IFERROR(__xludf.DUMMYFUNCTION("""COMPUTED_VALUE"""),"shubham.goyal@zupee.in")</f>
        <v>shubham.goyal@zupee.in</v>
      </c>
      <c r="I716" s="192" t="str">
        <f>IFERROR(__xludf.DUMMYFUNCTION("""COMPUTED_VALUE"""),"mritunjay.kumar@zupee.in: - Customer Experience")</f>
        <v>mritunjay.kumar@zupee.in: - Customer Experience</v>
      </c>
      <c r="J716" s="19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92"/>
      <c r="B717" s="192"/>
      <c r="C717" s="192"/>
      <c r="D717" s="192"/>
      <c r="E717" s="192"/>
      <c r="F717" s="192"/>
      <c r="G717" s="192" t="str">
        <f>IFERROR(__xludf.DUMMYFUNCTION("""COMPUTED_VALUE"""),"Shubham Verma")</f>
        <v>Shubham Verma</v>
      </c>
      <c r="H717" s="192" t="str">
        <f>IFERROR(__xludf.DUMMYFUNCTION("""COMPUTED_VALUE"""),"shubham.v@zupee.in")</f>
        <v>shubham.v@zupee.in</v>
      </c>
      <c r="I717" s="192" t="str">
        <f>IFERROR(__xludf.DUMMYFUNCTION("""COMPUTED_VALUE"""),"hitesh.kwatra@zupee.in: - Technology")</f>
        <v>hitesh.kwatra@zupee.in: - Technology</v>
      </c>
      <c r="J717" s="19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92"/>
      <c r="B718" s="192"/>
      <c r="C718" s="192"/>
      <c r="D718" s="192"/>
      <c r="E718" s="192"/>
      <c r="F718" s="192"/>
      <c r="G718" s="192" t="str">
        <f>IFERROR(__xludf.DUMMYFUNCTION("""COMPUTED_VALUE"""),"Siddharth Saurav")</f>
        <v>Siddharth Saurav</v>
      </c>
      <c r="H718" s="192" t="str">
        <f>IFERROR(__xludf.DUMMYFUNCTION("""COMPUTED_VALUE"""),"siddharth.saurav@zupee.in")</f>
        <v>siddharth.saurav@zupee.in</v>
      </c>
      <c r="I718" s="192" t="str">
        <f>IFERROR(__xludf.DUMMYFUNCTION("""COMPUTED_VALUE"""),"sumit.singh@zupee.in: - Technology")</f>
        <v>sumit.singh@zupee.in: - Technology</v>
      </c>
      <c r="J718" s="19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92"/>
      <c r="B719" s="192"/>
      <c r="C719" s="192"/>
      <c r="D719" s="192"/>
      <c r="E719" s="192"/>
      <c r="F719" s="192"/>
      <c r="G719" s="192" t="str">
        <f>IFERROR(__xludf.DUMMYFUNCTION("""COMPUTED_VALUE"""),"Siddharth Monga")</f>
        <v>Siddharth Monga</v>
      </c>
      <c r="H719" s="192" t="str">
        <f>IFERROR(__xludf.DUMMYFUNCTION("""COMPUTED_VALUE"""),"siddharth.monga@zupee.in")</f>
        <v>siddharth.monga@zupee.in</v>
      </c>
      <c r="I719" s="192" t="str">
        <f>IFERROR(__xludf.DUMMYFUNCTION("""COMPUTED_VALUE"""),"ankit.maheshwari@zupee.in: - Finance")</f>
        <v>ankit.maheshwari@zupee.in: - Finance</v>
      </c>
      <c r="J719" s="19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92"/>
      <c r="B720" s="192"/>
      <c r="C720" s="192"/>
      <c r="D720" s="192"/>
      <c r="E720" s="192"/>
      <c r="F720" s="192"/>
      <c r="G720" s="192" t="str">
        <f>IFERROR(__xludf.DUMMYFUNCTION("""COMPUTED_VALUE"""),"Sidharth Dhiman")</f>
        <v>Sidharth Dhiman</v>
      </c>
      <c r="H720" s="192" t="str">
        <f>IFERROR(__xludf.DUMMYFUNCTION("""COMPUTED_VALUE"""),"sidharth.dhiman@zupee.in")</f>
        <v>sidharth.dhiman@zupee.in</v>
      </c>
      <c r="I720" s="192" t="str">
        <f>IFERROR(__xludf.DUMMYFUNCTION("""COMPUTED_VALUE"""),"amit.garg@zupee.in: - Technology")</f>
        <v>amit.garg@zupee.in: - Technology</v>
      </c>
      <c r="J720" s="19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92"/>
      <c r="B721" s="192"/>
      <c r="C721" s="192"/>
      <c r="D721" s="192"/>
      <c r="E721" s="192"/>
      <c r="F721" s="192"/>
      <c r="G721" s="192" t="str">
        <f>IFERROR(__xludf.DUMMYFUNCTION("""COMPUTED_VALUE"""),"Simran Verma")</f>
        <v>Simran Verma</v>
      </c>
      <c r="H721" s="192" t="str">
        <f>IFERROR(__xludf.DUMMYFUNCTION("""COMPUTED_VALUE"""),"simran.v@zupee.in")</f>
        <v>simran.v@zupee.in</v>
      </c>
      <c r="I721" s="192" t="str">
        <f>IFERROR(__xludf.DUMMYFUNCTION("""COMPUTED_VALUE"""),"sumit.yadav@zupee.in: - Customer Experience")</f>
        <v>sumit.yadav@zupee.in: - Customer Experience</v>
      </c>
      <c r="J721" s="19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92"/>
      <c r="B722" s="192"/>
      <c r="C722" s="192"/>
      <c r="D722" s="192"/>
      <c r="E722" s="192"/>
      <c r="F722" s="192"/>
      <c r="G722" s="192" t="str">
        <f>IFERROR(__xludf.DUMMYFUNCTION("""COMPUTED_VALUE"""),"Simran Verma")</f>
        <v>Simran Verma</v>
      </c>
      <c r="H722" s="192" t="str">
        <f>IFERROR(__xludf.DUMMYFUNCTION("""COMPUTED_VALUE"""),"simran.verma@zupee.in")</f>
        <v>simran.verma@zupee.in</v>
      </c>
      <c r="I722" s="192" t="str">
        <f>IFERROR(__xludf.DUMMYFUNCTION("""COMPUTED_VALUE"""),"suvra.das@zupee.in: - Customer Experience")</f>
        <v>suvra.das@zupee.in: - Customer Experience</v>
      </c>
      <c r="J722" s="19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92"/>
      <c r="B723" s="192"/>
      <c r="C723" s="192"/>
      <c r="D723" s="192"/>
      <c r="E723" s="192"/>
      <c r="F723" s="192"/>
      <c r="G723" s="192" t="str">
        <f>IFERROR(__xludf.DUMMYFUNCTION("""COMPUTED_VALUE"""),"Simran Rana")</f>
        <v>Simran Rana</v>
      </c>
      <c r="H723" s="192" t="str">
        <f>IFERROR(__xludf.DUMMYFUNCTION("""COMPUTED_VALUE"""),"simran.rana@zupee.in")</f>
        <v>simran.rana@zupee.in</v>
      </c>
      <c r="I723" s="192" t="str">
        <f>IFERROR(__xludf.DUMMYFUNCTION("""COMPUTED_VALUE"""),"mrityunjay.k@zupee.in: - Customer Experience")</f>
        <v>mrityunjay.k@zupee.in: - Customer Experience</v>
      </c>
      <c r="J723" s="19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92"/>
      <c r="B724" s="192"/>
      <c r="C724" s="192"/>
      <c r="D724" s="192"/>
      <c r="E724" s="192"/>
      <c r="F724" s="192"/>
      <c r="G724" s="192" t="str">
        <f>IFERROR(__xludf.DUMMYFUNCTION("""COMPUTED_VALUE"""),"Sonu Modi")</f>
        <v>Sonu Modi</v>
      </c>
      <c r="H724" s="192" t="str">
        <f>IFERROR(__xludf.DUMMYFUNCTION("""COMPUTED_VALUE"""),"sonu.modi@zupee.in")</f>
        <v>sonu.modi@zupee.in</v>
      </c>
      <c r="I724" s="192" t="str">
        <f>IFERROR(__xludf.DUMMYFUNCTION("""COMPUTED_VALUE"""),"anuj.baghel@zupee.in: - Technology")</f>
        <v>anuj.baghel@zupee.in: - Technology</v>
      </c>
      <c r="J724" s="19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92"/>
      <c r="B725" s="192"/>
      <c r="C725" s="192"/>
      <c r="D725" s="192"/>
      <c r="E725" s="192"/>
      <c r="F725" s="192"/>
      <c r="G725" s="192" t="str">
        <f>IFERROR(__xludf.DUMMYFUNCTION("""COMPUTED_VALUE"""),"Soumya Manna")</f>
        <v>Soumya Manna</v>
      </c>
      <c r="H725" s="192" t="str">
        <f>IFERROR(__xludf.DUMMYFUNCTION("""COMPUTED_VALUE"""),"soumya.manna@zupee.in")</f>
        <v>soumya.manna@zupee.in</v>
      </c>
      <c r="I725" s="192" t="str">
        <f>IFERROR(__xludf.DUMMYFUNCTION("""COMPUTED_VALUE"""),"amit.garg@zupee.in: - Technology")</f>
        <v>amit.garg@zupee.in: - Technology</v>
      </c>
      <c r="J725" s="19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92"/>
      <c r="B726" s="192"/>
      <c r="C726" s="192"/>
      <c r="D726" s="192"/>
      <c r="E726" s="192"/>
      <c r="F726" s="192"/>
      <c r="G726" s="192" t="str">
        <f>IFERROR(__xludf.DUMMYFUNCTION("""COMPUTED_VALUE"""),"Sourabh Kumar")</f>
        <v>Sourabh Kumar</v>
      </c>
      <c r="H726" s="192" t="str">
        <f>IFERROR(__xludf.DUMMYFUNCTION("""COMPUTED_VALUE"""),"sourabh.kumar@zupee.in")</f>
        <v>sourabh.kumar@zupee.in</v>
      </c>
      <c r="I726" s="192" t="str">
        <f>IFERROR(__xludf.DUMMYFUNCTION("""COMPUTED_VALUE"""),"nikhil.kaplas@zupee.in: - Technology")</f>
        <v>nikhil.kaplas@zupee.in: - Technology</v>
      </c>
      <c r="J726" s="19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92"/>
      <c r="B727" s="192"/>
      <c r="C727" s="192"/>
      <c r="D727" s="192"/>
      <c r="E727" s="192"/>
      <c r="F727" s="192"/>
      <c r="G727" s="192" t="str">
        <f>IFERROR(__xludf.DUMMYFUNCTION("""COMPUTED_VALUE"""),"Srijith Shaji")</f>
        <v>Srijith Shaji</v>
      </c>
      <c r="H727" s="192" t="str">
        <f>IFERROR(__xludf.DUMMYFUNCTION("""COMPUTED_VALUE"""),"srijith.shaji@zupee.in")</f>
        <v>srijith.shaji@zupee.in</v>
      </c>
      <c r="I727" s="192" t="str">
        <f>IFERROR(__xludf.DUMMYFUNCTION("""COMPUTED_VALUE"""),"mritunjay.kumar@zupee.in: - Customer Experience")</f>
        <v>mritunjay.kumar@zupee.in: - Customer Experience</v>
      </c>
      <c r="J727" s="19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92"/>
      <c r="B728" s="192"/>
      <c r="C728" s="192"/>
      <c r="D728" s="192"/>
      <c r="E728" s="192"/>
      <c r="F728" s="192"/>
      <c r="G728" s="192" t="str">
        <f>IFERROR(__xludf.DUMMYFUNCTION("""COMPUTED_VALUE"""),"Suman Kumar")</f>
        <v>Suman Kumar</v>
      </c>
      <c r="H728" s="192" t="str">
        <f>IFERROR(__xludf.DUMMYFUNCTION("""COMPUTED_VALUE"""),"suman.kumar@zupee.in")</f>
        <v>suman.kumar@zupee.in</v>
      </c>
      <c r="I728" s="192" t="str">
        <f>IFERROR(__xludf.DUMMYFUNCTION("""COMPUTED_VALUE"""),"mritunjay.kumar@zupee.in: - Customer Experience")</f>
        <v>mritunjay.kumar@zupee.in: - Customer Experience</v>
      </c>
      <c r="J728" s="19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92"/>
      <c r="B729" s="192"/>
      <c r="C729" s="192"/>
      <c r="D729" s="192"/>
      <c r="E729" s="192"/>
      <c r="F729" s="192"/>
      <c r="G729" s="192" t="str">
        <f>IFERROR(__xludf.DUMMYFUNCTION("""COMPUTED_VALUE"""),"Sumit Paul")</f>
        <v>Sumit Paul</v>
      </c>
      <c r="H729" s="192" t="str">
        <f>IFERROR(__xludf.DUMMYFUNCTION("""COMPUTED_VALUE"""),"sumit.paul@zupee.in")</f>
        <v>sumit.paul@zupee.in</v>
      </c>
      <c r="I729" s="192" t="str">
        <f>IFERROR(__xludf.DUMMYFUNCTION("""COMPUTED_VALUE"""),"mritunjay.kumar@zupee.in: - Customer Experience")</f>
        <v>mritunjay.kumar@zupee.in: - Customer Experience</v>
      </c>
      <c r="J729" s="19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92"/>
      <c r="B730" s="192"/>
      <c r="C730" s="192"/>
      <c r="D730" s="192"/>
      <c r="E730" s="192"/>
      <c r="F730" s="192"/>
      <c r="G730" s="192" t="str">
        <f>IFERROR(__xludf.DUMMYFUNCTION("""COMPUTED_VALUE"""),"Suraj Negi")</f>
        <v>Suraj Negi</v>
      </c>
      <c r="H730" s="192" t="str">
        <f>IFERROR(__xludf.DUMMYFUNCTION("""COMPUTED_VALUE"""),"suraj.negi@zupee.in")</f>
        <v>suraj.negi@zupee.in</v>
      </c>
      <c r="I730" s="192" t="str">
        <f>IFERROR(__xludf.DUMMYFUNCTION("""COMPUTED_VALUE"""),"anshul.mittal@zupee.in: - Technology")</f>
        <v>anshul.mittal@zupee.in: - Technology</v>
      </c>
      <c r="J730" s="19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92"/>
      <c r="B731" s="192"/>
      <c r="C731" s="192"/>
      <c r="D731" s="192"/>
      <c r="E731" s="192"/>
      <c r="F731" s="192"/>
      <c r="G731" s="192" t="str">
        <f>IFERROR(__xludf.DUMMYFUNCTION("""COMPUTED_VALUE"""),"Sushant Upadhyay")</f>
        <v>Sushant Upadhyay</v>
      </c>
      <c r="H731" s="192" t="str">
        <f>IFERROR(__xludf.DUMMYFUNCTION("""COMPUTED_VALUE"""),"sushant.upadhyay@zupee.in")</f>
        <v>sushant.upadhyay@zupee.in</v>
      </c>
      <c r="I731" s="192" t="str">
        <f>IFERROR(__xludf.DUMMYFUNCTION("""COMPUTED_VALUE"""),"nitesh.vijay@zupee.in: - Data")</f>
        <v>nitesh.vijay@zupee.in: - Data</v>
      </c>
      <c r="J731" s="19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92"/>
      <c r="B732" s="192"/>
      <c r="C732" s="192"/>
      <c r="D732" s="192"/>
      <c r="E732" s="192"/>
      <c r="F732" s="192"/>
      <c r="G732" s="192" t="str">
        <f>IFERROR(__xludf.DUMMYFUNCTION("""COMPUTED_VALUE"""),"Suvam Debata")</f>
        <v>Suvam Debata</v>
      </c>
      <c r="H732" s="192" t="str">
        <f>IFERROR(__xludf.DUMMYFUNCTION("""COMPUTED_VALUE"""),"suvam.debata@zupee.in")</f>
        <v>suvam.debata@zupee.in</v>
      </c>
      <c r="I732" s="192" t="str">
        <f>IFERROR(__xludf.DUMMYFUNCTION("""COMPUTED_VALUE"""),"vishal.agarwal@zupee.in: - Technology")</f>
        <v>vishal.agarwal@zupee.in: - Technology</v>
      </c>
      <c r="J732" s="19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92"/>
      <c r="B733" s="192"/>
      <c r="C733" s="192"/>
      <c r="D733" s="192"/>
      <c r="E733" s="192"/>
      <c r="F733" s="192"/>
      <c r="G733" s="192" t="str">
        <f>IFERROR(__xludf.DUMMYFUNCTION("""COMPUTED_VALUE"""),"Suvra Das")</f>
        <v>Suvra Das</v>
      </c>
      <c r="H733" s="192" t="str">
        <f>IFERROR(__xludf.DUMMYFUNCTION("""COMPUTED_VALUE"""),"suvra.das@zupee.in")</f>
        <v>suvra.das@zupee.in</v>
      </c>
      <c r="I733" s="192" t="str">
        <f>IFERROR(__xludf.DUMMYFUNCTION("""COMPUTED_VALUE"""),"tarun.sharma@zupee.in: - Customer Experience")</f>
        <v>tarun.sharma@zupee.in: - Customer Experience</v>
      </c>
      <c r="J733" s="19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92"/>
      <c r="B734" s="192"/>
      <c r="C734" s="192"/>
      <c r="D734" s="192"/>
      <c r="E734" s="192"/>
      <c r="F734" s="192"/>
      <c r="G734" s="192" t="str">
        <f>IFERROR(__xludf.DUMMYFUNCTION("""COMPUTED_VALUE"""),"Swati Puhan")</f>
        <v>Swati Puhan</v>
      </c>
      <c r="H734" s="192" t="str">
        <f>IFERROR(__xludf.DUMMYFUNCTION("""COMPUTED_VALUE"""),"swati.puhan@zupee.in")</f>
        <v>swati.puhan@zupee.in</v>
      </c>
      <c r="I734" s="192" t="str">
        <f>IFERROR(__xludf.DUMMYFUNCTION("""COMPUTED_VALUE"""),"vishal.agarwal@zupee.in: - Technology")</f>
        <v>vishal.agarwal@zupee.in: - Technology</v>
      </c>
      <c r="J734" s="19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92"/>
      <c r="B735" s="192"/>
      <c r="C735" s="192"/>
      <c r="D735" s="192"/>
      <c r="E735" s="192"/>
      <c r="F735" s="192"/>
      <c r="G735" s="192" t="str">
        <f>IFERROR(__xludf.DUMMYFUNCTION("""COMPUTED_VALUE"""),"Tarun Kumar")</f>
        <v>Tarun Kumar</v>
      </c>
      <c r="H735" s="192" t="str">
        <f>IFERROR(__xludf.DUMMYFUNCTION("""COMPUTED_VALUE"""),"tarun.kumar@zupee.in")</f>
        <v>tarun.kumar@zupee.in</v>
      </c>
      <c r="I735" s="192" t="str">
        <f>IFERROR(__xludf.DUMMYFUNCTION("""COMPUTED_VALUE"""),"anuj.baghel@zupee.in: - Technology")</f>
        <v>anuj.baghel@zupee.in: - Technology</v>
      </c>
      <c r="J735" s="19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92"/>
      <c r="B736" s="192"/>
      <c r="C736" s="192"/>
      <c r="D736" s="192"/>
      <c r="E736" s="192"/>
      <c r="F736" s="192"/>
      <c r="G736" s="192" t="str">
        <f>IFERROR(__xludf.DUMMYFUNCTION("""COMPUTED_VALUE"""),"Tarun Sharma")</f>
        <v>Tarun Sharma</v>
      </c>
      <c r="H736" s="192" t="str">
        <f>IFERROR(__xludf.DUMMYFUNCTION("""COMPUTED_VALUE"""),"tarun.sharma@zupee.in")</f>
        <v>tarun.sharma@zupee.in</v>
      </c>
      <c r="I736" s="192" t="str">
        <f>IFERROR(__xludf.DUMMYFUNCTION("""COMPUTED_VALUE"""),"sumit.yadav@zupee.in: - Customer Experience")</f>
        <v>sumit.yadav@zupee.in: - Customer Experience</v>
      </c>
      <c r="J736" s="19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92"/>
      <c r="B737" s="192"/>
      <c r="C737" s="192"/>
      <c r="D737" s="192"/>
      <c r="E737" s="192"/>
      <c r="F737" s="192"/>
      <c r="G737" s="192" t="str">
        <f>IFERROR(__xludf.DUMMYFUNCTION("""COMPUTED_VALUE"""),"Teena Gupta")</f>
        <v>Teena Gupta</v>
      </c>
      <c r="H737" s="192" t="str">
        <f>IFERROR(__xludf.DUMMYFUNCTION("""COMPUTED_VALUE"""),"teena.gupta@zupee.in")</f>
        <v>teena.gupta@zupee.in</v>
      </c>
      <c r="I737" s="192" t="str">
        <f>IFERROR(__xludf.DUMMYFUNCTION("""COMPUTED_VALUE"""),"mritunjay.kumar@zupee.in: - Customer Experience")</f>
        <v>mritunjay.kumar@zupee.in: - Customer Experience</v>
      </c>
      <c r="J737" s="19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92"/>
      <c r="B738" s="192"/>
      <c r="C738" s="192"/>
      <c r="D738" s="192"/>
      <c r="E738" s="192"/>
      <c r="F738" s="192"/>
      <c r="G738" s="192" t="str">
        <f>IFERROR(__xludf.DUMMYFUNCTION("""COMPUTED_VALUE"""),"Tripat Kaur")</f>
        <v>Tripat Kaur</v>
      </c>
      <c r="H738" s="192" t="str">
        <f>IFERROR(__xludf.DUMMYFUNCTION("""COMPUTED_VALUE"""),"tripat.kaur@zupee.in")</f>
        <v>tripat.kaur@zupee.in</v>
      </c>
      <c r="I738" s="192" t="str">
        <f>IFERROR(__xludf.DUMMYFUNCTION("""COMPUTED_VALUE"""),"mritunjay.kumar@zupee.in: - Customer Experience")</f>
        <v>mritunjay.kumar@zupee.in: - Customer Experience</v>
      </c>
      <c r="J738" s="19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92"/>
      <c r="B739" s="192"/>
      <c r="C739" s="192"/>
      <c r="D739" s="192"/>
      <c r="E739" s="192"/>
      <c r="F739" s="192"/>
      <c r="G739" s="192" t="str">
        <f>IFERROR(__xludf.DUMMYFUNCTION("""COMPUTED_VALUE"""),"Tulika Bhatnagar")</f>
        <v>Tulika Bhatnagar</v>
      </c>
      <c r="H739" s="192" t="str">
        <f>IFERROR(__xludf.DUMMYFUNCTION("""COMPUTED_VALUE"""),"tulika.bhatnagar@zupee.in")</f>
        <v>tulika.bhatnagar@zupee.in</v>
      </c>
      <c r="I739" s="192" t="str">
        <f>IFERROR(__xludf.DUMMYFUNCTION("""COMPUTED_VALUE"""),"suvra.das@zupee.in: - Customer Experience")</f>
        <v>suvra.das@zupee.in: - Customer Experience</v>
      </c>
      <c r="J739" s="19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92"/>
      <c r="B740" s="192"/>
      <c r="C740" s="192"/>
      <c r="D740" s="192"/>
      <c r="E740" s="192"/>
      <c r="F740" s="192"/>
      <c r="G740" s="192" t="str">
        <f>IFERROR(__xludf.DUMMYFUNCTION("""COMPUTED_VALUE"""),"Tushar Sharma")</f>
        <v>Tushar Sharma</v>
      </c>
      <c r="H740" s="192" t="str">
        <f>IFERROR(__xludf.DUMMYFUNCTION("""COMPUTED_VALUE"""),"tushar.sharma@zupee.in")</f>
        <v>tushar.sharma@zupee.in</v>
      </c>
      <c r="I740" s="192" t="str">
        <f>IFERROR(__xludf.DUMMYFUNCTION("""COMPUTED_VALUE"""),"aman.patni@zupee.in: - Finance")</f>
        <v>aman.patni@zupee.in: - Finance</v>
      </c>
      <c r="J740" s="19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92"/>
      <c r="B741" s="192"/>
      <c r="C741" s="192"/>
      <c r="D741" s="192"/>
      <c r="E741" s="192"/>
      <c r="F741" s="192"/>
      <c r="G741" s="192" t="str">
        <f>IFERROR(__xludf.DUMMYFUNCTION("""COMPUTED_VALUE"""),"Twinkle Bhati")</f>
        <v>Twinkle Bhati</v>
      </c>
      <c r="H741" s="192" t="str">
        <f>IFERROR(__xludf.DUMMYFUNCTION("""COMPUTED_VALUE"""),"twinkle.bhati@zupee.in")</f>
        <v>twinkle.bhati@zupee.in</v>
      </c>
      <c r="I741" s="192" t="str">
        <f>IFERROR(__xludf.DUMMYFUNCTION("""COMPUTED_VALUE"""),"hitesh.vats@zupee.in: - Finance")</f>
        <v>hitesh.vats@zupee.in: - Finance</v>
      </c>
      <c r="J741" s="19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92"/>
      <c r="B742" s="192"/>
      <c r="C742" s="192"/>
      <c r="D742" s="192"/>
      <c r="E742" s="192"/>
      <c r="F742" s="192"/>
      <c r="G742" s="192" t="str">
        <f>IFERROR(__xludf.DUMMYFUNCTION("""COMPUTED_VALUE"""),"Uma Batra")</f>
        <v>Uma Batra</v>
      </c>
      <c r="H742" s="192" t="str">
        <f>IFERROR(__xludf.DUMMYFUNCTION("""COMPUTED_VALUE"""),"uma.batra@zupee.in")</f>
        <v>uma.batra@zupee.in</v>
      </c>
      <c r="I742" s="192" t="str">
        <f>IFERROR(__xludf.DUMMYFUNCTION("""COMPUTED_VALUE"""),"shivam.bali@zupee.in: - Customer Experience")</f>
        <v>shivam.bali@zupee.in: - Customer Experience</v>
      </c>
      <c r="J742" s="19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92"/>
      <c r="B743" s="192"/>
      <c r="C743" s="192"/>
      <c r="D743" s="192"/>
      <c r="E743" s="192"/>
      <c r="F743" s="192"/>
      <c r="G743" s="192" t="str">
        <f>IFERROR(__xludf.DUMMYFUNCTION("""COMPUTED_VALUE"""),"Umair Iliyas")</f>
        <v>Umair Iliyas</v>
      </c>
      <c r="H743" s="192" t="str">
        <f>IFERROR(__xludf.DUMMYFUNCTION("""COMPUTED_VALUE"""),"umair.iliyas@zupee.in")</f>
        <v>umair.iliyas@zupee.in</v>
      </c>
      <c r="I743" s="192" t="str">
        <f>IFERROR(__xludf.DUMMYFUNCTION("""COMPUTED_VALUE"""),"mritunjay.kumar@zupee.in: - Customer Experience")</f>
        <v>mritunjay.kumar@zupee.in: - Customer Experience</v>
      </c>
      <c r="J743" s="19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92"/>
      <c r="B744" s="192"/>
      <c r="C744" s="192"/>
      <c r="D744" s="192"/>
      <c r="E744" s="192"/>
      <c r="F744" s="192"/>
      <c r="G744" s="192" t="str">
        <f>IFERROR(__xludf.DUMMYFUNCTION("""COMPUTED_VALUE"""),"Umar Khan")</f>
        <v>Umar Khan</v>
      </c>
      <c r="H744" s="192" t="str">
        <f>IFERROR(__xludf.DUMMYFUNCTION("""COMPUTED_VALUE"""),"umar.khan@zupee.in")</f>
        <v>umar.khan@zupee.in</v>
      </c>
      <c r="I744" s="192" t="str">
        <f>IFERROR(__xludf.DUMMYFUNCTION("""COMPUTED_VALUE"""),"mohini.bhardwaj@zupee.in: - Customer Experience")</f>
        <v>mohini.bhardwaj@zupee.in: - Customer Experience</v>
      </c>
      <c r="J744" s="19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92"/>
      <c r="B745" s="192"/>
      <c r="C745" s="192"/>
      <c r="D745" s="192"/>
      <c r="E745" s="192"/>
      <c r="F745" s="192"/>
      <c r="G745" s="192" t="str">
        <f>IFERROR(__xludf.DUMMYFUNCTION("""COMPUTED_VALUE"""),"Utkarsh Vishal")</f>
        <v>Utkarsh Vishal</v>
      </c>
      <c r="H745" s="192" t="str">
        <f>IFERROR(__xludf.DUMMYFUNCTION("""COMPUTED_VALUE"""),"utkarsh.vishal@zupee.in")</f>
        <v>utkarsh.vishal@zupee.in</v>
      </c>
      <c r="I745" s="192" t="str">
        <f>IFERROR(__xludf.DUMMYFUNCTION("""COMPUTED_VALUE"""),"bishan.bhadra@zupee.in: - Data")</f>
        <v>bishan.bhadra@zupee.in: - Data</v>
      </c>
      <c r="J745" s="19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92"/>
      <c r="B746" s="192"/>
      <c r="C746" s="192"/>
      <c r="D746" s="192"/>
      <c r="E746" s="192"/>
      <c r="F746" s="192"/>
      <c r="G746" s="192" t="str">
        <f>IFERROR(__xludf.DUMMYFUNCTION("""COMPUTED_VALUE"""),"Utkarsh Sharma")</f>
        <v>Utkarsh Sharma</v>
      </c>
      <c r="H746" s="192" t="str">
        <f>IFERROR(__xludf.DUMMYFUNCTION("""COMPUTED_VALUE"""),"utkarsh.sharma@zupee.in")</f>
        <v>utkarsh.sharma@zupee.in</v>
      </c>
      <c r="I746" s="192" t="str">
        <f>IFERROR(__xludf.DUMMYFUNCTION("""COMPUTED_VALUE"""),"saumil.shah@zupee.in: - Digital Marketing")</f>
        <v>saumil.shah@zupee.in: - Digital Marketing</v>
      </c>
      <c r="J746" s="19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92"/>
      <c r="B747" s="192"/>
      <c r="C747" s="192"/>
      <c r="D747" s="192"/>
      <c r="E747" s="192"/>
      <c r="F747" s="192"/>
      <c r="G747" s="192" t="str">
        <f>IFERROR(__xludf.DUMMYFUNCTION("""COMPUTED_VALUE"""),"Vansh Kumar Dua")</f>
        <v>Vansh Kumar Dua</v>
      </c>
      <c r="H747" s="192" t="str">
        <f>IFERROR(__xludf.DUMMYFUNCTION("""COMPUTED_VALUE"""),"vansh.dua@zupee.in")</f>
        <v>vansh.dua@zupee.in</v>
      </c>
      <c r="I747" s="192" t="str">
        <f>IFERROR(__xludf.DUMMYFUNCTION("""COMPUTED_VALUE"""),"amroj.sandhu@zupee.in: - Technology")</f>
        <v>amroj.sandhu@zupee.in: - Technology</v>
      </c>
      <c r="J747" s="19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92"/>
      <c r="B748" s="192"/>
      <c r="C748" s="192"/>
      <c r="D748" s="192"/>
      <c r="E748" s="192"/>
      <c r="F748" s="192"/>
      <c r="G748" s="192" t="str">
        <f>IFERROR(__xludf.DUMMYFUNCTION("""COMPUTED_VALUE"""),"Varsha Mishra")</f>
        <v>Varsha Mishra</v>
      </c>
      <c r="H748" s="192" t="str">
        <f>IFERROR(__xludf.DUMMYFUNCTION("""COMPUTED_VALUE"""),"varsha.mishra@zupee.in")</f>
        <v>varsha.mishra@zupee.in</v>
      </c>
      <c r="I748" s="192" t="str">
        <f>IFERROR(__xludf.DUMMYFUNCTION("""COMPUTED_VALUE"""),"vishal.agarwal@zupee.in: - Technology")</f>
        <v>vishal.agarwal@zupee.in: - Technology</v>
      </c>
      <c r="J748" s="19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92"/>
      <c r="B749" s="192"/>
      <c r="C749" s="192"/>
      <c r="D749" s="192"/>
      <c r="E749" s="192"/>
      <c r="F749" s="192"/>
      <c r="G749" s="192" t="str">
        <f>IFERROR(__xludf.DUMMYFUNCTION("""COMPUTED_VALUE"""),"Vedaant Magow")</f>
        <v>Vedaant Magow</v>
      </c>
      <c r="H749" s="192" t="str">
        <f>IFERROR(__xludf.DUMMYFUNCTION("""COMPUTED_VALUE"""),"vedaant.magow@zupee.in")</f>
        <v>vedaant.magow@zupee.in</v>
      </c>
      <c r="I749" s="192" t="str">
        <f>IFERROR(__xludf.DUMMYFUNCTION("""COMPUTED_VALUE"""),"piyush.shukla@zupee.in: - Technology")</f>
        <v>piyush.shukla@zupee.in: - Technology</v>
      </c>
      <c r="J749" s="19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92"/>
      <c r="B750" s="192"/>
      <c r="C750" s="192"/>
      <c r="D750" s="192"/>
      <c r="E750" s="192"/>
      <c r="F750" s="192"/>
      <c r="G750" s="192" t="str">
        <f>IFERROR(__xludf.DUMMYFUNCTION("""COMPUTED_VALUE"""),"Vedant Sharma")</f>
        <v>Vedant Sharma</v>
      </c>
      <c r="H750" s="192" t="str">
        <f>IFERROR(__xludf.DUMMYFUNCTION("""COMPUTED_VALUE"""),"vedant.sharma@zupee.in")</f>
        <v>vedant.sharma@zupee.in</v>
      </c>
      <c r="I750" s="192" t="str">
        <f>IFERROR(__xludf.DUMMYFUNCTION("""COMPUTED_VALUE"""),"nikita.mantri@zupee.in: - Brand Marketing")</f>
        <v>nikita.mantri@zupee.in: - Brand Marketing</v>
      </c>
      <c r="J750" s="19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92"/>
      <c r="B751" s="192"/>
      <c r="C751" s="192"/>
      <c r="D751" s="192"/>
      <c r="E751" s="192"/>
      <c r="F751" s="192"/>
      <c r="G751" s="192" t="str">
        <f>IFERROR(__xludf.DUMMYFUNCTION("""COMPUTED_VALUE"""),"Vidhya Bharathi")</f>
        <v>Vidhya Bharathi</v>
      </c>
      <c r="H751" s="192" t="str">
        <f>IFERROR(__xludf.DUMMYFUNCTION("""COMPUTED_VALUE"""),"vidhya.bharathi@zupee.in")</f>
        <v>vidhya.bharathi@zupee.in</v>
      </c>
      <c r="I751" s="192" t="str">
        <f>IFERROR(__xludf.DUMMYFUNCTION("""COMPUTED_VALUE"""),"anish.abraham@zupee.in: - Product Design")</f>
        <v>anish.abraham@zupee.in: - Product Design</v>
      </c>
      <c r="J751" s="19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92"/>
      <c r="B752" s="192"/>
      <c r="C752" s="192"/>
      <c r="D752" s="192"/>
      <c r="E752" s="192"/>
      <c r="F752" s="192"/>
      <c r="G752" s="192" t="str">
        <f>IFERROR(__xludf.DUMMYFUNCTION("""COMPUTED_VALUE"""),"Vikas Gupta")</f>
        <v>Vikas Gupta</v>
      </c>
      <c r="H752" s="192" t="str">
        <f>IFERROR(__xludf.DUMMYFUNCTION("""COMPUTED_VALUE"""),"vikas.gupta@zupee.in")</f>
        <v>vikas.gupta@zupee.in</v>
      </c>
      <c r="I752" s="192" t="str">
        <f>IFERROR(__xludf.DUMMYFUNCTION("""COMPUTED_VALUE"""),"hitesh.vats@zupee.in: - Finance")</f>
        <v>hitesh.vats@zupee.in: - Finance</v>
      </c>
      <c r="J752" s="19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92"/>
      <c r="B753" s="192"/>
      <c r="C753" s="192"/>
      <c r="D753" s="192"/>
      <c r="E753" s="192"/>
      <c r="F753" s="192"/>
      <c r="G753" s="192" t="str">
        <f>IFERROR(__xludf.DUMMYFUNCTION("""COMPUTED_VALUE"""),"Vikas Joshi")</f>
        <v>Vikas Joshi</v>
      </c>
      <c r="H753" s="192" t="str">
        <f>IFERROR(__xludf.DUMMYFUNCTION("""COMPUTED_VALUE"""),"vikas.joshi@zupee.in")</f>
        <v>vikas.joshi@zupee.in</v>
      </c>
      <c r="I753" s="192" t="str">
        <f>IFERROR(__xludf.DUMMYFUNCTION("""COMPUTED_VALUE"""),"shivam.bali@zupee.in: - Customer Experience")</f>
        <v>shivam.bali@zupee.in: - Customer Experience</v>
      </c>
      <c r="J753" s="19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92"/>
      <c r="B754" s="192"/>
      <c r="C754" s="192"/>
      <c r="D754" s="192"/>
      <c r="E754" s="192"/>
      <c r="F754" s="192"/>
      <c r="G754" s="192" t="str">
        <f>IFERROR(__xludf.DUMMYFUNCTION("""COMPUTED_VALUE"""),"Vimal Prajapati")</f>
        <v>Vimal Prajapati</v>
      </c>
      <c r="H754" s="192" t="str">
        <f>IFERROR(__xludf.DUMMYFUNCTION("""COMPUTED_VALUE"""),"vimal.prajapati@zupee.in")</f>
        <v>vimal.prajapati@zupee.in</v>
      </c>
      <c r="I754" s="192" t="str">
        <f>IFERROR(__xludf.DUMMYFUNCTION("""COMPUTED_VALUE"""),"pankaj.gautam@zupee.in: - Data")</f>
        <v>pankaj.gautam@zupee.in: - Data</v>
      </c>
      <c r="J754" s="19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92"/>
      <c r="B755" s="192"/>
      <c r="C755" s="192"/>
      <c r="D755" s="192"/>
      <c r="E755" s="192"/>
      <c r="F755" s="192"/>
      <c r="G755" s="192" t="str">
        <f>IFERROR(__xludf.DUMMYFUNCTION("""COMPUTED_VALUE"""),"Vinay Mishra")</f>
        <v>Vinay Mishra</v>
      </c>
      <c r="H755" s="192" t="str">
        <f>IFERROR(__xludf.DUMMYFUNCTION("""COMPUTED_VALUE"""),"vinay.mishra@zupee.in")</f>
        <v>vinay.mishra@zupee.in</v>
      </c>
      <c r="I755" s="192" t="str">
        <f>IFERROR(__xludf.DUMMYFUNCTION("""COMPUTED_VALUE"""),"rajkumar.singh@zupee.in: - IT Infra")</f>
        <v>rajkumar.singh@zupee.in: - IT Infra</v>
      </c>
      <c r="J755" s="19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92"/>
      <c r="B756" s="192"/>
      <c r="C756" s="192"/>
      <c r="D756" s="192"/>
      <c r="E756" s="192"/>
      <c r="F756" s="192"/>
      <c r="G756" s="192" t="str">
        <f>IFERROR(__xludf.DUMMYFUNCTION("""COMPUTED_VALUE"""),"Vipin Yadav")</f>
        <v>Vipin Yadav</v>
      </c>
      <c r="H756" s="192" t="str">
        <f>IFERROR(__xludf.DUMMYFUNCTION("""COMPUTED_VALUE"""),"vipin.yadav@zupee.in")</f>
        <v>vipin.yadav@zupee.in</v>
      </c>
      <c r="I756" s="192" t="str">
        <f>IFERROR(__xludf.DUMMYFUNCTION("""COMPUTED_VALUE"""),"anshul.mittal@zupee.in: - Technology")</f>
        <v>anshul.mittal@zupee.in: - Technology</v>
      </c>
      <c r="J756" s="19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92"/>
      <c r="B757" s="192"/>
      <c r="C757" s="192"/>
      <c r="D757" s="192"/>
      <c r="E757" s="192"/>
      <c r="F757" s="192"/>
      <c r="G757" s="192" t="str">
        <f>IFERROR(__xludf.DUMMYFUNCTION("""COMPUTED_VALUE"""),"Vishal Kumar Lal")</f>
        <v>Vishal Kumar Lal</v>
      </c>
      <c r="H757" s="192" t="str">
        <f>IFERROR(__xludf.DUMMYFUNCTION("""COMPUTED_VALUE"""),"vishal.lal@zupee.in")</f>
        <v>vishal.lal@zupee.in</v>
      </c>
      <c r="I757" s="192" t="str">
        <f>IFERROR(__xludf.DUMMYFUNCTION("""COMPUTED_VALUE"""),"deep.dwivedi@zupee.in: - Data")</f>
        <v>deep.dwivedi@zupee.in: - Data</v>
      </c>
      <c r="J757" s="19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92"/>
      <c r="B758" s="192"/>
      <c r="C758" s="192"/>
      <c r="D758" s="192"/>
      <c r="E758" s="192"/>
      <c r="F758" s="192"/>
      <c r="G758" s="192" t="str">
        <f>IFERROR(__xludf.DUMMYFUNCTION("""COMPUTED_VALUE"""),"Vivek Jain")</f>
        <v>Vivek Jain</v>
      </c>
      <c r="H758" s="192" t="str">
        <f>IFERROR(__xludf.DUMMYFUNCTION("""COMPUTED_VALUE"""),"vivek.jain@zupee.in")</f>
        <v>vivek.jain@zupee.in</v>
      </c>
      <c r="I758" s="192" t="str">
        <f>IFERROR(__xludf.DUMMYFUNCTION("""COMPUTED_VALUE"""),"sushil.patel@zupee.in: - Human Resources")</f>
        <v>sushil.patel@zupee.in: - Human Resources</v>
      </c>
      <c r="J758" s="19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92"/>
      <c r="B759" s="192"/>
      <c r="C759" s="192"/>
      <c r="D759" s="192"/>
      <c r="E759" s="192"/>
      <c r="F759" s="192"/>
      <c r="G759" s="192" t="str">
        <f>IFERROR(__xludf.DUMMYFUNCTION("""COMPUTED_VALUE"""),"Vivek Soni")</f>
        <v>Vivek Soni</v>
      </c>
      <c r="H759" s="192" t="str">
        <f>IFERROR(__xludf.DUMMYFUNCTION("""COMPUTED_VALUE"""),"vivek.soni@zupee.in")</f>
        <v>vivek.soni@zupee.in</v>
      </c>
      <c r="I759" s="192" t="str">
        <f>IFERROR(__xludf.DUMMYFUNCTION("""COMPUTED_VALUE"""),"vishal.agarwal@zupee.in: - Technology")</f>
        <v>vishal.agarwal@zupee.in: - Technology</v>
      </c>
      <c r="J759" s="19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92"/>
      <c r="B760" s="192"/>
      <c r="C760" s="192"/>
      <c r="D760" s="192"/>
      <c r="E760" s="192"/>
      <c r="F760" s="192"/>
      <c r="G760" s="192" t="str">
        <f>IFERROR(__xludf.DUMMYFUNCTION("""COMPUTED_VALUE"""),"Vivek Claudius")</f>
        <v>Vivek Claudius</v>
      </c>
      <c r="H760" s="192" t="str">
        <f>IFERROR(__xludf.DUMMYFUNCTION("""COMPUTED_VALUE"""),"vivek.claudius@zupee.in")</f>
        <v>vivek.claudius@zupee.in</v>
      </c>
      <c r="I760" s="192" t="str">
        <f>IFERROR(__xludf.DUMMYFUNCTION("""COMPUTED_VALUE"""),"mritunjay.kumar@zupee.in: - Customer Experience")</f>
        <v>mritunjay.kumar@zupee.in: - Customer Experience</v>
      </c>
      <c r="J760" s="19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92"/>
      <c r="B761" s="192"/>
      <c r="C761" s="192"/>
      <c r="D761" s="192"/>
      <c r="E761" s="192"/>
      <c r="F761" s="192"/>
      <c r="G761" s="192" t="str">
        <f>IFERROR(__xludf.DUMMYFUNCTION("""COMPUTED_VALUE"""),"Yakshita Behl")</f>
        <v>Yakshita Behl</v>
      </c>
      <c r="H761" s="192" t="str">
        <f>IFERROR(__xludf.DUMMYFUNCTION("""COMPUTED_VALUE"""),"yakshita.behl@zupee.in")</f>
        <v>yakshita.behl@zupee.in</v>
      </c>
      <c r="I761" s="192" t="str">
        <f>IFERROR(__xludf.DUMMYFUNCTION("""COMPUTED_VALUE"""),"raman.malik@zupee.in: - Data")</f>
        <v>raman.malik@zupee.in: - Data</v>
      </c>
      <c r="J761" s="19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92"/>
      <c r="B762" s="192"/>
      <c r="C762" s="192"/>
      <c r="D762" s="192"/>
      <c r="E762" s="192"/>
      <c r="F762" s="192"/>
      <c r="G762" s="192" t="str">
        <f>IFERROR(__xludf.DUMMYFUNCTION("""COMPUTED_VALUE"""),"Yash Oberoi")</f>
        <v>Yash Oberoi</v>
      </c>
      <c r="H762" s="192" t="str">
        <f>IFERROR(__xludf.DUMMYFUNCTION("""COMPUTED_VALUE"""),"yash.oberoi@zupee.in")</f>
        <v>yash.oberoi@zupee.in</v>
      </c>
      <c r="I762" s="192" t="str">
        <f>IFERROR(__xludf.DUMMYFUNCTION("""COMPUTED_VALUE"""),"amrit.anand@zupee.in: - P R &amp; Corporate Comms")</f>
        <v>amrit.anand@zupee.in: - P R &amp; Corporate Comms</v>
      </c>
      <c r="J762" s="19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92"/>
      <c r="B763" s="192"/>
      <c r="C763" s="192"/>
      <c r="D763" s="192"/>
      <c r="E763" s="192"/>
      <c r="F763" s="192"/>
      <c r="G763" s="192" t="str">
        <f>IFERROR(__xludf.DUMMYFUNCTION("""COMPUTED_VALUE"""),"Yogesha k")</f>
        <v>Yogesha k</v>
      </c>
      <c r="H763" s="192" t="str">
        <f>IFERROR(__xludf.DUMMYFUNCTION("""COMPUTED_VALUE"""),"yogesha.k@zupee.in")</f>
        <v>yogesha.k@zupee.in</v>
      </c>
      <c r="I763" s="192" t="str">
        <f>IFERROR(__xludf.DUMMYFUNCTION("""COMPUTED_VALUE"""),"vishal.agarwal@zupee.in: - Technology")</f>
        <v>vishal.agarwal@zupee.in: - Technology</v>
      </c>
      <c r="J763" s="19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92"/>
      <c r="B764" s="192"/>
      <c r="C764" s="192"/>
      <c r="D764" s="192"/>
      <c r="E764" s="192"/>
      <c r="F764" s="192"/>
      <c r="G764" s="192" t="str">
        <f>IFERROR(__xludf.DUMMYFUNCTION("""COMPUTED_VALUE"""),"Yuvam Parmar")</f>
        <v>Yuvam Parmar</v>
      </c>
      <c r="H764" s="192" t="str">
        <f>IFERROR(__xludf.DUMMYFUNCTION("""COMPUTED_VALUE"""),"yuvam.parmar@zupee.in")</f>
        <v>yuvam.parmar@zupee.in</v>
      </c>
      <c r="I764" s="192" t="str">
        <f>IFERROR(__xludf.DUMMYFUNCTION("""COMPUTED_VALUE"""),"sairam.mushyam@zupee.in: - Data")</f>
        <v>sairam.mushyam@zupee.in: - Data</v>
      </c>
      <c r="J764" s="19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92"/>
      <c r="B765" s="192"/>
      <c r="C765" s="192"/>
      <c r="D765" s="192"/>
      <c r="E765" s="192"/>
      <c r="F765" s="192"/>
      <c r="G765" s="192" t="str">
        <f>IFERROR(__xludf.DUMMYFUNCTION("""COMPUTED_VALUE"""),"Zaid Anwar")</f>
        <v>Zaid Anwar</v>
      </c>
      <c r="H765" s="192" t="str">
        <f>IFERROR(__xludf.DUMMYFUNCTION("""COMPUTED_VALUE"""),"zaid.anwar@zupee.in")</f>
        <v>zaid.anwar@zupee.in</v>
      </c>
      <c r="I765" s="192" t="str">
        <f>IFERROR(__xludf.DUMMYFUNCTION("""COMPUTED_VALUE"""),"sanjeev.kumar@zupee.in: - Customer Experience")</f>
        <v>sanjeev.kumar@zupee.in: - Customer Experience</v>
      </c>
      <c r="J765" s="19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92"/>
      <c r="B766" s="192"/>
      <c r="C766" s="192"/>
      <c r="D766" s="192"/>
      <c r="E766" s="192"/>
      <c r="F766" s="192"/>
      <c r="G766" s="192" t="str">
        <f>IFERROR(__xludf.DUMMYFUNCTION("""COMPUTED_VALUE"""),"Gaurav Malhotra")</f>
        <v>Gaurav Malhotra</v>
      </c>
      <c r="H766" s="192" t="str">
        <f>IFERROR(__xludf.DUMMYFUNCTION("""COMPUTED_VALUE"""),"gaurav.m@zupee.in")</f>
        <v>gaurav.m@zupee.in</v>
      </c>
      <c r="I766" s="192" t="str">
        <f>IFERROR(__xludf.DUMMYFUNCTION("""COMPUTED_VALUE"""),"mritunjay.kumar@zupee.in: - Customer Experience")</f>
        <v>mritunjay.kumar@zupee.in: - Customer Experience</v>
      </c>
      <c r="J766" s="19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92"/>
      <c r="B767" s="192"/>
      <c r="C767" s="192"/>
      <c r="D767" s="192"/>
      <c r="E767" s="192"/>
      <c r="F767" s="192"/>
      <c r="G767" s="192" t="str">
        <f>IFERROR(__xludf.DUMMYFUNCTION("""COMPUTED_VALUE"""),"Aditya Pawar")</f>
        <v>Aditya Pawar</v>
      </c>
      <c r="H767" s="192" t="str">
        <f>IFERROR(__xludf.DUMMYFUNCTION("""COMPUTED_VALUE"""),"aditya.pawar@zupee.in")</f>
        <v>aditya.pawar@zupee.in</v>
      </c>
      <c r="I767" s="192" t="str">
        <f>IFERROR(__xludf.DUMMYFUNCTION("""COMPUTED_VALUE"""),"sagar.saini@zupee.in: - Customer Experience")</f>
        <v>sagar.saini@zupee.in: - Customer Experience</v>
      </c>
      <c r="J767" s="19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92"/>
      <c r="B768" s="192"/>
      <c r="C768" s="192"/>
      <c r="D768" s="192"/>
      <c r="E768" s="192"/>
      <c r="F768" s="192"/>
      <c r="G768" s="192" t="str">
        <f>IFERROR(__xludf.DUMMYFUNCTION("""COMPUTED_VALUE"""),"Siddhant Saurabh")</f>
        <v>Siddhant Saurabh</v>
      </c>
      <c r="H768" s="192" t="str">
        <f>IFERROR(__xludf.DUMMYFUNCTION("""COMPUTED_VALUE"""),"siddhant.saurabh@zupee.in")</f>
        <v>siddhant.saurabh@zupee.in</v>
      </c>
      <c r="I768" s="192" t="str">
        <f>IFERROR(__xludf.DUMMYFUNCTION("""COMPUTED_VALUE"""),"-: - Org")</f>
        <v>-: - Org</v>
      </c>
      <c r="J768" s="19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92"/>
      <c r="B769" s="192"/>
      <c r="C769" s="192"/>
      <c r="D769" s="192"/>
      <c r="E769" s="192"/>
      <c r="F769" s="192"/>
      <c r="G769" s="192" t="str">
        <f>IFERROR(__xludf.DUMMYFUNCTION("""COMPUTED_VALUE"""),"Dilsher Malhi")</f>
        <v>Dilsher Malhi</v>
      </c>
      <c r="H769" s="192" t="str">
        <f>IFERROR(__xludf.DUMMYFUNCTION("""COMPUTED_VALUE"""),"dilsher.malhi@zupee.in")</f>
        <v>dilsher.malhi@zupee.in</v>
      </c>
      <c r="I769" s="192" t="str">
        <f>IFERROR(__xludf.DUMMYFUNCTION("""COMPUTED_VALUE"""),"-: - Org")</f>
        <v>-: - Org</v>
      </c>
      <c r="J769" s="19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92"/>
      <c r="B770" s="192"/>
      <c r="C770" s="192"/>
      <c r="D770" s="192"/>
      <c r="E770" s="192"/>
      <c r="F770" s="192"/>
      <c r="G770" s="192" t="str">
        <f>IFERROR(__xludf.DUMMYFUNCTION("""COMPUTED_VALUE"""),"Zupee Support")</f>
        <v>Zupee Support</v>
      </c>
      <c r="H770" s="192" t="str">
        <f>IFERROR(__xludf.DUMMYFUNCTION("""COMPUTED_VALUE"""),"support@zupee.in")</f>
        <v>support@zupee.in</v>
      </c>
      <c r="I770" s="192" t="str">
        <f>IFERROR(__xludf.DUMMYFUNCTION("""COMPUTED_VALUE"""),"shwetank.anand@zupee.in: - Data")</f>
        <v>shwetank.anand@zupee.in: - Data</v>
      </c>
      <c r="J770" s="19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92"/>
      <c r="B771" s="192"/>
      <c r="C771" s="192"/>
      <c r="D771" s="192"/>
      <c r="E771" s="192"/>
      <c r="F771" s="192"/>
      <c r="G771" s="192" t="str">
        <f>IFERROR(__xludf.DUMMYFUNCTION("""COMPUTED_VALUE"""),"Aarti Luthra")</f>
        <v>Aarti Luthra</v>
      </c>
      <c r="H771" s="192" t="str">
        <f>IFERROR(__xludf.DUMMYFUNCTION("""COMPUTED_VALUE"""),"aarti.luthra@zupee.in")</f>
        <v>aarti.luthra@zupee.in</v>
      </c>
      <c r="I771" s="192" t="str">
        <f>IFERROR(__xludf.DUMMYFUNCTION("""COMPUTED_VALUE"""),"anish.abraham@zupee.in: - Product Design")</f>
        <v>anish.abraham@zupee.in: - Product Design</v>
      </c>
      <c r="J771" s="19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92"/>
      <c r="B772" s="192"/>
      <c r="C772" s="192"/>
      <c r="D772" s="192"/>
      <c r="E772" s="192"/>
      <c r="F772" s="192"/>
      <c r="G772" s="192" t="str">
        <f>IFERROR(__xludf.DUMMYFUNCTION("""COMPUTED_VALUE"""),"Sawai Singh")</f>
        <v>Sawai Singh</v>
      </c>
      <c r="H772" s="192" t="str">
        <f>IFERROR(__xludf.DUMMYFUNCTION("""COMPUTED_VALUE"""),"sawai.singh@zupee.in")</f>
        <v>sawai.singh@zupee.in</v>
      </c>
      <c r="I772" s="192" t="str">
        <f>IFERROR(__xludf.DUMMYFUNCTION("""COMPUTED_VALUE"""),"vishal.agarwal@zupee.in: - Technology")</f>
        <v>vishal.agarwal@zupee.in: - Technology</v>
      </c>
      <c r="J772" s="19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92"/>
      <c r="B773" s="192"/>
      <c r="C773" s="192"/>
      <c r="D773" s="192"/>
      <c r="E773" s="192"/>
      <c r="F773" s="192"/>
      <c r="G773" s="192" t="str">
        <f>IFERROR(__xludf.DUMMYFUNCTION("""COMPUTED_VALUE"""),"Zupee Design")</f>
        <v>Zupee Design</v>
      </c>
      <c r="H773" s="192" t="str">
        <f>IFERROR(__xludf.DUMMYFUNCTION("""COMPUTED_VALUE"""),"design@zupee.in")</f>
        <v>design@zupee.in</v>
      </c>
      <c r="I773" s="192" t="str">
        <f>IFERROR(__xludf.DUMMYFUNCTION("""COMPUTED_VALUE"""),"aarti.luthra@zupee.in: - Product Design")</f>
        <v>aarti.luthra@zupee.in: - Product Design</v>
      </c>
      <c r="J773" s="19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92"/>
      <c r="B774" s="192"/>
      <c r="C774" s="192"/>
      <c r="D774" s="192"/>
      <c r="E774" s="192"/>
      <c r="F774" s="192"/>
      <c r="G774" s="192" t="str">
        <f>IFERROR(__xludf.DUMMYFUNCTION("""COMPUTED_VALUE"""),"Pranav Jaradi")</f>
        <v>Pranav Jaradi</v>
      </c>
      <c r="H774" s="192" t="str">
        <f>IFERROR(__xludf.DUMMYFUNCTION("""COMPUTED_VALUE"""),"pranav.jaradi@zupee.in")</f>
        <v>pranav.jaradi@zupee.in</v>
      </c>
      <c r="I774" s="192" t="str">
        <f>IFERROR(__xludf.DUMMYFUNCTION("""COMPUTED_VALUE"""),"sahil.puri@zupee.in: - Technology")</f>
        <v>sahil.puri@zupee.in: - Technology</v>
      </c>
      <c r="J774" s="19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92"/>
      <c r="B775" s="192"/>
      <c r="C775" s="192"/>
      <c r="D775" s="192"/>
      <c r="E775" s="192"/>
      <c r="F775" s="192"/>
      <c r="G775" s="192" t="str">
        <f>IFERROR(__xludf.DUMMYFUNCTION("""COMPUTED_VALUE"""),"Arun Prabhakaran")</f>
        <v>Arun Prabhakaran</v>
      </c>
      <c r="H775" s="192" t="str">
        <f>IFERROR(__xludf.DUMMYFUNCTION("""COMPUTED_VALUE"""),"arun.prabhakaran@zupee.in")</f>
        <v>arun.prabhakaran@zupee.in</v>
      </c>
      <c r="I775" s="192" t="str">
        <f>IFERROR(__xludf.DUMMYFUNCTION("""COMPUTED_VALUE"""),"ranjeet.kumar@zupee.in: - Technology")</f>
        <v>ranjeet.kumar@zupee.in: - Technology</v>
      </c>
      <c r="J775" s="19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92"/>
      <c r="B776" s="192"/>
      <c r="C776" s="192"/>
      <c r="D776" s="192"/>
      <c r="E776" s="192"/>
      <c r="F776" s="192"/>
      <c r="G776" s="192" t="str">
        <f>IFERROR(__xludf.DUMMYFUNCTION("""COMPUTED_VALUE"""),"Jyoti Gupta")</f>
        <v>Jyoti Gupta</v>
      </c>
      <c r="H776" s="192" t="str">
        <f>IFERROR(__xludf.DUMMYFUNCTION("""COMPUTED_VALUE"""),"jyoti.gupta@zupee.in")</f>
        <v>jyoti.gupta@zupee.in</v>
      </c>
      <c r="I776" s="192" t="str">
        <f>IFERROR(__xludf.DUMMYFUNCTION("""COMPUTED_VALUE"""),"gaurav.s@zupee.in: - Technology")</f>
        <v>gaurav.s@zupee.in: - Technology</v>
      </c>
      <c r="J776" s="19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92"/>
      <c r="B777" s="192"/>
      <c r="C777" s="192"/>
      <c r="D777" s="192"/>
      <c r="E777" s="192"/>
      <c r="F777" s="192"/>
      <c r="G777" s="192" t="str">
        <f>IFERROR(__xludf.DUMMYFUNCTION("""COMPUTED_VALUE"""),"Pratyaksh Rawat")</f>
        <v>Pratyaksh Rawat</v>
      </c>
      <c r="H777" s="192" t="str">
        <f>IFERROR(__xludf.DUMMYFUNCTION("""COMPUTED_VALUE"""),"pratyaksh.rawat@zupee.in")</f>
        <v>pratyaksh.rawat@zupee.in</v>
      </c>
      <c r="I777" s="192" t="str">
        <f>IFERROR(__xludf.DUMMYFUNCTION("""COMPUTED_VALUE"""),"dilsher.malhi@zupee.in: - Org")</f>
        <v>dilsher.malhi@zupee.in: - Org</v>
      </c>
      <c r="J777" s="19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92"/>
      <c r="B778" s="192"/>
      <c r="C778" s="192"/>
      <c r="D778" s="192"/>
      <c r="E778" s="192"/>
      <c r="F778" s="192"/>
      <c r="G778" s="192" t="str">
        <f>IFERROR(__xludf.DUMMYFUNCTION("""COMPUTED_VALUE"""),"Zupee Grievance")</f>
        <v>Zupee Grievance</v>
      </c>
      <c r="H778" s="192" t="str">
        <f>IFERROR(__xludf.DUMMYFUNCTION("""COMPUTED_VALUE"""),"grievances@zupee.in")</f>
        <v>grievances@zupee.in</v>
      </c>
      <c r="I778" s="192" t="str">
        <f>IFERROR(__xludf.DUMMYFUNCTION("""COMPUTED_VALUE"""),"sumit.yadav@zupee.in: - Customer Experience")</f>
        <v>sumit.yadav@zupee.in: - Customer Experience</v>
      </c>
      <c r="J778" s="19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92"/>
      <c r="B779" s="192"/>
      <c r="C779" s="192"/>
      <c r="D779" s="192"/>
      <c r="E779" s="192"/>
      <c r="F779" s="192"/>
      <c r="G779" s="192" t="str">
        <f>IFERROR(__xludf.DUMMYFUNCTION("""COMPUTED_VALUE"""),"Aman Kumar Bahl")</f>
        <v>Aman Kumar Bahl</v>
      </c>
      <c r="H779" s="192" t="str">
        <f>IFERROR(__xludf.DUMMYFUNCTION("""COMPUTED_VALUE"""),"aman.kumar@zupee.in")</f>
        <v>aman.kumar@zupee.in</v>
      </c>
      <c r="I779" s="192" t="str">
        <f>IFERROR(__xludf.DUMMYFUNCTION("""COMPUTED_VALUE"""),"sairam.mushyam@zupee.in: - Data")</f>
        <v>sairam.mushyam@zupee.in: - Data</v>
      </c>
      <c r="J779" s="19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92"/>
      <c r="B780" s="192"/>
      <c r="C780" s="192"/>
      <c r="D780" s="192"/>
      <c r="E780" s="192"/>
      <c r="F780" s="192"/>
      <c r="G780" s="192" t="str">
        <f>IFERROR(__xludf.DUMMYFUNCTION("""COMPUTED_VALUE"""),"Gurmeet Singh")</f>
        <v>Gurmeet Singh</v>
      </c>
      <c r="H780" s="192" t="str">
        <f>IFERROR(__xludf.DUMMYFUNCTION("""COMPUTED_VALUE"""),"gurmeet.singh@zupee.in")</f>
        <v>gurmeet.singh@zupee.in</v>
      </c>
      <c r="I780" s="192" t="str">
        <f>IFERROR(__xludf.DUMMYFUNCTION("""COMPUTED_VALUE"""),"aarti.luthra@zupee.in: - Product Design")</f>
        <v>aarti.luthra@zupee.in: - Product Design</v>
      </c>
      <c r="J780" s="19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92"/>
      <c r="B781" s="192"/>
      <c r="C781" s="192"/>
      <c r="D781" s="192"/>
      <c r="E781" s="192"/>
      <c r="F781" s="192"/>
      <c r="G781" s="192" t="str">
        <f>IFERROR(__xludf.DUMMYFUNCTION("""COMPUTED_VALUE"""),"Sumit Singh")</f>
        <v>Sumit Singh</v>
      </c>
      <c r="H781" s="192" t="str">
        <f>IFERROR(__xludf.DUMMYFUNCTION("""COMPUTED_VALUE"""),"sumit.singh@zupee.in")</f>
        <v>sumit.singh@zupee.in</v>
      </c>
      <c r="I781" s="192" t="str">
        <f>IFERROR(__xludf.DUMMYFUNCTION("""COMPUTED_VALUE"""),"piyush.shukla@zupee.in: - Technology")</f>
        <v>piyush.shukla@zupee.in: - Technology</v>
      </c>
      <c r="J781" s="19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92"/>
      <c r="B782" s="192"/>
      <c r="C782" s="192"/>
      <c r="D782" s="192"/>
      <c r="E782" s="192"/>
      <c r="F782" s="192"/>
      <c r="G782" s="192" t="str">
        <f>IFERROR(__xludf.DUMMYFUNCTION("""COMPUTED_VALUE"""),"Akshit Sharma")</f>
        <v>Akshit Sharma</v>
      </c>
      <c r="H782" s="192" t="str">
        <f>IFERROR(__xludf.DUMMYFUNCTION("""COMPUTED_VALUE"""),"akshit.sharma@zupee.in")</f>
        <v>akshit.sharma@zupee.in</v>
      </c>
      <c r="I782" s="192" t="str">
        <f>IFERROR(__xludf.DUMMYFUNCTION("""COMPUTED_VALUE"""),"aarti.luthra@zupee.in: - Product Design")</f>
        <v>aarti.luthra@zupee.in: - Product Design</v>
      </c>
      <c r="J782" s="19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92"/>
      <c r="B783" s="192"/>
      <c r="C783" s="192"/>
      <c r="D783" s="192"/>
      <c r="E783" s="192"/>
      <c r="F783" s="192"/>
      <c r="G783" s="192" t="str">
        <f>IFERROR(__xludf.DUMMYFUNCTION("""COMPUTED_VALUE"""),"Ranjeet Kumar")</f>
        <v>Ranjeet Kumar</v>
      </c>
      <c r="H783" s="192" t="str">
        <f>IFERROR(__xludf.DUMMYFUNCTION("""COMPUTED_VALUE"""),"ranjeet.kumar@zupee.in")</f>
        <v>ranjeet.kumar@zupee.in</v>
      </c>
      <c r="I783" s="192" t="str">
        <f>IFERROR(__xludf.DUMMYFUNCTION("""COMPUTED_VALUE"""),"akanksha.dhamija@zupee.in: - Technology")</f>
        <v>akanksha.dhamija@zupee.in: - Technology</v>
      </c>
      <c r="J783" s="19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92"/>
      <c r="B784" s="192"/>
      <c r="C784" s="192"/>
      <c r="D784" s="192"/>
      <c r="E784" s="192"/>
      <c r="F784" s="192"/>
      <c r="G784" s="192" t="str">
        <f>IFERROR(__xludf.DUMMYFUNCTION("""COMPUTED_VALUE"""),"Govind Mittal")</f>
        <v>Govind Mittal</v>
      </c>
      <c r="H784" s="192" t="str">
        <f>IFERROR(__xludf.DUMMYFUNCTION("""COMPUTED_VALUE"""),"govind.mittal@zupee.in")</f>
        <v>govind.mittal@zupee.in</v>
      </c>
      <c r="I784" s="192" t="str">
        <f>IFERROR(__xludf.DUMMYFUNCTION("""COMPUTED_VALUE"""),"dilsher.malhi@zupee.in: - Org")</f>
        <v>dilsher.malhi@zupee.in: - Org</v>
      </c>
      <c r="J784" s="19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92"/>
      <c r="B785" s="192"/>
      <c r="C785" s="192"/>
      <c r="D785" s="192"/>
      <c r="E785" s="192"/>
      <c r="F785" s="192"/>
      <c r="G785" s="192" t="str">
        <f>IFERROR(__xludf.DUMMYFUNCTION("""COMPUTED_VALUE"""),"Shruti Sachdeva")</f>
        <v>Shruti Sachdeva</v>
      </c>
      <c r="H785" s="192" t="str">
        <f>IFERROR(__xludf.DUMMYFUNCTION("""COMPUTED_VALUE"""),"shruti.sachdeva@zupee.in")</f>
        <v>shruti.sachdeva@zupee.in</v>
      </c>
      <c r="I785" s="192" t="str">
        <f>IFERROR(__xludf.DUMMYFUNCTION("""COMPUTED_VALUE"""),"vishal.agarwal@zupee.in: - Technology")</f>
        <v>vishal.agarwal@zupee.in: - Technology</v>
      </c>
      <c r="J785" s="19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92"/>
      <c r="B786" s="192"/>
      <c r="C786" s="192"/>
      <c r="D786" s="192"/>
      <c r="E786" s="192"/>
      <c r="F786" s="192"/>
      <c r="G786" s="192" t="str">
        <f>IFERROR(__xludf.DUMMYFUNCTION("""COMPUTED_VALUE"""),"Zupee Careers")</f>
        <v>Zupee Careers</v>
      </c>
      <c r="H786" s="192" t="str">
        <f>IFERROR(__xludf.DUMMYFUNCTION("""COMPUTED_VALUE"""),"careers@zupee.in")</f>
        <v>careers@zupee.in</v>
      </c>
      <c r="I786" s="192" t="str">
        <f>IFERROR(__xludf.DUMMYFUNCTION("""COMPUTED_VALUE"""),"m.sangeetha@zupee.in: - Human Resources")</f>
        <v>m.sangeetha@zupee.in: - Human Resources</v>
      </c>
      <c r="J786" s="19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92"/>
      <c r="B787" s="192"/>
      <c r="C787" s="192"/>
      <c r="D787" s="192"/>
      <c r="E787" s="192"/>
      <c r="F787" s="192"/>
      <c r="G787" s="192" t="str">
        <f>IFERROR(__xludf.DUMMYFUNCTION("""COMPUTED_VALUE"""),"Akanksha Dhamija")</f>
        <v>Akanksha Dhamija</v>
      </c>
      <c r="H787" s="192" t="str">
        <f>IFERROR(__xludf.DUMMYFUNCTION("""COMPUTED_VALUE"""),"akanksha.dhamija@zupee.in")</f>
        <v>akanksha.dhamija@zupee.in</v>
      </c>
      <c r="I787" s="192" t="str">
        <f>IFERROR(__xludf.DUMMYFUNCTION("""COMPUTED_VALUE"""),"dilsher.malhi@zupee.in: - Strategy")</f>
        <v>dilsher.malhi@zupee.in: - Strategy</v>
      </c>
      <c r="J787" s="19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92"/>
      <c r="B788" s="192"/>
      <c r="C788" s="192"/>
      <c r="D788" s="192"/>
      <c r="E788" s="192"/>
      <c r="F788" s="192"/>
      <c r="G788" s="192" t="str">
        <f>IFERROR(__xludf.DUMMYFUNCTION("""COMPUTED_VALUE"""),"M Sangeetha")</f>
        <v>M Sangeetha</v>
      </c>
      <c r="H788" s="192" t="str">
        <f>IFERROR(__xludf.DUMMYFUNCTION("""COMPUTED_VALUE"""),"m.sangeetha@zupee.in")</f>
        <v>m.sangeetha@zupee.in</v>
      </c>
      <c r="I788" s="192" t="str">
        <f>IFERROR(__xludf.DUMMYFUNCTION("""COMPUTED_VALUE"""),"akanksha.dhamija@zupee.in: - Human Resources")</f>
        <v>akanksha.dhamija@zupee.in: - Human Resources</v>
      </c>
      <c r="J788" s="19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92"/>
      <c r="B789" s="192"/>
      <c r="C789" s="192"/>
      <c r="D789" s="192"/>
      <c r="E789" s="192"/>
      <c r="F789" s="192"/>
      <c r="G789" s="192" t="str">
        <f>IFERROR(__xludf.DUMMYFUNCTION("""COMPUTED_VALUE"""),"Piyush Shukla")</f>
        <v>Piyush Shukla</v>
      </c>
      <c r="H789" s="192" t="str">
        <f>IFERROR(__xludf.DUMMYFUNCTION("""COMPUTED_VALUE"""),"piyush.shukla@zupee.in")</f>
        <v>piyush.shukla@zupee.in</v>
      </c>
      <c r="I789" s="192" t="str">
        <f>IFERROR(__xludf.DUMMYFUNCTION("""COMPUTED_VALUE"""),"abhishek.gupta@zupee.in: - Technology")</f>
        <v>abhishek.gupta@zupee.in: - Technology</v>
      </c>
      <c r="J789" s="19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92"/>
      <c r="B790" s="192"/>
      <c r="C790" s="192"/>
      <c r="D790" s="192"/>
      <c r="E790" s="192"/>
      <c r="F790" s="192"/>
      <c r="G790" s="192" t="str">
        <f>IFERROR(__xludf.DUMMYFUNCTION("""COMPUTED_VALUE"""),"Piyali Kar")</f>
        <v>Piyali Kar</v>
      </c>
      <c r="H790" s="192" t="str">
        <f>IFERROR(__xludf.DUMMYFUNCTION("""COMPUTED_VALUE"""),"piyali.kar@zupee.in")</f>
        <v>piyali.kar@zupee.in</v>
      </c>
      <c r="I790" s="192" t="str">
        <f>IFERROR(__xludf.DUMMYFUNCTION("""COMPUTED_VALUE"""),"mritunjay.kumar@zupee.in: - Customer Experience")</f>
        <v>mritunjay.kumar@zupee.in: - Customer Experience</v>
      </c>
      <c r="J790" s="19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92"/>
      <c r="B791" s="192"/>
      <c r="C791" s="192"/>
      <c r="D791" s="192"/>
      <c r="E791" s="192"/>
      <c r="F791" s="192"/>
      <c r="G791" s="192" t="str">
        <f>IFERROR(__xludf.DUMMYFUNCTION("""COMPUTED_VALUE"""),"Team HR")</f>
        <v>Team HR</v>
      </c>
      <c r="H791" s="192" t="str">
        <f>IFERROR(__xludf.DUMMYFUNCTION("""COMPUTED_VALUE"""),"hr@zupee.in")</f>
        <v>hr@zupee.in</v>
      </c>
      <c r="I791" s="192" t="str">
        <f>IFERROR(__xludf.DUMMYFUNCTION("""COMPUTED_VALUE"""),"surabhi.sanchita@zupee.in: - Human Resources")</f>
        <v>surabhi.sanchita@zupee.in: - Human Resources</v>
      </c>
      <c r="J791" s="19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92"/>
      <c r="B792" s="192"/>
      <c r="C792" s="192"/>
      <c r="D792" s="192"/>
      <c r="E792" s="192"/>
      <c r="F792" s="192"/>
      <c r="G792" s="192" t="str">
        <f>IFERROR(__xludf.DUMMYFUNCTION("""COMPUTED_VALUE"""),"Vishal Agarwal")</f>
        <v>Vishal Agarwal</v>
      </c>
      <c r="H792" s="192" t="str">
        <f>IFERROR(__xludf.DUMMYFUNCTION("""COMPUTED_VALUE"""),"vishal.agarwal@zupee.in")</f>
        <v>vishal.agarwal@zupee.in</v>
      </c>
      <c r="I792" s="192" t="str">
        <f>IFERROR(__xludf.DUMMYFUNCTION("""COMPUTED_VALUE"""),"sahil.puri@zupee.in: - Technology")</f>
        <v>sahil.puri@zupee.in: - Technology</v>
      </c>
      <c r="J792" s="19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92"/>
      <c r="B793" s="192"/>
      <c r="C793" s="192"/>
      <c r="D793" s="192"/>
      <c r="E793" s="192"/>
      <c r="F793" s="192"/>
      <c r="G793" s="192" t="str">
        <f>IFERROR(__xludf.DUMMYFUNCTION("""COMPUTED_VALUE"""),"Disha Garg")</f>
        <v>Disha Garg</v>
      </c>
      <c r="H793" s="192" t="str">
        <f>IFERROR(__xludf.DUMMYFUNCTION("""COMPUTED_VALUE"""),"disha.garg@zupee.in")</f>
        <v>disha.garg@zupee.in</v>
      </c>
      <c r="I793" s="192" t="str">
        <f>IFERROR(__xludf.DUMMYFUNCTION("""COMPUTED_VALUE"""),"abhishek.gupta@zupee.in: - Technology")</f>
        <v>abhishek.gupta@zupee.in: - Technology</v>
      </c>
      <c r="J793" s="19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92"/>
      <c r="B794" s="192"/>
      <c r="C794" s="192"/>
      <c r="D794" s="192"/>
      <c r="E794" s="192"/>
      <c r="F794" s="192"/>
      <c r="G794" s="192" t="str">
        <f>IFERROR(__xludf.DUMMYFUNCTION("""COMPUTED_VALUE"""),"Rajneesh Yadav")</f>
        <v>Rajneesh Yadav</v>
      </c>
      <c r="H794" s="192" t="str">
        <f>IFERROR(__xludf.DUMMYFUNCTION("""COMPUTED_VALUE"""),"rajneesh.yadav@zupee.in")</f>
        <v>rajneesh.yadav@zupee.in</v>
      </c>
      <c r="I794" s="192" t="str">
        <f>IFERROR(__xludf.DUMMYFUNCTION("""COMPUTED_VALUE"""),"m.sangeetha@zupee.in: - Human Resources")</f>
        <v>m.sangeetha@zupee.in: - Human Resources</v>
      </c>
      <c r="J794" s="19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92"/>
      <c r="B795" s="192"/>
      <c r="C795" s="192"/>
      <c r="D795" s="192"/>
      <c r="E795" s="192"/>
      <c r="F795" s="192"/>
      <c r="G795" s="192" t="str">
        <f>IFERROR(__xludf.DUMMYFUNCTION("""COMPUTED_VALUE"""),"Zupee Social")</f>
        <v>Zupee Social</v>
      </c>
      <c r="H795" s="192" t="str">
        <f>IFERROR(__xludf.DUMMYFUNCTION("""COMPUTED_VALUE"""),"social@zupee.in")</f>
        <v>social@zupee.in</v>
      </c>
      <c r="I795" s="192" t="str">
        <f>IFERROR(__xludf.DUMMYFUNCTION("""COMPUTED_VALUE"""),"katha.tara@zupee.in: - Brand Marketing")</f>
        <v>katha.tara@zupee.in: - Brand Marketing</v>
      </c>
      <c r="J795" s="19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92"/>
      <c r="B796" s="192"/>
      <c r="C796" s="192"/>
      <c r="D796" s="192"/>
      <c r="E796" s="192"/>
      <c r="F796" s="192"/>
      <c r="G796" s="192" t="str">
        <f>IFERROR(__xludf.DUMMYFUNCTION("""COMPUTED_VALUE"""),"Rahul Sharma - Tech")</f>
        <v>Rahul Sharma - Tech</v>
      </c>
      <c r="H796" s="192" t="str">
        <f>IFERROR(__xludf.DUMMYFUNCTION("""COMPUTED_VALUE"""),"rahul.sharma@zupee.in")</f>
        <v>rahul.sharma@zupee.in</v>
      </c>
      <c r="I796" s="192" t="str">
        <f>IFERROR(__xludf.DUMMYFUNCTION("""COMPUTED_VALUE"""),"abhishek.gupta@zupee.in: - Technology")</f>
        <v>abhishek.gupta@zupee.in: - Technology</v>
      </c>
      <c r="J796" s="19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92"/>
      <c r="B797" s="192"/>
      <c r="C797" s="192"/>
      <c r="D797" s="192"/>
      <c r="E797" s="192"/>
      <c r="F797" s="192"/>
      <c r="G797" s="192" t="str">
        <f>IFERROR(__xludf.DUMMYFUNCTION("""COMPUTED_VALUE"""),"Nishant Jaiswal")</f>
        <v>Nishant Jaiswal</v>
      </c>
      <c r="H797" s="192" t="str">
        <f>IFERROR(__xludf.DUMMYFUNCTION("""COMPUTED_VALUE"""),"nishant.jaiswal@zupee.in")</f>
        <v>nishant.jaiswal@zupee.in</v>
      </c>
      <c r="I797" s="192" t="str">
        <f>IFERROR(__xludf.DUMMYFUNCTION("""COMPUTED_VALUE"""),"akanksha.dhamija@zupee.in: - Digital Marketing")</f>
        <v>akanksha.dhamija@zupee.in: - Digital Marketing</v>
      </c>
      <c r="J797" s="19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92"/>
      <c r="B798" s="192"/>
      <c r="C798" s="192"/>
      <c r="D798" s="192"/>
      <c r="E798" s="192"/>
      <c r="F798" s="192"/>
      <c r="G798" s="192" t="str">
        <f>IFERROR(__xludf.DUMMYFUNCTION("""COMPUTED_VALUE"""),"Narender Tyagi")</f>
        <v>Narender Tyagi</v>
      </c>
      <c r="H798" s="192" t="str">
        <f>IFERROR(__xludf.DUMMYFUNCTION("""COMPUTED_VALUE"""),"narender.tyagi@zupee.in")</f>
        <v>narender.tyagi@zupee.in</v>
      </c>
      <c r="I798" s="192" t="str">
        <f>IFERROR(__xludf.DUMMYFUNCTION("""COMPUTED_VALUE"""),"piyush.shukla@zupee.in: - Technology")</f>
        <v>piyush.shukla@zupee.in: - Technology</v>
      </c>
      <c r="J798" s="19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92"/>
      <c r="B799" s="192"/>
      <c r="C799" s="192"/>
      <c r="D799" s="192"/>
      <c r="E799" s="192"/>
      <c r="F799" s="192"/>
      <c r="G799" s="192" t="str">
        <f>IFERROR(__xludf.DUMMYFUNCTION("""COMPUTED_VALUE"""),"Rahul Ranjan")</f>
        <v>Rahul Ranjan</v>
      </c>
      <c r="H799" s="192" t="str">
        <f>IFERROR(__xludf.DUMMYFUNCTION("""COMPUTED_VALUE"""),"rahul.ranjan@zupee.in")</f>
        <v>rahul.ranjan@zupee.in</v>
      </c>
      <c r="I799" s="192" t="str">
        <f>IFERROR(__xludf.DUMMYFUNCTION("""COMPUTED_VALUE"""),"anshul.mittal@zupee.in: - Technology")</f>
        <v>anshul.mittal@zupee.in: - Technology</v>
      </c>
      <c r="J799" s="19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92"/>
      <c r="B800" s="192"/>
      <c r="C800" s="192"/>
      <c r="D800" s="192"/>
      <c r="E800" s="192"/>
      <c r="F800" s="192"/>
      <c r="G800" s="192" t="str">
        <f>IFERROR(__xludf.DUMMYFUNCTION("""COMPUTED_VALUE"""),"Vishnu Khowal")</f>
        <v>Vishnu Khowal</v>
      </c>
      <c r="H800" s="192" t="str">
        <f>IFERROR(__xludf.DUMMYFUNCTION("""COMPUTED_VALUE"""),"vishnu.khowal@zupee.in")</f>
        <v>vishnu.khowal@zupee.in</v>
      </c>
      <c r="I800" s="192" t="str">
        <f>IFERROR(__xludf.DUMMYFUNCTION("""COMPUTED_VALUE"""),"aarti.luthra@zupee.in: - Product Design")</f>
        <v>aarti.luthra@zupee.in: - Product Design</v>
      </c>
      <c r="J800" s="19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92"/>
      <c r="B801" s="192"/>
      <c r="C801" s="192"/>
      <c r="D801" s="192"/>
      <c r="E801" s="192"/>
      <c r="F801" s="192"/>
      <c r="G801" s="192" t="str">
        <f>IFERROR(__xludf.DUMMYFUNCTION("""COMPUTED_VALUE"""),"Aman Kumar")</f>
        <v>Aman Kumar</v>
      </c>
      <c r="H801" s="192" t="str">
        <f>IFERROR(__xludf.DUMMYFUNCTION("""COMPUTED_VALUE"""),"aman.kumar2@zupee.in")</f>
        <v>aman.kumar2@zupee.in</v>
      </c>
      <c r="I801" s="192" t="str">
        <f>IFERROR(__xludf.DUMMYFUNCTION("""COMPUTED_VALUE"""),"nikhil.kaplas@zupee.in: - Technology")</f>
        <v>nikhil.kaplas@zupee.in: - Technology</v>
      </c>
      <c r="J801" s="19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92"/>
      <c r="B802" s="192"/>
      <c r="C802" s="192"/>
      <c r="D802" s="192"/>
      <c r="E802" s="192"/>
      <c r="F802" s="192"/>
      <c r="G802" s="192" t="str">
        <f>IFERROR(__xludf.DUMMYFUNCTION("""COMPUTED_VALUE"""),"Naveen Kadyan")</f>
        <v>Naveen Kadyan</v>
      </c>
      <c r="H802" s="192" t="str">
        <f>IFERROR(__xludf.DUMMYFUNCTION("""COMPUTED_VALUE"""),"naveen.kadyan@zupee.in")</f>
        <v>naveen.kadyan@zupee.in</v>
      </c>
      <c r="I802" s="192" t="str">
        <f>IFERROR(__xludf.DUMMYFUNCTION("""COMPUTED_VALUE"""),"akanksha.dhamija@zupee.in: - Product")</f>
        <v>akanksha.dhamija@zupee.in: - Product</v>
      </c>
      <c r="J802" s="19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92"/>
      <c r="B803" s="192"/>
      <c r="C803" s="192"/>
      <c r="D803" s="192"/>
      <c r="E803" s="192"/>
      <c r="F803" s="192"/>
      <c r="G803" s="192" t="str">
        <f>IFERROR(__xludf.DUMMYFUNCTION("""COMPUTED_VALUE"""),"Zupee Digital")</f>
        <v>Zupee Digital</v>
      </c>
      <c r="H803" s="192" t="str">
        <f>IFERROR(__xludf.DUMMYFUNCTION("""COMPUTED_VALUE"""),"acquisition@zupee.in")</f>
        <v>acquisition@zupee.in</v>
      </c>
      <c r="I803" s="192" t="str">
        <f>IFERROR(__xludf.DUMMYFUNCTION("""COMPUTED_VALUE"""),"nishant.jaiswal@zupee.in: - Digital Marketing")</f>
        <v>nishant.jaiswal@zupee.in: - Digital Marketing</v>
      </c>
      <c r="J803" s="19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92"/>
      <c r="B804" s="192"/>
      <c r="C804" s="192"/>
      <c r="D804" s="192"/>
      <c r="E804" s="192"/>
      <c r="F804" s="192"/>
      <c r="G804" s="192" t="str">
        <f>IFERROR(__xludf.DUMMYFUNCTION("""COMPUTED_VALUE"""),"Amogh Babbar")</f>
        <v>Amogh Babbar</v>
      </c>
      <c r="H804" s="192" t="str">
        <f>IFERROR(__xludf.DUMMYFUNCTION("""COMPUTED_VALUE"""),"amogh.babbar@zupee.in")</f>
        <v>amogh.babbar@zupee.in</v>
      </c>
      <c r="I804" s="192" t="str">
        <f>IFERROR(__xludf.DUMMYFUNCTION("""COMPUTED_VALUE"""),"deep.dwivedi@zupee.in: - Data")</f>
        <v>deep.dwivedi@zupee.in: - Data</v>
      </c>
      <c r="J804" s="19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92"/>
      <c r="B805" s="192"/>
      <c r="C805" s="192"/>
      <c r="D805" s="192"/>
      <c r="E805" s="192"/>
      <c r="F805" s="192"/>
      <c r="G805" s="192" t="str">
        <f>IFERROR(__xludf.DUMMYFUNCTION("""COMPUTED_VALUE"""),"Babita Sharma")</f>
        <v>Babita Sharma</v>
      </c>
      <c r="H805" s="192" t="str">
        <f>IFERROR(__xludf.DUMMYFUNCTION("""COMPUTED_VALUE"""),"babita.sharma@zupee.in")</f>
        <v>babita.sharma@zupee.in</v>
      </c>
      <c r="I805" s="192" t="str">
        <f>IFERROR(__xludf.DUMMYFUNCTION("""COMPUTED_VALUE"""),"aaditya.singh@zupee.in: - Brand Marketing")</f>
        <v>aaditya.singh@zupee.in: - Brand Marketing</v>
      </c>
      <c r="J805" s="19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92"/>
      <c r="B806" s="192"/>
      <c r="C806" s="192"/>
      <c r="D806" s="192"/>
      <c r="E806" s="192"/>
      <c r="F806" s="192"/>
      <c r="G806" s="192" t="str">
        <f>IFERROR(__xludf.DUMMYFUNCTION("""COMPUTED_VALUE"""),"Nayan Intwala")</f>
        <v>Nayan Intwala</v>
      </c>
      <c r="H806" s="192" t="str">
        <f>IFERROR(__xludf.DUMMYFUNCTION("""COMPUTED_VALUE"""),"nayan.intwala@zupee.in")</f>
        <v>nayan.intwala@zupee.in</v>
      </c>
      <c r="I806" s="192" t="str">
        <f>IFERROR(__xludf.DUMMYFUNCTION("""COMPUTED_VALUE"""),"piyush.shukla@zupee.in: - Technology")</f>
        <v>piyush.shukla@zupee.in: - Technology</v>
      </c>
      <c r="J806" s="19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92"/>
      <c r="B807" s="192"/>
      <c r="C807" s="192"/>
      <c r="D807" s="192"/>
      <c r="E807" s="192"/>
      <c r="F807" s="192"/>
      <c r="G807" s="192" t="str">
        <f>IFERROR(__xludf.DUMMYFUNCTION("""COMPUTED_VALUE"""),"Saurabh Khurana")</f>
        <v>Saurabh Khurana</v>
      </c>
      <c r="H807" s="192" t="str">
        <f>IFERROR(__xludf.DUMMYFUNCTION("""COMPUTED_VALUE"""),"saurabh.khurana@zupee.in")</f>
        <v>saurabh.khurana@zupee.in</v>
      </c>
      <c r="I807" s="192" t="str">
        <f>IFERROR(__xludf.DUMMYFUNCTION("""COMPUTED_VALUE"""),"sairam.mushyam@zupee.in: - Data")</f>
        <v>sairam.mushyam@zupee.in: - Data</v>
      </c>
      <c r="J807" s="19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92"/>
      <c r="B808" s="192"/>
      <c r="C808" s="192"/>
      <c r="D808" s="192"/>
      <c r="E808" s="192"/>
      <c r="F808" s="192"/>
      <c r="G808" s="192" t="str">
        <f>IFERROR(__xludf.DUMMYFUNCTION("""COMPUTED_VALUE"""),"Gagan Sharma")</f>
        <v>Gagan Sharma</v>
      </c>
      <c r="H808" s="192" t="str">
        <f>IFERROR(__xludf.DUMMYFUNCTION("""COMPUTED_VALUE"""),"gagan.sharma@zupee.in")</f>
        <v>gagan.sharma@zupee.in</v>
      </c>
      <c r="I808" s="192" t="str">
        <f>IFERROR(__xludf.DUMMYFUNCTION("""COMPUTED_VALUE"""),"gaurav.khanna@zupee.in: - Administration")</f>
        <v>gaurav.khanna@zupee.in: - Administration</v>
      </c>
      <c r="J808" s="19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92"/>
      <c r="B809" s="192"/>
      <c r="C809" s="192"/>
      <c r="D809" s="192"/>
      <c r="E809" s="192"/>
      <c r="F809" s="192"/>
      <c r="G809" s="192" t="str">
        <f>IFERROR(__xludf.DUMMYFUNCTION("""COMPUTED_VALUE"""),"Shahid Gauri")</f>
        <v>Shahid Gauri</v>
      </c>
      <c r="H809" s="192" t="str">
        <f>IFERROR(__xludf.DUMMYFUNCTION("""COMPUTED_VALUE"""),"shahid.gauri@zupee.in")</f>
        <v>shahid.gauri@zupee.in</v>
      </c>
      <c r="I809" s="192" t="str">
        <f>IFERROR(__xludf.DUMMYFUNCTION("""COMPUTED_VALUE"""),"rahul.sharma@zupee.in: - Technology")</f>
        <v>rahul.sharma@zupee.in: - Technology</v>
      </c>
      <c r="J809" s="19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92"/>
      <c r="B810" s="192"/>
      <c r="C810" s="192"/>
      <c r="D810" s="192"/>
      <c r="E810" s="192"/>
      <c r="F810" s="192"/>
      <c r="G810" s="192" t="str">
        <f>IFERROR(__xludf.DUMMYFUNCTION("""COMPUTED_VALUE"""),"Chirag Jain")</f>
        <v>Chirag Jain</v>
      </c>
      <c r="H810" s="192" t="str">
        <f>IFERROR(__xludf.DUMMYFUNCTION("""COMPUTED_VALUE"""),"chirag.jain@zupee.in")</f>
        <v>chirag.jain@zupee.in</v>
      </c>
      <c r="I810" s="192" t="str">
        <f>IFERROR(__xludf.DUMMYFUNCTION("""COMPUTED_VALUE"""),"piyush.shukla@zupee.in: - Technology")</f>
        <v>piyush.shukla@zupee.in: - Technology</v>
      </c>
      <c r="J810" s="19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92"/>
      <c r="B811" s="192"/>
      <c r="C811" s="192"/>
      <c r="D811" s="192"/>
      <c r="E811" s="192"/>
      <c r="F811" s="192"/>
      <c r="G811" s="192" t="str">
        <f>IFERROR(__xludf.DUMMYFUNCTION("""COMPUTED_VALUE"""),"Arif Jamal")</f>
        <v>Arif Jamal</v>
      </c>
      <c r="H811" s="192" t="str">
        <f>IFERROR(__xludf.DUMMYFUNCTION("""COMPUTED_VALUE"""),"arif.jamal@zupee.in")</f>
        <v>arif.jamal@zupee.in</v>
      </c>
      <c r="I811" s="192" t="str">
        <f>IFERROR(__xludf.DUMMYFUNCTION("""COMPUTED_VALUE"""),"aaditya.singh@zupee.in: - Brand Marketing")</f>
        <v>aaditya.singh@zupee.in: - Brand Marketing</v>
      </c>
      <c r="J811" s="19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92"/>
      <c r="B812" s="192"/>
      <c r="C812" s="192"/>
      <c r="D812" s="192"/>
      <c r="E812" s="192"/>
      <c r="F812" s="192"/>
      <c r="G812" s="192" t="str">
        <f>IFERROR(__xludf.DUMMYFUNCTION("""COMPUTED_VALUE"""),"Anuj Baghel")</f>
        <v>Anuj Baghel</v>
      </c>
      <c r="H812" s="192" t="str">
        <f>IFERROR(__xludf.DUMMYFUNCTION("""COMPUTED_VALUE"""),"anuj.baghel@zupee.in")</f>
        <v>anuj.baghel@zupee.in</v>
      </c>
      <c r="I812" s="192" t="str">
        <f>IFERROR(__xludf.DUMMYFUNCTION("""COMPUTED_VALUE"""),"rahul.sharma@zupee.in: - Technology")</f>
        <v>rahul.sharma@zupee.in: - Technology</v>
      </c>
      <c r="J812" s="19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92"/>
      <c r="B813" s="192"/>
      <c r="C813" s="192"/>
      <c r="D813" s="192"/>
      <c r="E813" s="192"/>
      <c r="F813" s="192"/>
      <c r="G813" s="192" t="str">
        <f>IFERROR(__xludf.DUMMYFUNCTION("""COMPUTED_VALUE"""),"Gaurav Sharma")</f>
        <v>Gaurav Sharma</v>
      </c>
      <c r="H813" s="192" t="str">
        <f>IFERROR(__xludf.DUMMYFUNCTION("""COMPUTED_VALUE"""),"gaurav.sharma@zupee.in")</f>
        <v>gaurav.sharma@zupee.in</v>
      </c>
      <c r="I813" s="192" t="str">
        <f>IFERROR(__xludf.DUMMYFUNCTION("""COMPUTED_VALUE"""),"rahul.sharma@zupee.in: - Technology")</f>
        <v>rahul.sharma@zupee.in: - Technology</v>
      </c>
      <c r="J813" s="19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92"/>
      <c r="B814" s="192"/>
      <c r="C814" s="192"/>
      <c r="D814" s="192"/>
      <c r="E814" s="192"/>
      <c r="F814" s="192"/>
      <c r="G814" s="192" t="str">
        <f>IFERROR(__xludf.DUMMYFUNCTION("""COMPUTED_VALUE"""),"Legal Support")</f>
        <v>Legal Support</v>
      </c>
      <c r="H814" s="192" t="str">
        <f>IFERROR(__xludf.DUMMYFUNCTION("""COMPUTED_VALUE"""),"legal@zupee.in")</f>
        <v>legal@zupee.in</v>
      </c>
      <c r="I814" s="192" t="str">
        <f>IFERROR(__xludf.DUMMYFUNCTION("""COMPUTED_VALUE"""),"arpita.latta@zupee.in: - Legal")</f>
        <v>arpita.latta@zupee.in: - Legal</v>
      </c>
      <c r="J814" s="19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92"/>
      <c r="B815" s="192"/>
      <c r="C815" s="192"/>
      <c r="D815" s="192"/>
      <c r="E815" s="192"/>
      <c r="F815" s="192"/>
      <c r="G815" s="192" t="str">
        <f>IFERROR(__xludf.DUMMYFUNCTION("""COMPUTED_VALUE"""),"Amit Garg")</f>
        <v>Amit Garg</v>
      </c>
      <c r="H815" s="192" t="str">
        <f>IFERROR(__xludf.DUMMYFUNCTION("""COMPUTED_VALUE"""),"amit.garg@zupee.in")</f>
        <v>amit.garg@zupee.in</v>
      </c>
      <c r="I815" s="192" t="str">
        <f>IFERROR(__xludf.DUMMYFUNCTION("""COMPUTED_VALUE"""),"abhishek.gupta@zupee.in: - Technology")</f>
        <v>abhishek.gupta@zupee.in: - Technology</v>
      </c>
      <c r="J815" s="19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92"/>
      <c r="B816" s="192"/>
      <c r="C816" s="192"/>
      <c r="D816" s="192"/>
      <c r="E816" s="192"/>
      <c r="F816" s="192"/>
      <c r="G816" s="192" t="str">
        <f>IFERROR(__xludf.DUMMYFUNCTION("""COMPUTED_VALUE"""),"Ishant Wadhwa")</f>
        <v>Ishant Wadhwa</v>
      </c>
      <c r="H816" s="192" t="str">
        <f>IFERROR(__xludf.DUMMYFUNCTION("""COMPUTED_VALUE"""),"ishant.wadhwa@zupee.in")</f>
        <v>ishant.wadhwa@zupee.in</v>
      </c>
      <c r="I816" s="192" t="str">
        <f>IFERROR(__xludf.DUMMYFUNCTION("""COMPUTED_VALUE"""),"nitesh.vijay@zupee.in: - Data")</f>
        <v>nitesh.vijay@zupee.in: - Data</v>
      </c>
      <c r="J816" s="19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92"/>
      <c r="B817" s="192"/>
      <c r="C817" s="192"/>
      <c r="D817" s="192"/>
      <c r="E817" s="192"/>
      <c r="F817" s="192"/>
      <c r="G817" s="192" t="str">
        <f>IFERROR(__xludf.DUMMYFUNCTION("""COMPUTED_VALUE"""),"Nikhil Kaplas")</f>
        <v>Nikhil Kaplas</v>
      </c>
      <c r="H817" s="192" t="str">
        <f>IFERROR(__xludf.DUMMYFUNCTION("""COMPUTED_VALUE"""),"nikhil.kaplas@zupee.in")</f>
        <v>nikhil.kaplas@zupee.in</v>
      </c>
      <c r="I817" s="192" t="str">
        <f>IFERROR(__xludf.DUMMYFUNCTION("""COMPUTED_VALUE"""),"aman.g@zupee.in: - Technology")</f>
        <v>aman.g@zupee.in: - Technology</v>
      </c>
      <c r="J817" s="19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92"/>
      <c r="B818" s="192"/>
      <c r="C818" s="192"/>
      <c r="D818" s="192"/>
      <c r="E818" s="192"/>
      <c r="F818" s="192"/>
      <c r="G818" s="192" t="str">
        <f>IFERROR(__xludf.DUMMYFUNCTION("""COMPUTED_VALUE"""),"Sumit Khaitan")</f>
        <v>Sumit Khaitan</v>
      </c>
      <c r="H818" s="192" t="str">
        <f>IFERROR(__xludf.DUMMYFUNCTION("""COMPUTED_VALUE"""),"sumit.khaitan@zupee.in")</f>
        <v>sumit.khaitan@zupee.in</v>
      </c>
      <c r="I818" s="192" t="str">
        <f>IFERROR(__xludf.DUMMYFUNCTION("""COMPUTED_VALUE"""),"anshul.mittal@zupee.in: - Technology")</f>
        <v>anshul.mittal@zupee.in: - Technology</v>
      </c>
      <c r="J818" s="19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92"/>
      <c r="B819" s="192"/>
      <c r="C819" s="192"/>
      <c r="D819" s="192"/>
      <c r="E819" s="192"/>
      <c r="F819" s="192"/>
      <c r="G819" s="192" t="str">
        <f>IFERROR(__xludf.DUMMYFUNCTION("""COMPUTED_VALUE"""),"Payroll Team")</f>
        <v>Payroll Team</v>
      </c>
      <c r="H819" s="192" t="str">
        <f>IFERROR(__xludf.DUMMYFUNCTION("""COMPUTED_VALUE"""),"payroll@zupee.in")</f>
        <v>payroll@zupee.in</v>
      </c>
      <c r="I819" s="192" t="str">
        <f>IFERROR(__xludf.DUMMYFUNCTION("""COMPUTED_VALUE"""),"surabhi.sanchita@zupee.in: - Human Resources")</f>
        <v>surabhi.sanchita@zupee.in: - Human Resources</v>
      </c>
      <c r="J819" s="19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92"/>
      <c r="B820" s="192"/>
      <c r="C820" s="192"/>
      <c r="D820" s="192"/>
      <c r="E820" s="192"/>
      <c r="F820" s="192"/>
      <c r="G820" s="192" t="str">
        <f>IFERROR(__xludf.DUMMYFUNCTION("""COMPUTED_VALUE"""),"Ankit Kumar Sahu")</f>
        <v>Ankit Kumar Sahu</v>
      </c>
      <c r="H820" s="192" t="str">
        <f>IFERROR(__xludf.DUMMYFUNCTION("""COMPUTED_VALUE"""),"ankit.sahu@zupee.in")</f>
        <v>ankit.sahu@zupee.in</v>
      </c>
      <c r="I820" s="192" t="str">
        <f>IFERROR(__xludf.DUMMYFUNCTION("""COMPUTED_VALUE"""),"rahul.sharma@zupee.in: - Technology")</f>
        <v>rahul.sharma@zupee.in: - Technology</v>
      </c>
      <c r="J820" s="19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92"/>
      <c r="B821" s="192"/>
      <c r="C821" s="192"/>
      <c r="D821" s="192"/>
      <c r="E821" s="192"/>
      <c r="F821" s="192"/>
      <c r="G821" s="192" t="str">
        <f>IFERROR(__xludf.DUMMYFUNCTION("""COMPUTED_VALUE"""),"Eeshma Anand")</f>
        <v>Eeshma Anand</v>
      </c>
      <c r="H821" s="192" t="str">
        <f>IFERROR(__xludf.DUMMYFUNCTION("""COMPUTED_VALUE"""),"eeshma.anand@zupee.in")</f>
        <v>eeshma.anand@zupee.in</v>
      </c>
      <c r="I821" s="192" t="str">
        <f>IFERROR(__xludf.DUMMYFUNCTION("""COMPUTED_VALUE"""),"naveen.kadyan@zupee.in: - Product")</f>
        <v>naveen.kadyan@zupee.in: - Product</v>
      </c>
      <c r="J821" s="19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92"/>
      <c r="B822" s="192"/>
      <c r="C822" s="192"/>
      <c r="D822" s="192"/>
      <c r="E822" s="192"/>
      <c r="F822" s="192"/>
      <c r="G822" s="192" t="str">
        <f>IFERROR(__xludf.DUMMYFUNCTION("""COMPUTED_VALUE"""),"Kamal Kishore Sharma")</f>
        <v>Kamal Kishore Sharma</v>
      </c>
      <c r="H822" s="192" t="str">
        <f>IFERROR(__xludf.DUMMYFUNCTION("""COMPUTED_VALUE"""),"kamal.sharma@zupee.in")</f>
        <v>kamal.sharma@zupee.in</v>
      </c>
      <c r="I822" s="192" t="str">
        <f>IFERROR(__xludf.DUMMYFUNCTION("""COMPUTED_VALUE"""),"aman.g@zupee.in: - Technology")</f>
        <v>aman.g@zupee.in: - Technology</v>
      </c>
      <c r="J822" s="19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92"/>
      <c r="B823" s="192"/>
      <c r="C823" s="192"/>
      <c r="D823" s="192"/>
      <c r="E823" s="192"/>
      <c r="F823" s="192"/>
      <c r="G823" s="192" t="str">
        <f>IFERROR(__xludf.DUMMYFUNCTION("""COMPUTED_VALUE"""),"Sairam Mushyam")</f>
        <v>Sairam Mushyam</v>
      </c>
      <c r="H823" s="192" t="str">
        <f>IFERROR(__xludf.DUMMYFUNCTION("""COMPUTED_VALUE"""),"sairam.mushyam@zupee.in")</f>
        <v>sairam.mushyam@zupee.in</v>
      </c>
      <c r="I823" s="192" t="str">
        <f>IFERROR(__xludf.DUMMYFUNCTION("""COMPUTED_VALUE"""),"dilsher.malhi@zupee.in: - Data")</f>
        <v>dilsher.malhi@zupee.in: - Data</v>
      </c>
      <c r="J823" s="19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92"/>
      <c r="B824" s="192"/>
      <c r="C824" s="192"/>
      <c r="D824" s="192"/>
      <c r="E824" s="192"/>
      <c r="F824" s="192"/>
      <c r="G824" s="192" t="str">
        <f>IFERROR(__xludf.DUMMYFUNCTION("""COMPUTED_VALUE"""),"Akshay Gulati")</f>
        <v>Akshay Gulati</v>
      </c>
      <c r="H824" s="192" t="str">
        <f>IFERROR(__xludf.DUMMYFUNCTION("""COMPUTED_VALUE"""),"akshay.gulati@zupee.in")</f>
        <v>akshay.gulati@zupee.in</v>
      </c>
      <c r="I824" s="192" t="str">
        <f>IFERROR(__xludf.DUMMYFUNCTION("""COMPUTED_VALUE"""),"naveen.kadyan@zupee.in: - Product")</f>
        <v>naveen.kadyan@zupee.in: - Product</v>
      </c>
      <c r="J824" s="19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92"/>
      <c r="B825" s="192"/>
      <c r="C825" s="192"/>
      <c r="D825" s="192"/>
      <c r="E825" s="192"/>
      <c r="F825" s="192"/>
      <c r="G825" s="192" t="str">
        <f>IFERROR(__xludf.DUMMYFUNCTION("""COMPUTED_VALUE"""),"iOS Support")</f>
        <v>iOS Support</v>
      </c>
      <c r="H825" s="192" t="str">
        <f>IFERROR(__xludf.DUMMYFUNCTION("""COMPUTED_VALUE"""),"tech-ios@zupee.in")</f>
        <v>tech-ios@zupee.in</v>
      </c>
      <c r="I825" s="192" t="str">
        <f>IFERROR(__xludf.DUMMYFUNCTION("""COMPUTED_VALUE"""),"bal.sikandar@zupee.in: - Technology")</f>
        <v>bal.sikandar@zupee.in: - Technology</v>
      </c>
      <c r="J825" s="19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92"/>
      <c r="B826" s="192"/>
      <c r="C826" s="192"/>
      <c r="D826" s="192"/>
      <c r="E826" s="192"/>
      <c r="F826" s="192"/>
      <c r="G826" s="192" t="str">
        <f>IFERROR(__xludf.DUMMYFUNCTION("""COMPUTED_VALUE"""),"Aman Gupta")</f>
        <v>Aman Gupta</v>
      </c>
      <c r="H826" s="192" t="str">
        <f>IFERROR(__xludf.DUMMYFUNCTION("""COMPUTED_VALUE"""),"aman.gupta@zupee.in")</f>
        <v>aman.gupta@zupee.in</v>
      </c>
      <c r="I826" s="192" t="str">
        <f>IFERROR(__xludf.DUMMYFUNCTION("""COMPUTED_VALUE"""),"anshul.mittal@zupee.in: - Technology")</f>
        <v>anshul.mittal@zupee.in: - Technology</v>
      </c>
      <c r="J826" s="19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92"/>
      <c r="B827" s="192"/>
      <c r="C827" s="192"/>
      <c r="D827" s="192"/>
      <c r="E827" s="192"/>
      <c r="F827" s="192"/>
      <c r="G827" s="192" t="str">
        <f>IFERROR(__xludf.DUMMYFUNCTION("""COMPUTED_VALUE"""),"Mohit Arora")</f>
        <v>Mohit Arora</v>
      </c>
      <c r="H827" s="192" t="str">
        <f>IFERROR(__xludf.DUMMYFUNCTION("""COMPUTED_VALUE"""),"mohit.arora@zupee.in")</f>
        <v>mohit.arora@zupee.in</v>
      </c>
      <c r="I827" s="192" t="str">
        <f>IFERROR(__xludf.DUMMYFUNCTION("""COMPUTED_VALUE"""),"ankur.a@zupee.in: - Finance")</f>
        <v>ankur.a@zupee.in: - Finance</v>
      </c>
      <c r="J827" s="19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92"/>
      <c r="B828" s="192"/>
      <c r="C828" s="192"/>
      <c r="D828" s="192"/>
      <c r="E828" s="192"/>
      <c r="F828" s="192"/>
      <c r="G828" s="192" t="str">
        <f>IFERROR(__xludf.DUMMYFUNCTION("""COMPUTED_VALUE"""),"Rohit Saini")</f>
        <v>Rohit Saini</v>
      </c>
      <c r="H828" s="192" t="str">
        <f>IFERROR(__xludf.DUMMYFUNCTION("""COMPUTED_VALUE"""),"rohit.saini@zupee.in")</f>
        <v>rohit.saini@zupee.in</v>
      </c>
      <c r="I828" s="192" t="str">
        <f>IFERROR(__xludf.DUMMYFUNCTION("""COMPUTED_VALUE"""),"anshul.mittal@zupee.in: - Technology")</f>
        <v>anshul.mittal@zupee.in: - Technology</v>
      </c>
      <c r="J828" s="19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92"/>
      <c r="B829" s="192"/>
      <c r="C829" s="192"/>
      <c r="D829" s="192"/>
      <c r="E829" s="192"/>
      <c r="F829" s="192"/>
      <c r="G829" s="192" t="str">
        <f>IFERROR(__xludf.DUMMYFUNCTION("""COMPUTED_VALUE"""),"Ishank Mehta")</f>
        <v>Ishank Mehta</v>
      </c>
      <c r="H829" s="192" t="str">
        <f>IFERROR(__xludf.DUMMYFUNCTION("""COMPUTED_VALUE"""),"ishank.mehta@zupee.in")</f>
        <v>ishank.mehta@zupee.in</v>
      </c>
      <c r="I829" s="192" t="str">
        <f>IFERROR(__xludf.DUMMYFUNCTION("""COMPUTED_VALUE"""),"akanksha.dhamija@zupee.in: - Strategy")</f>
        <v>akanksha.dhamija@zupee.in: - Strategy</v>
      </c>
      <c r="J829" s="19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92"/>
      <c r="B830" s="192"/>
      <c r="C830" s="192"/>
      <c r="D830" s="192"/>
      <c r="E830" s="192"/>
      <c r="F830" s="192"/>
      <c r="G830" s="192" t="str">
        <f>IFERROR(__xludf.DUMMYFUNCTION("""COMPUTED_VALUE"""),"Siddhant Saurabh")</f>
        <v>Siddhant Saurabh</v>
      </c>
      <c r="H830" s="192" t="str">
        <f>IFERROR(__xludf.DUMMYFUNCTION("""COMPUTED_VALUE"""),"siddhant.saurabh@chococrush.com")</f>
        <v>siddhant.saurabh@chococrush.com</v>
      </c>
      <c r="I830" s="192" t="str">
        <f>IFERROR(__xludf.DUMMYFUNCTION("""COMPUTED_VALUE"""),"siddhant.saurabh@zupee.in: - Org")</f>
        <v>siddhant.saurabh@zupee.in: - Org</v>
      </c>
      <c r="J830" s="19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92"/>
      <c r="B831" s="192"/>
      <c r="C831" s="192"/>
      <c r="D831" s="192"/>
      <c r="E831" s="192"/>
      <c r="F831" s="192"/>
      <c r="G831" s="192" t="str">
        <f>IFERROR(__xludf.DUMMYFUNCTION("""COMPUTED_VALUE"""),"Ludo Turbo Support")</f>
        <v>Ludo Turbo Support</v>
      </c>
      <c r="H831" s="192" t="str">
        <f>IFERROR(__xludf.DUMMYFUNCTION("""COMPUTED_VALUE"""),"support@ludoturbo.com")</f>
        <v>support@ludoturbo.com</v>
      </c>
      <c r="I831" s="192" t="str">
        <f>IFERROR(__xludf.DUMMYFUNCTION("""COMPUTED_VALUE"""),"akanksha.dhamija@zupee.in: - strategy")</f>
        <v>akanksha.dhamija@zupee.in: - strategy</v>
      </c>
      <c r="J831" s="19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92"/>
      <c r="B832" s="192"/>
      <c r="C832" s="192"/>
      <c r="D832" s="192"/>
      <c r="E832" s="192"/>
      <c r="F832" s="192"/>
      <c r="G832" s="192" t="str">
        <f>IFERROR(__xludf.DUMMYFUNCTION("""COMPUTED_VALUE"""),"Zupee Recharges")</f>
        <v>Zupee Recharges</v>
      </c>
      <c r="H832" s="192" t="str">
        <f>IFERROR(__xludf.DUMMYFUNCTION("""COMPUTED_VALUE"""),"recharges@zupee.in")</f>
        <v>recharges@zupee.in</v>
      </c>
      <c r="I832" s="192" t="str">
        <f>IFERROR(__xludf.DUMMYFUNCTION("""COMPUTED_VALUE"""),"govind.mittal@zupee.in: - Founder's Office")</f>
        <v>govind.mittal@zupee.in: - Founder's Office</v>
      </c>
      <c r="J832" s="19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92"/>
      <c r="B833" s="192"/>
      <c r="C833" s="192"/>
      <c r="D833" s="192"/>
      <c r="E833" s="192"/>
      <c r="F833" s="192"/>
      <c r="G833" s="192" t="str">
        <f>IFERROR(__xludf.DUMMYFUNCTION("""COMPUTED_VALUE"""),"Siddhant Saurabh")</f>
        <v>Siddhant Saurabh</v>
      </c>
      <c r="H833" s="192" t="str">
        <f>IFERROR(__xludf.DUMMYFUNCTION("""COMPUTED_VALUE"""),"siddhant.saurabh@ludoturbo.com")</f>
        <v>siddhant.saurabh@ludoturbo.com</v>
      </c>
      <c r="I833" s="192" t="str">
        <f>IFERROR(__xludf.DUMMYFUNCTION("""COMPUTED_VALUE"""),"siddhant.saurabh@zupee.in: - Org")</f>
        <v>siddhant.saurabh@zupee.in: - Org</v>
      </c>
      <c r="J833" s="19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92"/>
      <c r="B834" s="192"/>
      <c r="C834" s="192"/>
      <c r="D834" s="192"/>
      <c r="E834" s="192"/>
      <c r="F834" s="192"/>
      <c r="G834" s="192" t="str">
        <f>IFERROR(__xludf.DUMMYFUNCTION("""COMPUTED_VALUE"""),"Kinshuk Puri")</f>
        <v>Kinshuk Puri</v>
      </c>
      <c r="H834" s="192" t="str">
        <f>IFERROR(__xludf.DUMMYFUNCTION("""COMPUTED_VALUE"""),"kinshuk.puri@zupee.in")</f>
        <v>kinshuk.puri@zupee.in</v>
      </c>
      <c r="I834" s="192" t="str">
        <f>IFERROR(__xludf.DUMMYFUNCTION("""COMPUTED_VALUE"""),"anshul.mittal@zupee.in: - Technology")</f>
        <v>anshul.mittal@zupee.in: - Technology</v>
      </c>
      <c r="J834" s="19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92"/>
      <c r="B835" s="192"/>
      <c r="C835" s="192"/>
      <c r="D835" s="192"/>
      <c r="E835" s="192"/>
      <c r="F835" s="192"/>
      <c r="G835" s="192" t="str">
        <f>IFERROR(__xludf.DUMMYFUNCTION("""COMPUTED_VALUE"""),"Marketing Dashboard")</f>
        <v>Marketing Dashboard</v>
      </c>
      <c r="H835" s="192" t="str">
        <f>IFERROR(__xludf.DUMMYFUNCTION("""COMPUTED_VALUE"""),"marketing.dashboard@zupee.in")</f>
        <v>marketing.dashboard@zupee.in</v>
      </c>
      <c r="I835" s="192" t="str">
        <f>IFERROR(__xludf.DUMMYFUNCTION("""COMPUTED_VALUE"""),"govind.mittal@zupee.in: - Founder's Office")</f>
        <v>govind.mittal@zupee.in: - Founder's Office</v>
      </c>
      <c r="J835" s="19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92"/>
      <c r="B836" s="192"/>
      <c r="C836" s="192"/>
      <c r="D836" s="192"/>
      <c r="E836" s="192"/>
      <c r="F836" s="192"/>
      <c r="G836" s="192" t="str">
        <f>IFERROR(__xludf.DUMMYFUNCTION("""COMPUTED_VALUE"""),"Raghav Bansal")</f>
        <v>Raghav Bansal</v>
      </c>
      <c r="H836" s="192" t="str">
        <f>IFERROR(__xludf.DUMMYFUNCTION("""COMPUTED_VALUE"""),"raghav.bansal@zupee.in")</f>
        <v>raghav.bansal@zupee.in</v>
      </c>
      <c r="I836" s="192" t="str">
        <f>IFERROR(__xludf.DUMMYFUNCTION("""COMPUTED_VALUE"""),"naveen.kadyan@zupee.in: - Product")</f>
        <v>naveen.kadyan@zupee.in: - Product</v>
      </c>
      <c r="J836" s="19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92"/>
      <c r="B837" s="192"/>
      <c r="C837" s="192"/>
      <c r="D837" s="192"/>
      <c r="E837" s="192"/>
      <c r="F837" s="192"/>
      <c r="G837" s="192" t="str">
        <f>IFERROR(__xludf.DUMMYFUNCTION("""COMPUTED_VALUE"""),"Naina Sharma")</f>
        <v>Naina Sharma</v>
      </c>
      <c r="H837" s="192" t="str">
        <f>IFERROR(__xludf.DUMMYFUNCTION("""COMPUTED_VALUE"""),"naina.sharma@zupee.in")</f>
        <v>naina.sharma@zupee.in</v>
      </c>
      <c r="I837" s="192" t="str">
        <f>IFERROR(__xludf.DUMMYFUNCTION("""COMPUTED_VALUE"""),"m.sangeetha@zupee.in: - Human Resources")</f>
        <v>m.sangeetha@zupee.in: - Human Resources</v>
      </c>
      <c r="J837" s="19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92"/>
      <c r="B838" s="192"/>
      <c r="C838" s="192"/>
      <c r="D838" s="192"/>
      <c r="E838" s="192"/>
      <c r="F838" s="192"/>
      <c r="G838" s="192" t="str">
        <f>IFERROR(__xludf.DUMMYFUNCTION("""COMPUTED_VALUE"""),"Aman Chhabra")</f>
        <v>Aman Chhabra</v>
      </c>
      <c r="H838" s="192" t="str">
        <f>IFERROR(__xludf.DUMMYFUNCTION("""COMPUTED_VALUE"""),"aman.chhabra@zupee.in")</f>
        <v>aman.chhabra@zupee.in</v>
      </c>
      <c r="I838" s="192" t="str">
        <f>IFERROR(__xludf.DUMMYFUNCTION("""COMPUTED_VALUE"""),"sumit.yadav@zupee.in: - Customer Experience")</f>
        <v>sumit.yadav@zupee.in: - Customer Experience</v>
      </c>
      <c r="J838" s="19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92"/>
      <c r="B839" s="192"/>
      <c r="C839" s="192"/>
      <c r="D839" s="192"/>
      <c r="E839" s="192"/>
      <c r="F839" s="192"/>
      <c r="G839" s="192" t="str">
        <f>IFERROR(__xludf.DUMMYFUNCTION("""COMPUTED_VALUE"""),"Rohit Nandan Dubey")</f>
        <v>Rohit Nandan Dubey</v>
      </c>
      <c r="H839" s="192" t="str">
        <f>IFERROR(__xludf.DUMMYFUNCTION("""COMPUTED_VALUE"""),"rohit.dubey@zupee.in")</f>
        <v>rohit.dubey@zupee.in</v>
      </c>
      <c r="I839" s="192" t="str">
        <f>IFERROR(__xludf.DUMMYFUNCTION("""COMPUTED_VALUE"""),"amit.garg@zupee.in: - Technology")</f>
        <v>amit.garg@zupee.in: - Technology</v>
      </c>
      <c r="J839" s="19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92"/>
      <c r="B840" s="192"/>
      <c r="C840" s="192"/>
      <c r="D840" s="192"/>
      <c r="E840" s="192"/>
      <c r="F840" s="192"/>
      <c r="G840" s="192" t="str">
        <f>IFERROR(__xludf.DUMMYFUNCTION("""COMPUTED_VALUE"""),"Naveen Kumar")</f>
        <v>Naveen Kumar</v>
      </c>
      <c r="H840" s="192" t="str">
        <f>IFERROR(__xludf.DUMMYFUNCTION("""COMPUTED_VALUE"""),"naveen.kumar@zupee.in")</f>
        <v>naveen.kumar@zupee.in</v>
      </c>
      <c r="I840" s="192" t="str">
        <f>IFERROR(__xludf.DUMMYFUNCTION("""COMPUTED_VALUE"""),"atique.firoz@zupee.in: - Technology")</f>
        <v>atique.firoz@zupee.in: - Technology</v>
      </c>
      <c r="J840" s="19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92"/>
      <c r="B841" s="192"/>
      <c r="C841" s="192"/>
      <c r="D841" s="192"/>
      <c r="E841" s="192"/>
      <c r="F841" s="192"/>
      <c r="G841" s="192" t="str">
        <f>IFERROR(__xludf.DUMMYFUNCTION("""COMPUTED_VALUE"""),"Kamran Ahmad Hadi")</f>
        <v>Kamran Ahmad Hadi</v>
      </c>
      <c r="H841" s="192" t="str">
        <f>IFERROR(__xludf.DUMMYFUNCTION("""COMPUTED_VALUE"""),"kamran.hadi@zupee.in")</f>
        <v>kamran.hadi@zupee.in</v>
      </c>
      <c r="I841" s="192" t="str">
        <f>IFERROR(__xludf.DUMMYFUNCTION("""COMPUTED_VALUE"""),"anshul.mittal@zupee.in: - Technology")</f>
        <v>anshul.mittal@zupee.in: - Technology</v>
      </c>
      <c r="J841" s="19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92"/>
      <c r="B842" s="192"/>
      <c r="C842" s="192"/>
      <c r="D842" s="192"/>
      <c r="E842" s="192"/>
      <c r="F842" s="192"/>
      <c r="G842" s="192" t="str">
        <f>IFERROR(__xludf.DUMMYFUNCTION("""COMPUTED_VALUE"""),"Ankita Jugran")</f>
        <v>Ankita Jugran</v>
      </c>
      <c r="H842" s="192" t="str">
        <f>IFERROR(__xludf.DUMMYFUNCTION("""COMPUTED_VALUE"""),"ankita.jugran@zupee.in")</f>
        <v>ankita.jugran@zupee.in</v>
      </c>
      <c r="I842" s="192" t="str">
        <f>IFERROR(__xludf.DUMMYFUNCTION("""COMPUTED_VALUE"""),"aaditya.singh@zupee.in: - Brand Marketing")</f>
        <v>aaditya.singh@zupee.in: - Brand Marketing</v>
      </c>
      <c r="J842" s="19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92"/>
      <c r="B843" s="192"/>
      <c r="C843" s="192"/>
      <c r="D843" s="192"/>
      <c r="E843" s="192"/>
      <c r="F843" s="192"/>
      <c r="G843" s="192" t="str">
        <f>IFERROR(__xludf.DUMMYFUNCTION("""COMPUTED_VALUE"""),"Rahul Punia")</f>
        <v>Rahul Punia</v>
      </c>
      <c r="H843" s="192" t="str">
        <f>IFERROR(__xludf.DUMMYFUNCTION("""COMPUTED_VALUE"""),"rahul.punia@zupee.in")</f>
        <v>rahul.punia@zupee.in</v>
      </c>
      <c r="I843" s="192" t="str">
        <f>IFERROR(__xludf.DUMMYFUNCTION("""COMPUTED_VALUE"""),"aman.g@zupee.in: - Technology")</f>
        <v>aman.g@zupee.in: - Technology</v>
      </c>
      <c r="J843" s="19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92"/>
      <c r="B844" s="192"/>
      <c r="C844" s="192"/>
      <c r="D844" s="192"/>
      <c r="E844" s="192"/>
      <c r="F844" s="192"/>
      <c r="G844" s="192" t="str">
        <f>IFERROR(__xludf.DUMMYFUNCTION("""COMPUTED_VALUE"""),"Shivam Sharma")</f>
        <v>Shivam Sharma</v>
      </c>
      <c r="H844" s="192" t="str">
        <f>IFERROR(__xludf.DUMMYFUNCTION("""COMPUTED_VALUE"""),"shivam.sharma@zupee.in")</f>
        <v>shivam.sharma@zupee.in</v>
      </c>
      <c r="I844" s="192" t="str">
        <f>IFERROR(__xludf.DUMMYFUNCTION("""COMPUTED_VALUE"""),"sahil.puri@zupee.in: - Technology")</f>
        <v>sahil.puri@zupee.in: - Technology</v>
      </c>
      <c r="J844" s="19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92"/>
      <c r="B845" s="192"/>
      <c r="C845" s="192"/>
      <c r="D845" s="192"/>
      <c r="E845" s="192"/>
      <c r="F845" s="192"/>
      <c r="G845" s="192" t="str">
        <f>IFERROR(__xludf.DUMMYFUNCTION("""COMPUTED_VALUE"""),"Shubham Verma")</f>
        <v>Shubham Verma</v>
      </c>
      <c r="H845" s="192" t="str">
        <f>IFERROR(__xludf.DUMMYFUNCTION("""COMPUTED_VALUE"""),"shubham.verma@zupee.in")</f>
        <v>shubham.verma@zupee.in</v>
      </c>
      <c r="I845" s="192" t="str">
        <f>IFERROR(__xludf.DUMMYFUNCTION("""COMPUTED_VALUE"""),"atique.firoz@zupee.in: - Technology")</f>
        <v>atique.firoz@zupee.in: - Technology</v>
      </c>
      <c r="J845" s="19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92"/>
      <c r="B846" s="192"/>
      <c r="C846" s="192"/>
      <c r="D846" s="192"/>
      <c r="E846" s="192"/>
      <c r="F846" s="192"/>
      <c r="G846" s="192" t="str">
        <f>IFERROR(__xludf.DUMMYFUNCTION("""COMPUTED_VALUE"""),"Vedank Goyal")</f>
        <v>Vedank Goyal</v>
      </c>
      <c r="H846" s="192" t="str">
        <f>IFERROR(__xludf.DUMMYFUNCTION("""COMPUTED_VALUE"""),"vedank.goyal@zupee.in")</f>
        <v>vedank.goyal@zupee.in</v>
      </c>
      <c r="I846" s="192" t="str">
        <f>IFERROR(__xludf.DUMMYFUNCTION("""COMPUTED_VALUE"""),"narender.tyagi@zupee.in: - Technology")</f>
        <v>narender.tyagi@zupee.in: - Technology</v>
      </c>
      <c r="J846" s="19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92"/>
      <c r="B847" s="192"/>
      <c r="C847" s="192"/>
      <c r="D847" s="192"/>
      <c r="E847" s="192"/>
      <c r="F847" s="192"/>
      <c r="G847" s="192" t="str">
        <f>IFERROR(__xludf.DUMMYFUNCTION("""COMPUTED_VALUE"""),"Vinay Bansal")</f>
        <v>Vinay Bansal</v>
      </c>
      <c r="H847" s="192" t="str">
        <f>IFERROR(__xludf.DUMMYFUNCTION("""COMPUTED_VALUE"""),"vinay.bansal@zupee.in")</f>
        <v>vinay.bansal@zupee.in</v>
      </c>
      <c r="I847" s="192" t="str">
        <f>IFERROR(__xludf.DUMMYFUNCTION("""COMPUTED_VALUE"""),"bal.sikandar@zupee.in: - Technology")</f>
        <v>bal.sikandar@zupee.in: - Technology</v>
      </c>
      <c r="J847" s="19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92"/>
      <c r="B848" s="192"/>
      <c r="C848" s="192"/>
      <c r="D848" s="192"/>
      <c r="E848" s="192"/>
      <c r="F848" s="192"/>
      <c r="G848" s="192" t="str">
        <f>IFERROR(__xludf.DUMMYFUNCTION("""COMPUTED_VALUE"""),"Katha Pankaj Tara")</f>
        <v>Katha Pankaj Tara</v>
      </c>
      <c r="H848" s="192" t="str">
        <f>IFERROR(__xludf.DUMMYFUNCTION("""COMPUTED_VALUE"""),"katha.tara@zupee.in")</f>
        <v>katha.tara@zupee.in</v>
      </c>
      <c r="I848" s="192" t="str">
        <f>IFERROR(__xludf.DUMMYFUNCTION("""COMPUTED_VALUE"""),"akanksha.dhamija@zupee.in: - Brand Marketing")</f>
        <v>akanksha.dhamija@zupee.in: - Brand Marketing</v>
      </c>
      <c r="J848" s="19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92"/>
      <c r="B849" s="192"/>
      <c r="C849" s="192"/>
      <c r="D849" s="192"/>
      <c r="E849" s="192"/>
      <c r="F849" s="192"/>
      <c r="G849" s="192" t="str">
        <f>IFERROR(__xludf.DUMMYFUNCTION("""COMPUTED_VALUE"""),"Vishwa Patel")</f>
        <v>Vishwa Patel</v>
      </c>
      <c r="H849" s="192" t="str">
        <f>IFERROR(__xludf.DUMMYFUNCTION("""COMPUTED_VALUE"""),"vishwa.patel@zupee.in")</f>
        <v>vishwa.patel@zupee.in</v>
      </c>
      <c r="I849" s="192" t="str">
        <f>IFERROR(__xludf.DUMMYFUNCTION("""COMPUTED_VALUE"""),"nikhil.kaplas@zupee.in: - Technology")</f>
        <v>nikhil.kaplas@zupee.in: - Technology</v>
      </c>
      <c r="J849" s="19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92"/>
      <c r="B850" s="192"/>
      <c r="C850" s="192"/>
      <c r="D850" s="192"/>
      <c r="E850" s="192"/>
      <c r="F850" s="192"/>
      <c r="G850" s="192" t="str">
        <f>IFERROR(__xludf.DUMMYFUNCTION("""COMPUTED_VALUE"""),"Abhinav Shandilya")</f>
        <v>Abhinav Shandilya</v>
      </c>
      <c r="H850" s="192" t="str">
        <f>IFERROR(__xludf.DUMMYFUNCTION("""COMPUTED_VALUE"""),"abhinav.shandilya@zupee.in")</f>
        <v>abhinav.shandilya@zupee.in</v>
      </c>
      <c r="I850" s="192" t="str">
        <f>IFERROR(__xludf.DUMMYFUNCTION("""COMPUTED_VALUE"""),"aman.k@zupee.in: - Technology")</f>
        <v>aman.k@zupee.in: - Technology</v>
      </c>
      <c r="J850" s="19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92"/>
      <c r="B851" s="192"/>
      <c r="C851" s="192"/>
      <c r="D851" s="192"/>
      <c r="E851" s="192"/>
      <c r="F851" s="192"/>
      <c r="G851" s="192" t="str">
        <f>IFERROR(__xludf.DUMMYFUNCTION("""COMPUTED_VALUE"""),"Raman Malik")</f>
        <v>Raman Malik</v>
      </c>
      <c r="H851" s="192" t="str">
        <f>IFERROR(__xludf.DUMMYFUNCTION("""COMPUTED_VALUE"""),"raman.malik@zupee.in")</f>
        <v>raman.malik@zupee.in</v>
      </c>
      <c r="I851" s="192" t="str">
        <f>IFERROR(__xludf.DUMMYFUNCTION("""COMPUTED_VALUE"""),"sairam.mushyam@zupee.in: - Data")</f>
        <v>sairam.mushyam@zupee.in: - Data</v>
      </c>
      <c r="J851" s="19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92"/>
      <c r="B852" s="192"/>
      <c r="C852" s="192"/>
      <c r="D852" s="192"/>
      <c r="E852" s="192"/>
      <c r="F852" s="192"/>
      <c r="G852" s="192" t="str">
        <f>IFERROR(__xludf.DUMMYFUNCTION("""COMPUTED_VALUE"""),"Dashboard Entities")</f>
        <v>Dashboard Entities</v>
      </c>
      <c r="H852" s="192" t="str">
        <f>IFERROR(__xludf.DUMMYFUNCTION("""COMPUTED_VALUE"""),"dashboard.entities@zupee.in")</f>
        <v>dashboard.entities@zupee.in</v>
      </c>
      <c r="I852" s="192" t="str">
        <f>IFERROR(__xludf.DUMMYFUNCTION("""COMPUTED_VALUE"""),"govind.mittal@zupee.in: - Founder's Office")</f>
        <v>govind.mittal@zupee.in: - Founder's Office</v>
      </c>
      <c r="J852" s="19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92"/>
      <c r="B853" s="192"/>
      <c r="C853" s="192"/>
      <c r="D853" s="192"/>
      <c r="E853" s="192"/>
      <c r="F853" s="192"/>
      <c r="G853" s="192" t="str">
        <f>IFERROR(__xludf.DUMMYFUNCTION("""COMPUTED_VALUE"""),"Nodal Head")</f>
        <v>Nodal Head</v>
      </c>
      <c r="H853" s="192" t="str">
        <f>IFERROR(__xludf.DUMMYFUNCTION("""COMPUTED_VALUE"""),"nodal@zupee.in")</f>
        <v>nodal@zupee.in</v>
      </c>
      <c r="I853" s="192" t="str">
        <f>IFERROR(__xludf.DUMMYFUNCTION("""COMPUTED_VALUE"""),"shobhit.nanda@zupee.in: - Legal")</f>
        <v>shobhit.nanda@zupee.in: - Legal</v>
      </c>
      <c r="J853" s="19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92"/>
      <c r="B854" s="192"/>
      <c r="C854" s="192"/>
      <c r="D854" s="192"/>
      <c r="E854" s="192"/>
      <c r="F854" s="192"/>
      <c r="G854" s="192" t="str">
        <f>IFERROR(__xludf.DUMMYFUNCTION("""COMPUTED_VALUE"""),"Bhargavkumar Khalasi")</f>
        <v>Bhargavkumar Khalasi</v>
      </c>
      <c r="H854" s="192" t="str">
        <f>IFERROR(__xludf.DUMMYFUNCTION("""COMPUTED_VALUE"""),"bhargavkumar.khalasi@zupee.in")</f>
        <v>bhargavkumar.khalasi@zupee.in</v>
      </c>
      <c r="I854" s="192" t="str">
        <f>IFERROR(__xludf.DUMMYFUNCTION("""COMPUTED_VALUE"""),"sumit.singh@zupee.in: - Technology")</f>
        <v>sumit.singh@zupee.in: - Technology</v>
      </c>
      <c r="J854" s="19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92"/>
      <c r="B855" s="192"/>
      <c r="C855" s="192"/>
      <c r="D855" s="192"/>
      <c r="E855" s="192"/>
      <c r="F855" s="192"/>
      <c r="G855" s="192" t="str">
        <f>IFERROR(__xludf.DUMMYFUNCTION("""COMPUTED_VALUE"""),"Riya Jhalani")</f>
        <v>Riya Jhalani</v>
      </c>
      <c r="H855" s="192" t="str">
        <f>IFERROR(__xludf.DUMMYFUNCTION("""COMPUTED_VALUE"""),"riya.jhalani@zupee.in")</f>
        <v>riya.jhalani@zupee.in</v>
      </c>
      <c r="I855" s="192" t="str">
        <f>IFERROR(__xludf.DUMMYFUNCTION("""COMPUTED_VALUE"""),"aman.g@zupee.in: - Technology")</f>
        <v>aman.g@zupee.in: - Technology</v>
      </c>
      <c r="J855" s="19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92"/>
      <c r="B856" s="192"/>
      <c r="C856" s="192"/>
      <c r="D856" s="192"/>
      <c r="E856" s="192"/>
      <c r="F856" s="192"/>
      <c r="G856" s="192" t="str">
        <f>IFERROR(__xludf.DUMMYFUNCTION("""COMPUTED_VALUE"""),"Mayank Jain")</f>
        <v>Mayank Jain</v>
      </c>
      <c r="H856" s="192" t="str">
        <f>IFERROR(__xludf.DUMMYFUNCTION("""COMPUTED_VALUE"""),"mayank.jain@zupee.in")</f>
        <v>mayank.jain@zupee.in</v>
      </c>
      <c r="I856" s="192" t="str">
        <f>IFERROR(__xludf.DUMMYFUNCTION("""COMPUTED_VALUE"""),"naveen.kadyan@zupee.in: - Product")</f>
        <v>naveen.kadyan@zupee.in: - Product</v>
      </c>
      <c r="J856" s="19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92"/>
      <c r="B857" s="192"/>
      <c r="C857" s="192"/>
      <c r="D857" s="192"/>
      <c r="E857" s="192"/>
      <c r="F857" s="192"/>
      <c r="G857" s="192" t="str">
        <f>IFERROR(__xludf.DUMMYFUNCTION("""COMPUTED_VALUE"""),"Diksha Sachdeva")</f>
        <v>Diksha Sachdeva</v>
      </c>
      <c r="H857" s="192" t="str">
        <f>IFERROR(__xludf.DUMMYFUNCTION("""COMPUTED_VALUE"""),"diksha.sachdeva@zupee.in")</f>
        <v>diksha.sachdeva@zupee.in</v>
      </c>
      <c r="I857" s="192" t="str">
        <f>IFERROR(__xludf.DUMMYFUNCTION("""COMPUTED_VALUE"""),"sumit.singh@zupee.in: - Technology")</f>
        <v>sumit.singh@zupee.in: - Technology</v>
      </c>
      <c r="J857" s="19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92"/>
      <c r="B858" s="192"/>
      <c r="C858" s="192"/>
      <c r="D858" s="192"/>
      <c r="E858" s="192"/>
      <c r="F858" s="192"/>
      <c r="G858" s="192" t="str">
        <f>IFERROR(__xludf.DUMMYFUNCTION("""COMPUTED_VALUE"""),"Saurav Yadav")</f>
        <v>Saurav Yadav</v>
      </c>
      <c r="H858" s="192" t="str">
        <f>IFERROR(__xludf.DUMMYFUNCTION("""COMPUTED_VALUE"""),"saurav.yadav@zupee.in")</f>
        <v>saurav.yadav@zupee.in</v>
      </c>
      <c r="I858" s="192" t="str">
        <f>IFERROR(__xludf.DUMMYFUNCTION("""COMPUTED_VALUE"""),"abhishek.gupta@zupee.in: - Technology")</f>
        <v>abhishek.gupta@zupee.in: - Technology</v>
      </c>
      <c r="J858" s="19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92"/>
      <c r="B859" s="192"/>
      <c r="C859" s="192"/>
      <c r="D859" s="192"/>
      <c r="E859" s="192"/>
      <c r="F859" s="192"/>
      <c r="G859" s="192" t="str">
        <f>IFERROR(__xludf.DUMMYFUNCTION("""COMPUTED_VALUE"""),"Sahil Puri")</f>
        <v>Sahil Puri</v>
      </c>
      <c r="H859" s="192" t="str">
        <f>IFERROR(__xludf.DUMMYFUNCTION("""COMPUTED_VALUE"""),"sahil.puri@zupee.in")</f>
        <v>sahil.puri@zupee.in</v>
      </c>
      <c r="I859" s="192" t="str">
        <f>IFERROR(__xludf.DUMMYFUNCTION("""COMPUTED_VALUE"""),"abhishek.gupta@zupee.in: - Technology")</f>
        <v>abhishek.gupta@zupee.in: - Technology</v>
      </c>
      <c r="J859" s="19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92"/>
      <c r="B860" s="192"/>
      <c r="C860" s="192"/>
      <c r="D860" s="192"/>
      <c r="E860" s="192"/>
      <c r="F860" s="192"/>
      <c r="G860" s="192" t="str">
        <f>IFERROR(__xludf.DUMMYFUNCTION("""COMPUTED_VALUE"""),"Aman Kumar")</f>
        <v>Aman Kumar</v>
      </c>
      <c r="H860" s="192" t="str">
        <f>IFERROR(__xludf.DUMMYFUNCTION("""COMPUTED_VALUE"""),"aman.k@zupee.in")</f>
        <v>aman.k@zupee.in</v>
      </c>
      <c r="I860" s="192" t="str">
        <f>IFERROR(__xludf.DUMMYFUNCTION("""COMPUTED_VALUE"""),"aman.g@zupee.in: - Technology")</f>
        <v>aman.g@zupee.in: - Technology</v>
      </c>
      <c r="J860" s="19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92"/>
      <c r="B861" s="192"/>
      <c r="C861" s="192"/>
      <c r="D861" s="192"/>
      <c r="E861" s="192"/>
      <c r="F861" s="192"/>
      <c r="G861" s="192" t="str">
        <f>IFERROR(__xludf.DUMMYFUNCTION("""COMPUTED_VALUE"""),"Divya Koundal")</f>
        <v>Divya Koundal</v>
      </c>
      <c r="H861" s="192" t="str">
        <f>IFERROR(__xludf.DUMMYFUNCTION("""COMPUTED_VALUE"""),"divya.koundal@zupee.in")</f>
        <v>divya.koundal@zupee.in</v>
      </c>
      <c r="I861" s="192" t="str">
        <f>IFERROR(__xludf.DUMMYFUNCTION("""COMPUTED_VALUE"""),"vishal.agarwal@zupee.in: - Technology")</f>
        <v>vishal.agarwal@zupee.in: - Technology</v>
      </c>
      <c r="J861" s="19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92"/>
      <c r="B862" s="192"/>
      <c r="C862" s="192"/>
      <c r="D862" s="192"/>
      <c r="E862" s="192"/>
      <c r="F862" s="192"/>
      <c r="G862" s="192" t="str">
        <f>IFERROR(__xludf.DUMMYFUNCTION("""COMPUTED_VALUE"""),"Deepak Khandelwal")</f>
        <v>Deepak Khandelwal</v>
      </c>
      <c r="H862" s="192" t="str">
        <f>IFERROR(__xludf.DUMMYFUNCTION("""COMPUTED_VALUE"""),"deepak.khandelwal@zupee.in")</f>
        <v>deepak.khandelwal@zupee.in</v>
      </c>
      <c r="I862" s="192" t="str">
        <f>IFERROR(__xludf.DUMMYFUNCTION("""COMPUTED_VALUE"""),"anshul.mittal@zupee.in: - Technology")</f>
        <v>anshul.mittal@zupee.in: - Technology</v>
      </c>
      <c r="J862" s="19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92"/>
      <c r="B863" s="192"/>
      <c r="C863" s="192"/>
      <c r="D863" s="192"/>
      <c r="E863" s="192"/>
      <c r="F863" s="192"/>
      <c r="G863" s="192" t="str">
        <f>IFERROR(__xludf.DUMMYFUNCTION("""COMPUTED_VALUE"""),"Amit Shukracharya Sutar")</f>
        <v>Amit Shukracharya Sutar</v>
      </c>
      <c r="H863" s="192" t="str">
        <f>IFERROR(__xludf.DUMMYFUNCTION("""COMPUTED_VALUE"""),"amit.sutar@zupee.in")</f>
        <v>amit.sutar@zupee.in</v>
      </c>
      <c r="I863" s="192" t="str">
        <f>IFERROR(__xludf.DUMMYFUNCTION("""COMPUTED_VALUE"""),"aarti.luthra@zupee.in: - Product Design")</f>
        <v>aarti.luthra@zupee.in: - Product Design</v>
      </c>
      <c r="J863" s="19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92"/>
      <c r="B864" s="192"/>
      <c r="C864" s="192"/>
      <c r="D864" s="192"/>
      <c r="E864" s="192"/>
      <c r="F864" s="192"/>
      <c r="G864" s="192" t="str">
        <f>IFERROR(__xludf.DUMMYFUNCTION("""COMPUTED_VALUE"""),"Vishal Kapoor")</f>
        <v>Vishal Kapoor</v>
      </c>
      <c r="H864" s="192" t="str">
        <f>IFERROR(__xludf.DUMMYFUNCTION("""COMPUTED_VALUE"""),"vishal.kapoor@zupee.in")</f>
        <v>vishal.kapoor@zupee.in</v>
      </c>
      <c r="I864" s="192" t="str">
        <f>IFERROR(__xludf.DUMMYFUNCTION("""COMPUTED_VALUE"""),"deepak.khandelwal@zupee.in: - Technology")</f>
        <v>deepak.khandelwal@zupee.in: - Technology</v>
      </c>
      <c r="J864" s="19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92"/>
      <c r="B865" s="192"/>
      <c r="C865" s="192"/>
      <c r="D865" s="192"/>
      <c r="E865" s="192"/>
      <c r="F865" s="192"/>
      <c r="G865" s="192" t="str">
        <f>IFERROR(__xludf.DUMMYFUNCTION("""COMPUTED_VALUE"""),"User Research")</f>
        <v>User Research</v>
      </c>
      <c r="H865" s="192" t="str">
        <f>IFERROR(__xludf.DUMMYFUNCTION("""COMPUTED_VALUE"""),"research@zupee.in")</f>
        <v>research@zupee.in</v>
      </c>
      <c r="I865" s="192" t="str">
        <f>IFERROR(__xludf.DUMMYFUNCTION("""COMPUTED_VALUE"""),"akanksha.dhamija@zupee.in: - strategy")</f>
        <v>akanksha.dhamija@zupee.in: - strategy</v>
      </c>
      <c r="J865" s="19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92"/>
      <c r="B866" s="192"/>
      <c r="C866" s="192"/>
      <c r="D866" s="192"/>
      <c r="E866" s="192"/>
      <c r="F866" s="192"/>
      <c r="G866" s="192" t="str">
        <f>IFERROR(__xludf.DUMMYFUNCTION("""COMPUTED_VALUE"""),"Lekhika Dhariyal")</f>
        <v>Lekhika Dhariyal</v>
      </c>
      <c r="H866" s="192" t="str">
        <f>IFERROR(__xludf.DUMMYFUNCTION("""COMPUTED_VALUE"""),"lekhika.dhariyal@zupee.in")</f>
        <v>lekhika.dhariyal@zupee.in</v>
      </c>
      <c r="I866" s="192" t="str">
        <f>IFERROR(__xludf.DUMMYFUNCTION("""COMPUTED_VALUE"""),"nishant.jaiswal@zupee.in: - Digital Marketing")</f>
        <v>nishant.jaiswal@zupee.in: - Digital Marketing</v>
      </c>
      <c r="J866" s="19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92"/>
      <c r="B867" s="192"/>
      <c r="C867" s="192"/>
      <c r="D867" s="192"/>
      <c r="E867" s="192"/>
      <c r="F867" s="192"/>
      <c r="G867" s="192" t="str">
        <f>IFERROR(__xludf.DUMMYFUNCTION("""COMPUTED_VALUE"""),"Sachin Sharma")</f>
        <v>Sachin Sharma</v>
      </c>
      <c r="H867" s="192" t="str">
        <f>IFERROR(__xludf.DUMMYFUNCTION("""COMPUTED_VALUE"""),"sachin.sharma@zupee.in")</f>
        <v>sachin.sharma@zupee.in</v>
      </c>
      <c r="I867" s="192" t="str">
        <f>IFERROR(__xludf.DUMMYFUNCTION("""COMPUTED_VALUE"""),"anish.abraham@zupee.in: - Product Design")</f>
        <v>anish.abraham@zupee.in: - Product Design</v>
      </c>
      <c r="J867" s="19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92"/>
      <c r="B868" s="192"/>
      <c r="C868" s="192"/>
      <c r="D868" s="192"/>
      <c r="E868" s="192"/>
      <c r="F868" s="192"/>
      <c r="G868" s="192" t="str">
        <f>IFERROR(__xludf.DUMMYFUNCTION("""COMPUTED_VALUE"""),"Divya Khare")</f>
        <v>Divya Khare</v>
      </c>
      <c r="H868" s="192" t="str">
        <f>IFERROR(__xludf.DUMMYFUNCTION("""COMPUTED_VALUE"""),"divya.khare@zupee.in")</f>
        <v>divya.khare@zupee.in</v>
      </c>
      <c r="I868" s="192" t="str">
        <f>IFERROR(__xludf.DUMMYFUNCTION("""COMPUTED_VALUE"""),"sumit.yadav@zupee.in: - Customer Experience")</f>
        <v>sumit.yadav@zupee.in: - Customer Experience</v>
      </c>
      <c r="J868" s="19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92"/>
      <c r="B869" s="192"/>
      <c r="C869" s="192"/>
      <c r="D869" s="192"/>
      <c r="E869" s="192"/>
      <c r="F869" s="192"/>
      <c r="G869" s="192" t="str">
        <f>IFERROR(__xludf.DUMMYFUNCTION("""COMPUTED_VALUE"""),"Hitesh Vats")</f>
        <v>Hitesh Vats</v>
      </c>
      <c r="H869" s="192" t="str">
        <f>IFERROR(__xludf.DUMMYFUNCTION("""COMPUTED_VALUE"""),"hitesh.vats@zupee.in")</f>
        <v>hitesh.vats@zupee.in</v>
      </c>
      <c r="I869" s="192" t="str">
        <f>IFERROR(__xludf.DUMMYFUNCTION("""COMPUTED_VALUE"""),"ankit.maheshwari@zupee.in: - Finance")</f>
        <v>ankit.maheshwari@zupee.in: - Finance</v>
      </c>
      <c r="J869" s="19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92"/>
      <c r="B870" s="192"/>
      <c r="C870" s="192"/>
      <c r="D870" s="192"/>
      <c r="E870" s="192"/>
      <c r="F870" s="192"/>
      <c r="G870" s="192" t="str">
        <f>IFERROR(__xludf.DUMMYFUNCTION("""COMPUTED_VALUE"""),"Annu Nirmal")</f>
        <v>Annu Nirmal</v>
      </c>
      <c r="H870" s="192" t="str">
        <f>IFERROR(__xludf.DUMMYFUNCTION("""COMPUTED_VALUE"""),"annu.nirmal@zupee.in")</f>
        <v>annu.nirmal@zupee.in</v>
      </c>
      <c r="I870" s="192" t="str">
        <f>IFERROR(__xludf.DUMMYFUNCTION("""COMPUTED_VALUE"""),"anshul.mittal@zupee.in: - Technology")</f>
        <v>anshul.mittal@zupee.in: - Technology</v>
      </c>
      <c r="J870" s="19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92"/>
      <c r="B871" s="192"/>
      <c r="C871" s="192"/>
      <c r="D871" s="192"/>
      <c r="E871" s="192"/>
      <c r="F871" s="192"/>
      <c r="G871" s="192" t="str">
        <f>IFERROR(__xludf.DUMMYFUNCTION("""COMPUTED_VALUE"""),"Kritika Kapoor")</f>
        <v>Kritika Kapoor</v>
      </c>
      <c r="H871" s="192" t="str">
        <f>IFERROR(__xludf.DUMMYFUNCTION("""COMPUTED_VALUE"""),"kritika.kapoor@zupee.in")</f>
        <v>kritika.kapoor@zupee.in</v>
      </c>
      <c r="I871" s="192" t="str">
        <f>IFERROR(__xludf.DUMMYFUNCTION("""COMPUTED_VALUE"""),"vishal.agarwal@zupee.in: - Technology")</f>
        <v>vishal.agarwal@zupee.in: - Technology</v>
      </c>
      <c r="J871" s="19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92"/>
      <c r="B872" s="192"/>
      <c r="C872" s="192"/>
      <c r="D872" s="192"/>
      <c r="E872" s="192"/>
      <c r="F872" s="192"/>
      <c r="G872" s="192" t="str">
        <f>IFERROR(__xludf.DUMMYFUNCTION("""COMPUTED_VALUE"""),"Nikhil Kumar Gupta")</f>
        <v>Nikhil Kumar Gupta</v>
      </c>
      <c r="H872" s="192" t="str">
        <f>IFERROR(__xludf.DUMMYFUNCTION("""COMPUTED_VALUE"""),"nikhil.gupta@zupee.in")</f>
        <v>nikhil.gupta@zupee.in</v>
      </c>
      <c r="I872" s="192" t="str">
        <f>IFERROR(__xludf.DUMMYFUNCTION("""COMPUTED_VALUE"""),"saurav.yadav@zupee.in: - Technology")</f>
        <v>saurav.yadav@zupee.in: - Technology</v>
      </c>
      <c r="J872" s="19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92"/>
      <c r="B873" s="192"/>
      <c r="C873" s="192"/>
      <c r="D873" s="192"/>
      <c r="E873" s="192"/>
      <c r="F873" s="192"/>
      <c r="G873" s="192" t="str">
        <f>IFERROR(__xludf.DUMMYFUNCTION("""COMPUTED_VALUE"""),"Prashant Kumar")</f>
        <v>Prashant Kumar</v>
      </c>
      <c r="H873" s="192" t="str">
        <f>IFERROR(__xludf.DUMMYFUNCTION("""COMPUTED_VALUE"""),"prashant.kumar@zupee.in")</f>
        <v>prashant.kumar@zupee.in</v>
      </c>
      <c r="I873" s="192" t="str">
        <f>IFERROR(__xludf.DUMMYFUNCTION("""COMPUTED_VALUE"""),"saurabh.khurana@zupee.in: - Data")</f>
        <v>saurabh.khurana@zupee.in: - Data</v>
      </c>
      <c r="J873" s="19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92"/>
      <c r="B874" s="192"/>
      <c r="C874" s="192"/>
      <c r="D874" s="192"/>
      <c r="E874" s="192"/>
      <c r="F874" s="192"/>
      <c r="G874" s="192" t="str">
        <f>IFERROR(__xludf.DUMMYFUNCTION("""COMPUTED_VALUE"""),"Harsha Ratnam")</f>
        <v>Harsha Ratnam</v>
      </c>
      <c r="H874" s="192" t="str">
        <f>IFERROR(__xludf.DUMMYFUNCTION("""COMPUTED_VALUE"""),"harsha.ratnam@zupee.in")</f>
        <v>harsha.ratnam@zupee.in</v>
      </c>
      <c r="I874" s="192" t="str">
        <f>IFERROR(__xludf.DUMMYFUNCTION("""COMPUTED_VALUE"""),"katha.tara@zupee.in: - Brand Marketing")</f>
        <v>katha.tara@zupee.in: - Brand Marketing</v>
      </c>
      <c r="J874" s="19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92"/>
      <c r="B875" s="192"/>
      <c r="C875" s="192"/>
      <c r="D875" s="192"/>
      <c r="E875" s="192"/>
      <c r="F875" s="192"/>
      <c r="G875" s="192" t="str">
        <f>IFERROR(__xludf.DUMMYFUNCTION("""COMPUTED_VALUE"""),"Nitesh Vijay")</f>
        <v>Nitesh Vijay</v>
      </c>
      <c r="H875" s="192" t="str">
        <f>IFERROR(__xludf.DUMMYFUNCTION("""COMPUTED_VALUE"""),"nitesh.vijay@zupee.in")</f>
        <v>nitesh.vijay@zupee.in</v>
      </c>
      <c r="I875" s="192" t="str">
        <f>IFERROR(__xludf.DUMMYFUNCTION("""COMPUTED_VALUE"""),"sairam.mushyam@zupee.in: - Data")</f>
        <v>sairam.mushyam@zupee.in: - Data</v>
      </c>
      <c r="J875" s="19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92"/>
      <c r="B876" s="192"/>
      <c r="C876" s="192"/>
      <c r="D876" s="192"/>
      <c r="E876" s="192"/>
      <c r="F876" s="192"/>
      <c r="G876" s="192" t="str">
        <f>IFERROR(__xludf.DUMMYFUNCTION("""COMPUTED_VALUE"""),"Saksham Aneja")</f>
        <v>Saksham Aneja</v>
      </c>
      <c r="H876" s="192" t="str">
        <f>IFERROR(__xludf.DUMMYFUNCTION("""COMPUTED_VALUE"""),"saksham.aneja@zupee.in")</f>
        <v>saksham.aneja@zupee.in</v>
      </c>
      <c r="I876" s="192" t="str">
        <f>IFERROR(__xludf.DUMMYFUNCTION("""COMPUTED_VALUE"""),"sahil.puri@zupee.in: - Technology")</f>
        <v>sahil.puri@zupee.in: - Technology</v>
      </c>
      <c r="J876" s="19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92"/>
      <c r="B877" s="192"/>
      <c r="C877" s="192"/>
      <c r="D877" s="192"/>
      <c r="E877" s="192"/>
      <c r="F877" s="192"/>
      <c r="G877" s="192" t="str">
        <f>IFERROR(__xludf.DUMMYFUNCTION("""COMPUTED_VALUE"""),"Vijay Singh")</f>
        <v>Vijay Singh</v>
      </c>
      <c r="H877" s="192" t="str">
        <f>IFERROR(__xludf.DUMMYFUNCTION("""COMPUTED_VALUE"""),"vijay.singh@zupee.in")</f>
        <v>vijay.singh@zupee.in</v>
      </c>
      <c r="I877" s="192" t="str">
        <f>IFERROR(__xludf.DUMMYFUNCTION("""COMPUTED_VALUE"""),"govind.mittal@zupee.in: - Administration")</f>
        <v>govind.mittal@zupee.in: - Administration</v>
      </c>
      <c r="J877" s="19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92"/>
      <c r="B878" s="192"/>
      <c r="C878" s="192"/>
      <c r="D878" s="192"/>
      <c r="E878" s="192"/>
      <c r="F878" s="192"/>
      <c r="G878" s="192" t="str">
        <f>IFERROR(__xludf.DUMMYFUNCTION("""COMPUTED_VALUE"""),"Fresh Desk")</f>
        <v>Fresh Desk</v>
      </c>
      <c r="H878" s="192" t="str">
        <f>IFERROR(__xludf.DUMMYFUNCTION("""COMPUTED_VALUE"""),"freshdesk@zupee.in")</f>
        <v>freshdesk@zupee.in</v>
      </c>
      <c r="I878" s="192" t="str">
        <f>IFERROR(__xludf.DUMMYFUNCTION("""COMPUTED_VALUE"""),"shwetank.anand@zupee.in: - Data")</f>
        <v>shwetank.anand@zupee.in: - Data</v>
      </c>
      <c r="J878" s="19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92"/>
      <c r="B879" s="192"/>
      <c r="C879" s="192"/>
      <c r="D879" s="192"/>
      <c r="E879" s="192"/>
      <c r="F879" s="192"/>
      <c r="G879" s="192" t="str">
        <f>IFERROR(__xludf.DUMMYFUNCTION("""COMPUTED_VALUE"""),"Shreya Dwivedi")</f>
        <v>Shreya Dwivedi</v>
      </c>
      <c r="H879" s="192" t="str">
        <f>IFERROR(__xludf.DUMMYFUNCTION("""COMPUTED_VALUE"""),"shreya.dwivedi@zupee.in")</f>
        <v>shreya.dwivedi@zupee.in</v>
      </c>
      <c r="I879" s="192" t="str">
        <f>IFERROR(__xludf.DUMMYFUNCTION("""COMPUTED_VALUE"""),"aarti.luthra@zupee.in: - Product Design")</f>
        <v>aarti.luthra@zupee.in: - Product Design</v>
      </c>
      <c r="J879" s="19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92"/>
      <c r="B880" s="192"/>
      <c r="C880" s="192"/>
      <c r="D880" s="192"/>
      <c r="E880" s="192"/>
      <c r="F880" s="192"/>
      <c r="G880" s="192" t="str">
        <f>IFERROR(__xludf.DUMMYFUNCTION("""COMPUTED_VALUE"""),"Zupee Support")</f>
        <v>Zupee Support</v>
      </c>
      <c r="H880" s="192" t="str">
        <f>IFERROR(__xludf.DUMMYFUNCTION("""COMPUTED_VALUE"""),"care@zupee.in")</f>
        <v>care@zupee.in</v>
      </c>
      <c r="I880" s="192" t="str">
        <f>IFERROR(__xludf.DUMMYFUNCTION("""COMPUTED_VALUE"""),"sumit.yadav@zupee.in: - Customer Experience")</f>
        <v>sumit.yadav@zupee.in: - Customer Experience</v>
      </c>
      <c r="J880" s="19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92"/>
      <c r="B881" s="192"/>
      <c r="C881" s="192"/>
      <c r="D881" s="192"/>
      <c r="E881" s="192"/>
      <c r="F881" s="192"/>
      <c r="G881" s="192" t="str">
        <f>IFERROR(__xludf.DUMMYFUNCTION("""COMPUTED_VALUE"""),"Himanshu Barsiwal")</f>
        <v>Himanshu Barsiwal</v>
      </c>
      <c r="H881" s="192" t="str">
        <f>IFERROR(__xludf.DUMMYFUNCTION("""COMPUTED_VALUE"""),"himanshu.barsiwal@zupee.in")</f>
        <v>himanshu.barsiwal@zupee.in</v>
      </c>
      <c r="I881" s="192" t="str">
        <f>IFERROR(__xludf.DUMMYFUNCTION("""COMPUTED_VALUE"""),"payal.katoch@zupee.in: - Technology")</f>
        <v>payal.katoch@zupee.in: - Technology</v>
      </c>
      <c r="J881" s="19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92"/>
      <c r="B882" s="192"/>
      <c r="C882" s="192"/>
      <c r="D882" s="192"/>
      <c r="E882" s="192"/>
      <c r="F882" s="192"/>
      <c r="G882" s="192" t="str">
        <f>IFERROR(__xludf.DUMMYFUNCTION("""COMPUTED_VALUE"""),"Nodal Helpdesk")</f>
        <v>Nodal Helpdesk</v>
      </c>
      <c r="H882" s="192" t="str">
        <f>IFERROR(__xludf.DUMMYFUNCTION("""COMPUTED_VALUE"""),"nodal.helpdesk@zupee.in")</f>
        <v>nodal.helpdesk@zupee.in</v>
      </c>
      <c r="I882" s="192" t="str">
        <f>IFERROR(__xludf.DUMMYFUNCTION("""COMPUTED_VALUE"""),"shobhit.nanda@zupee.in: - Legal")</f>
        <v>shobhit.nanda@zupee.in: - Legal</v>
      </c>
      <c r="J882" s="19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92"/>
      <c r="B883" s="192"/>
      <c r="C883" s="192"/>
      <c r="D883" s="192"/>
      <c r="E883" s="192"/>
      <c r="F883" s="192"/>
      <c r="G883" s="192" t="str">
        <f>IFERROR(__xludf.DUMMYFUNCTION("""COMPUTED_VALUE"""),"A Rushyant Reddy")</f>
        <v>A Rushyant Reddy</v>
      </c>
      <c r="H883" s="192" t="str">
        <f>IFERROR(__xludf.DUMMYFUNCTION("""COMPUTED_VALUE"""),"a.reddy@zupee.in")</f>
        <v>a.reddy@zupee.in</v>
      </c>
      <c r="I883" s="192" t="str">
        <f>IFERROR(__xludf.DUMMYFUNCTION("""COMPUTED_VALUE"""),"deep.dwivedi@zupee.in: - Data")</f>
        <v>deep.dwivedi@zupee.in: - Data</v>
      </c>
      <c r="J883" s="19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92"/>
      <c r="B884" s="192"/>
      <c r="C884" s="192"/>
      <c r="D884" s="192"/>
      <c r="E884" s="192"/>
      <c r="F884" s="192"/>
      <c r="G884" s="192" t="str">
        <f>IFERROR(__xludf.DUMMYFUNCTION("""COMPUTED_VALUE"""),"Ishu Sharma")</f>
        <v>Ishu Sharma</v>
      </c>
      <c r="H884" s="192" t="str">
        <f>IFERROR(__xludf.DUMMYFUNCTION("""COMPUTED_VALUE"""),"ishu.sharma@zupee.in")</f>
        <v>ishu.sharma@zupee.in</v>
      </c>
      <c r="I884" s="192" t="str">
        <f>IFERROR(__xludf.DUMMYFUNCTION("""COMPUTED_VALUE"""),"anish.abraham@zupee.in: - Product Design")</f>
        <v>anish.abraham@zupee.in: - Product Design</v>
      </c>
      <c r="J884" s="19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92"/>
      <c r="B885" s="192"/>
      <c r="C885" s="192"/>
      <c r="D885" s="192"/>
      <c r="E885" s="192"/>
      <c r="F885" s="192"/>
      <c r="G885" s="192" t="str">
        <f>IFERROR(__xludf.DUMMYFUNCTION("""COMPUTED_VALUE"""),"Vamsidhar Yeddu")</f>
        <v>Vamsidhar Yeddu</v>
      </c>
      <c r="H885" s="192" t="str">
        <f>IFERROR(__xludf.DUMMYFUNCTION("""COMPUTED_VALUE"""),"vamsidhar.yeddu@zupee.in")</f>
        <v>vamsidhar.yeddu@zupee.in</v>
      </c>
      <c r="I885" s="192" t="str">
        <f>IFERROR(__xludf.DUMMYFUNCTION("""COMPUTED_VALUE"""),"ranjeet.kumar@zupee.in: - Technology")</f>
        <v>ranjeet.kumar@zupee.in: - Technology</v>
      </c>
      <c r="J885" s="19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92"/>
      <c r="B886" s="192"/>
      <c r="C886" s="192"/>
      <c r="D886" s="192"/>
      <c r="E886" s="192"/>
      <c r="F886" s="192"/>
      <c r="G886" s="192" t="str">
        <f>IFERROR(__xludf.DUMMYFUNCTION("""COMPUTED_VALUE"""),"Zupee Secretarial")</f>
        <v>Zupee Secretarial</v>
      </c>
      <c r="H886" s="192" t="str">
        <f>IFERROR(__xludf.DUMMYFUNCTION("""COMPUTED_VALUE"""),"cs@zupee.in")</f>
        <v>cs@zupee.in</v>
      </c>
      <c r="I886" s="192" t="str">
        <f>IFERROR(__xludf.DUMMYFUNCTION("""COMPUTED_VALUE"""),"govind.mittal@zupee.in: - Founder's Office")</f>
        <v>govind.mittal@zupee.in: - Founder's Office</v>
      </c>
      <c r="J886" s="19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92"/>
      <c r="B887" s="192"/>
      <c r="C887" s="192"/>
      <c r="D887" s="192"/>
      <c r="E887" s="192"/>
      <c r="F887" s="192"/>
      <c r="G887" s="192" t="str">
        <f>IFERROR(__xludf.DUMMYFUNCTION("""COMPUTED_VALUE"""),"It Services")</f>
        <v>It Services</v>
      </c>
      <c r="H887" s="192" t="str">
        <f>IFERROR(__xludf.DUMMYFUNCTION("""COMPUTED_VALUE"""),"itservices@zupee.in")</f>
        <v>itservices@zupee.in</v>
      </c>
      <c r="I887" s="192" t="str">
        <f>IFERROR(__xludf.DUMMYFUNCTION("""COMPUTED_VALUE"""),"naveen.k@zupee.in: - IT Infra")</f>
        <v>naveen.k@zupee.in: - IT Infra</v>
      </c>
      <c r="J887" s="19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92"/>
      <c r="B888" s="192"/>
      <c r="C888" s="192"/>
      <c r="D888" s="192"/>
      <c r="E888" s="192"/>
      <c r="F888" s="192"/>
      <c r="G888" s="192" t="str">
        <f>IFERROR(__xludf.DUMMYFUNCTION("""COMPUTED_VALUE"""),"Ramit Arora")</f>
        <v>Ramit Arora</v>
      </c>
      <c r="H888" s="192" t="str">
        <f>IFERROR(__xludf.DUMMYFUNCTION("""COMPUTED_VALUE"""),"ramit.arora@zupee.in")</f>
        <v>ramit.arora@zupee.in</v>
      </c>
      <c r="I888" s="192" t="str">
        <f>IFERROR(__xludf.DUMMYFUNCTION("""COMPUTED_VALUE"""),"dilsher.malhi@zupee.in: - Org")</f>
        <v>dilsher.malhi@zupee.in: - Org</v>
      </c>
      <c r="J888" s="19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92"/>
      <c r="B889" s="192"/>
      <c r="C889" s="192"/>
      <c r="D889" s="192"/>
      <c r="E889" s="192"/>
      <c r="F889" s="192"/>
      <c r="G889" s="192" t="str">
        <f>IFERROR(__xludf.DUMMYFUNCTION("""COMPUTED_VALUE"""),"Payal Katoch")</f>
        <v>Payal Katoch</v>
      </c>
      <c r="H889" s="192" t="str">
        <f>IFERROR(__xludf.DUMMYFUNCTION("""COMPUTED_VALUE"""),"payal.katoch@zupee.in")</f>
        <v>payal.katoch@zupee.in</v>
      </c>
      <c r="I889" s="192" t="str">
        <f>IFERROR(__xludf.DUMMYFUNCTION("""COMPUTED_VALUE"""),"vishal.agarwal@zupee.in: - Technology")</f>
        <v>vishal.agarwal@zupee.in: - Technology</v>
      </c>
      <c r="J889" s="19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92"/>
      <c r="B890" s="192"/>
      <c r="C890" s="192"/>
      <c r="D890" s="192"/>
      <c r="E890" s="192"/>
      <c r="F890" s="192"/>
      <c r="G890" s="192" t="str">
        <f>IFERROR(__xludf.DUMMYFUNCTION("""COMPUTED_VALUE"""),"Aman Gupta")</f>
        <v>Aman Gupta</v>
      </c>
      <c r="H890" s="192" t="str">
        <f>IFERROR(__xludf.DUMMYFUNCTION("""COMPUTED_VALUE"""),"aman.g@zupee.in")</f>
        <v>aman.g@zupee.in</v>
      </c>
      <c r="I890" s="192" t="str">
        <f>IFERROR(__xludf.DUMMYFUNCTION("""COMPUTED_VALUE"""),"abhishek.gupta@zupee.in: - Technology")</f>
        <v>abhishek.gupta@zupee.in: - Technology</v>
      </c>
      <c r="J890" s="19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92"/>
      <c r="B891" s="192"/>
      <c r="C891" s="192"/>
      <c r="D891" s="192"/>
      <c r="E891" s="192"/>
      <c r="F891" s="192"/>
      <c r="G891" s="192" t="str">
        <f>IFERROR(__xludf.DUMMYFUNCTION("""COMPUTED_VALUE"""),"Posh Team")</f>
        <v>Posh Team</v>
      </c>
      <c r="H891" s="192" t="str">
        <f>IFERROR(__xludf.DUMMYFUNCTION("""COMPUTED_VALUE"""),"posh@zupee.in")</f>
        <v>posh@zupee.in</v>
      </c>
      <c r="I891" s="192" t="str">
        <f>IFERROR(__xludf.DUMMYFUNCTION("""COMPUTED_VALUE"""),"sushil.patel@zupee.in: - Human Resources")</f>
        <v>sushil.patel@zupee.in: - Human Resources</v>
      </c>
      <c r="J891" s="19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92"/>
      <c r="B892" s="192"/>
      <c r="C892" s="192"/>
      <c r="D892" s="192"/>
      <c r="E892" s="192"/>
      <c r="F892" s="192"/>
      <c r="G892" s="192" t="str">
        <f>IFERROR(__xludf.DUMMYFUNCTION("""COMPUTED_VALUE"""),"Ananya Apurva")</f>
        <v>Ananya Apurva</v>
      </c>
      <c r="H892" s="192" t="str">
        <f>IFERROR(__xludf.DUMMYFUNCTION("""COMPUTED_VALUE"""),"ananya.apurva@zupee.in")</f>
        <v>ananya.apurva@zupee.in</v>
      </c>
      <c r="I892" s="192" t="str">
        <f>IFERROR(__xludf.DUMMYFUNCTION("""COMPUTED_VALUE"""),"bishan.bhadra@zupee.in: - Data")</f>
        <v>bishan.bhadra@zupee.in: - Data</v>
      </c>
      <c r="J892" s="19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92"/>
      <c r="B893" s="192"/>
      <c r="C893" s="192"/>
      <c r="D893" s="192"/>
      <c r="E893" s="192"/>
      <c r="F893" s="192"/>
      <c r="G893" s="192" t="str">
        <f>IFERROR(__xludf.DUMMYFUNCTION("""COMPUTED_VALUE"""),"Ananya Apurva")</f>
        <v>Ananya Apurva</v>
      </c>
      <c r="H893" s="192" t="str">
        <f>IFERROR(__xludf.DUMMYFUNCTION("""COMPUTED_VALUE"""),"ananya.apurva@zupee.in")</f>
        <v>ananya.apurva@zupee.in</v>
      </c>
      <c r="I893" s="192" t="str">
        <f>IFERROR(__xludf.DUMMYFUNCTION("""COMPUTED_VALUE"""),"bishan.bhadra@zupee.in: - Data")</f>
        <v>bishan.bhadra@zupee.in: - Data</v>
      </c>
      <c r="J893" s="19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92"/>
      <c r="B894" s="192"/>
      <c r="C894" s="192"/>
      <c r="D894" s="192"/>
      <c r="E894" s="192"/>
      <c r="F894" s="192"/>
      <c r="G894" s="192" t="str">
        <f>IFERROR(__xludf.DUMMYFUNCTION("""COMPUTED_VALUE"""),"Harshitaa Prakash")</f>
        <v>Harshitaa Prakash</v>
      </c>
      <c r="H894" s="192" t="str">
        <f>IFERROR(__xludf.DUMMYFUNCTION("""COMPUTED_VALUE"""),"harshitaa.prakash@zupee.in")</f>
        <v>harshitaa.prakash@zupee.in</v>
      </c>
      <c r="I894" s="192" t="str">
        <f>IFERROR(__xludf.DUMMYFUNCTION("""COMPUTED_VALUE"""),"arpita.latta@zupee.in: - Legal")</f>
        <v>arpita.latta@zupee.in: - Legal</v>
      </c>
      <c r="J894" s="19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92"/>
      <c r="B895" s="192"/>
      <c r="C895" s="192"/>
      <c r="D895" s="192"/>
      <c r="E895" s="192"/>
      <c r="F895" s="192"/>
      <c r="G895" s="192" t="str">
        <f>IFERROR(__xludf.DUMMYFUNCTION("""COMPUTED_VALUE"""),"Manoj Rane")</f>
        <v>Manoj Rane</v>
      </c>
      <c r="H895" s="192" t="str">
        <f>IFERROR(__xludf.DUMMYFUNCTION("""COMPUTED_VALUE"""),"manoj.rane@zupee.in")</f>
        <v>manoj.rane@zupee.in</v>
      </c>
      <c r="I895" s="192" t="str">
        <f>IFERROR(__xludf.DUMMYFUNCTION("""COMPUTED_VALUE"""),"katha.tara@zupee.in: - Brand Marketing")</f>
        <v>katha.tara@zupee.in: - Brand Marketing</v>
      </c>
      <c r="J895" s="19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92"/>
      <c r="B896" s="192"/>
      <c r="C896" s="192"/>
      <c r="D896" s="192"/>
      <c r="E896" s="192"/>
      <c r="F896" s="192"/>
      <c r="G896" s="192" t="str">
        <f>IFERROR(__xludf.DUMMYFUNCTION("""COMPUTED_VALUE"""),"Prashant Yadav")</f>
        <v>Prashant Yadav</v>
      </c>
      <c r="H896" s="192" t="str">
        <f>IFERROR(__xludf.DUMMYFUNCTION("""COMPUTED_VALUE"""),"prashant.yadav@zupee.in")</f>
        <v>prashant.yadav@zupee.in</v>
      </c>
      <c r="I896" s="192" t="str">
        <f>IFERROR(__xludf.DUMMYFUNCTION("""COMPUTED_VALUE"""),"sahil.puri@zupee.in: - Technology")</f>
        <v>sahil.puri@zupee.in: - Technology</v>
      </c>
      <c r="J896" s="19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92"/>
      <c r="B897" s="192"/>
      <c r="C897" s="192"/>
      <c r="D897" s="192"/>
      <c r="E897" s="192"/>
      <c r="F897" s="192"/>
      <c r="G897" s="192" t="str">
        <f>IFERROR(__xludf.DUMMYFUNCTION("""COMPUTED_VALUE"""),"Satyam Govila")</f>
        <v>Satyam Govila</v>
      </c>
      <c r="H897" s="192" t="str">
        <f>IFERROR(__xludf.DUMMYFUNCTION("""COMPUTED_VALUE"""),"satyam.govila@zupee.in")</f>
        <v>satyam.govila@zupee.in</v>
      </c>
      <c r="I897" s="192" t="str">
        <f>IFERROR(__xludf.DUMMYFUNCTION("""COMPUTED_VALUE"""),"aman.kumar@zupee.in: - Data")</f>
        <v>aman.kumar@zupee.in: - Data</v>
      </c>
      <c r="J897" s="19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92"/>
      <c r="B898" s="192"/>
      <c r="C898" s="192"/>
      <c r="D898" s="192"/>
      <c r="E898" s="192"/>
      <c r="F898" s="192"/>
      <c r="G898" s="192" t="str">
        <f>IFERROR(__xludf.DUMMYFUNCTION("""COMPUTED_VALUE"""),"IT Support")</f>
        <v>IT Support</v>
      </c>
      <c r="H898" s="192" t="str">
        <f>IFERROR(__xludf.DUMMYFUNCTION("""COMPUTED_VALUE"""),"itsupport@zupee.in")</f>
        <v>itsupport@zupee.in</v>
      </c>
      <c r="I898" s="192" t="str">
        <f>IFERROR(__xludf.DUMMYFUNCTION("""COMPUTED_VALUE"""),"naveen.k@zupee.in: - IT Infra")</f>
        <v>naveen.k@zupee.in: - IT Infra</v>
      </c>
      <c r="J898" s="19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92"/>
      <c r="B899" s="192"/>
      <c r="C899" s="192"/>
      <c r="D899" s="192"/>
      <c r="E899" s="192"/>
      <c r="F899" s="192"/>
      <c r="G899" s="192" t="str">
        <f>IFERROR(__xludf.DUMMYFUNCTION("""COMPUTED_VALUE"""),"Z People")</f>
        <v>Z People</v>
      </c>
      <c r="H899" s="192" t="str">
        <f>IFERROR(__xludf.DUMMYFUNCTION("""COMPUTED_VALUE"""),"people@zupee.in")</f>
        <v>people@zupee.in</v>
      </c>
      <c r="I899" s="192" t="str">
        <f>IFERROR(__xludf.DUMMYFUNCTION("""COMPUTED_VALUE"""),"vivek.jain@zupee.in: - Human Resources")</f>
        <v>vivek.jain@zupee.in: - Human Resources</v>
      </c>
      <c r="J899" s="19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92"/>
      <c r="B900" s="192"/>
      <c r="C900" s="192"/>
      <c r="D900" s="192"/>
      <c r="E900" s="192"/>
      <c r="F900" s="192"/>
      <c r="G900" s="192" t="str">
        <f>IFERROR(__xludf.DUMMYFUNCTION("""COMPUTED_VALUE"""),"Anish Joseph Abraham")</f>
        <v>Anish Joseph Abraham</v>
      </c>
      <c r="H900" s="192" t="str">
        <f>IFERROR(__xludf.DUMMYFUNCTION("""COMPUTED_VALUE"""),"anish.abraham@zupee.in")</f>
        <v>anish.abraham@zupee.in</v>
      </c>
      <c r="I900" s="192" t="str">
        <f>IFERROR(__xludf.DUMMYFUNCTION("""COMPUTED_VALUE"""),"naveen.kadyan@zupee.in: - Product Design")</f>
        <v>naveen.kadyan@zupee.in: - Product Design</v>
      </c>
      <c r="J900" s="19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92"/>
      <c r="B901" s="192"/>
      <c r="C901" s="192"/>
      <c r="D901" s="192"/>
      <c r="E901" s="192"/>
      <c r="F901" s="192"/>
      <c r="G901" s="192" t="str">
        <f>IFERROR(__xludf.DUMMYFUNCTION("""COMPUTED_VALUE"""),"Khushali Bagga")</f>
        <v>Khushali Bagga</v>
      </c>
      <c r="H901" s="192" t="str">
        <f>IFERROR(__xludf.DUMMYFUNCTION("""COMPUTED_VALUE"""),"khushali.bagga@zupee.in")</f>
        <v>khushali.bagga@zupee.in</v>
      </c>
      <c r="I901" s="192" t="str">
        <f>IFERROR(__xludf.DUMMYFUNCTION("""COMPUTED_VALUE"""),"katha.tara@zupee.in: - Brand Marketing")</f>
        <v>katha.tara@zupee.in: - Brand Marketing</v>
      </c>
      <c r="J901" s="19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92"/>
      <c r="B902" s="192"/>
      <c r="C902" s="192"/>
      <c r="D902" s="192"/>
      <c r="E902" s="192"/>
      <c r="F902" s="192"/>
      <c r="G902" s="192" t="str">
        <f>IFERROR(__xludf.DUMMYFUNCTION("""COMPUTED_VALUE"""),"Nandeshwar Gupta")</f>
        <v>Nandeshwar Gupta</v>
      </c>
      <c r="H902" s="192" t="str">
        <f>IFERROR(__xludf.DUMMYFUNCTION("""COMPUTED_VALUE"""),"nandeshwar.gupta@zupee.in")</f>
        <v>nandeshwar.gupta@zupee.in</v>
      </c>
      <c r="I902" s="192" t="str">
        <f>IFERROR(__xludf.DUMMYFUNCTION("""COMPUTED_VALUE"""),"sairam.mushyam@zupee.in: - Data")</f>
        <v>sairam.mushyam@zupee.in: - Data</v>
      </c>
      <c r="J902" s="19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92"/>
      <c r="B903" s="192"/>
      <c r="C903" s="192"/>
      <c r="D903" s="192"/>
      <c r="E903" s="192"/>
      <c r="F903" s="192"/>
      <c r="G903" s="192" t="str">
        <f>IFERROR(__xludf.DUMMYFUNCTION("""COMPUTED_VALUE"""),"Anshul Mittal")</f>
        <v>Anshul Mittal</v>
      </c>
      <c r="H903" s="192" t="str">
        <f>IFERROR(__xludf.DUMMYFUNCTION("""COMPUTED_VALUE"""),"anshul.mittal@zupee.in")</f>
        <v>anshul.mittal@zupee.in</v>
      </c>
      <c r="I903" s="192" t="str">
        <f>IFERROR(__xludf.DUMMYFUNCTION("""COMPUTED_VALUE"""),"abhishek.gupta@zupee.in: - Technology")</f>
        <v>abhishek.gupta@zupee.in: - Technology</v>
      </c>
      <c r="J903" s="19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92"/>
      <c r="B904" s="192"/>
      <c r="C904" s="192"/>
      <c r="D904" s="192"/>
      <c r="E904" s="192"/>
      <c r="F904" s="192"/>
      <c r="G904" s="192" t="str">
        <f>IFERROR(__xludf.DUMMYFUNCTION("""COMPUTED_VALUE"""),"Pratik Aswal")</f>
        <v>Pratik Aswal</v>
      </c>
      <c r="H904" s="192" t="str">
        <f>IFERROR(__xludf.DUMMYFUNCTION("""COMPUTED_VALUE"""),"pratik.aswal@zupee.in")</f>
        <v>pratik.aswal@zupee.in</v>
      </c>
      <c r="I904" s="192" t="str">
        <f>IFERROR(__xludf.DUMMYFUNCTION("""COMPUTED_VALUE"""),"khushali.bagga@zupee.in: - Brand Marketing")</f>
        <v>khushali.bagga@zupee.in: - Brand Marketing</v>
      </c>
      <c r="J904" s="19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92"/>
      <c r="B905" s="192"/>
      <c r="C905" s="192"/>
      <c r="D905" s="192"/>
      <c r="E905" s="192"/>
      <c r="F905" s="192"/>
      <c r="G905" s="192" t="str">
        <f>IFERROR(__xludf.DUMMYFUNCTION("""COMPUTED_VALUE"""),"Devagya Kumar")</f>
        <v>Devagya Kumar</v>
      </c>
      <c r="H905" s="192" t="str">
        <f>IFERROR(__xludf.DUMMYFUNCTION("""COMPUTED_VALUE"""),"devagya.kumar@zupee.in")</f>
        <v>devagya.kumar@zupee.in</v>
      </c>
      <c r="I905" s="192" t="str">
        <f>IFERROR(__xludf.DUMMYFUNCTION("""COMPUTED_VALUE"""),"naveen.kadyan@zupee.in: - Product")</f>
        <v>naveen.kadyan@zupee.in: - Product</v>
      </c>
      <c r="J905" s="19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92"/>
      <c r="B906" s="192"/>
      <c r="C906" s="192"/>
      <c r="D906" s="192"/>
      <c r="E906" s="192"/>
      <c r="F906" s="192"/>
      <c r="G906" s="192" t="str">
        <f>IFERROR(__xludf.DUMMYFUNCTION("""COMPUTED_VALUE"""),"Nikhil Kumar Jha")</f>
        <v>Nikhil Kumar Jha</v>
      </c>
      <c r="H906" s="192" t="str">
        <f>IFERROR(__xludf.DUMMYFUNCTION("""COMPUTED_VALUE"""),"nikhil.j@zupee.in")</f>
        <v>nikhil.j@zupee.in</v>
      </c>
      <c r="I906" s="192" t="str">
        <f>IFERROR(__xludf.DUMMYFUNCTION("""COMPUTED_VALUE"""),"nitesh.vijay@zupee.in: - Data")</f>
        <v>nitesh.vijay@zupee.in: - Data</v>
      </c>
      <c r="J906" s="19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92"/>
      <c r="B907" s="192"/>
      <c r="C907" s="192"/>
      <c r="D907" s="192"/>
      <c r="E907" s="192"/>
      <c r="F907" s="192"/>
      <c r="G907" s="192" t="str">
        <f>IFERROR(__xludf.DUMMYFUNCTION("""COMPUTED_VALUE"""),"Gyani Dass")</f>
        <v>Gyani Dass</v>
      </c>
      <c r="H907" s="192" t="str">
        <f>IFERROR(__xludf.DUMMYFUNCTION("""COMPUTED_VALUE"""),"gyani.dass@zupee.in")</f>
        <v>gyani.dass@zupee.in</v>
      </c>
      <c r="I907" s="192" t="str">
        <f>IFERROR(__xludf.DUMMYFUNCTION("""COMPUTED_VALUE"""),"divya.khare@zupee.in: - Customer Experience")</f>
        <v>divya.khare@zupee.in: - Customer Experience</v>
      </c>
      <c r="J907" s="19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92"/>
      <c r="B908" s="192"/>
      <c r="C908" s="192"/>
      <c r="D908" s="192"/>
      <c r="E908" s="192"/>
      <c r="F908" s="192"/>
      <c r="G908" s="192" t="str">
        <f>IFERROR(__xludf.DUMMYFUNCTION("""COMPUTED_VALUE"""),"Arpita Latta")</f>
        <v>Arpita Latta</v>
      </c>
      <c r="H908" s="192" t="str">
        <f>IFERROR(__xludf.DUMMYFUNCTION("""COMPUTED_VALUE"""),"arpita.latta@zupee.in")</f>
        <v>arpita.latta@zupee.in</v>
      </c>
      <c r="I908" s="192" t="str">
        <f>IFERROR(__xludf.DUMMYFUNCTION("""COMPUTED_VALUE"""),"thomas.phillippe@zupee.in: - Legal")</f>
        <v>thomas.phillippe@zupee.in: - Legal</v>
      </c>
      <c r="J908" s="19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92"/>
      <c r="B909" s="192"/>
      <c r="C909" s="192"/>
      <c r="D909" s="192"/>
      <c r="E909" s="192"/>
      <c r="F909" s="192"/>
      <c r="G909" s="192" t="str">
        <f>IFERROR(__xludf.DUMMYFUNCTION("""COMPUTED_VALUE"""),"CRM QA")</f>
        <v>CRM QA</v>
      </c>
      <c r="H909" s="192" t="str">
        <f>IFERROR(__xludf.DUMMYFUNCTION("""COMPUTED_VALUE"""),"crm-qa@zupee.in")</f>
        <v>crm-qa@zupee.in</v>
      </c>
      <c r="I909" s="192" t="str">
        <f>IFERROR(__xludf.DUMMYFUNCTION("""COMPUTED_VALUE"""),"shwetank.anand@zupee.in: - Data")</f>
        <v>shwetank.anand@zupee.in: - Data</v>
      </c>
      <c r="J909" s="19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92"/>
      <c r="B910" s="192"/>
      <c r="C910" s="192"/>
      <c r="D910" s="192"/>
      <c r="E910" s="192"/>
      <c r="F910" s="192"/>
      <c r="G910" s="192" t="str">
        <f>IFERROR(__xludf.DUMMYFUNCTION("""COMPUTED_VALUE"""),"Marcom Zupee")</f>
        <v>Marcom Zupee</v>
      </c>
      <c r="H910" s="192" t="str">
        <f>IFERROR(__xludf.DUMMYFUNCTION("""COMPUTED_VALUE"""),"marcom@zupee.in")</f>
        <v>marcom@zupee.in</v>
      </c>
      <c r="I910" s="192" t="str">
        <f>IFERROR(__xludf.DUMMYFUNCTION("""COMPUTED_VALUE"""),"katha.tara@zupee.in: - Brand Marketing")</f>
        <v>katha.tara@zupee.in: - Brand Marketing</v>
      </c>
      <c r="J910" s="19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92"/>
      <c r="B911" s="192"/>
      <c r="C911" s="192"/>
      <c r="D911" s="192"/>
      <c r="E911" s="192"/>
      <c r="F911" s="192"/>
      <c r="G911" s="192" t="str">
        <f>IFERROR(__xludf.DUMMYFUNCTION("""COMPUTED_VALUE"""),"Monika Yadav")</f>
        <v>Monika Yadav</v>
      </c>
      <c r="H911" s="192" t="str">
        <f>IFERROR(__xludf.DUMMYFUNCTION("""COMPUTED_VALUE"""),"monika.yadav@zupee.in")</f>
        <v>monika.yadav@zupee.in</v>
      </c>
      <c r="I911" s="192" t="str">
        <f>IFERROR(__xludf.DUMMYFUNCTION("""COMPUTED_VALUE"""),"saurav.yadav@zupee.in: - Technology")</f>
        <v>saurav.yadav@zupee.in: - Technology</v>
      </c>
      <c r="J911" s="19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92"/>
      <c r="B912" s="192"/>
      <c r="C912" s="192"/>
      <c r="D912" s="192"/>
      <c r="E912" s="192"/>
      <c r="F912" s="192"/>
      <c r="G912" s="192" t="str">
        <f>IFERROR(__xludf.DUMMYFUNCTION("""COMPUTED_VALUE"""),"Amarjeet Singh")</f>
        <v>Amarjeet Singh</v>
      </c>
      <c r="H912" s="192" t="str">
        <f>IFERROR(__xludf.DUMMYFUNCTION("""COMPUTED_VALUE"""),"amarjeet.singh@zupee.in")</f>
        <v>amarjeet.singh@zupee.in</v>
      </c>
      <c r="I912" s="192" t="str">
        <f>IFERROR(__xludf.DUMMYFUNCTION("""COMPUTED_VALUE"""),"aman.kumar@zupee.in: - Data")</f>
        <v>aman.kumar@zupee.in: - Data</v>
      </c>
      <c r="J912" s="19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92"/>
      <c r="B913" s="192"/>
      <c r="C913" s="192"/>
      <c r="D913" s="192"/>
      <c r="E913" s="192"/>
      <c r="F913" s="192"/>
      <c r="G913" s="192" t="str">
        <f>IFERROR(__xludf.DUMMYFUNCTION("""COMPUTED_VALUE"""),"Speakup @Zupee")</f>
        <v>Speakup @Zupee</v>
      </c>
      <c r="H913" s="192" t="str">
        <f>IFERROR(__xludf.DUMMYFUNCTION("""COMPUTED_VALUE"""),"speakup@zupee.in")</f>
        <v>speakup@zupee.in</v>
      </c>
      <c r="I913" s="192" t="str">
        <f>IFERROR(__xludf.DUMMYFUNCTION("""COMPUTED_VALUE"""),"sushil.patel@zupee.in: - Human Resources")</f>
        <v>sushil.patel@zupee.in: - Human Resources</v>
      </c>
      <c r="J913" s="19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92"/>
      <c r="B914" s="192"/>
      <c r="C914" s="192"/>
      <c r="D914" s="192"/>
      <c r="E914" s="192"/>
      <c r="F914" s="192"/>
      <c r="G914" s="192" t="str">
        <f>IFERROR(__xludf.DUMMYFUNCTION("""COMPUTED_VALUE"""),"Astha Mishra")</f>
        <v>Astha Mishra</v>
      </c>
      <c r="H914" s="192" t="str">
        <f>IFERROR(__xludf.DUMMYFUNCTION("""COMPUTED_VALUE"""),"astha.mishra@zupee.in")</f>
        <v>astha.mishra@zupee.in</v>
      </c>
      <c r="I914" s="192" t="str">
        <f>IFERROR(__xludf.DUMMYFUNCTION("""COMPUTED_VALUE"""),"anuj.baghel@zupee.in: - Technology")</f>
        <v>anuj.baghel@zupee.in: - Technology</v>
      </c>
      <c r="J914" s="19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92"/>
      <c r="B915" s="192"/>
      <c r="C915" s="192"/>
      <c r="D915" s="192"/>
      <c r="E915" s="192"/>
      <c r="F915" s="192"/>
      <c r="G915" s="192" t="str">
        <f>IFERROR(__xludf.DUMMYFUNCTION("""COMPUTED_VALUE"""),"Yogesh Yadav")</f>
        <v>Yogesh Yadav</v>
      </c>
      <c r="H915" s="192" t="str">
        <f>IFERROR(__xludf.DUMMYFUNCTION("""COMPUTED_VALUE"""),"yogesh.yadav@zupee.in")</f>
        <v>yogesh.yadav@zupee.in</v>
      </c>
      <c r="I915" s="192" t="str">
        <f>IFERROR(__xludf.DUMMYFUNCTION("""COMPUTED_VALUE"""),"sahil.puri@zupee.in: - Technology")</f>
        <v>sahil.puri@zupee.in: - Technology</v>
      </c>
      <c r="J915" s="19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92"/>
      <c r="B916" s="192"/>
      <c r="C916" s="192"/>
      <c r="D916" s="192"/>
      <c r="E916" s="192"/>
      <c r="F916" s="192"/>
      <c r="G916" s="192" t="str">
        <f>IFERROR(__xludf.DUMMYFUNCTION("""COMPUTED_VALUE"""),"Maneesha Negi")</f>
        <v>Maneesha Negi</v>
      </c>
      <c r="H916" s="192" t="str">
        <f>IFERROR(__xludf.DUMMYFUNCTION("""COMPUTED_VALUE"""),"maneesha.negi@zupee.in")</f>
        <v>maneesha.negi@zupee.in</v>
      </c>
      <c r="I916" s="192" t="str">
        <f>IFERROR(__xludf.DUMMYFUNCTION("""COMPUTED_VALUE"""),"naveen.kadyan@zupee.in: - Product")</f>
        <v>naveen.kadyan@zupee.in: - Product</v>
      </c>
      <c r="J916" s="19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92"/>
      <c r="B917" s="192"/>
      <c r="C917" s="192"/>
      <c r="D917" s="192"/>
      <c r="E917" s="192"/>
      <c r="F917" s="192"/>
      <c r="G917" s="192" t="str">
        <f>IFERROR(__xludf.DUMMYFUNCTION("""COMPUTED_VALUE"""),"Shubham Singh")</f>
        <v>Shubham Singh</v>
      </c>
      <c r="H917" s="192" t="str">
        <f>IFERROR(__xludf.DUMMYFUNCTION("""COMPUTED_VALUE"""),"shubham.singh@zupee.in")</f>
        <v>shubham.singh@zupee.in</v>
      </c>
      <c r="I917" s="192" t="str">
        <f>IFERROR(__xludf.DUMMYFUNCTION("""COMPUTED_VALUE"""),"akanksha.dhamija@zupee.in: - Strategy")</f>
        <v>akanksha.dhamija@zupee.in: - Strategy</v>
      </c>
      <c r="J917" s="19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92"/>
      <c r="B918" s="192"/>
      <c r="C918" s="192"/>
      <c r="D918" s="192"/>
      <c r="E918" s="192"/>
      <c r="F918" s="192"/>
      <c r="G918" s="192" t="str">
        <f>IFERROR(__xludf.DUMMYFUNCTION("""COMPUTED_VALUE"""),"Harish Bahl")</f>
        <v>Harish Bahl</v>
      </c>
      <c r="H918" s="192" t="str">
        <f>IFERROR(__xludf.DUMMYFUNCTION("""COMPUTED_VALUE"""),"harish@zupee.in")</f>
        <v>harish@zupee.in</v>
      </c>
      <c r="I918" s="192" t="str">
        <f>IFERROR(__xludf.DUMMYFUNCTION("""COMPUTED_VALUE"""),"-: - Org")</f>
        <v>-: - Org</v>
      </c>
      <c r="J918" s="19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92"/>
      <c r="B919" s="192"/>
      <c r="C919" s="192"/>
      <c r="D919" s="192"/>
      <c r="E919" s="192"/>
      <c r="F919" s="192"/>
      <c r="G919" s="192" t="str">
        <f>IFERROR(__xludf.DUMMYFUNCTION("""COMPUTED_VALUE"""),"Dhruv Adlakha")</f>
        <v>Dhruv Adlakha</v>
      </c>
      <c r="H919" s="192" t="str">
        <f>IFERROR(__xludf.DUMMYFUNCTION("""COMPUTED_VALUE"""),"dhruv.adlakha@zupee.in")</f>
        <v>dhruv.adlakha@zupee.in</v>
      </c>
      <c r="I919" s="192" t="str">
        <f>IFERROR(__xludf.DUMMYFUNCTION("""COMPUTED_VALUE"""),"aman.patni@zupee.in: - Finance")</f>
        <v>aman.patni@zupee.in: - Finance</v>
      </c>
      <c r="J919" s="19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92"/>
      <c r="B920" s="192"/>
      <c r="C920" s="192"/>
      <c r="D920" s="192"/>
      <c r="E920" s="192"/>
      <c r="F920" s="192"/>
      <c r="G920" s="192" t="str">
        <f>IFERROR(__xludf.DUMMYFUNCTION("""COMPUTED_VALUE"""),"Nimish Goyal")</f>
        <v>Nimish Goyal</v>
      </c>
      <c r="H920" s="192" t="str">
        <f>IFERROR(__xludf.DUMMYFUNCTION("""COMPUTED_VALUE"""),"nimish.goyal@zupee.in")</f>
        <v>nimish.goyal@zupee.in</v>
      </c>
      <c r="I920" s="192" t="str">
        <f>IFERROR(__xludf.DUMMYFUNCTION("""COMPUTED_VALUE"""),"akshay.gulati@zupee.in: - Product")</f>
        <v>akshay.gulati@zupee.in: - Product</v>
      </c>
      <c r="J920" s="19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92"/>
      <c r="B921" s="192"/>
      <c r="C921" s="192"/>
      <c r="D921" s="192"/>
      <c r="E921" s="192"/>
      <c r="F921" s="192"/>
      <c r="G921" s="192" t="str">
        <f>IFERROR(__xludf.DUMMYFUNCTION("""COMPUTED_VALUE"""),"Repo Master")</f>
        <v>Repo Master</v>
      </c>
      <c r="H921" s="192" t="str">
        <f>IFERROR(__xludf.DUMMYFUNCTION("""COMPUTED_VALUE"""),"zupee.repomaster@zupee.in")</f>
        <v>zupee.repomaster@zupee.in</v>
      </c>
      <c r="I921" s="192" t="str">
        <f>IFERROR(__xludf.DUMMYFUNCTION("""COMPUTED_VALUE"""),"saurav.yadav@zupee.in: - Technology")</f>
        <v>saurav.yadav@zupee.in: - Technology</v>
      </c>
      <c r="J921" s="19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92"/>
      <c r="B922" s="192"/>
      <c r="C922" s="192"/>
      <c r="D922" s="192"/>
      <c r="E922" s="192"/>
      <c r="F922" s="192"/>
      <c r="G922" s="192" t="str">
        <f>IFERROR(__xludf.DUMMYFUNCTION("""COMPUTED_VALUE"""),"Saksham Kochhar - Intern")</f>
        <v>Saksham Kochhar - Intern</v>
      </c>
      <c r="H922" s="192" t="str">
        <f>IFERROR(__xludf.DUMMYFUNCTION("""COMPUTED_VALUE"""),"saksham.kochhar@zupee.in")</f>
        <v>saksham.kochhar@zupee.in</v>
      </c>
      <c r="I922" s="192" t="str">
        <f>IFERROR(__xludf.DUMMYFUNCTION("""COMPUTED_VALUE"""),"nitesh.vijay@zupee.in: - Data")</f>
        <v>nitesh.vijay@zupee.in: - Data</v>
      </c>
      <c r="J922" s="19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92"/>
      <c r="B923" s="192"/>
      <c r="C923" s="192"/>
      <c r="D923" s="192"/>
      <c r="E923" s="192"/>
      <c r="F923" s="192"/>
      <c r="G923" s="192" t="str">
        <f>IFERROR(__xludf.DUMMYFUNCTION("""COMPUTED_VALUE"""),"Support Zupeefree")</f>
        <v>Support Zupeefree</v>
      </c>
      <c r="H923" s="192" t="str">
        <f>IFERROR(__xludf.DUMMYFUNCTION("""COMPUTED_VALUE"""),"support.zupeefree@zupee.in")</f>
        <v>support.zupeefree@zupee.in</v>
      </c>
      <c r="I923" s="192" t="str">
        <f>IFERROR(__xludf.DUMMYFUNCTION("""COMPUTED_VALUE"""),"anshul.mittal@zupee.in: - Data")</f>
        <v>anshul.mittal@zupee.in: - Data</v>
      </c>
      <c r="J923" s="19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92"/>
      <c r="B924" s="192"/>
      <c r="C924" s="192"/>
      <c r="D924" s="192"/>
      <c r="E924" s="192"/>
      <c r="F924" s="192"/>
      <c r="G924" s="192" t="str">
        <f>IFERROR(__xludf.DUMMYFUNCTION("""COMPUTED_VALUE"""),"We Care")</f>
        <v>We Care</v>
      </c>
      <c r="H924" s="192" t="str">
        <f>IFERROR(__xludf.DUMMYFUNCTION("""COMPUTED_VALUE"""),"wecare@zupee.in")</f>
        <v>wecare@zupee.in</v>
      </c>
      <c r="I924" s="192" t="str">
        <f>IFERROR(__xludf.DUMMYFUNCTION("""COMPUTED_VALUE"""),"nimish.goyal@zupee.in: - Product")</f>
        <v>nimish.goyal@zupee.in: - Product</v>
      </c>
      <c r="J924" s="19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92"/>
      <c r="B925" s="192"/>
      <c r="C925" s="192"/>
      <c r="D925" s="192"/>
      <c r="E925" s="192"/>
      <c r="F925" s="192"/>
      <c r="G925" s="192" t="str">
        <f>IFERROR(__xludf.DUMMYFUNCTION("""COMPUTED_VALUE"""),"Pareena Singh")</f>
        <v>Pareena Singh</v>
      </c>
      <c r="H925" s="192" t="str">
        <f>IFERROR(__xludf.DUMMYFUNCTION("""COMPUTED_VALUE"""),"pareena.singh@zupee.in")</f>
        <v>pareena.singh@zupee.in</v>
      </c>
      <c r="I925" s="192" t="str">
        <f>IFERROR(__xludf.DUMMYFUNCTION("""COMPUTED_VALUE"""),"naveen.kadyan@zupee.in: - Product")</f>
        <v>naveen.kadyan@zupee.in: - Product</v>
      </c>
      <c r="J925" s="19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92"/>
      <c r="B926" s="192"/>
      <c r="C926" s="192"/>
      <c r="D926" s="192"/>
      <c r="E926" s="192"/>
      <c r="F926" s="192"/>
      <c r="G926" s="192" t="str">
        <f>IFERROR(__xludf.DUMMYFUNCTION("""COMPUTED_VALUE"""),"Nikunj Aggarwal")</f>
        <v>Nikunj Aggarwal</v>
      </c>
      <c r="H926" s="192" t="str">
        <f>IFERROR(__xludf.DUMMYFUNCTION("""COMPUTED_VALUE"""),"nikunj.a@zupee.in")</f>
        <v>nikunj.a@zupee.in</v>
      </c>
      <c r="I926" s="192" t="str">
        <f>IFERROR(__xludf.DUMMYFUNCTION("""COMPUTED_VALUE"""),"rohit.saini@zupee.in: - Technology")</f>
        <v>rohit.saini@zupee.in: - Technology</v>
      </c>
      <c r="J926" s="19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92"/>
      <c r="B927" s="192"/>
      <c r="C927" s="192"/>
      <c r="D927" s="192"/>
      <c r="E927" s="192"/>
      <c r="F927" s="192"/>
      <c r="G927" s="192" t="str">
        <f>IFERROR(__xludf.DUMMYFUNCTION("""COMPUTED_VALUE"""),"Rakesh Kumar")</f>
        <v>Rakesh Kumar</v>
      </c>
      <c r="H927" s="192" t="str">
        <f>IFERROR(__xludf.DUMMYFUNCTION("""COMPUTED_VALUE"""),"rakesh.kumar@zupee.in")</f>
        <v>rakesh.kumar@zupee.in</v>
      </c>
      <c r="I927" s="192" t="str">
        <f>IFERROR(__xludf.DUMMYFUNCTION("""COMPUTED_VALUE"""),"Senior Associate: - IT Infra")</f>
        <v>Senior Associate: - IT Infra</v>
      </c>
      <c r="J927" s="19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92"/>
      <c r="B928" s="192"/>
      <c r="C928" s="192"/>
      <c r="D928" s="192"/>
      <c r="E928" s="192"/>
      <c r="F928" s="192"/>
      <c r="G928" s="192" t="str">
        <f>IFERROR(__xludf.DUMMYFUNCTION("""COMPUTED_VALUE"""),"Amit Singh")</f>
        <v>Amit Singh</v>
      </c>
      <c r="H928" s="192" t="str">
        <f>IFERROR(__xludf.DUMMYFUNCTION("""COMPUTED_VALUE"""),"amit.singh@zupee.in")</f>
        <v>amit.singh@zupee.in</v>
      </c>
      <c r="I928" s="192" t="str">
        <f>IFERROR(__xludf.DUMMYFUNCTION("""COMPUTED_VALUE"""),"ranjeet.kumar@zupee.in: - Technology")</f>
        <v>ranjeet.kumar@zupee.in: - Technology</v>
      </c>
      <c r="J928" s="19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92"/>
      <c r="B929" s="192"/>
      <c r="C929" s="192"/>
      <c r="D929" s="192"/>
      <c r="E929" s="192"/>
      <c r="F929" s="192"/>
      <c r="G929" s="192" t="str">
        <f>IFERROR(__xludf.DUMMYFUNCTION("""COMPUTED_VALUE"""),"Manmohan Sagar")</f>
        <v>Manmohan Sagar</v>
      </c>
      <c r="H929" s="192" t="str">
        <f>IFERROR(__xludf.DUMMYFUNCTION("""COMPUTED_VALUE"""),"manmohan.sagar@zupee.in")</f>
        <v>manmohan.sagar@zupee.in</v>
      </c>
      <c r="I929" s="192" t="str">
        <f>IFERROR(__xludf.DUMMYFUNCTION("""COMPUTED_VALUE"""),"hitesh.vats@zupee.in: - Finance")</f>
        <v>hitesh.vats@zupee.in: - Finance</v>
      </c>
      <c r="J929" s="19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92"/>
      <c r="B930" s="192"/>
      <c r="C930" s="192"/>
      <c r="D930" s="192"/>
      <c r="E930" s="192"/>
      <c r="F930" s="192"/>
      <c r="G930" s="192" t="str">
        <f>IFERROR(__xludf.DUMMYFUNCTION("""COMPUTED_VALUE"""),"Pratik Taltia")</f>
        <v>Pratik Taltia</v>
      </c>
      <c r="H930" s="192" t="str">
        <f>IFERROR(__xludf.DUMMYFUNCTION("""COMPUTED_VALUE"""),"pratik.taltia@zupee.in")</f>
        <v>pratik.taltia@zupee.in</v>
      </c>
      <c r="I930" s="192" t="str">
        <f>IFERROR(__xludf.DUMMYFUNCTION("""COMPUTED_VALUE"""),"aditya.jha@zupee.in: - Strategy")</f>
        <v>aditya.jha@zupee.in: - Strategy</v>
      </c>
      <c r="J930" s="19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92"/>
      <c r="B931" s="192"/>
      <c r="C931" s="192"/>
      <c r="D931" s="192"/>
      <c r="E931" s="192"/>
      <c r="F931" s="192"/>
      <c r="G931" s="192" t="str">
        <f>IFERROR(__xludf.DUMMYFUNCTION("""COMPUTED_VALUE"""),"Pradeep Agrawal")</f>
        <v>Pradeep Agrawal</v>
      </c>
      <c r="H931" s="192" t="str">
        <f>IFERROR(__xludf.DUMMYFUNCTION("""COMPUTED_VALUE"""),"pradeep.agrawal@zupee.in")</f>
        <v>pradeep.agrawal@zupee.in</v>
      </c>
      <c r="I931" s="192" t="str">
        <f>IFERROR(__xludf.DUMMYFUNCTION("""COMPUTED_VALUE"""),"aman.kumar@zupee.in: - Data")</f>
        <v>aman.kumar@zupee.in: - Data</v>
      </c>
      <c r="J931" s="19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92"/>
      <c r="B932" s="192"/>
      <c r="C932" s="192"/>
      <c r="D932" s="192"/>
      <c r="E932" s="192"/>
      <c r="F932" s="192"/>
      <c r="G932" s="192" t="str">
        <f>IFERROR(__xludf.DUMMYFUNCTION("""COMPUTED_VALUE"""),"Shrasti Tomar")</f>
        <v>Shrasti Tomar</v>
      </c>
      <c r="H932" s="192" t="str">
        <f>IFERROR(__xludf.DUMMYFUNCTION("""COMPUTED_VALUE"""),"shrasti.tomar@zupee.in")</f>
        <v>shrasti.tomar@zupee.in</v>
      </c>
      <c r="I932" s="192" t="str">
        <f>IFERROR(__xludf.DUMMYFUNCTION("""COMPUTED_VALUE"""),"aman.kumar@zupee.in: - Data")</f>
        <v>aman.kumar@zupee.in: - Data</v>
      </c>
      <c r="J932" s="19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92"/>
      <c r="B933" s="192"/>
      <c r="C933" s="192"/>
      <c r="D933" s="192"/>
      <c r="E933" s="192"/>
      <c r="F933" s="192"/>
      <c r="G933" s="192" t="str">
        <f>IFERROR(__xludf.DUMMYFUNCTION("""COMPUTED_VALUE"""),"Satyam Jaiswal")</f>
        <v>Satyam Jaiswal</v>
      </c>
      <c r="H933" s="192" t="str">
        <f>IFERROR(__xludf.DUMMYFUNCTION("""COMPUTED_VALUE"""),"satyam.jaiswal@zupee.in")</f>
        <v>satyam.jaiswal@zupee.in</v>
      </c>
      <c r="I933" s="192" t="str">
        <f>IFERROR(__xludf.DUMMYFUNCTION("""COMPUTED_VALUE"""),"vipul.gupta@zupee.in: - Technology")</f>
        <v>vipul.gupta@zupee.in: - Technology</v>
      </c>
      <c r="J933" s="19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92"/>
      <c r="B934" s="192"/>
      <c r="C934" s="192"/>
      <c r="D934" s="192"/>
      <c r="E934" s="192"/>
      <c r="F934" s="192"/>
      <c r="G934" s="192" t="str">
        <f>IFERROR(__xludf.DUMMYFUNCTION("""COMPUTED_VALUE"""),"payroll Support")</f>
        <v>payroll Support</v>
      </c>
      <c r="H934" s="192" t="str">
        <f>IFERROR(__xludf.DUMMYFUNCTION("""COMPUTED_VALUE"""),"payrollsupport@zupee.in")</f>
        <v>payrollsupport@zupee.in</v>
      </c>
      <c r="I934" s="192" t="str">
        <f>IFERROR(__xludf.DUMMYFUNCTION("""COMPUTED_VALUE"""),"surabhi.sanchita@zupee.in: - Human Resources")</f>
        <v>surabhi.sanchita@zupee.in: - Human Resources</v>
      </c>
      <c r="J934" s="19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92"/>
      <c r="B935" s="192"/>
      <c r="C935" s="192"/>
      <c r="D935" s="192"/>
      <c r="E935" s="192"/>
      <c r="F935" s="192"/>
      <c r="G935" s="192" t="str">
        <f>IFERROR(__xludf.DUMMYFUNCTION("""COMPUTED_VALUE"""),"Tushar Rajendra Patil")</f>
        <v>Tushar Rajendra Patil</v>
      </c>
      <c r="H935" s="192" t="str">
        <f>IFERROR(__xludf.DUMMYFUNCTION("""COMPUTED_VALUE"""),"tushar.patil@zupee.in")</f>
        <v>tushar.patil@zupee.in</v>
      </c>
      <c r="I935" s="192" t="str">
        <f>IFERROR(__xludf.DUMMYFUNCTION("""COMPUTED_VALUE"""),"sairam.mushyam@zupee.in: - Data")</f>
        <v>sairam.mushyam@zupee.in: - Data</v>
      </c>
      <c r="J935" s="19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92"/>
      <c r="B936" s="192"/>
      <c r="C936" s="192"/>
      <c r="D936" s="192"/>
      <c r="E936" s="192"/>
      <c r="F936" s="192"/>
      <c r="G936" s="192" t="str">
        <f>IFERROR(__xludf.DUMMYFUNCTION("""COMPUTED_VALUE"""),"Mukul Bhatt")</f>
        <v>Mukul Bhatt</v>
      </c>
      <c r="H936" s="192" t="str">
        <f>IFERROR(__xludf.DUMMYFUNCTION("""COMPUTED_VALUE"""),"mukul.bhatt@zupee.in")</f>
        <v>mukul.bhatt@zupee.in</v>
      </c>
      <c r="I936" s="192" t="str">
        <f>IFERROR(__xludf.DUMMYFUNCTION("""COMPUTED_VALUE"""),"vipul.gupta@zupee.in: - Technology")</f>
        <v>vipul.gupta@zupee.in: - Technology</v>
      </c>
      <c r="J936" s="19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92"/>
      <c r="B937" s="192"/>
      <c r="C937" s="192"/>
      <c r="D937" s="192"/>
      <c r="E937" s="192"/>
      <c r="F937" s="192"/>
      <c r="G937" s="192" t="str">
        <f>IFERROR(__xludf.DUMMYFUNCTION("""COMPUTED_VALUE"""),"Mohit Singh Rathore")</f>
        <v>Mohit Singh Rathore</v>
      </c>
      <c r="H937" s="192" t="str">
        <f>IFERROR(__xludf.DUMMYFUNCTION("""COMPUTED_VALUE"""),"mohit.rathore@zupee.in")</f>
        <v>mohit.rathore@zupee.in</v>
      </c>
      <c r="I937" s="192" t="str">
        <f>IFERROR(__xludf.DUMMYFUNCTION("""COMPUTED_VALUE"""),"sumit.singh@zupee.in: - Technology")</f>
        <v>sumit.singh@zupee.in: - Technology</v>
      </c>
      <c r="J937" s="19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92"/>
      <c r="B938" s="192"/>
      <c r="C938" s="192"/>
      <c r="D938" s="192"/>
      <c r="E938" s="192"/>
      <c r="F938" s="192"/>
      <c r="G938" s="192" t="str">
        <f>IFERROR(__xludf.DUMMYFUNCTION("""COMPUTED_VALUE"""),"Abhishek Goyal")</f>
        <v>Abhishek Goyal</v>
      </c>
      <c r="H938" s="192" t="str">
        <f>IFERROR(__xludf.DUMMYFUNCTION("""COMPUTED_VALUE"""),"abhishek.goyal@zupee.in")</f>
        <v>abhishek.goyal@zupee.in</v>
      </c>
      <c r="I938" s="192" t="str">
        <f>IFERROR(__xludf.DUMMYFUNCTION("""COMPUTED_VALUE"""),"ishank.mehta@zupee.in: - Strategy")</f>
        <v>ishank.mehta@zupee.in: - Strategy</v>
      </c>
      <c r="J938" s="19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92"/>
      <c r="B939" s="192"/>
      <c r="C939" s="192"/>
      <c r="D939" s="192"/>
      <c r="E939" s="192"/>
      <c r="F939" s="192"/>
      <c r="G939" s="192" t="str">
        <f>IFERROR(__xludf.DUMMYFUNCTION("""COMPUTED_VALUE"""),"Gaurav Khanna")</f>
        <v>Gaurav Khanna</v>
      </c>
      <c r="H939" s="192" t="str">
        <f>IFERROR(__xludf.DUMMYFUNCTION("""COMPUTED_VALUE"""),"gaurav.khanna@zupee.in")</f>
        <v>gaurav.khanna@zupee.in</v>
      </c>
      <c r="I939" s="192" t="str">
        <f>IFERROR(__xludf.DUMMYFUNCTION("""COMPUTED_VALUE"""),"vijay.singh@zupee.in: - Administration")</f>
        <v>vijay.singh@zupee.in: - Administration</v>
      </c>
      <c r="J939" s="19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92"/>
      <c r="B940" s="192"/>
      <c r="C940" s="192"/>
      <c r="D940" s="192"/>
      <c r="E940" s="192"/>
      <c r="F940" s="192"/>
      <c r="G940" s="192" t="str">
        <f>IFERROR(__xludf.DUMMYFUNCTION("""COMPUTED_VALUE"""),"Rajkumar Singh")</f>
        <v>Rajkumar Singh</v>
      </c>
      <c r="H940" s="192" t="str">
        <f>IFERROR(__xludf.DUMMYFUNCTION("""COMPUTED_VALUE"""),"rajkumar.singh@zupee.in")</f>
        <v>rajkumar.singh@zupee.in</v>
      </c>
      <c r="I940" s="192" t="str">
        <f>IFERROR(__xludf.DUMMYFUNCTION("""COMPUTED_VALUE"""),"saurav.yadav@zupee.in: - IT Infra")</f>
        <v>saurav.yadav@zupee.in: - IT Infra</v>
      </c>
      <c r="J940" s="19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92"/>
      <c r="B941" s="192"/>
      <c r="C941" s="192"/>
      <c r="D941" s="192"/>
      <c r="E941" s="192"/>
      <c r="F941" s="192"/>
      <c r="G941" s="192" t="str">
        <f>IFERROR(__xludf.DUMMYFUNCTION("""COMPUTED_VALUE"""),"Adhip Kushwaha")</f>
        <v>Adhip Kushwaha</v>
      </c>
      <c r="H941" s="192" t="str">
        <f>IFERROR(__xludf.DUMMYFUNCTION("""COMPUTED_VALUE"""),"adhip.kushwaha@zupee.in")</f>
        <v>adhip.kushwaha@zupee.in</v>
      </c>
      <c r="I941" s="192" t="str">
        <f>IFERROR(__xludf.DUMMYFUNCTION("""COMPUTED_VALUE"""),"kamran.hadi@zupee.in: - Technology")</f>
        <v>kamran.hadi@zupee.in: - Technology</v>
      </c>
      <c r="J941" s="19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92"/>
      <c r="B942" s="192"/>
      <c r="C942" s="192"/>
      <c r="D942" s="192"/>
      <c r="E942" s="192"/>
      <c r="F942" s="192"/>
      <c r="G942" s="192" t="str">
        <f>IFERROR(__xludf.DUMMYFUNCTION("""COMPUTED_VALUE"""),"DevOps Integration")</f>
        <v>DevOps Integration</v>
      </c>
      <c r="H942" s="192" t="str">
        <f>IFERROR(__xludf.DUMMYFUNCTION("""COMPUTED_VALUE"""),"devops.integrations@zupee.in")</f>
        <v>devops.integrations@zupee.in</v>
      </c>
      <c r="I942" s="192" t="str">
        <f>IFERROR(__xludf.DUMMYFUNCTION("""COMPUTED_VALUE"""),"saurav.yadav@zupee.in: - Technology")</f>
        <v>saurav.yadav@zupee.in: - Technology</v>
      </c>
      <c r="J942" s="19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92"/>
      <c r="B943" s="192"/>
      <c r="C943" s="192"/>
      <c r="D943" s="192"/>
      <c r="E943" s="192"/>
      <c r="F943" s="192"/>
      <c r="G943" s="192" t="str">
        <f>IFERROR(__xludf.DUMMYFUNCTION("""COMPUTED_VALUE"""),"Jatin Kinra")</f>
        <v>Jatin Kinra</v>
      </c>
      <c r="H943" s="192" t="str">
        <f>IFERROR(__xludf.DUMMYFUNCTION("""COMPUTED_VALUE"""),"jatin.kinra@zupee.in")</f>
        <v>jatin.kinra@zupee.in</v>
      </c>
      <c r="I943" s="192" t="str">
        <f>IFERROR(__xludf.DUMMYFUNCTION("""COMPUTED_VALUE"""),"atique.firoz@zupee.in: - Technology")</f>
        <v>atique.firoz@zupee.in: - Technology</v>
      </c>
      <c r="J943" s="19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92"/>
      <c r="B944" s="192"/>
      <c r="C944" s="192"/>
      <c r="D944" s="192"/>
      <c r="E944" s="192"/>
      <c r="F944" s="192"/>
      <c r="G944" s="192" t="str">
        <f>IFERROR(__xludf.DUMMYFUNCTION("""COMPUTED_VALUE"""),"ESOP Communication")</f>
        <v>ESOP Communication</v>
      </c>
      <c r="H944" s="192" t="str">
        <f>IFERROR(__xludf.DUMMYFUNCTION("""COMPUTED_VALUE"""),"esop@zupee.in")</f>
        <v>esop@zupee.in</v>
      </c>
      <c r="I944" s="192" t="str">
        <f>IFERROR(__xludf.DUMMYFUNCTION("""COMPUTED_VALUE"""),"sushil.patel@zupee.in: - Human Resources")</f>
        <v>sushil.patel@zupee.in: - Human Resources</v>
      </c>
      <c r="J944" s="19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92"/>
      <c r="B945" s="192"/>
      <c r="C945" s="192"/>
      <c r="D945" s="192"/>
      <c r="E945" s="192"/>
      <c r="F945" s="192"/>
      <c r="G945" s="192" t="str">
        <f>IFERROR(__xludf.DUMMYFUNCTION("""COMPUTED_VALUE"""),"Mohit Singh")</f>
        <v>Mohit Singh</v>
      </c>
      <c r="H945" s="192" t="str">
        <f>IFERROR(__xludf.DUMMYFUNCTION("""COMPUTED_VALUE"""),"mohit.singh@zupee.in.")</f>
        <v>mohit.singh@zupee.in.</v>
      </c>
      <c r="I945" s="192" t="str">
        <f>IFERROR(__xludf.DUMMYFUNCTION("""COMPUTED_VALUE"""),"lekhika.dhariyal@zupee.in: - Digital Marketing")</f>
        <v>lekhika.dhariyal@zupee.in: - Digital Marketing</v>
      </c>
      <c r="J945" s="19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92"/>
      <c r="B946" s="192"/>
      <c r="C946" s="192"/>
      <c r="D946" s="192"/>
      <c r="E946" s="192"/>
      <c r="F946" s="192"/>
      <c r="G946" s="192" t="str">
        <f>IFERROR(__xludf.DUMMYFUNCTION("""COMPUTED_VALUE"""),"Zai Bot")</f>
        <v>Zai Bot</v>
      </c>
      <c r="H946" s="192" t="str">
        <f>IFERROR(__xludf.DUMMYFUNCTION("""COMPUTED_VALUE"""),"zai-bot@zupee.in")</f>
        <v>zai-bot@zupee.in</v>
      </c>
      <c r="I946" s="192" t="str">
        <f>IFERROR(__xludf.DUMMYFUNCTION("""COMPUTED_VALUE"""),"arunarun.prabhakaran@zupee.in: - Technology")</f>
        <v>arunarun.prabhakaran@zupee.in: - Technology</v>
      </c>
      <c r="J946" s="19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92"/>
      <c r="B947" s="192"/>
      <c r="C947" s="192"/>
      <c r="D947" s="192"/>
      <c r="E947" s="192"/>
      <c r="F947" s="192"/>
      <c r="G947" s="192" t="str">
        <f>IFERROR(__xludf.DUMMYFUNCTION("""COMPUTED_VALUE"""),"Anwesha Raj")</f>
        <v>Anwesha Raj</v>
      </c>
      <c r="H947" s="192" t="str">
        <f>IFERROR(__xludf.DUMMYFUNCTION("""COMPUTED_VALUE"""),"anwesha.raj@zupee.in")</f>
        <v>anwesha.raj@zupee.in</v>
      </c>
      <c r="I947" s="192" t="str">
        <f>IFERROR(__xludf.DUMMYFUNCTION("""COMPUTED_VALUE"""),"mayank.jain@zupee.in: - Product")</f>
        <v>mayank.jain@zupee.in: - Product</v>
      </c>
      <c r="J947" s="19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92"/>
      <c r="B948" s="192"/>
      <c r="C948" s="192"/>
      <c r="D948" s="192"/>
      <c r="E948" s="192"/>
      <c r="F948" s="192"/>
      <c r="G948" s="192" t="str">
        <f>IFERROR(__xludf.DUMMYFUNCTION("""COMPUTED_VALUE"""),"Tushar Mehta")</f>
        <v>Tushar Mehta</v>
      </c>
      <c r="H948" s="192" t="str">
        <f>IFERROR(__xludf.DUMMYFUNCTION("""COMPUTED_VALUE"""),"tushar.mehta@zupee.in")</f>
        <v>tushar.mehta@zupee.in</v>
      </c>
      <c r="I948" s="192" t="str">
        <f>IFERROR(__xludf.DUMMYFUNCTION("""COMPUTED_VALUE"""),"aman.gupta@zupee.in: - Technology")</f>
        <v>aman.gupta@zupee.in: - Technology</v>
      </c>
      <c r="J948" s="19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92"/>
      <c r="B949" s="192"/>
      <c r="C949" s="192"/>
      <c r="D949" s="192"/>
      <c r="E949" s="192"/>
      <c r="F949" s="192"/>
      <c r="G949" s="192" t="str">
        <f>IFERROR(__xludf.DUMMYFUNCTION("""COMPUTED_VALUE"""),"Rijul Sharma")</f>
        <v>Rijul Sharma</v>
      </c>
      <c r="H949" s="192" t="str">
        <f>IFERROR(__xludf.DUMMYFUNCTION("""COMPUTED_VALUE"""),"rijul.sharma@zupee.in")</f>
        <v>rijul.sharma@zupee.in</v>
      </c>
      <c r="I949" s="192" t="str">
        <f>IFERROR(__xludf.DUMMYFUNCTION("""COMPUTED_VALUE"""),"saurav.yadav@zupee.in: - Technology")</f>
        <v>saurav.yadav@zupee.in: - Technology</v>
      </c>
      <c r="J949" s="19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92"/>
      <c r="B950" s="192"/>
      <c r="C950" s="192"/>
      <c r="D950" s="192"/>
      <c r="E950" s="192"/>
      <c r="F950" s="192"/>
      <c r="G950" s="192" t="str">
        <f>IFERROR(__xludf.DUMMYFUNCTION("""COMPUTED_VALUE"""),"Mukesh Kumar Maurya")</f>
        <v>Mukesh Kumar Maurya</v>
      </c>
      <c r="H950" s="192" t="str">
        <f>IFERROR(__xludf.DUMMYFUNCTION("""COMPUTED_VALUE"""),"mukesh.maurya@zupee.in")</f>
        <v>mukesh.maurya@zupee.in</v>
      </c>
      <c r="I950" s="192" t="str">
        <f>IFERROR(__xludf.DUMMYFUNCTION("""COMPUTED_VALUE"""),"katha.tara@zupee.in: - Brand Marketing")</f>
        <v>katha.tara@zupee.in: - Brand Marketing</v>
      </c>
      <c r="J950" s="19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92"/>
      <c r="B951" s="192"/>
      <c r="C951" s="192"/>
      <c r="D951" s="192"/>
      <c r="E951" s="192"/>
      <c r="F951" s="192"/>
      <c r="G951" s="192" t="str">
        <f>IFERROR(__xludf.DUMMYFUNCTION("""COMPUTED_VALUE"""),"Zupee Talent")</f>
        <v>Zupee Talent</v>
      </c>
      <c r="H951" s="192" t="str">
        <f>IFERROR(__xludf.DUMMYFUNCTION("""COMPUTED_VALUE"""),"talent@zupee.in")</f>
        <v>talent@zupee.in</v>
      </c>
      <c r="I951" s="192" t="str">
        <f>IFERROR(__xludf.DUMMYFUNCTION("""COMPUTED_VALUE"""),"m.sangeetha@zupee.in: - Human Resources")</f>
        <v>m.sangeetha@zupee.in: - Human Resources</v>
      </c>
      <c r="J951" s="19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92"/>
      <c r="B952" s="192"/>
      <c r="C952" s="192"/>
      <c r="D952" s="192"/>
      <c r="E952" s="192"/>
      <c r="F952" s="192"/>
      <c r="G952" s="192" t="str">
        <f>IFERROR(__xludf.DUMMYFUNCTION("""COMPUTED_VALUE"""),"Kanika Wadhwa")</f>
        <v>Kanika Wadhwa</v>
      </c>
      <c r="H952" s="192" t="str">
        <f>IFERROR(__xludf.DUMMYFUNCTION("""COMPUTED_VALUE"""),"kanika.wadhwa@zupee.in")</f>
        <v>kanika.wadhwa@zupee.in</v>
      </c>
      <c r="I952" s="192" t="str">
        <f>IFERROR(__xludf.DUMMYFUNCTION("""COMPUTED_VALUE"""),"shivam.bali@zupee.in: - Customer Experience")</f>
        <v>shivam.bali@zupee.in: - Customer Experience</v>
      </c>
      <c r="J952" s="19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92"/>
      <c r="B953" s="192"/>
      <c r="C953" s="192"/>
      <c r="D953" s="192"/>
      <c r="E953" s="192"/>
      <c r="F953" s="192"/>
      <c r="G953" s="192" t="str">
        <f>IFERROR(__xludf.DUMMYFUNCTION("""COMPUTED_VALUE"""),"Sumit Yadav")</f>
        <v>Sumit Yadav</v>
      </c>
      <c r="H953" s="192" t="str">
        <f>IFERROR(__xludf.DUMMYFUNCTION("""COMPUTED_VALUE"""),"sumit.yadav@zupee.in")</f>
        <v>sumit.yadav@zupee.in</v>
      </c>
      <c r="I953" s="192" t="str">
        <f>IFERROR(__xludf.DUMMYFUNCTION("""COMPUTED_VALUE"""),"govind.mittal@zupee.in: - Customer Experience")</f>
        <v>govind.mittal@zupee.in: - Customer Experience</v>
      </c>
      <c r="J953" s="19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92"/>
      <c r="B954" s="192"/>
      <c r="C954" s="192"/>
      <c r="D954" s="192"/>
      <c r="E954" s="192"/>
      <c r="F954" s="192"/>
      <c r="G954" s="192" t="str">
        <f>IFERROR(__xludf.DUMMYFUNCTION("""COMPUTED_VALUE"""),"Anand Keshav")</f>
        <v>Anand Keshav</v>
      </c>
      <c r="H954" s="192" t="str">
        <f>IFERROR(__xludf.DUMMYFUNCTION("""COMPUTED_VALUE"""),"anand.keshav@zupee.in")</f>
        <v>anand.keshav@zupee.in</v>
      </c>
      <c r="I954" s="192" t="str">
        <f>IFERROR(__xludf.DUMMYFUNCTION("""COMPUTED_VALUE"""),"nitesh.vijay@zupee.in: - Data")</f>
        <v>nitesh.vijay@zupee.in: - Data</v>
      </c>
      <c r="J954" s="19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92"/>
      <c r="B955" s="192"/>
      <c r="C955" s="192"/>
      <c r="D955" s="192"/>
      <c r="E955" s="192"/>
      <c r="F955" s="192"/>
      <c r="G955" s="192" t="str">
        <f>IFERROR(__xludf.DUMMYFUNCTION("""COMPUTED_VALUE"""),"Rajat Garg")</f>
        <v>Rajat Garg</v>
      </c>
      <c r="H955" s="192" t="str">
        <f>IFERROR(__xludf.DUMMYFUNCTION("""COMPUTED_VALUE"""),"rajat.garg@zupee.in")</f>
        <v>rajat.garg@zupee.in</v>
      </c>
      <c r="I955" s="192" t="str">
        <f>IFERROR(__xludf.DUMMYFUNCTION("""COMPUTED_VALUE"""),"raman.malik@zupee.in: - Data")</f>
        <v>raman.malik@zupee.in: - Data</v>
      </c>
      <c r="J955" s="19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92"/>
      <c r="B956" s="192"/>
      <c r="C956" s="192"/>
      <c r="D956" s="192"/>
      <c r="E956" s="192"/>
      <c r="F956" s="192"/>
      <c r="G956" s="192" t="str">
        <f>IFERROR(__xludf.DUMMYFUNCTION("""COMPUTED_VALUE"""),"Aman Hans")</f>
        <v>Aman Hans</v>
      </c>
      <c r="H956" s="192" t="str">
        <f>IFERROR(__xludf.DUMMYFUNCTION("""COMPUTED_VALUE"""),"aman.hans@zupee.in")</f>
        <v>aman.hans@zupee.in</v>
      </c>
      <c r="I956" s="192" t="str">
        <f>IFERROR(__xludf.DUMMYFUNCTION("""COMPUTED_VALUE"""),"divya.koundal@zupee.in: - Technology")</f>
        <v>divya.koundal@zupee.in: - Technology</v>
      </c>
      <c r="J956" s="19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92"/>
      <c r="B957" s="192"/>
      <c r="C957" s="192"/>
      <c r="D957" s="192"/>
      <c r="E957" s="192"/>
      <c r="F957" s="192"/>
      <c r="G957" s="192" t="str">
        <f>IFERROR(__xludf.DUMMYFUNCTION("""COMPUTED_VALUE"""),"Shiv Kumar IT")</f>
        <v>Shiv Kumar IT</v>
      </c>
      <c r="H957" s="192" t="str">
        <f>IFERROR(__xludf.DUMMYFUNCTION("""COMPUTED_VALUE"""),"shiv.k@zupee.in")</f>
        <v>shiv.k@zupee.in</v>
      </c>
      <c r="I957" s="192" t="str">
        <f>IFERROR(__xludf.DUMMYFUNCTION("""COMPUTED_VALUE"""),"rajkumar.singh@zupee.in: - IT Infra")</f>
        <v>rajkumar.singh@zupee.in: - IT Infra</v>
      </c>
      <c r="J957" s="19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92"/>
      <c r="B958" s="192"/>
      <c r="C958" s="192"/>
      <c r="D958" s="192"/>
      <c r="E958" s="192"/>
      <c r="F958" s="192"/>
      <c r="G958" s="192" t="str">
        <f>IFERROR(__xludf.DUMMYFUNCTION("""COMPUTED_VALUE"""),"Basilnath Samson Masabiel")</f>
        <v>Basilnath Samson Masabiel</v>
      </c>
      <c r="H958" s="192" t="str">
        <f>IFERROR(__xludf.DUMMYFUNCTION("""COMPUTED_VALUE"""),"basilnath.masabiel@zupee.in")</f>
        <v>basilnath.masabiel@zupee.in</v>
      </c>
      <c r="I958" s="192" t="str">
        <f>IFERROR(__xludf.DUMMYFUNCTION("""COMPUTED_VALUE"""),"mohini.bhardwaj@zupee.in: - Customer Experience")</f>
        <v>mohini.bhardwaj@zupee.in: - Customer Experience</v>
      </c>
      <c r="J958" s="19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92"/>
      <c r="B959" s="192"/>
      <c r="C959" s="192"/>
      <c r="D959" s="192"/>
      <c r="E959" s="192"/>
      <c r="F959" s="192"/>
      <c r="G959" s="192" t="str">
        <f>IFERROR(__xludf.DUMMYFUNCTION("""COMPUTED_VALUE"""),"shashwat Agarwal")</f>
        <v>shashwat Agarwal</v>
      </c>
      <c r="H959" s="192" t="str">
        <f>IFERROR(__xludf.DUMMYFUNCTION("""COMPUTED_VALUE"""),"shashwat.agarwal@zupee.in")</f>
        <v>shashwat.agarwal@zupee.in</v>
      </c>
      <c r="I959" s="192" t="str">
        <f>IFERROR(__xludf.DUMMYFUNCTION("""COMPUTED_VALUE"""),"abhishek.gupta@zupee.in: - Technology")</f>
        <v>abhishek.gupta@zupee.in: - Technology</v>
      </c>
      <c r="J959" s="19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92"/>
      <c r="B960" s="192"/>
      <c r="C960" s="192"/>
      <c r="D960" s="192"/>
      <c r="E960" s="192"/>
      <c r="F960" s="192"/>
      <c r="G960" s="192" t="str">
        <f>IFERROR(__xludf.DUMMYFUNCTION("""COMPUTED_VALUE"""),"Tarun Mangal")</f>
        <v>Tarun Mangal</v>
      </c>
      <c r="H960" s="192" t="str">
        <f>IFERROR(__xludf.DUMMYFUNCTION("""COMPUTED_VALUE"""),"tarun.mangal@zupee.in")</f>
        <v>tarun.mangal@zupee.in</v>
      </c>
      <c r="I960" s="192" t="str">
        <f>IFERROR(__xludf.DUMMYFUNCTION("""COMPUTED_VALUE"""),"abhishek.gupta@zupee.in: - Technology")</f>
        <v>abhishek.gupta@zupee.in: - Technology</v>
      </c>
      <c r="J960" s="19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92"/>
      <c r="B961" s="192"/>
      <c r="C961" s="192"/>
      <c r="D961" s="192"/>
      <c r="E961" s="192"/>
      <c r="F961" s="192"/>
      <c r="G961" s="192" t="str">
        <f>IFERROR(__xludf.DUMMYFUNCTION("""COMPUTED_VALUE"""),"Security Zupee")</f>
        <v>Security Zupee</v>
      </c>
      <c r="H961" s="192" t="str">
        <f>IFERROR(__xludf.DUMMYFUNCTION("""COMPUTED_VALUE"""),"security@zupee.in")</f>
        <v>security@zupee.in</v>
      </c>
      <c r="I961" s="192" t="str">
        <f>IFERROR(__xludf.DUMMYFUNCTION("""COMPUTED_VALUE"""),"saurav.yadav@zupee.in: - Technology")</f>
        <v>saurav.yadav@zupee.in: - Technology</v>
      </c>
      <c r="J961" s="19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92"/>
      <c r="B962" s="192"/>
      <c r="C962" s="192"/>
      <c r="D962" s="192"/>
      <c r="E962" s="192"/>
      <c r="F962" s="192"/>
      <c r="G962" s="192" t="str">
        <f>IFERROR(__xludf.DUMMYFUNCTION("""COMPUTED_VALUE"""),"Piyush Maurya")</f>
        <v>Piyush Maurya</v>
      </c>
      <c r="H962" s="192" t="str">
        <f>IFERROR(__xludf.DUMMYFUNCTION("""COMPUTED_VALUE"""),"piyush.maurya@zupee.in")</f>
        <v>piyush.maurya@zupee.in</v>
      </c>
      <c r="I962" s="192" t="str">
        <f>IFERROR(__xludf.DUMMYFUNCTION("""COMPUTED_VALUE"""),"sahil.puri@zupee.in: - Technology")</f>
        <v>sahil.puri@zupee.in: - Technology</v>
      </c>
      <c r="J962" s="19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92"/>
      <c r="B963" s="192"/>
      <c r="C963" s="192"/>
      <c r="D963" s="192"/>
      <c r="E963" s="192"/>
      <c r="F963" s="192"/>
      <c r="G963" s="192" t="str">
        <f>IFERROR(__xludf.DUMMYFUNCTION("""COMPUTED_VALUE"""),"Gokul Verma")</f>
        <v>Gokul Verma</v>
      </c>
      <c r="H963" s="192" t="str">
        <f>IFERROR(__xludf.DUMMYFUNCTION("""COMPUTED_VALUE"""),"gokul.verma@zupee.in")</f>
        <v>gokul.verma@zupee.in</v>
      </c>
      <c r="I963" s="192" t="str">
        <f>IFERROR(__xludf.DUMMYFUNCTION("""COMPUTED_VALUE"""),"vipul.gupta@zupee.in: - Technology")</f>
        <v>vipul.gupta@zupee.in: - Technology</v>
      </c>
      <c r="J963" s="19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92"/>
      <c r="B964" s="192"/>
      <c r="C964" s="192"/>
      <c r="D964" s="192"/>
      <c r="E964" s="192"/>
      <c r="F964" s="192"/>
      <c r="G964" s="192" t="str">
        <f>IFERROR(__xludf.DUMMYFUNCTION("""COMPUTED_VALUE"""),"Ritvik Sharma")</f>
        <v>Ritvik Sharma</v>
      </c>
      <c r="H964" s="192" t="str">
        <f>IFERROR(__xludf.DUMMYFUNCTION("""COMPUTED_VALUE"""),"ritvik.sharma@zupee.in")</f>
        <v>ritvik.sharma@zupee.in</v>
      </c>
      <c r="I964" s="192" t="str">
        <f>IFERROR(__xludf.DUMMYFUNCTION("""COMPUTED_VALUE"""),"deep.dwivedi@zupee.in: - Data")</f>
        <v>deep.dwivedi@zupee.in: - Data</v>
      </c>
      <c r="J964" s="19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92"/>
      <c r="B965" s="192"/>
      <c r="C965" s="192"/>
      <c r="D965" s="192"/>
      <c r="E965" s="192"/>
      <c r="F965" s="192"/>
      <c r="G965" s="192" t="str">
        <f>IFERROR(__xludf.DUMMYFUNCTION("""COMPUTED_VALUE"""),"Satyam Singh")</f>
        <v>Satyam Singh</v>
      </c>
      <c r="H965" s="192" t="str">
        <f>IFERROR(__xludf.DUMMYFUNCTION("""COMPUTED_VALUE"""),"satyam.singh@zupee.in")</f>
        <v>satyam.singh@zupee.in</v>
      </c>
      <c r="I965" s="192" t="str">
        <f>IFERROR(__xludf.DUMMYFUNCTION("""COMPUTED_VALUE"""),"lekhika.dhariyal@zupee.in: - Digital Marketing")</f>
        <v>lekhika.dhariyal@zupee.in: - Digital Marketing</v>
      </c>
      <c r="J965" s="19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92"/>
      <c r="B966" s="192"/>
      <c r="C966" s="192"/>
      <c r="D966" s="192"/>
      <c r="E966" s="192"/>
      <c r="F966" s="192"/>
      <c r="G966" s="192" t="str">
        <f>IFERROR(__xludf.DUMMYFUNCTION("""COMPUTED_VALUE"""),"Kanwar Aditya Singh")</f>
        <v>Kanwar Aditya Singh</v>
      </c>
      <c r="H966" s="192" t="str">
        <f>IFERROR(__xludf.DUMMYFUNCTION("""COMPUTED_VALUE"""),"kanwar.singh@zupee.in")</f>
        <v>kanwar.singh@zupee.in</v>
      </c>
      <c r="I966" s="192" t="str">
        <f>IFERROR(__xludf.DUMMYFUNCTION("""COMPUTED_VALUE"""),"vipul.gupta@zupee.in: - Technology")</f>
        <v>vipul.gupta@zupee.in: - Technology</v>
      </c>
      <c r="J966" s="19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92"/>
      <c r="B967" s="192"/>
      <c r="C967" s="192"/>
      <c r="D967" s="192"/>
      <c r="E967" s="192"/>
      <c r="F967" s="192"/>
      <c r="G967" s="192" t="str">
        <f>IFERROR(__xludf.DUMMYFUNCTION("""COMPUTED_VALUE"""),"Sanchi Gupta")</f>
        <v>Sanchi Gupta</v>
      </c>
      <c r="H967" s="192" t="str">
        <f>IFERROR(__xludf.DUMMYFUNCTION("""COMPUTED_VALUE"""),"sanchi.gupta@zupee.in")</f>
        <v>sanchi.gupta@zupee.in</v>
      </c>
      <c r="I967" s="192" t="str">
        <f>IFERROR(__xludf.DUMMYFUNCTION("""COMPUTED_VALUE"""),"lekhika.dhariyal@zupee.in: - Digital Marketing")</f>
        <v>lekhika.dhariyal@zupee.in: - Digital Marketing</v>
      </c>
      <c r="J967" s="19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92"/>
      <c r="B968" s="192"/>
      <c r="C968" s="192"/>
      <c r="D968" s="192"/>
      <c r="E968" s="192"/>
      <c r="F968" s="192"/>
      <c r="G968" s="192" t="str">
        <f>IFERROR(__xludf.DUMMYFUNCTION("""COMPUTED_VALUE"""),"Rahul Satija")</f>
        <v>Rahul Satija</v>
      </c>
      <c r="H968" s="192" t="str">
        <f>IFERROR(__xludf.DUMMYFUNCTION("""COMPUTED_VALUE"""),"rahul.satija@zupee.in")</f>
        <v>rahul.satija@zupee.in</v>
      </c>
      <c r="I968" s="192" t="str">
        <f>IFERROR(__xludf.DUMMYFUNCTION("""COMPUTED_VALUE"""),"ankit.maheshwari@zupee.in: - Finance")</f>
        <v>ankit.maheshwari@zupee.in: - Finance</v>
      </c>
      <c r="J968" s="19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92"/>
      <c r="B969" s="192"/>
      <c r="C969" s="192"/>
      <c r="D969" s="192"/>
      <c r="E969" s="192"/>
      <c r="F969" s="192"/>
      <c r="G969" s="192" t="str">
        <f>IFERROR(__xludf.DUMMYFUNCTION("""COMPUTED_VALUE"""),"Nikhil Jain")</f>
        <v>Nikhil Jain</v>
      </c>
      <c r="H969" s="192" t="str">
        <f>IFERROR(__xludf.DUMMYFUNCTION("""COMPUTED_VALUE"""),"nikhil.jain@zupee.in")</f>
        <v>nikhil.jain@zupee.in</v>
      </c>
      <c r="I969" s="192" t="str">
        <f>IFERROR(__xludf.DUMMYFUNCTION("""COMPUTED_VALUE"""),"saurabh.khurana@zupee.in: - Data")</f>
        <v>saurabh.khurana@zupee.in: - Data</v>
      </c>
      <c r="J969" s="19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92"/>
      <c r="B970" s="192"/>
      <c r="C970" s="192"/>
      <c r="D970" s="192"/>
      <c r="E970" s="192"/>
      <c r="F970" s="192"/>
      <c r="G970" s="192" t="str">
        <f>IFERROR(__xludf.DUMMYFUNCTION("""COMPUTED_VALUE"""),"Anjali pal")</f>
        <v>Anjali pal</v>
      </c>
      <c r="H970" s="192" t="str">
        <f>IFERROR(__xludf.DUMMYFUNCTION("""COMPUTED_VALUE"""),"anjali.pal@zupee.in")</f>
        <v>anjali.pal@zupee.in</v>
      </c>
      <c r="I970" s="192" t="str">
        <f>IFERROR(__xludf.DUMMYFUNCTION("""COMPUTED_VALUE"""),"sanjeev.kumar@zupee.in: - Customer Experience")</f>
        <v>sanjeev.kumar@zupee.in: - Customer Experience</v>
      </c>
      <c r="J970" s="19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92"/>
      <c r="B971" s="192"/>
      <c r="C971" s="192"/>
      <c r="D971" s="192"/>
      <c r="E971" s="192"/>
      <c r="F971" s="192"/>
      <c r="G971" s="192" t="str">
        <f>IFERROR(__xludf.DUMMYFUNCTION("""COMPUTED_VALUE"""),"Nidhi Kashyap")</f>
        <v>Nidhi Kashyap</v>
      </c>
      <c r="H971" s="192" t="str">
        <f>IFERROR(__xludf.DUMMYFUNCTION("""COMPUTED_VALUE"""),"nidhi.kashyap@zupee.in")</f>
        <v>nidhi.kashyap@zupee.in</v>
      </c>
      <c r="I971" s="192" t="str">
        <f>IFERROR(__xludf.DUMMYFUNCTION("""COMPUTED_VALUE"""),"shivam.bali@zupee.in: - Customer Experience")</f>
        <v>shivam.bali@zupee.in: - Customer Experience</v>
      </c>
      <c r="J971" s="19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92"/>
      <c r="B972" s="192"/>
      <c r="C972" s="192"/>
      <c r="D972" s="192"/>
      <c r="E972" s="192"/>
      <c r="F972" s="192"/>
      <c r="G972" s="192" t="str">
        <f>IFERROR(__xludf.DUMMYFUNCTION("""COMPUTED_VALUE"""),"Rukhsar Bano - Jindal")</f>
        <v>Rukhsar Bano - Jindal</v>
      </c>
      <c r="H972" s="192" t="str">
        <f>IFERROR(__xludf.DUMMYFUNCTION("""COMPUTED_VALUE"""),"rukhsar.bano@zupee.in")</f>
        <v>rukhsar.bano@zupee.in</v>
      </c>
      <c r="I972" s="192" t="str">
        <f>IFERROR(__xludf.DUMMYFUNCTION("""COMPUTED_VALUE"""),"mohini.bhardwaj@zupee.in: - Customer Experience")</f>
        <v>mohini.bhardwaj@zupee.in: - Customer Experience</v>
      </c>
      <c r="J972" s="19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92"/>
      <c r="B973" s="192"/>
      <c r="C973" s="192"/>
      <c r="D973" s="192"/>
      <c r="E973" s="192"/>
      <c r="F973" s="192"/>
      <c r="G973" s="192" t="str">
        <f>IFERROR(__xludf.DUMMYFUNCTION("""COMPUTED_VALUE"""),"Mrityunjay Kumar")</f>
        <v>Mrityunjay Kumar</v>
      </c>
      <c r="H973" s="192" t="str">
        <f>IFERROR(__xludf.DUMMYFUNCTION("""COMPUTED_VALUE"""),"mrityunjay.k@zupee.in")</f>
        <v>mrityunjay.k@zupee.in</v>
      </c>
      <c r="I973" s="192" t="str">
        <f>IFERROR(__xludf.DUMMYFUNCTION("""COMPUTED_VALUE"""),"sumit.yadav@zupee.in: - Customer Experience")</f>
        <v>sumit.yadav@zupee.in: - Customer Experience</v>
      </c>
      <c r="J973" s="19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92"/>
      <c r="B974" s="192"/>
      <c r="C974" s="192"/>
      <c r="D974" s="192"/>
      <c r="E974" s="192"/>
      <c r="F974" s="192"/>
      <c r="G974" s="192" t="str">
        <f>IFERROR(__xludf.DUMMYFUNCTION("""COMPUTED_VALUE"""),"Shivani Bisht")</f>
        <v>Shivani Bisht</v>
      </c>
      <c r="H974" s="192" t="str">
        <f>IFERROR(__xludf.DUMMYFUNCTION("""COMPUTED_VALUE"""),"shivani.bisht@zupee.in")</f>
        <v>shivani.bisht@zupee.in</v>
      </c>
      <c r="I974" s="192" t="str">
        <f>IFERROR(__xludf.DUMMYFUNCTION("""COMPUTED_VALUE"""),"vivek.jain@zupee.in: - Human Resources")</f>
        <v>vivek.jain@zupee.in: - Human Resources</v>
      </c>
      <c r="J974" s="19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92"/>
      <c r="B975" s="192"/>
      <c r="C975" s="192"/>
      <c r="D975" s="192"/>
      <c r="E975" s="192"/>
      <c r="F975" s="192"/>
      <c r="G975" s="192" t="str">
        <f>IFERROR(__xludf.DUMMYFUNCTION("""COMPUTED_VALUE"""),"Ravi Jha")</f>
        <v>Ravi Jha</v>
      </c>
      <c r="H975" s="192" t="str">
        <f>IFERROR(__xludf.DUMMYFUNCTION("""COMPUTED_VALUE"""),"ravi.jha@zupee.in")</f>
        <v>ravi.jha@zupee.in</v>
      </c>
      <c r="I975" s="192" t="str">
        <f>IFERROR(__xludf.DUMMYFUNCTION("""COMPUTED_VALUE"""),"govind.mittal@zupee.in: - Public Policy")</f>
        <v>govind.mittal@zupee.in: - Public Policy</v>
      </c>
      <c r="J975" s="19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92"/>
      <c r="B976" s="192"/>
      <c r="C976" s="192"/>
      <c r="D976" s="192"/>
      <c r="E976" s="192"/>
      <c r="F976" s="192"/>
      <c r="G976" s="192" t="str">
        <f>IFERROR(__xludf.DUMMYFUNCTION("""COMPUTED_VALUE"""),"Richa Sharma")</f>
        <v>Richa Sharma</v>
      </c>
      <c r="H976" s="192" t="str">
        <f>IFERROR(__xludf.DUMMYFUNCTION("""COMPUTED_VALUE"""),"richa.sharma@zupee.in")</f>
        <v>richa.sharma@zupee.in</v>
      </c>
      <c r="I976" s="192" t="str">
        <f>IFERROR(__xludf.DUMMYFUNCTION("""COMPUTED_VALUE"""),"sushil.patel@zupee.in: - Human Resources")</f>
        <v>sushil.patel@zupee.in: - Human Resources</v>
      </c>
      <c r="J976" s="19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92"/>
      <c r="B977" s="192"/>
      <c r="C977" s="192"/>
      <c r="D977" s="192"/>
      <c r="E977" s="192"/>
      <c r="F977" s="192"/>
      <c r="G977" s="192" t="str">
        <f>IFERROR(__xludf.DUMMYFUNCTION("""COMPUTED_VALUE"""),"Avanish Kumar Dubey")</f>
        <v>Avanish Kumar Dubey</v>
      </c>
      <c r="H977" s="192" t="str">
        <f>IFERROR(__xludf.DUMMYFUNCTION("""COMPUTED_VALUE"""),"avanish.dubey@zupee.in")</f>
        <v>avanish.dubey@zupee.in</v>
      </c>
      <c r="I977" s="192" t="str">
        <f>IFERROR(__xludf.DUMMYFUNCTION("""COMPUTED_VALUE"""),"vishal.agarwal@zupee.in: - Technology")</f>
        <v>vishal.agarwal@zupee.in: - Technology</v>
      </c>
      <c r="J977" s="19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92"/>
      <c r="B978" s="192"/>
      <c r="C978" s="192"/>
      <c r="D978" s="192"/>
      <c r="E978" s="192"/>
      <c r="F978" s="192"/>
      <c r="G978" s="192" t="str">
        <f>IFERROR(__xludf.DUMMYFUNCTION("""COMPUTED_VALUE"""),"Prityankur Biswas")</f>
        <v>Prityankur Biswas</v>
      </c>
      <c r="H978" s="192" t="str">
        <f>IFERROR(__xludf.DUMMYFUNCTION("""COMPUTED_VALUE"""),"prityankur.biswas@zupee.in")</f>
        <v>prityankur.biswas@zupee.in</v>
      </c>
      <c r="I978" s="192" t="str">
        <f>IFERROR(__xludf.DUMMYFUNCTION("""COMPUTED_VALUE"""),"vipul.gupta@zupee.in: - Technology")</f>
        <v>vipul.gupta@zupee.in: - Technology</v>
      </c>
      <c r="J978" s="19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92"/>
      <c r="B979" s="192"/>
      <c r="C979" s="192"/>
      <c r="D979" s="192"/>
      <c r="E979" s="192"/>
      <c r="F979" s="192"/>
      <c r="G979" s="192" t="str">
        <f>IFERROR(__xludf.DUMMYFUNCTION("""COMPUTED_VALUE"""),"Aditi Khanna")</f>
        <v>Aditi Khanna</v>
      </c>
      <c r="H979" s="192" t="str">
        <f>IFERROR(__xludf.DUMMYFUNCTION("""COMPUTED_VALUE"""),"aditi.khanna@zupee.in")</f>
        <v>aditi.khanna@zupee.in</v>
      </c>
      <c r="I979" s="192" t="str">
        <f>IFERROR(__xludf.DUMMYFUNCTION("""COMPUTED_VALUE"""),"pratyaksh.rawat@zupee.in: - Org")</f>
        <v>pratyaksh.rawat@zupee.in: - Org</v>
      </c>
      <c r="J979" s="19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92"/>
      <c r="B980" s="192"/>
      <c r="C980" s="192"/>
      <c r="D980" s="192"/>
      <c r="E980" s="192"/>
      <c r="F980" s="192"/>
      <c r="G980" s="192" t="str">
        <f>IFERROR(__xludf.DUMMYFUNCTION("""COMPUTED_VALUE"""),"Abhishek Prasad")</f>
        <v>Abhishek Prasad</v>
      </c>
      <c r="H980" s="192" t="str">
        <f>IFERROR(__xludf.DUMMYFUNCTION("""COMPUTED_VALUE"""),"abhishek.prasad@zupee.in")</f>
        <v>abhishek.prasad@zupee.in</v>
      </c>
      <c r="I980" s="192" t="str">
        <f>IFERROR(__xludf.DUMMYFUNCTION("""COMPUTED_VALUE"""),"shiwani.pokhriyal@zupee.in: - Customer Experience")</f>
        <v>shiwani.pokhriyal@zupee.in: - Customer Experience</v>
      </c>
      <c r="J980" s="19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92"/>
      <c r="B981" s="192"/>
      <c r="C981" s="192"/>
      <c r="D981" s="192"/>
      <c r="E981" s="192"/>
      <c r="F981" s="192"/>
      <c r="G981" s="192" t="str">
        <f>IFERROR(__xludf.DUMMYFUNCTION("""COMPUTED_VALUE"""),"Piyush Patel")</f>
        <v>Piyush Patel</v>
      </c>
      <c r="H981" s="192" t="str">
        <f>IFERROR(__xludf.DUMMYFUNCTION("""COMPUTED_VALUE"""),"piyush.patel@zupee.in")</f>
        <v>piyush.patel@zupee.in</v>
      </c>
      <c r="I981" s="192" t="str">
        <f>IFERROR(__xludf.DUMMYFUNCTION("""COMPUTED_VALUE"""),"nishant.jaiswal@zupee.in: - Digital Marketing")</f>
        <v>nishant.jaiswal@zupee.in: - Digital Marketing</v>
      </c>
      <c r="J981" s="19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92"/>
      <c r="B982" s="192"/>
      <c r="C982" s="192"/>
      <c r="D982" s="192"/>
      <c r="E982" s="192"/>
      <c r="F982" s="192"/>
      <c r="G982" s="192" t="str">
        <f>IFERROR(__xludf.DUMMYFUNCTION("""COMPUTED_VALUE"""),"Ayush Gupta")</f>
        <v>Ayush Gupta</v>
      </c>
      <c r="H982" s="192" t="str">
        <f>IFERROR(__xludf.DUMMYFUNCTION("""COMPUTED_VALUE"""),"ayush.g@zupee.in")</f>
        <v>ayush.g@zupee.in</v>
      </c>
      <c r="I982" s="192" t="str">
        <f>IFERROR(__xludf.DUMMYFUNCTION("""COMPUTED_VALUE"""),"aman.k@zupee.in: - Technology")</f>
        <v>aman.k@zupee.in: - Technology</v>
      </c>
      <c r="J982" s="19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92"/>
      <c r="B983" s="192"/>
      <c r="C983" s="192"/>
      <c r="D983" s="192"/>
      <c r="E983" s="192"/>
      <c r="F983" s="192"/>
      <c r="G983" s="192" t="str">
        <f>IFERROR(__xludf.DUMMYFUNCTION("""COMPUTED_VALUE"""),"Harshit Makhija")</f>
        <v>Harshit Makhija</v>
      </c>
      <c r="H983" s="192" t="str">
        <f>IFERROR(__xludf.DUMMYFUNCTION("""COMPUTED_VALUE"""),"harshit.makhija@zupee.in")</f>
        <v>harshit.makhija@zupee.in</v>
      </c>
      <c r="I983" s="192" t="str">
        <f>IFERROR(__xludf.DUMMYFUNCTION("""COMPUTED_VALUE"""),"nikhil.kaplas@zupee.in: - Technology")</f>
        <v>nikhil.kaplas@zupee.in: - Technology</v>
      </c>
      <c r="J983" s="19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92"/>
      <c r="B984" s="192"/>
      <c r="C984" s="192"/>
      <c r="D984" s="192"/>
      <c r="E984" s="192"/>
      <c r="F984" s="192"/>
      <c r="G984" s="192" t="str">
        <f>IFERROR(__xludf.DUMMYFUNCTION("""COMPUTED_VALUE"""),"Om Hari Mishra")</f>
        <v>Om Hari Mishra</v>
      </c>
      <c r="H984" s="192" t="str">
        <f>IFERROR(__xludf.DUMMYFUNCTION("""COMPUTED_VALUE"""),"om.mishra@zupee.in")</f>
        <v>om.mishra@zupee.in</v>
      </c>
      <c r="I984" s="192" t="str">
        <f>IFERROR(__xludf.DUMMYFUNCTION("""COMPUTED_VALUE"""),"shivam.bali@zupee.in: - Customer Experience")</f>
        <v>shivam.bali@zupee.in: - Customer Experience</v>
      </c>
      <c r="J984" s="19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92"/>
      <c r="B985" s="192"/>
      <c r="C985" s="192"/>
      <c r="D985" s="192"/>
      <c r="E985" s="192"/>
      <c r="F985" s="192"/>
      <c r="G985" s="192" t="str">
        <f>IFERROR(__xludf.DUMMYFUNCTION("""COMPUTED_VALUE"""),"Parth Jindal")</f>
        <v>Parth Jindal</v>
      </c>
      <c r="H985" s="192" t="str">
        <f>IFERROR(__xludf.DUMMYFUNCTION("""COMPUTED_VALUE"""),"parth.jindal@zupee.in")</f>
        <v>parth.jindal@zupee.in</v>
      </c>
      <c r="I985" s="192" t="str">
        <f>IFERROR(__xludf.DUMMYFUNCTION("""COMPUTED_VALUE"""),"rahul.sharma@zupee.in: - Technology")</f>
        <v>rahul.sharma@zupee.in: - Technology</v>
      </c>
      <c r="J985" s="19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92"/>
      <c r="B986" s="192"/>
      <c r="C986" s="192"/>
      <c r="D986" s="192"/>
      <c r="E986" s="192"/>
      <c r="F986" s="192"/>
      <c r="G986" s="192" t="str">
        <f>IFERROR(__xludf.DUMMYFUNCTION("""COMPUTED_VALUE"""),"Punit Sharma")</f>
        <v>Punit Sharma</v>
      </c>
      <c r="H986" s="192" t="str">
        <f>IFERROR(__xludf.DUMMYFUNCTION("""COMPUTED_VALUE"""),"punit.sharma@zupee.in")</f>
        <v>punit.sharma@zupee.in</v>
      </c>
      <c r="I986" s="192" t="str">
        <f>IFERROR(__xludf.DUMMYFUNCTION("""COMPUTED_VALUE"""),"shashank.gupta@zupee.in: - Finance")</f>
        <v>shashank.gupta@zupee.in: - Finance</v>
      </c>
      <c r="J986" s="19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92"/>
      <c r="B987" s="192"/>
      <c r="C987" s="192"/>
      <c r="D987" s="192"/>
      <c r="E987" s="192"/>
      <c r="F987" s="192"/>
      <c r="G987" s="192" t="str">
        <f>IFERROR(__xludf.DUMMYFUNCTION("""COMPUTED_VALUE"""),"Shankar Sangwan - Jindal")</f>
        <v>Shankar Sangwan - Jindal</v>
      </c>
      <c r="H987" s="192" t="str">
        <f>IFERROR(__xludf.DUMMYFUNCTION("""COMPUTED_VALUE"""),"shankar.sangwan@zupee.in")</f>
        <v>shankar.sangwan@zupee.in</v>
      </c>
      <c r="I987" s="192" t="str">
        <f>IFERROR(__xludf.DUMMYFUNCTION("""COMPUTED_VALUE"""),"mohini.bhardwaj@zupee.in: - Customer Experience")</f>
        <v>mohini.bhardwaj@zupee.in: - Customer Experience</v>
      </c>
      <c r="J987" s="19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92"/>
      <c r="B988" s="192"/>
      <c r="C988" s="192"/>
      <c r="D988" s="192"/>
      <c r="E988" s="192"/>
      <c r="F988" s="192"/>
      <c r="G988" s="192" t="str">
        <f>IFERROR(__xludf.DUMMYFUNCTION("""COMPUTED_VALUE"""),"Ravi Kaushik - Jindal")</f>
        <v>Ravi Kaushik - Jindal</v>
      </c>
      <c r="H988" s="192" t="str">
        <f>IFERROR(__xludf.DUMMYFUNCTION("""COMPUTED_VALUE"""),"ravi.kaushik@zupee.in")</f>
        <v>ravi.kaushik@zupee.in</v>
      </c>
      <c r="I988" s="192" t="str">
        <f>IFERROR(__xludf.DUMMYFUNCTION("""COMPUTED_VALUE"""),"mohini.bhardwaj@zupee.in: - Customer Experience")</f>
        <v>mohini.bhardwaj@zupee.in: - Customer Experience</v>
      </c>
      <c r="J988" s="19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92"/>
      <c r="B989" s="192"/>
      <c r="C989" s="192"/>
      <c r="D989" s="192"/>
      <c r="E989" s="192"/>
      <c r="F989" s="192"/>
      <c r="G989" s="192" t="str">
        <f>IFERROR(__xludf.DUMMYFUNCTION("""COMPUTED_VALUE"""),"Vip Team")</f>
        <v>Vip Team</v>
      </c>
      <c r="H989" s="192" t="str">
        <f>IFERROR(__xludf.DUMMYFUNCTION("""COMPUTED_VALUE"""),"vip-team@zupee.in")</f>
        <v>vip-team@zupee.in</v>
      </c>
      <c r="I989" s="192" t="str">
        <f>IFERROR(__xludf.DUMMYFUNCTION("""COMPUTED_VALUE"""),"aman.chhabra@zupee.in: - Customer Experience")</f>
        <v>aman.chhabra@zupee.in: - Customer Experience</v>
      </c>
      <c r="J989" s="19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92"/>
      <c r="B990" s="192"/>
      <c r="C990" s="192"/>
      <c r="D990" s="192"/>
      <c r="E990" s="192"/>
      <c r="F990" s="192"/>
      <c r="G990" s="192" t="str">
        <f>IFERROR(__xludf.DUMMYFUNCTION("""COMPUTED_VALUE"""),"Data Auth")</f>
        <v>Data Auth</v>
      </c>
      <c r="H990" s="192" t="str">
        <f>IFERROR(__xludf.DUMMYFUNCTION("""COMPUTED_VALUE"""),"data-auth@zupee.in")</f>
        <v>data-auth@zupee.in</v>
      </c>
      <c r="I990" s="192" t="str">
        <f>IFERROR(__xludf.DUMMYFUNCTION("""COMPUTED_VALUE"""),"aman.kumar@zupee.in: - Technology")</f>
        <v>aman.kumar@zupee.in: - Technology</v>
      </c>
      <c r="J990" s="19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92"/>
      <c r="B991" s="192"/>
      <c r="C991" s="192"/>
      <c r="D991" s="192"/>
      <c r="E991" s="192"/>
      <c r="F991" s="192"/>
      <c r="G991" s="192" t="str">
        <f>IFERROR(__xludf.DUMMYFUNCTION("""COMPUTED_VALUE"""),"Jaidev Chauhan")</f>
        <v>Jaidev Chauhan</v>
      </c>
      <c r="H991" s="192" t="str">
        <f>IFERROR(__xludf.DUMMYFUNCTION("""COMPUTED_VALUE"""),"jaidev.chauhan@zupee.in")</f>
        <v>jaidev.chauhan@zupee.in</v>
      </c>
      <c r="I991" s="192" t="str">
        <f>IFERROR(__xludf.DUMMYFUNCTION("""COMPUTED_VALUE"""),"mohini.bhardwaj@zupee.in: - Customer Experience")</f>
        <v>mohini.bhardwaj@zupee.in: - Customer Experience</v>
      </c>
      <c r="J991" s="19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92"/>
      <c r="B992" s="192"/>
      <c r="C992" s="192"/>
      <c r="D992" s="192"/>
      <c r="E992" s="192"/>
      <c r="F992" s="192"/>
      <c r="G992" s="192" t="str">
        <f>IFERROR(__xludf.DUMMYFUNCTION("""COMPUTED_VALUE"""),"Shivam Sharma")</f>
        <v>Shivam Sharma</v>
      </c>
      <c r="H992" s="192" t="str">
        <f>IFERROR(__xludf.DUMMYFUNCTION("""COMPUTED_VALUE"""),"shivam.s@zupee.in")</f>
        <v>shivam.s@zupee.in</v>
      </c>
      <c r="I992" s="192" t="str">
        <f>IFERROR(__xludf.DUMMYFUNCTION("""COMPUTED_VALUE"""),"m.sangeetha@zupee.in: - Human Resources")</f>
        <v>m.sangeetha@zupee.in: - Human Resources</v>
      </c>
      <c r="J992" s="19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92"/>
      <c r="B993" s="192"/>
      <c r="C993" s="192"/>
      <c r="D993" s="192"/>
      <c r="E993" s="192"/>
      <c r="F993" s="192"/>
      <c r="G993" s="192" t="str">
        <f>IFERROR(__xludf.DUMMYFUNCTION("""COMPUTED_VALUE"""),"Shyam Sunder Verma")</f>
        <v>Shyam Sunder Verma</v>
      </c>
      <c r="H993" s="192" t="str">
        <f>IFERROR(__xludf.DUMMYFUNCTION("""COMPUTED_VALUE"""),"shyam.verma@zupee.in")</f>
        <v>shyam.verma@zupee.in</v>
      </c>
      <c r="I993" s="192" t="str">
        <f>IFERROR(__xludf.DUMMYFUNCTION("""COMPUTED_VALUE"""),"dilsher.malhi@zupee.in: - Org")</f>
        <v>dilsher.malhi@zupee.in: - Org</v>
      </c>
      <c r="J993" s="19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92"/>
      <c r="B994" s="192"/>
      <c r="C994" s="192"/>
      <c r="D994" s="192"/>
      <c r="E994" s="192"/>
      <c r="F994" s="192"/>
      <c r="G994" s="192" t="str">
        <f>IFERROR(__xludf.DUMMYFUNCTION("""COMPUTED_VALUE"""),"Aditya Samantaray")</f>
        <v>Aditya Samantaray</v>
      </c>
      <c r="H994" s="192" t="str">
        <f>IFERROR(__xludf.DUMMYFUNCTION("""COMPUTED_VALUE"""),"aditya.samantaray@zupee.in")</f>
        <v>aditya.samantaray@zupee.in</v>
      </c>
      <c r="I994" s="192" t="str">
        <f>IFERROR(__xludf.DUMMYFUNCTION("""COMPUTED_VALUE"""),"vishal.agarwal@zupee.in: - Technology")</f>
        <v>vishal.agarwal@zupee.in: - Technology</v>
      </c>
      <c r="J994" s="19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92"/>
      <c r="B995" s="192"/>
      <c r="C995" s="192"/>
      <c r="D995" s="192"/>
      <c r="E995" s="192"/>
      <c r="F995" s="192"/>
      <c r="G995" s="192" t="str">
        <f>IFERROR(__xludf.DUMMYFUNCTION("""COMPUTED_VALUE"""),"HR Informant")</f>
        <v>HR Informant</v>
      </c>
      <c r="H995" s="192" t="str">
        <f>IFERROR(__xludf.DUMMYFUNCTION("""COMPUTED_VALUE"""),"informant@zupee.in")</f>
        <v>informant@zupee.in</v>
      </c>
      <c r="I995" s="192" t="str">
        <f>IFERROR(__xludf.DUMMYFUNCTION("""COMPUTED_VALUE"""),"shivani.bisht@zupee.in: - Human Resources")</f>
        <v>shivani.bisht@zupee.in: - Human Resources</v>
      </c>
      <c r="J995" s="19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92"/>
      <c r="B996" s="192"/>
      <c r="C996" s="192"/>
      <c r="D996" s="192"/>
      <c r="E996" s="192"/>
      <c r="F996" s="192"/>
      <c r="G996" s="192" t="str">
        <f>IFERROR(__xludf.DUMMYFUNCTION("""COMPUTED_VALUE"""),"Meenu Bharti")</f>
        <v>Meenu Bharti</v>
      </c>
      <c r="H996" s="192" t="str">
        <f>IFERROR(__xludf.DUMMYFUNCTION("""COMPUTED_VALUE"""),"meenu.bharti@zupee.in")</f>
        <v>meenu.bharti@zupee.in</v>
      </c>
      <c r="I996" s="192" t="str">
        <f>IFERROR(__xludf.DUMMYFUNCTION("""COMPUTED_VALUE"""),"sushil.patel@zupee.in: - Human Resources")</f>
        <v>sushil.patel@zupee.in: - Human Resources</v>
      </c>
      <c r="J996" s="19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92"/>
      <c r="B997" s="192"/>
      <c r="C997" s="192"/>
      <c r="D997" s="192"/>
      <c r="E997" s="192"/>
      <c r="F997" s="192"/>
      <c r="G997" s="192" t="str">
        <f>IFERROR(__xludf.DUMMYFUNCTION("""COMPUTED_VALUE"""),"Ayush Dabas")</f>
        <v>Ayush Dabas</v>
      </c>
      <c r="H997" s="192" t="str">
        <f>IFERROR(__xludf.DUMMYFUNCTION("""COMPUTED_VALUE"""),"ayush.dabas@zupee.in")</f>
        <v>ayush.dabas@zupee.in</v>
      </c>
      <c r="I997" s="192" t="str">
        <f>IFERROR(__xludf.DUMMYFUNCTION("""COMPUTED_VALUE"""),"narender.tyagi@zupee.in: - Technology")</f>
        <v>narender.tyagi@zupee.in: - Technology</v>
      </c>
      <c r="J997" s="19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92"/>
      <c r="B998" s="192"/>
      <c r="C998" s="192"/>
      <c r="D998" s="192"/>
      <c r="E998" s="192"/>
      <c r="F998" s="192"/>
      <c r="G998" s="192" t="str">
        <f>IFERROR(__xludf.DUMMYFUNCTION("""COMPUTED_VALUE"""),"Vivek Choudhary")</f>
        <v>Vivek Choudhary</v>
      </c>
      <c r="H998" s="192" t="str">
        <f>IFERROR(__xludf.DUMMYFUNCTION("""COMPUTED_VALUE"""),"vivek.choudhary@zupee.in")</f>
        <v>vivek.choudhary@zupee.in</v>
      </c>
      <c r="I998" s="192" t="str">
        <f>IFERROR(__xludf.DUMMYFUNCTION("""COMPUTED_VALUE"""),"rohit.saini@zupee.in: - Technology")</f>
        <v>rohit.saini@zupee.in: - Technology</v>
      </c>
      <c r="J998" s="19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92"/>
      <c r="B999" s="192"/>
      <c r="C999" s="192"/>
      <c r="D999" s="192"/>
      <c r="E999" s="192"/>
      <c r="F999" s="192"/>
      <c r="G999" s="192" t="str">
        <f>IFERROR(__xludf.DUMMYFUNCTION("""COMPUTED_VALUE"""),"Founders Office")</f>
        <v>Founders Office</v>
      </c>
      <c r="H999" s="192" t="str">
        <f>IFERROR(__xludf.DUMMYFUNCTION("""COMPUTED_VALUE"""),"foundersoffice@zupee.in")</f>
        <v>foundersoffice@zupee.in</v>
      </c>
      <c r="I999" s="192" t="str">
        <f>IFERROR(__xludf.DUMMYFUNCTION("""COMPUTED_VALUE"""),"aditi.khanna@zupee.in: - Founder's Office")</f>
        <v>aditi.khanna@zupee.in: - Founder's Office</v>
      </c>
      <c r="J999" s="19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92"/>
      <c r="B1000" s="192"/>
      <c r="C1000" s="192"/>
      <c r="D1000" s="192"/>
      <c r="E1000" s="192"/>
      <c r="F1000" s="192"/>
      <c r="G1000" s="192" t="str">
        <f>IFERROR(__xludf.DUMMYFUNCTION("""COMPUTED_VALUE"""),"Chetan More")</f>
        <v>Chetan More</v>
      </c>
      <c r="H1000" s="192" t="str">
        <f>IFERROR(__xludf.DUMMYFUNCTION("""COMPUTED_VALUE"""),"chetan.more@zupee.in")</f>
        <v>chetan.more@zupee.in</v>
      </c>
      <c r="I1000" s="192" t="str">
        <f>IFERROR(__xludf.DUMMYFUNCTION("""COMPUTED_VALUE"""),"avijit.sharma@zupee.in: - Legal")</f>
        <v>avijit.sharma@zupee.in: - Legal</v>
      </c>
      <c r="J1000" s="19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92"/>
      <c r="B1001" s="192"/>
      <c r="C1001" s="192"/>
      <c r="D1001" s="192"/>
      <c r="E1001" s="192"/>
      <c r="F1001" s="192"/>
      <c r="G1001" s="192" t="str">
        <f>IFERROR(__xludf.DUMMYFUNCTION("""COMPUTED_VALUE"""),"Shashank Gupta")</f>
        <v>Shashank Gupta</v>
      </c>
      <c r="H1001" s="192" t="str">
        <f>IFERROR(__xludf.DUMMYFUNCTION("""COMPUTED_VALUE"""),"shashank.gupta@zupee.in")</f>
        <v>shashank.gupta@zupee.in</v>
      </c>
      <c r="I1001" s="192" t="str">
        <f>IFERROR(__xludf.DUMMYFUNCTION("""COMPUTED_VALUE"""),"ankit.maheshwari@zupee.in: - Finance")</f>
        <v>ankit.maheshwari@zupee.in: - Finance</v>
      </c>
      <c r="J1001" s="19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92"/>
      <c r="B1002" s="192"/>
      <c r="C1002" s="192"/>
      <c r="D1002" s="192"/>
      <c r="E1002" s="192"/>
      <c r="F1002" s="192"/>
      <c r="G1002" s="192" t="str">
        <f>IFERROR(__xludf.DUMMYFUNCTION("""COMPUTED_VALUE"""),"Sunny Singh")</f>
        <v>Sunny Singh</v>
      </c>
      <c r="H1002" s="192" t="str">
        <f>IFERROR(__xludf.DUMMYFUNCTION("""COMPUTED_VALUE"""),"sunny.singh@zupee.in")</f>
        <v>sunny.singh@zupee.in</v>
      </c>
      <c r="I1002" s="192" t="str">
        <f>IFERROR(__xludf.DUMMYFUNCTION("""COMPUTED_VALUE"""),"gaurav.khanna@zupee.in: - Administration")</f>
        <v>gaurav.khanna@zupee.in: - Administration</v>
      </c>
      <c r="J1002" s="19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92"/>
      <c r="B1003" s="192"/>
      <c r="C1003" s="192"/>
      <c r="D1003" s="192"/>
      <c r="E1003" s="192"/>
      <c r="F1003" s="192"/>
      <c r="G1003" s="192" t="str">
        <f>IFERROR(__xludf.DUMMYFUNCTION("""COMPUTED_VALUE"""),"Rishabh Bhatia")</f>
        <v>Rishabh Bhatia</v>
      </c>
      <c r="H1003" s="192" t="str">
        <f>IFERROR(__xludf.DUMMYFUNCTION("""COMPUTED_VALUE"""),"rishabh.bhatia@zupee.in")</f>
        <v>rishabh.bhatia@zupee.in</v>
      </c>
      <c r="I1003" s="192" t="str">
        <f>IFERROR(__xludf.DUMMYFUNCTION("""COMPUTED_VALUE"""),"aman.g@zupee.in: - Technology")</f>
        <v>aman.g@zupee.in: - Technology</v>
      </c>
      <c r="J1003" s="19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92"/>
      <c r="B1004" s="192"/>
      <c r="C1004" s="192"/>
      <c r="D1004" s="192"/>
      <c r="E1004" s="192"/>
      <c r="F1004" s="192"/>
      <c r="G1004" s="192" t="str">
        <f>IFERROR(__xludf.DUMMYFUNCTION("""COMPUTED_VALUE"""),"Rajan Jayaswal")</f>
        <v>Rajan Jayaswal</v>
      </c>
      <c r="H1004" s="192" t="str">
        <f>IFERROR(__xludf.DUMMYFUNCTION("""COMPUTED_VALUE"""),"rajan.jayaswal@zupee.in")</f>
        <v>rajan.jayaswal@zupee.in</v>
      </c>
      <c r="I1004" s="192" t="str">
        <f>IFERROR(__xludf.DUMMYFUNCTION("""COMPUTED_VALUE"""),"anish.abraham@zupee.in: - Product Design")</f>
        <v>anish.abraham@zupee.in: - Product Design</v>
      </c>
      <c r="J1004" s="19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92"/>
      <c r="B1005" s="192"/>
      <c r="C1005" s="192"/>
      <c r="D1005" s="192"/>
      <c r="E1005" s="192"/>
      <c r="F1005" s="192"/>
      <c r="G1005" s="192" t="str">
        <f>IFERROR(__xludf.DUMMYFUNCTION("""COMPUTED_VALUE"""),"Amrit Anand")</f>
        <v>Amrit Anand</v>
      </c>
      <c r="H1005" s="192" t="str">
        <f>IFERROR(__xludf.DUMMYFUNCTION("""COMPUTED_VALUE"""),"amrit.anand@zupee.in")</f>
        <v>amrit.anand@zupee.in</v>
      </c>
      <c r="I1005" s="192" t="str">
        <f>IFERROR(__xludf.DUMMYFUNCTION("""COMPUTED_VALUE"""),"govind.mittal@zupee.in: - P R &amp; Corporate Comms")</f>
        <v>govind.mittal@zupee.in: - P R &amp; Corporate Comms</v>
      </c>
      <c r="J1005" s="19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92"/>
      <c r="B1006" s="192"/>
      <c r="C1006" s="192"/>
      <c r="D1006" s="192"/>
      <c r="E1006" s="192"/>
      <c r="F1006" s="192"/>
      <c r="G1006" s="192" t="str">
        <f>IFERROR(__xludf.DUMMYFUNCTION("""COMPUTED_VALUE"""),"Himanshu Nagpal")</f>
        <v>Himanshu Nagpal</v>
      </c>
      <c r="H1006" s="192" t="str">
        <f>IFERROR(__xludf.DUMMYFUNCTION("""COMPUTED_VALUE"""),"himanshu.nagpal@zupee.in")</f>
        <v>himanshu.nagpal@zupee.in</v>
      </c>
      <c r="I1006" s="192" t="str">
        <f>IFERROR(__xludf.DUMMYFUNCTION("""COMPUTED_VALUE"""),"shivam.bali@zupee.in: - Customer Experience")</f>
        <v>shivam.bali@zupee.in: - Customer Experience</v>
      </c>
      <c r="J1006" s="19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92"/>
      <c r="B1007" s="192"/>
      <c r="C1007" s="192"/>
      <c r="D1007" s="192"/>
      <c r="E1007" s="192"/>
      <c r="F1007" s="192"/>
      <c r="G1007" s="192" t="str">
        <f>IFERROR(__xludf.DUMMYFUNCTION("""COMPUTED_VALUE"""),"Suryanshu Shekhar")</f>
        <v>Suryanshu Shekhar</v>
      </c>
      <c r="H1007" s="192" t="str">
        <f>IFERROR(__xludf.DUMMYFUNCTION("""COMPUTED_VALUE"""),"suryanshu.shekhar@zupee.in")</f>
        <v>suryanshu.shekhar@zupee.in</v>
      </c>
      <c r="I1007" s="192" t="str">
        <f>IFERROR(__xludf.DUMMYFUNCTION("""COMPUTED_VALUE"""),"raman.malik@zupee.in: - Data")</f>
        <v>raman.malik@zupee.in: - Data</v>
      </c>
      <c r="J1007" s="19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92"/>
      <c r="B1008" s="192"/>
      <c r="C1008" s="192"/>
      <c r="D1008" s="192"/>
      <c r="E1008" s="192"/>
      <c r="F1008" s="192"/>
      <c r="G1008" s="192" t="str">
        <f>IFERROR(__xludf.DUMMYFUNCTION("""COMPUTED_VALUE"""),"CRM VIP")</f>
        <v>CRM VIP</v>
      </c>
      <c r="H1008" s="192" t="str">
        <f>IFERROR(__xludf.DUMMYFUNCTION("""COMPUTED_VALUE"""),"crm-vip@zupee.in")</f>
        <v>crm-vip@zupee.in</v>
      </c>
      <c r="I1008" s="192" t="str">
        <f>IFERROR(__xludf.DUMMYFUNCTION("""COMPUTED_VALUE"""),"shivam.bali@zupee.in: - Customer Experience")</f>
        <v>shivam.bali@zupee.in: - Customer Experience</v>
      </c>
      <c r="J1008" s="19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92"/>
      <c r="B1009" s="192"/>
      <c r="C1009" s="192"/>
      <c r="D1009" s="192"/>
      <c r="E1009" s="192"/>
      <c r="F1009" s="192"/>
      <c r="G1009" s="192" t="str">
        <f>IFERROR(__xludf.DUMMYFUNCTION("""COMPUTED_VALUE"""),"CX OPS")</f>
        <v>CX OPS</v>
      </c>
      <c r="H1009" s="192" t="str">
        <f>IFERROR(__xludf.DUMMYFUNCTION("""COMPUTED_VALUE"""),"cx-ops@zupee.in")</f>
        <v>cx-ops@zupee.in</v>
      </c>
      <c r="I1009" s="192" t="str">
        <f>IFERROR(__xludf.DUMMYFUNCTION("""COMPUTED_VALUE"""),"mrityunjay.k@zupee.in: - Customer Experience")</f>
        <v>mrityunjay.k@zupee.in: - Customer Experience</v>
      </c>
      <c r="J1009" s="19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92"/>
      <c r="B1010" s="192"/>
      <c r="C1010" s="192"/>
      <c r="D1010" s="192"/>
      <c r="E1010" s="192"/>
      <c r="F1010" s="192"/>
      <c r="G1010" s="192" t="str">
        <f>IFERROR(__xludf.DUMMYFUNCTION("""COMPUTED_VALUE"""),"Vipul Gupta")</f>
        <v>Vipul Gupta</v>
      </c>
      <c r="H1010" s="192" t="str">
        <f>IFERROR(__xludf.DUMMYFUNCTION("""COMPUTED_VALUE"""),"vipul.gupta@zupee.in")</f>
        <v>vipul.gupta@zupee.in</v>
      </c>
      <c r="I1010" s="192" t="str">
        <f>IFERROR(__xludf.DUMMYFUNCTION("""COMPUTED_VALUE"""),"sahil.puri@zupee.in: - Technology")</f>
        <v>sahil.puri@zupee.in: - Technology</v>
      </c>
      <c r="J1010" s="19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92"/>
      <c r="B1011" s="192"/>
      <c r="C1011" s="192"/>
      <c r="D1011" s="192"/>
      <c r="E1011" s="192"/>
      <c r="F1011" s="192"/>
      <c r="G1011" s="192" t="str">
        <f>IFERROR(__xludf.DUMMYFUNCTION("""COMPUTED_VALUE"""),"Suraj Arora")</f>
        <v>Suraj Arora</v>
      </c>
      <c r="H1011" s="192" t="str">
        <f>IFERROR(__xludf.DUMMYFUNCTION("""COMPUTED_VALUE"""),"suraj.arora@zupee.in")</f>
        <v>suraj.arora@zupee.in</v>
      </c>
      <c r="I1011" s="192" t="str">
        <f>IFERROR(__xludf.DUMMYFUNCTION("""COMPUTED_VALUE"""),"aarti.luthra@zupee.in: - Product Design")</f>
        <v>aarti.luthra@zupee.in: - Product Design</v>
      </c>
      <c r="J1011" s="19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92"/>
      <c r="B1012" s="192"/>
      <c r="C1012" s="192"/>
      <c r="D1012" s="192"/>
      <c r="E1012" s="192"/>
      <c r="F1012" s="192"/>
      <c r="G1012" s="192" t="str">
        <f>IFERROR(__xludf.DUMMYFUNCTION("""COMPUTED_VALUE"""),"Ajay Yadav")</f>
        <v>Ajay Yadav</v>
      </c>
      <c r="H1012" s="192" t="str">
        <f>IFERROR(__xludf.DUMMYFUNCTION("""COMPUTED_VALUE"""),"ajay.yadav@zupee.in")</f>
        <v>ajay.yadav@zupee.in</v>
      </c>
      <c r="I1012" s="192" t="str">
        <f>IFERROR(__xludf.DUMMYFUNCTION("""COMPUTED_VALUE"""),"vishal.agarwal@zupee.in: - Technology")</f>
        <v>vishal.agarwal@zupee.in: - Technology</v>
      </c>
      <c r="J1012" s="19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92"/>
      <c r="B1013" s="192"/>
      <c r="C1013" s="192"/>
      <c r="D1013" s="192"/>
      <c r="E1013" s="192"/>
      <c r="F1013" s="192"/>
      <c r="G1013" s="192" t="str">
        <f>IFERROR(__xludf.DUMMYFUNCTION("""COMPUTED_VALUE"""),"Dipankar Jha")</f>
        <v>Dipankar Jha</v>
      </c>
      <c r="H1013" s="192" t="str">
        <f>IFERROR(__xludf.DUMMYFUNCTION("""COMPUTED_VALUE"""),"dipankar.jha@zupee.in")</f>
        <v>dipankar.jha@zupee.in</v>
      </c>
      <c r="I1013" s="192" t="str">
        <f>IFERROR(__xludf.DUMMYFUNCTION("""COMPUTED_VALUE"""),"dhruv.adlakha@zupee.in: - Finance")</f>
        <v>dhruv.adlakha@zupee.in: - Finance</v>
      </c>
      <c r="J1013" s="19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92"/>
      <c r="B1014" s="192"/>
      <c r="C1014" s="192"/>
      <c r="D1014" s="192"/>
      <c r="E1014" s="192"/>
      <c r="F1014" s="192"/>
      <c r="G1014" s="192" t="str">
        <f>IFERROR(__xludf.DUMMYFUNCTION("""COMPUTED_VALUE"""),"Geeta Joshi")</f>
        <v>Geeta Joshi</v>
      </c>
      <c r="H1014" s="192" t="str">
        <f>IFERROR(__xludf.DUMMYFUNCTION("""COMPUTED_VALUE"""),"geeta.joshi@zupee.in")</f>
        <v>geeta.joshi@zupee.in</v>
      </c>
      <c r="I1014" s="192" t="str">
        <f>IFERROR(__xludf.DUMMYFUNCTION("""COMPUTED_VALUE"""),"shivam.bali@zupee.in: - Customer Experience")</f>
        <v>shivam.bali@zupee.in: - Customer Experience</v>
      </c>
      <c r="J1014" s="19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92"/>
      <c r="B1015" s="192"/>
      <c r="C1015" s="192"/>
      <c r="D1015" s="192"/>
      <c r="E1015" s="192"/>
      <c r="F1015" s="192"/>
      <c r="G1015" s="192" t="str">
        <f>IFERROR(__xludf.DUMMYFUNCTION("""COMPUTED_VALUE"""),"Khushboo Singh")</f>
        <v>Khushboo Singh</v>
      </c>
      <c r="H1015" s="192" t="str">
        <f>IFERROR(__xludf.DUMMYFUNCTION("""COMPUTED_VALUE"""),"khushboo.singh@zupee.in")</f>
        <v>khushboo.singh@zupee.in</v>
      </c>
      <c r="I1015" s="192" t="str">
        <f>IFERROR(__xludf.DUMMYFUNCTION("""COMPUTED_VALUE"""),"shivam.bali@zupee.in: - Customer Experience")</f>
        <v>shivam.bali@zupee.in: - Customer Experience</v>
      </c>
      <c r="J1015" s="19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92"/>
      <c r="B1016" s="192"/>
      <c r="C1016" s="192"/>
      <c r="D1016" s="192"/>
      <c r="E1016" s="192"/>
      <c r="F1016" s="192"/>
      <c r="G1016" s="192" t="str">
        <f>IFERROR(__xludf.DUMMYFUNCTION("""COMPUTED_VALUE"""),"Lucky Singh")</f>
        <v>Lucky Singh</v>
      </c>
      <c r="H1016" s="192" t="str">
        <f>IFERROR(__xludf.DUMMYFUNCTION("""COMPUTED_VALUE"""),"lucky.singh1@zupee.in")</f>
        <v>lucky.singh1@zupee.in</v>
      </c>
      <c r="I1016" s="192" t="str">
        <f>IFERROR(__xludf.DUMMYFUNCTION("""COMPUTED_VALUE"""),"piyush.shukla@zupee.in: - Technology")</f>
        <v>piyush.shukla@zupee.in: - Technology</v>
      </c>
      <c r="J1016" s="19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92"/>
      <c r="B1017" s="192"/>
      <c r="C1017" s="192"/>
      <c r="D1017" s="192"/>
      <c r="E1017" s="192"/>
      <c r="F1017" s="192"/>
      <c r="G1017" s="192" t="str">
        <f>IFERROR(__xludf.DUMMYFUNCTION("""COMPUTED_VALUE"""),"Russell Dreisenstock")</f>
        <v>Russell Dreisenstock</v>
      </c>
      <c r="H1017" s="192" t="str">
        <f>IFERROR(__xludf.DUMMYFUNCTION("""COMPUTED_VALUE"""),"rad@zupee.in")</f>
        <v>rad@zupee.in</v>
      </c>
      <c r="I1017" s="192" t="str">
        <f>IFERROR(__xludf.DUMMYFUNCTION("""COMPUTED_VALUE"""),"abhishek.gupta@zupee.in: - Technology")</f>
        <v>abhishek.gupta@zupee.in: - Technology</v>
      </c>
      <c r="J1017" s="19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92"/>
      <c r="B1018" s="192"/>
      <c r="C1018" s="192"/>
      <c r="D1018" s="192"/>
      <c r="E1018" s="192"/>
      <c r="F1018" s="192"/>
      <c r="G1018" s="192" t="str">
        <f>IFERROR(__xludf.DUMMYFUNCTION("""COMPUTED_VALUE"""),"Sambhav Singh")</f>
        <v>Sambhav Singh</v>
      </c>
      <c r="H1018" s="192" t="str">
        <f>IFERROR(__xludf.DUMMYFUNCTION("""COMPUTED_VALUE"""),"sambhav.singh@zupee.in")</f>
        <v>sambhav.singh@zupee.in</v>
      </c>
      <c r="I1018" s="192" t="str">
        <f>IFERROR(__xludf.DUMMYFUNCTION("""COMPUTED_VALUE"""),"aman.kumar@zupee.in: - Data")</f>
        <v>aman.kumar@zupee.in: - Data</v>
      </c>
      <c r="J1018" s="19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92"/>
      <c r="B1019" s="192"/>
      <c r="C1019" s="192"/>
      <c r="D1019" s="192"/>
      <c r="E1019" s="192"/>
      <c r="F1019" s="192"/>
      <c r="G1019" s="192" t="str">
        <f>IFERROR(__xludf.DUMMYFUNCTION("""COMPUTED_VALUE"""),"Zupee Tools")</f>
        <v>Zupee Tools</v>
      </c>
      <c r="H1019" s="192" t="str">
        <f>IFERROR(__xludf.DUMMYFUNCTION("""COMPUTED_VALUE"""),"tools@zupee.in")</f>
        <v>tools@zupee.in</v>
      </c>
      <c r="I1019" s="192" t="str">
        <f>IFERROR(__xludf.DUMMYFUNCTION("""COMPUTED_VALUE"""),"aditya.jha@zupee.in: - Brand Marketing")</f>
        <v>aditya.jha@zupee.in: - Brand Marketing</v>
      </c>
      <c r="J1019" s="19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92"/>
      <c r="B1020" s="192"/>
      <c r="C1020" s="192"/>
      <c r="D1020" s="192"/>
      <c r="E1020" s="192"/>
      <c r="F1020" s="192"/>
      <c r="G1020" s="192" t="str">
        <f>IFERROR(__xludf.DUMMYFUNCTION("""COMPUTED_VALUE"""),"Priyansh Barya")</f>
        <v>Priyansh Barya</v>
      </c>
      <c r="H1020" s="192" t="str">
        <f>IFERROR(__xludf.DUMMYFUNCTION("""COMPUTED_VALUE"""),"priyansh.barya@zupee.in")</f>
        <v>priyansh.barya@zupee.in</v>
      </c>
      <c r="I1020" s="192" t="str">
        <f>IFERROR(__xludf.DUMMYFUNCTION("""COMPUTED_VALUE"""),"amroj.sandhu@zupee.in: - Technology")</f>
        <v>amroj.sandhu@zupee.in: - Technology</v>
      </c>
      <c r="J1020" s="19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92"/>
      <c r="B1021" s="192"/>
      <c r="C1021" s="192"/>
      <c r="D1021" s="192"/>
      <c r="E1021" s="192"/>
      <c r="F1021" s="192"/>
      <c r="G1021" s="192" t="str">
        <f>IFERROR(__xludf.DUMMYFUNCTION("""COMPUTED_VALUE"""),"Karan Pal Sunkariya")</f>
        <v>Karan Pal Sunkariya</v>
      </c>
      <c r="H1021" s="192" t="str">
        <f>IFERROR(__xludf.DUMMYFUNCTION("""COMPUTED_VALUE"""),"karan.sunkariya@zupee.in")</f>
        <v>karan.sunkariya@zupee.in</v>
      </c>
      <c r="I1021" s="192" t="str">
        <f>IFERROR(__xludf.DUMMYFUNCTION("""COMPUTED_VALUE"""),"rahul.sharma@zupee.in: - Technology")</f>
        <v>rahul.sharma@zupee.in: - Technology</v>
      </c>
      <c r="J1021" s="19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92"/>
      <c r="B1022" s="192"/>
      <c r="C1022" s="192"/>
      <c r="D1022" s="192"/>
      <c r="E1022" s="192"/>
      <c r="F1022" s="192"/>
      <c r="G1022" s="192" t="str">
        <f>IFERROR(__xludf.DUMMYFUNCTION("""COMPUTED_VALUE"""),"Ankit Wadhwa")</f>
        <v>Ankit Wadhwa</v>
      </c>
      <c r="H1022" s="192" t="str">
        <f>IFERROR(__xludf.DUMMYFUNCTION("""COMPUTED_VALUE"""),"ankit.wadhwa@zupee.in")</f>
        <v>ankit.wadhwa@zupee.in</v>
      </c>
      <c r="I1022" s="192" t="str">
        <f>IFERROR(__xludf.DUMMYFUNCTION("""COMPUTED_VALUE"""),"rahul.satija@zupee.in: - Finance")</f>
        <v>rahul.satija@zupee.in: - Finance</v>
      </c>
      <c r="J1022" s="19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92"/>
      <c r="B1023" s="192"/>
      <c r="C1023" s="192"/>
      <c r="D1023" s="192"/>
      <c r="E1023" s="192"/>
      <c r="F1023" s="192"/>
      <c r="G1023" s="192" t="str">
        <f>IFERROR(__xludf.DUMMYFUNCTION("""COMPUTED_VALUE"""),"Sparsh Pandey")</f>
        <v>Sparsh Pandey</v>
      </c>
      <c r="H1023" s="192" t="str">
        <f>IFERROR(__xludf.DUMMYFUNCTION("""COMPUTED_VALUE"""),"sparsh.pandey@zupee.in")</f>
        <v>sparsh.pandey@zupee.in</v>
      </c>
      <c r="I1023" s="192" t="str">
        <f>IFERROR(__xludf.DUMMYFUNCTION("""COMPUTED_VALUE"""),"vishal.agarwal@zupee.in: - Technology")</f>
        <v>vishal.agarwal@zupee.in: - Technology</v>
      </c>
      <c r="J1023" s="19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92"/>
      <c r="B1024" s="192"/>
      <c r="C1024" s="192"/>
      <c r="D1024" s="192"/>
      <c r="E1024" s="192"/>
      <c r="F1024" s="192"/>
      <c r="G1024" s="192" t="str">
        <f>IFERROR(__xludf.DUMMYFUNCTION("""COMPUTED_VALUE"""),"App Tezrummy")</f>
        <v>App Tezrummy</v>
      </c>
      <c r="H1024" s="192" t="str">
        <f>IFERROR(__xludf.DUMMYFUNCTION("""COMPUTED_VALUE"""),"app@tezrummy.com")</f>
        <v>app@tezrummy.com</v>
      </c>
      <c r="I1024" s="192" t="str">
        <f>IFERROR(__xludf.DUMMYFUNCTION("""COMPUTED_VALUE"""),"devagya.kumar@zupee.in: - Product")</f>
        <v>devagya.kumar@zupee.in: - Product</v>
      </c>
      <c r="J1024" s="19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92"/>
      <c r="B1025" s="192"/>
      <c r="C1025" s="192"/>
      <c r="D1025" s="192"/>
      <c r="E1025" s="192"/>
      <c r="F1025" s="192"/>
      <c r="G1025" s="192" t="str">
        <f>IFERROR(__xludf.DUMMYFUNCTION("""COMPUTED_VALUE"""),"Attar Kaur")</f>
        <v>Attar Kaur</v>
      </c>
      <c r="H1025" s="192" t="str">
        <f>IFERROR(__xludf.DUMMYFUNCTION("""COMPUTED_VALUE"""),"attar.kaur@zupee.in")</f>
        <v>attar.kaur@zupee.in</v>
      </c>
      <c r="I1025" s="192" t="str">
        <f>IFERROR(__xludf.DUMMYFUNCTION("""COMPUTED_VALUE"""),"sumit.yadav@zupee.in: - Customer Experience")</f>
        <v>sumit.yadav@zupee.in: - Customer Experience</v>
      </c>
      <c r="J1025" s="19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92"/>
      <c r="B1026" s="192"/>
      <c r="C1026" s="192"/>
      <c r="D1026" s="192"/>
      <c r="E1026" s="192"/>
      <c r="F1026" s="192"/>
      <c r="G1026" s="192" t="str">
        <f>IFERROR(__xludf.DUMMYFUNCTION("""COMPUTED_VALUE"""),"Social Tez")</f>
        <v>Social Tez</v>
      </c>
      <c r="H1026" s="192" t="str">
        <f>IFERROR(__xludf.DUMMYFUNCTION("""COMPUTED_VALUE"""),"social@tezrummy.com")</f>
        <v>social@tezrummy.com</v>
      </c>
      <c r="I1026" s="192" t="str">
        <f>IFERROR(__xludf.DUMMYFUNCTION("""COMPUTED_VALUE"""),"vedant.sharma@zupee.in: - Brand Marketing")</f>
        <v>vedant.sharma@zupee.in: - Brand Marketing</v>
      </c>
      <c r="J1026" s="19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92"/>
      <c r="B1027" s="192"/>
      <c r="C1027" s="192"/>
      <c r="D1027" s="192"/>
      <c r="E1027" s="192"/>
      <c r="F1027" s="192"/>
      <c r="G1027" s="192" t="str">
        <f>IFERROR(__xludf.DUMMYFUNCTION("""COMPUTED_VALUE"""),"Jyoti Gupta")</f>
        <v>Jyoti Gupta</v>
      </c>
      <c r="H1027" s="192" t="str">
        <f>IFERROR(__xludf.DUMMYFUNCTION("""COMPUTED_VALUE"""),"jyoti.gupta@cardspatti.com")</f>
        <v>jyoti.gupta@cardspatti.com</v>
      </c>
      <c r="I1027" s="192" t="str">
        <f>IFERROR(__xludf.DUMMYFUNCTION("""COMPUTED_VALUE"""),"naveen.k@zupee.in: - IT Infra")</f>
        <v>naveen.k@zupee.in: - IT Infra</v>
      </c>
      <c r="J1027" s="19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92"/>
      <c r="B1028" s="192"/>
      <c r="C1028" s="192"/>
      <c r="D1028" s="192"/>
      <c r="E1028" s="192"/>
      <c r="F1028" s="192"/>
      <c r="G1028" s="192" t="str">
        <f>IFERROR(__xludf.DUMMYFUNCTION("""COMPUTED_VALUE"""),"support .")</f>
        <v>support .</v>
      </c>
      <c r="H1028" s="192" t="str">
        <f>IFERROR(__xludf.DUMMYFUNCTION("""COMPUTED_VALUE"""),"support@cardspatti.com")</f>
        <v>support@cardspatti.com</v>
      </c>
      <c r="I1028" s="192" t="str">
        <f>IFERROR(__xludf.DUMMYFUNCTION("""COMPUTED_VALUE"""),"maneesha.negi@zupee.in: - Product")</f>
        <v>maneesha.negi@zupee.in: - Product</v>
      </c>
      <c r="J1028" s="19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92"/>
      <c r="B1029" s="192"/>
      <c r="C1029" s="192"/>
      <c r="D1029" s="192"/>
      <c r="E1029" s="192"/>
      <c r="F1029" s="192"/>
      <c r="G1029" s="192" t="str">
        <f>IFERROR(__xludf.DUMMYFUNCTION("""COMPUTED_VALUE"""),"techsupport .")</f>
        <v>techsupport .</v>
      </c>
      <c r="H1029" s="192" t="str">
        <f>IFERROR(__xludf.DUMMYFUNCTION("""COMPUTED_VALUE"""),"techsupport@cardspatti.com")</f>
        <v>techsupport@cardspatti.com</v>
      </c>
      <c r="I1029" s="192" t="str">
        <f>IFERROR(__xludf.DUMMYFUNCTION("""COMPUTED_VALUE"""),"maneesha.negi@zupee.in: - Product")</f>
        <v>maneesha.negi@zupee.in: - Product</v>
      </c>
      <c r="J1029" s="19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92"/>
      <c r="B1030" s="192"/>
      <c r="C1030" s="192"/>
      <c r="D1030" s="192"/>
      <c r="E1030" s="192"/>
      <c r="F1030" s="192"/>
      <c r="G1030" s="192" t="str">
        <f>IFERROR(__xludf.DUMMYFUNCTION("""COMPUTED_VALUE"""),"Ranu Gupta")</f>
        <v>Ranu Gupta</v>
      </c>
      <c r="H1030" s="192" t="str">
        <f>IFERROR(__xludf.DUMMYFUNCTION("""COMPUTED_VALUE"""),"ranu.gupta@zupee.in")</f>
        <v>ranu.gupta@zupee.in</v>
      </c>
      <c r="I1030" s="192" t="str">
        <f>IFERROR(__xludf.DUMMYFUNCTION("""COMPUTED_VALUE"""),"naveen.kadyan@zupee.in: - Product")</f>
        <v>naveen.kadyan@zupee.in: - Product</v>
      </c>
      <c r="J1030" s="19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92"/>
      <c r="B1031" s="192"/>
      <c r="C1031" s="192"/>
      <c r="D1031" s="192"/>
      <c r="E1031" s="192"/>
      <c r="F1031" s="192"/>
      <c r="G1031" s="192" t="str">
        <f>IFERROR(__xludf.DUMMYFUNCTION("""COMPUTED_VALUE"""),"Shridhar Sharma")</f>
        <v>Shridhar Sharma</v>
      </c>
      <c r="H1031" s="192" t="str">
        <f>IFERROR(__xludf.DUMMYFUNCTION("""COMPUTED_VALUE"""),"shridhar.sharma@zupee.in")</f>
        <v>shridhar.sharma@zupee.in</v>
      </c>
      <c r="I1031" s="192" t="str">
        <f>IFERROR(__xludf.DUMMYFUNCTION("""COMPUTED_VALUE"""),"bishan.bhadra@zupee.in: - Data")</f>
        <v>bishan.bhadra@zupee.in: - Data</v>
      </c>
      <c r="J1031" s="19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92"/>
      <c r="B1032" s="192"/>
      <c r="C1032" s="192"/>
      <c r="D1032" s="192"/>
      <c r="E1032" s="192"/>
      <c r="F1032" s="192"/>
      <c r="G1032" s="192" t="str">
        <f>IFERROR(__xludf.DUMMYFUNCTION("""COMPUTED_VALUE"""),"Sunil Yadav")</f>
        <v>Sunil Yadav</v>
      </c>
      <c r="H1032" s="192" t="str">
        <f>IFERROR(__xludf.DUMMYFUNCTION("""COMPUTED_VALUE"""),"sunil.yadav@zupee.in")</f>
        <v>sunil.yadav@zupee.in</v>
      </c>
      <c r="I1032" s="192" t="str">
        <f>IFERROR(__xludf.DUMMYFUNCTION("""COMPUTED_VALUE"""),"amit.garg@zupee.in: - Technology")</f>
        <v>amit.garg@zupee.in: - Technology</v>
      </c>
      <c r="J1032" s="19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92"/>
      <c r="B1033" s="192"/>
      <c r="C1033" s="192"/>
      <c r="D1033" s="192"/>
      <c r="E1033" s="192"/>
      <c r="F1033" s="192"/>
      <c r="G1033" s="192" t="str">
        <f>IFERROR(__xludf.DUMMYFUNCTION("""COMPUTED_VALUE"""),"Care Tez")</f>
        <v>Care Tez</v>
      </c>
      <c r="H1033" s="192" t="str">
        <f>IFERROR(__xludf.DUMMYFUNCTION("""COMPUTED_VALUE"""),"care@tezrummy.com")</f>
        <v>care@tezrummy.com</v>
      </c>
      <c r="I1033" s="192" t="str">
        <f>IFERROR(__xludf.DUMMYFUNCTION("""COMPUTED_VALUE"""),"devagya.kumar@zupee.in: - Product")</f>
        <v>devagya.kumar@zupee.in: - Product</v>
      </c>
      <c r="J1033" s="19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92"/>
      <c r="B1034" s="192"/>
      <c r="C1034" s="192"/>
      <c r="D1034" s="192"/>
      <c r="E1034" s="192"/>
      <c r="F1034" s="192"/>
      <c r="G1034" s="192" t="str">
        <f>IFERROR(__xludf.DUMMYFUNCTION("""COMPUTED_VALUE"""),"Aman Patni")</f>
        <v>Aman Patni</v>
      </c>
      <c r="H1034" s="192" t="str">
        <f>IFERROR(__xludf.DUMMYFUNCTION("""COMPUTED_VALUE"""),"aman.patni@zupee.in")</f>
        <v>aman.patni@zupee.in</v>
      </c>
      <c r="I1034" s="192" t="str">
        <f>IFERROR(__xludf.DUMMYFUNCTION("""COMPUTED_VALUE"""),"ankur.a@zupee.in: - Finance")</f>
        <v>ankur.a@zupee.in: - Finance</v>
      </c>
      <c r="J1034" s="19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92"/>
      <c r="B1035" s="192"/>
      <c r="C1035" s="192"/>
      <c r="D1035" s="192"/>
      <c r="E1035" s="192"/>
      <c r="F1035" s="192"/>
      <c r="G1035" s="192" t="str">
        <f>IFERROR(__xludf.DUMMYFUNCTION("""COMPUTED_VALUE"""),"Vipin Kumar")</f>
        <v>Vipin Kumar</v>
      </c>
      <c r="H1035" s="192" t="str">
        <f>IFERROR(__xludf.DUMMYFUNCTION("""COMPUTED_VALUE"""),"vipin.kumar@zupee.in")</f>
        <v>vipin.kumar@zupee.in</v>
      </c>
      <c r="I1035" s="192" t="str">
        <f>IFERROR(__xludf.DUMMYFUNCTION("""COMPUTED_VALUE"""),"rajneesh.yadav@zupee.in: - Human Resources")</f>
        <v>rajneesh.yadav@zupee.in: - Human Resources</v>
      </c>
      <c r="J1035" s="19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92"/>
      <c r="B1036" s="192"/>
      <c r="C1036" s="192"/>
      <c r="D1036" s="192"/>
      <c r="E1036" s="192"/>
      <c r="F1036" s="192"/>
      <c r="G1036" s="192" t="str">
        <f>IFERROR(__xludf.DUMMYFUNCTION("""COMPUTED_VALUE"""),"Jyoti Gupta")</f>
        <v>Jyoti Gupta</v>
      </c>
      <c r="H1036" s="192" t="str">
        <f>IFERROR(__xludf.DUMMYFUNCTION("""COMPUTED_VALUE"""),"jyoti.gupta@ludozing.com")</f>
        <v>jyoti.gupta@ludozing.com</v>
      </c>
      <c r="I1036" s="192" t="str">
        <f>IFERROR(__xludf.DUMMYFUNCTION("""COMPUTED_VALUE"""),"naveen.k@zupee.in: - IT Infra")</f>
        <v>naveen.k@zupee.in: - IT Infra</v>
      </c>
      <c r="J1036" s="19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92"/>
      <c r="B1037" s="192"/>
      <c r="C1037" s="192"/>
      <c r="D1037" s="192"/>
      <c r="E1037" s="192"/>
      <c r="F1037" s="192"/>
      <c r="G1037" s="192" t="str">
        <f>IFERROR(__xludf.DUMMYFUNCTION("""COMPUTED_VALUE"""),"Naveen Kumar")</f>
        <v>Naveen Kumar</v>
      </c>
      <c r="H1037" s="192" t="str">
        <f>IFERROR(__xludf.DUMMYFUNCTION("""COMPUTED_VALUE"""),"naveen@ludozing.com")</f>
        <v>naveen@ludozing.com</v>
      </c>
      <c r="I1037" s="192" t="str">
        <f>IFERROR(__xludf.DUMMYFUNCTION("""COMPUTED_VALUE"""),"naveen.k@zupee.in: - IT Infra")</f>
        <v>naveen.k@zupee.in: - IT Infra</v>
      </c>
      <c r="J1037" s="19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92"/>
      <c r="B1038" s="192"/>
      <c r="C1038" s="192"/>
      <c r="D1038" s="192"/>
      <c r="E1038" s="192"/>
      <c r="F1038" s="192"/>
      <c r="G1038" s="192" t="str">
        <f>IFERROR(__xludf.DUMMYFUNCTION("""COMPUTED_VALUE"""),"Tech Support")</f>
        <v>Tech Support</v>
      </c>
      <c r="H1038" s="192" t="str">
        <f>IFERROR(__xludf.DUMMYFUNCTION("""COMPUTED_VALUE"""),"tech@ludozing.com")</f>
        <v>tech@ludozing.com</v>
      </c>
      <c r="I1038" s="192" t="str">
        <f>IFERROR(__xludf.DUMMYFUNCTION("""COMPUTED_VALUE"""),"anshul.mittal@zupee.in: - Product")</f>
        <v>anshul.mittal@zupee.in: - Product</v>
      </c>
      <c r="J1038" s="19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92"/>
      <c r="B1039" s="192"/>
      <c r="C1039" s="192"/>
      <c r="D1039" s="192"/>
      <c r="E1039" s="192"/>
      <c r="F1039" s="192"/>
      <c r="G1039" s="192" t="str">
        <f>IFERROR(__xludf.DUMMYFUNCTION("""COMPUTED_VALUE"""),"Compliance Team")</f>
        <v>Compliance Team</v>
      </c>
      <c r="H1039" s="192" t="str">
        <f>IFERROR(__xludf.DUMMYFUNCTION("""COMPUTED_VALUE"""),"compliance@proludo.in")</f>
        <v>compliance@proludo.in</v>
      </c>
      <c r="I1039" s="192" t="str">
        <f>IFERROR(__xludf.DUMMYFUNCTION("""COMPUTED_VALUE"""),"cs@zupee.in: - Legal")</f>
        <v>cs@zupee.in: - Legal</v>
      </c>
      <c r="J1039" s="19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92"/>
      <c r="B1040" s="192"/>
      <c r="C1040" s="192"/>
      <c r="D1040" s="192"/>
      <c r="E1040" s="192"/>
      <c r="F1040" s="192"/>
      <c r="G1040" s="192" t="str">
        <f>IFERROR(__xludf.DUMMYFUNCTION("""COMPUTED_VALUE"""),"Ankur Prajapati")</f>
        <v>Ankur Prajapati</v>
      </c>
      <c r="H1040" s="192" t="str">
        <f>IFERROR(__xludf.DUMMYFUNCTION("""COMPUTED_VALUE"""),"ankur.prajapati@zupee.in")</f>
        <v>ankur.prajapati@zupee.in</v>
      </c>
      <c r="I1040" s="192" t="str">
        <f>IFERROR(__xludf.DUMMYFUNCTION("""COMPUTED_VALUE"""),"vishal.agarwal@zupee.in: - Technology")</f>
        <v>vishal.agarwal@zupee.in: - Technology</v>
      </c>
      <c r="J1040" s="19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92"/>
      <c r="B1041" s="192"/>
      <c r="C1041" s="192"/>
      <c r="D1041" s="192"/>
      <c r="E1041" s="192"/>
      <c r="F1041" s="192"/>
      <c r="G1041" s="192" t="str">
        <f>IFERROR(__xludf.DUMMYFUNCTION("""COMPUTED_VALUE"""),"QA OPS")</f>
        <v>QA OPS</v>
      </c>
      <c r="H1041" s="192" t="str">
        <f>IFERROR(__xludf.DUMMYFUNCTION("""COMPUTED_VALUE"""),"qa.ops@zupee.in")</f>
        <v>qa.ops@zupee.in</v>
      </c>
      <c r="I1041" s="192" t="str">
        <f>IFERROR(__xludf.DUMMYFUNCTION("""COMPUTED_VALUE"""),"mrityunjay.k@zupee.in: - Customer Experience")</f>
        <v>mrityunjay.k@zupee.in: - Customer Experience</v>
      </c>
      <c r="J1041" s="19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92"/>
      <c r="B1042" s="192"/>
      <c r="C1042" s="192"/>
      <c r="D1042" s="192"/>
      <c r="E1042" s="192"/>
      <c r="F1042" s="192"/>
      <c r="G1042" s="192" t="str">
        <f>IFERROR(__xludf.DUMMYFUNCTION("""COMPUTED_VALUE"""),"Thomas Phillippe")</f>
        <v>Thomas Phillippe</v>
      </c>
      <c r="H1042" s="192" t="str">
        <f>IFERROR(__xludf.DUMMYFUNCTION("""COMPUTED_VALUE"""),"thomas.phillippe@zupee.in")</f>
        <v>thomas.phillippe@zupee.in</v>
      </c>
      <c r="I1042" s="192" t="str">
        <f>IFERROR(__xludf.DUMMYFUNCTION("""COMPUTED_VALUE"""),"dilsher.malhi@zupee.in: - Legal")</f>
        <v>dilsher.malhi@zupee.in: - Legal</v>
      </c>
      <c r="J1042" s="19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92"/>
      <c r="B1043" s="192"/>
      <c r="C1043" s="192"/>
      <c r="D1043" s="192"/>
      <c r="E1043" s="192"/>
      <c r="F1043" s="192"/>
      <c r="G1043" s="192" t="str">
        <f>IFERROR(__xludf.DUMMYFUNCTION("""COMPUTED_VALUE"""),"Shivam Sharma")</f>
        <v>Shivam Sharma</v>
      </c>
      <c r="H1043" s="192" t="str">
        <f>IFERROR(__xludf.DUMMYFUNCTION("""COMPUTED_VALUE"""),"shivam.sharma1@zupee.in")</f>
        <v>shivam.sharma1@zupee.in</v>
      </c>
      <c r="I1043" s="192" t="str">
        <f>IFERROR(__xludf.DUMMYFUNCTION("""COMPUTED_VALUE"""),"amit.garg@zupee.in: - Technology")</f>
        <v>amit.garg@zupee.in: - Technology</v>
      </c>
      <c r="J1043" s="19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92"/>
      <c r="B1044" s="192"/>
      <c r="C1044" s="192"/>
      <c r="D1044" s="192"/>
      <c r="E1044" s="192"/>
      <c r="F1044" s="192"/>
      <c r="G1044" s="192" t="str">
        <f>IFERROR(__xludf.DUMMYFUNCTION("""COMPUTED_VALUE"""),"Test Care")</f>
        <v>Test Care</v>
      </c>
      <c r="H1044" s="192" t="str">
        <f>IFERROR(__xludf.DUMMYFUNCTION("""COMPUTED_VALUE"""),"testcare@zupee.in")</f>
        <v>testcare@zupee.in</v>
      </c>
      <c r="I1044" s="192" t="str">
        <f>IFERROR(__xludf.DUMMYFUNCTION("""COMPUTED_VALUE"""),"disha.garg@zupee.in: - Technology")</f>
        <v>disha.garg@zupee.in: - Technology</v>
      </c>
      <c r="J1044" s="19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92"/>
      <c r="B1045" s="192"/>
      <c r="C1045" s="192"/>
      <c r="D1045" s="192"/>
      <c r="E1045" s="192"/>
      <c r="F1045" s="192"/>
      <c r="G1045" s="192" t="str">
        <f>IFERROR(__xludf.DUMMYFUNCTION("""COMPUTED_VALUE"""),"Test Care")</f>
        <v>Test Care</v>
      </c>
      <c r="H1045" s="192" t="str">
        <f>IFERROR(__xludf.DUMMYFUNCTION("""COMPUTED_VALUE"""),"testcare@tezrummy.com")</f>
        <v>testcare@tezrummy.com</v>
      </c>
      <c r="I1045" s="192" t="str">
        <f>IFERROR(__xludf.DUMMYFUNCTION("""COMPUTED_VALUE"""),"disha.garg@zupee.in: - Technology")</f>
        <v>disha.garg@zupee.in: - Technology</v>
      </c>
      <c r="J1045" s="19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92"/>
      <c r="B1046" s="192"/>
      <c r="C1046" s="192"/>
      <c r="D1046" s="192"/>
      <c r="E1046" s="192"/>
      <c r="F1046" s="192"/>
      <c r="G1046" s="192" t="str">
        <f>IFERROR(__xludf.DUMMYFUNCTION("""COMPUTED_VALUE"""),"Sanjeev Bhardwaj")</f>
        <v>Sanjeev Bhardwaj</v>
      </c>
      <c r="H1046" s="192" t="str">
        <f>IFERROR(__xludf.DUMMYFUNCTION("""COMPUTED_VALUE"""),"sanjeev.bhardwaj@zupee.in")</f>
        <v>sanjeev.bhardwaj@zupee.in</v>
      </c>
      <c r="I1046" s="192" t="str">
        <f>IFERROR(__xludf.DUMMYFUNCTION("""COMPUTED_VALUE"""),"sumit.yadav@zupee.in: - Customer Experience")</f>
        <v>sumit.yadav@zupee.in: - Customer Experience</v>
      </c>
      <c r="J1046" s="19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92"/>
      <c r="B1047" s="192"/>
      <c r="C1047" s="192"/>
      <c r="D1047" s="192"/>
      <c r="E1047" s="192"/>
      <c r="F1047" s="192"/>
      <c r="G1047" s="192" t="str">
        <f>IFERROR(__xludf.DUMMYFUNCTION("""COMPUTED_VALUE"""),"Armaan Nayyar")</f>
        <v>Armaan Nayyar</v>
      </c>
      <c r="H1047" s="192" t="str">
        <f>IFERROR(__xludf.DUMMYFUNCTION("""COMPUTED_VALUE"""),"armaan.nayyar@zupee.in")</f>
        <v>armaan.nayyar@zupee.in</v>
      </c>
      <c r="I1047" s="192" t="str">
        <f>IFERROR(__xludf.DUMMYFUNCTION("""COMPUTED_VALUE"""),"payal.katoch@zupee.in: - Technology")</f>
        <v>payal.katoch@zupee.in: - Technology</v>
      </c>
      <c r="J1047" s="19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92"/>
      <c r="B1048" s="192"/>
      <c r="C1048" s="192"/>
      <c r="D1048" s="192"/>
      <c r="E1048" s="192"/>
      <c r="F1048" s="192"/>
      <c r="G1048" s="192" t="str">
        <f>IFERROR(__xludf.DUMMYFUNCTION("""COMPUTED_VALUE"""),"Himanshu Thakur")</f>
        <v>Himanshu Thakur</v>
      </c>
      <c r="H1048" s="192" t="str">
        <f>IFERROR(__xludf.DUMMYFUNCTION("""COMPUTED_VALUE"""),"himanshu.thakur@zupee.in")</f>
        <v>himanshu.thakur@zupee.in</v>
      </c>
      <c r="I1048" s="192" t="str">
        <f>IFERROR(__xludf.DUMMYFUNCTION("""COMPUTED_VALUE"""),"katha.tara@zupee.in: - Brand Marketing")</f>
        <v>katha.tara@zupee.in: - Brand Marketing</v>
      </c>
      <c r="J1048" s="19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92"/>
      <c r="B1049" s="192"/>
      <c r="C1049" s="192"/>
      <c r="D1049" s="192"/>
      <c r="E1049" s="192"/>
      <c r="F1049" s="192"/>
      <c r="G1049" s="192" t="str">
        <f>IFERROR(__xludf.DUMMYFUNCTION("""COMPUTED_VALUE"""),"Sanchit Mittal")</f>
        <v>Sanchit Mittal</v>
      </c>
      <c r="H1049" s="192" t="str">
        <f>IFERROR(__xludf.DUMMYFUNCTION("""COMPUTED_VALUE"""),"sanchit.mittal@zupee.in")</f>
        <v>sanchit.mittal@zupee.in</v>
      </c>
      <c r="I1049" s="192" t="str">
        <f>IFERROR(__xludf.DUMMYFUNCTION("""COMPUTED_VALUE"""),"pankaj.gautam@zupee.in: - Data")</f>
        <v>pankaj.gautam@zupee.in: - Data</v>
      </c>
      <c r="J1049" s="19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92"/>
      <c r="B1050" s="192"/>
      <c r="C1050" s="192"/>
      <c r="D1050" s="192"/>
      <c r="E1050" s="192"/>
      <c r="F1050" s="192"/>
      <c r="G1050" s="192" t="str">
        <f>IFERROR(__xludf.DUMMYFUNCTION("""COMPUTED_VALUE"""),"admin Ludozing")</f>
        <v>admin Ludozing</v>
      </c>
      <c r="H1050" s="192" t="str">
        <f>IFERROR(__xludf.DUMMYFUNCTION("""COMPUTED_VALUE"""),"admin@ludozing.com")</f>
        <v>admin@ludozing.com</v>
      </c>
      <c r="I1050" s="192" t="str">
        <f>IFERROR(__xludf.DUMMYFUNCTION("""COMPUTED_VALUE"""),"anshul.mittal@zupee.in: - Technology")</f>
        <v>anshul.mittal@zupee.in: - Technology</v>
      </c>
      <c r="J1050" s="19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92"/>
      <c r="B1051" s="192"/>
      <c r="C1051" s="192"/>
      <c r="D1051" s="192"/>
      <c r="E1051" s="192"/>
      <c r="F1051" s="192"/>
      <c r="G1051" s="192" t="str">
        <f>IFERROR(__xludf.DUMMYFUNCTION("""COMPUTED_VALUE"""),"Ashu Salmani")</f>
        <v>Ashu Salmani</v>
      </c>
      <c r="H1051" s="192" t="str">
        <f>IFERROR(__xludf.DUMMYFUNCTION("""COMPUTED_VALUE"""),"ashu.salmani@zupee.in")</f>
        <v>ashu.salmani@zupee.in</v>
      </c>
      <c r="I1051" s="192" t="str">
        <f>IFERROR(__xludf.DUMMYFUNCTION("""COMPUTED_VALUE"""),"ishan.margamwar@zupee.in: - Customer Experience")</f>
        <v>ishan.margamwar@zupee.in: - Customer Experience</v>
      </c>
      <c r="J1051" s="19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92"/>
      <c r="B1052" s="192"/>
      <c r="C1052" s="192"/>
      <c r="D1052" s="192"/>
      <c r="E1052" s="192"/>
      <c r="F1052" s="192"/>
      <c r="G1052" s="192" t="str">
        <f>IFERROR(__xludf.DUMMYFUNCTION("""COMPUTED_VALUE"""),"Reema Gupta")</f>
        <v>Reema Gupta</v>
      </c>
      <c r="H1052" s="192" t="str">
        <f>IFERROR(__xludf.DUMMYFUNCTION("""COMPUTED_VALUE"""),"reema.gupta@zupee.in")</f>
        <v>reema.gupta@zupee.in</v>
      </c>
      <c r="I1052" s="192" t="str">
        <f>IFERROR(__xludf.DUMMYFUNCTION("""COMPUTED_VALUE"""),"ishan.margamwar@zupee.in: - Customer Experience")</f>
        <v>ishan.margamwar@zupee.in: - Customer Experience</v>
      </c>
      <c r="J1052" s="19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92"/>
      <c r="B1053" s="192"/>
      <c r="C1053" s="192"/>
      <c r="D1053" s="192"/>
      <c r="E1053" s="192"/>
      <c r="F1053" s="192"/>
      <c r="G1053" s="192" t="str">
        <f>IFERROR(__xludf.DUMMYFUNCTION("""COMPUTED_VALUE"""),"Sameer Singh")</f>
        <v>Sameer Singh</v>
      </c>
      <c r="H1053" s="192" t="str">
        <f>IFERROR(__xludf.DUMMYFUNCTION("""COMPUTED_VALUE"""),"sameer.singh@zupee.in")</f>
        <v>sameer.singh@zupee.in</v>
      </c>
      <c r="I1053" s="192" t="str">
        <f>IFERROR(__xludf.DUMMYFUNCTION("""COMPUTED_VALUE"""),"rahul.sharma@zupee.in: - Technology")</f>
        <v>rahul.sharma@zupee.in: - Technology</v>
      </c>
      <c r="J1053" s="19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92"/>
      <c r="B1054" s="192"/>
      <c r="C1054" s="192"/>
      <c r="D1054" s="192"/>
      <c r="E1054" s="192"/>
      <c r="F1054" s="192"/>
      <c r="G1054" s="192" t="str">
        <f>IFERROR(__xludf.DUMMYFUNCTION("""COMPUTED_VALUE"""),"Pranav Gautam")</f>
        <v>Pranav Gautam</v>
      </c>
      <c r="H1054" s="192" t="str">
        <f>IFERROR(__xludf.DUMMYFUNCTION("""COMPUTED_VALUE"""),"pranav.gautam@zupee.in")</f>
        <v>pranav.gautam@zupee.in</v>
      </c>
      <c r="I1054" s="192" t="str">
        <f>IFERROR(__xludf.DUMMYFUNCTION("""COMPUTED_VALUE"""),"nandeshwar.gupta@zupee.in: - Data")</f>
        <v>nandeshwar.gupta@zupee.in: - Data</v>
      </c>
      <c r="J1054" s="19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92"/>
      <c r="B1055" s="192"/>
      <c r="C1055" s="192"/>
      <c r="D1055" s="192"/>
      <c r="E1055" s="192"/>
      <c r="F1055" s="192"/>
      <c r="G1055" s="192" t="str">
        <f>IFERROR(__xludf.DUMMYFUNCTION("""COMPUTED_VALUE"""),"Srijan Bhageria")</f>
        <v>Srijan Bhageria</v>
      </c>
      <c r="H1055" s="192" t="str">
        <f>IFERROR(__xludf.DUMMYFUNCTION("""COMPUTED_VALUE"""),"srijan.bhageria@zupee.in")</f>
        <v>srijan.bhageria@zupee.in</v>
      </c>
      <c r="I1055" s="192" t="str">
        <f>IFERROR(__xludf.DUMMYFUNCTION("""COMPUTED_VALUE"""),"sahil.puri@zupee.in: - Technology")</f>
        <v>sahil.puri@zupee.in: - Technology</v>
      </c>
      <c r="J1055" s="19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92"/>
      <c r="B1056" s="192"/>
      <c r="C1056" s="192"/>
      <c r="D1056" s="192"/>
      <c r="E1056" s="192"/>
      <c r="F1056" s="192"/>
      <c r="G1056" s="192" t="str">
        <f>IFERROR(__xludf.DUMMYFUNCTION("""COMPUTED_VALUE"""),"Abhiroop Hora")</f>
        <v>Abhiroop Hora</v>
      </c>
      <c r="H1056" s="192" t="str">
        <f>IFERROR(__xludf.DUMMYFUNCTION("""COMPUTED_VALUE"""),"abhiroop.hora@zupee.in")</f>
        <v>abhiroop.hora@zupee.in</v>
      </c>
      <c r="I1056" s="192" t="str">
        <f>IFERROR(__xludf.DUMMYFUNCTION("""COMPUTED_VALUE"""),"vishal.agarwal@zupee.in: - Technology")</f>
        <v>vishal.agarwal@zupee.in: - Technology</v>
      </c>
      <c r="J1056" s="19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92"/>
      <c r="B1057" s="192"/>
      <c r="C1057" s="192"/>
      <c r="D1057" s="192"/>
      <c r="E1057" s="192"/>
      <c r="F1057" s="192"/>
      <c r="G1057" s="192" t="str">
        <f>IFERROR(__xludf.DUMMYFUNCTION("""COMPUTED_VALUE"""),"Prakhar Srivastava")</f>
        <v>Prakhar Srivastava</v>
      </c>
      <c r="H1057" s="192" t="str">
        <f>IFERROR(__xludf.DUMMYFUNCTION("""COMPUTED_VALUE"""),"prakhar.srivastava@zupee.in")</f>
        <v>prakhar.srivastava@zupee.in</v>
      </c>
      <c r="I1057" s="192" t="str">
        <f>IFERROR(__xludf.DUMMYFUNCTION("""COMPUTED_VALUE"""),"sumit.singh@zupee.in: - Technology")</f>
        <v>sumit.singh@zupee.in: - Technology</v>
      </c>
      <c r="J1057" s="19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92"/>
      <c r="B1058" s="192"/>
      <c r="C1058" s="192"/>
      <c r="D1058" s="192"/>
      <c r="E1058" s="192"/>
      <c r="F1058" s="192"/>
      <c r="G1058" s="192" t="str">
        <f>IFERROR(__xludf.DUMMYFUNCTION("""COMPUTED_VALUE"""),"Sushil Patel")</f>
        <v>Sushil Patel</v>
      </c>
      <c r="H1058" s="192" t="str">
        <f>IFERROR(__xludf.DUMMYFUNCTION("""COMPUTED_VALUE"""),"sushil.patel@zupee.in")</f>
        <v>sushil.patel@zupee.in</v>
      </c>
      <c r="I1058" s="192" t="str">
        <f>IFERROR(__xludf.DUMMYFUNCTION("""COMPUTED_VALUE"""),"akanksha.dhamija@zupee.in: - Human Resources")</f>
        <v>akanksha.dhamija@zupee.in: - Human Resources</v>
      </c>
      <c r="J1058" s="19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92"/>
      <c r="B1059" s="192"/>
      <c r="C1059" s="192"/>
      <c r="D1059" s="192"/>
      <c r="E1059" s="192"/>
      <c r="F1059" s="192"/>
      <c r="G1059" s="192" t="str">
        <f>IFERROR(__xludf.DUMMYFUNCTION("""COMPUTED_VALUE"""),"Grievance Tezrummy")</f>
        <v>Grievance Tezrummy</v>
      </c>
      <c r="H1059" s="192" t="str">
        <f>IFERROR(__xludf.DUMMYFUNCTION("""COMPUTED_VALUE"""),"grievance@tezrummy.com")</f>
        <v>grievance@tezrummy.com</v>
      </c>
      <c r="I1059" s="192" t="str">
        <f>IFERROR(__xludf.DUMMYFUNCTION("""COMPUTED_VALUE"""),"aman.khare@zupee.in: - Customer Experience")</f>
        <v>aman.khare@zupee.in: - Customer Experience</v>
      </c>
      <c r="J1059" s="19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92"/>
      <c r="B1060" s="192"/>
      <c r="C1060" s="192"/>
      <c r="D1060" s="192"/>
      <c r="E1060" s="192"/>
      <c r="F1060" s="192"/>
      <c r="G1060" s="192" t="str">
        <f>IFERROR(__xludf.DUMMYFUNCTION("""COMPUTED_VALUE"""),"Nodal Tezrummy")</f>
        <v>Nodal Tezrummy</v>
      </c>
      <c r="H1060" s="192" t="str">
        <f>IFERROR(__xludf.DUMMYFUNCTION("""COMPUTED_VALUE"""),"nodal@tezrummy.com")</f>
        <v>nodal@tezrummy.com</v>
      </c>
      <c r="I1060" s="192" t="str">
        <f>IFERROR(__xludf.DUMMYFUNCTION("""COMPUTED_VALUE"""),"aman.khare@zupee.in: - Customer Experience")</f>
        <v>aman.khare@zupee.in: - Customer Experience</v>
      </c>
      <c r="J1060" s="19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92"/>
      <c r="B1061" s="192"/>
      <c r="C1061" s="192"/>
      <c r="D1061" s="192"/>
      <c r="E1061" s="192"/>
      <c r="F1061" s="192"/>
      <c r="G1061" s="192" t="str">
        <f>IFERROR(__xludf.DUMMYFUNCTION("""COMPUTED_VALUE"""),"Support Tezrummy")</f>
        <v>Support Tezrummy</v>
      </c>
      <c r="H1061" s="192" t="str">
        <f>IFERROR(__xludf.DUMMYFUNCTION("""COMPUTED_VALUE"""),"support@tezrummy.com")</f>
        <v>support@tezrummy.com</v>
      </c>
      <c r="I1061" s="192" t="str">
        <f>IFERROR(__xludf.DUMMYFUNCTION("""COMPUTED_VALUE"""),"aman.khare@zupee.in: - Customer Experience")</f>
        <v>aman.khare@zupee.in: - Customer Experience</v>
      </c>
      <c r="J1061" s="19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92"/>
      <c r="B1062" s="192"/>
      <c r="C1062" s="192"/>
      <c r="D1062" s="192"/>
      <c r="E1062" s="192"/>
      <c r="F1062" s="192"/>
      <c r="G1062" s="192" t="str">
        <f>IFERROR(__xludf.DUMMYFUNCTION("""COMPUTED_VALUE"""),"Ankit Maheshwari")</f>
        <v>Ankit Maheshwari</v>
      </c>
      <c r="H1062" s="192" t="str">
        <f>IFERROR(__xludf.DUMMYFUNCTION("""COMPUTED_VALUE"""),"ankit.maheshwari@zupee.in")</f>
        <v>ankit.maheshwari@zupee.in</v>
      </c>
      <c r="I1062" s="192" t="str">
        <f>IFERROR(__xludf.DUMMYFUNCTION("""COMPUTED_VALUE"""),"dilsher.malhi@zupee.in: - Finance")</f>
        <v>dilsher.malhi@zupee.in: - Finance</v>
      </c>
      <c r="J1062" s="19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92"/>
      <c r="B1063" s="192"/>
      <c r="C1063" s="192"/>
      <c r="D1063" s="192"/>
      <c r="E1063" s="192"/>
      <c r="F1063" s="192"/>
      <c r="G1063" s="192" t="str">
        <f>IFERROR(__xludf.DUMMYFUNCTION("""COMPUTED_VALUE"""),"Rajat Saurav")</f>
        <v>Rajat Saurav</v>
      </c>
      <c r="H1063" s="192" t="str">
        <f>IFERROR(__xludf.DUMMYFUNCTION("""COMPUTED_VALUE"""),"rajat.saurav@zupee.in")</f>
        <v>rajat.saurav@zupee.in</v>
      </c>
      <c r="I1063" s="192" t="str">
        <f>IFERROR(__xludf.DUMMYFUNCTION("""COMPUTED_VALUE"""),"raman.malik@zupee.in: - Data")</f>
        <v>raman.malik@zupee.in: - Data</v>
      </c>
      <c r="J1063" s="19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92"/>
      <c r="B1064" s="192"/>
      <c r="C1064" s="192"/>
      <c r="D1064" s="192"/>
      <c r="E1064" s="192"/>
      <c r="F1064" s="192"/>
      <c r="G1064" s="192" t="str">
        <f>IFERROR(__xludf.DUMMYFUNCTION("""COMPUTED_VALUE"""),"Aryan Chopra")</f>
        <v>Aryan Chopra</v>
      </c>
      <c r="H1064" s="192" t="str">
        <f>IFERROR(__xludf.DUMMYFUNCTION("""COMPUTED_VALUE"""),"aryan.chopra@zupee.in")</f>
        <v>aryan.chopra@zupee.in</v>
      </c>
      <c r="I1064" s="192" t="str">
        <f>IFERROR(__xludf.DUMMYFUNCTION("""COMPUTED_VALUE"""),"anshul.mittal@zupee.in: - Technology")</f>
        <v>anshul.mittal@zupee.in: - Technology</v>
      </c>
      <c r="J1064" s="19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92"/>
      <c r="B1065" s="192"/>
      <c r="C1065" s="192"/>
      <c r="D1065" s="192"/>
      <c r="E1065" s="192"/>
      <c r="F1065" s="192"/>
      <c r="G1065" s="192" t="str">
        <f>IFERROR(__xludf.DUMMYFUNCTION("""COMPUTED_VALUE"""),"Compliance Manager")</f>
        <v>Compliance Manager</v>
      </c>
      <c r="H1065" s="192" t="str">
        <f>IFERROR(__xludf.DUMMYFUNCTION("""COMPUTED_VALUE"""),"compliance.manager@zupee.in")</f>
        <v>compliance.manager@zupee.in</v>
      </c>
      <c r="I1065" s="192" t="str">
        <f>IFERROR(__xludf.DUMMYFUNCTION("""COMPUTED_VALUE"""),"rajkumar.singh@zupee.in: - IT Infra")</f>
        <v>rajkumar.singh@zupee.in: - IT Infra</v>
      </c>
      <c r="J1065" s="19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92"/>
      <c r="B1066" s="192"/>
      <c r="C1066" s="192"/>
      <c r="D1066" s="192"/>
      <c r="E1066" s="192"/>
      <c r="F1066" s="192"/>
      <c r="G1066" s="192" t="str">
        <f>IFERROR(__xludf.DUMMYFUNCTION("""COMPUTED_VALUE"""),"Abhishek Srivastava")</f>
        <v>Abhishek Srivastava</v>
      </c>
      <c r="H1066" s="192" t="str">
        <f>IFERROR(__xludf.DUMMYFUNCTION("""COMPUTED_VALUE"""),"abhishek.srivastava@zupee.in")</f>
        <v>abhishek.srivastava@zupee.in</v>
      </c>
      <c r="I1066" s="192" t="str">
        <f>IFERROR(__xludf.DUMMYFUNCTION("""COMPUTED_VALUE"""),"anish.abraham@zupee.in: - Product Design")</f>
        <v>anish.abraham@zupee.in: - Product Design</v>
      </c>
      <c r="J1066" s="19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92"/>
      <c r="B1067" s="192"/>
      <c r="C1067" s="192"/>
      <c r="D1067" s="192"/>
      <c r="E1067" s="192"/>
      <c r="F1067" s="192"/>
      <c r="G1067" s="192" t="str">
        <f>IFERROR(__xludf.DUMMYFUNCTION("""COMPUTED_VALUE"""),"Rahul Shivani")</f>
        <v>Rahul Shivani</v>
      </c>
      <c r="H1067" s="192" t="str">
        <f>IFERROR(__xludf.DUMMYFUNCTION("""COMPUTED_VALUE"""),"rahul.shivani@zupee.in")</f>
        <v>rahul.shivani@zupee.in</v>
      </c>
      <c r="I1067" s="192" t="str">
        <f>IFERROR(__xludf.DUMMYFUNCTION("""COMPUTED_VALUE"""),"sairam.mushyam@zupee.in: - Data")</f>
        <v>sairam.mushyam@zupee.in: - Data</v>
      </c>
      <c r="J1067" s="19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92"/>
      <c r="B1068" s="192"/>
      <c r="C1068" s="192"/>
      <c r="D1068" s="192"/>
      <c r="E1068" s="192"/>
      <c r="F1068" s="192"/>
      <c r="G1068" s="192" t="str">
        <f>IFERROR(__xludf.DUMMYFUNCTION("""COMPUTED_VALUE"""),"Shiwani Pokhriyal")</f>
        <v>Shiwani Pokhriyal</v>
      </c>
      <c r="H1068" s="192" t="str">
        <f>IFERROR(__xludf.DUMMYFUNCTION("""COMPUTED_VALUE"""),"shiwani.pokhriyal@zupee.in")</f>
        <v>shiwani.pokhriyal@zupee.in</v>
      </c>
      <c r="I1068" s="192" t="str">
        <f>IFERROR(__xludf.DUMMYFUNCTION("""COMPUTED_VALUE"""),"tarun.sharma@zupee.in: - Customer Experience")</f>
        <v>tarun.sharma@zupee.in: - Customer Experience</v>
      </c>
      <c r="J1068" s="19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92"/>
      <c r="B1069" s="192"/>
      <c r="C1069" s="192"/>
      <c r="D1069" s="192"/>
      <c r="E1069" s="192"/>
      <c r="F1069" s="192"/>
      <c r="G1069" s="192" t="str">
        <f>IFERROR(__xludf.DUMMYFUNCTION("""COMPUTED_VALUE"""),"Arsh Jethi")</f>
        <v>Arsh Jethi</v>
      </c>
      <c r="H1069" s="192" t="str">
        <f>IFERROR(__xludf.DUMMYFUNCTION("""COMPUTED_VALUE"""),"arsh.jethi@zupee.in")</f>
        <v>arsh.jethi@zupee.in</v>
      </c>
      <c r="I1069" s="192" t="str">
        <f>IFERROR(__xludf.DUMMYFUNCTION("""COMPUTED_VALUE"""),"pankaj.gautam@zupee.in: - Data")</f>
        <v>pankaj.gautam@zupee.in: - Data</v>
      </c>
      <c r="J1069" s="19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92"/>
      <c r="B1070" s="192"/>
      <c r="C1070" s="192"/>
      <c r="D1070" s="192"/>
      <c r="E1070" s="192"/>
      <c r="F1070" s="192"/>
      <c r="G1070" s="192" t="str">
        <f>IFERROR(__xludf.DUMMYFUNCTION("""COMPUTED_VALUE"""),"Priyanshu Agrawal")</f>
        <v>Priyanshu Agrawal</v>
      </c>
      <c r="H1070" s="192" t="str">
        <f>IFERROR(__xludf.DUMMYFUNCTION("""COMPUTED_VALUE"""),"priyanshu.agrawal@zupee.in")</f>
        <v>priyanshu.agrawal@zupee.in</v>
      </c>
      <c r="I1070" s="192" t="str">
        <f>IFERROR(__xludf.DUMMYFUNCTION("""COMPUTED_VALUE"""),"aman.kumar@zupee.in: - Data")</f>
        <v>aman.kumar@zupee.in: - Data</v>
      </c>
      <c r="J1070" s="19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92"/>
      <c r="B1071" s="192"/>
      <c r="C1071" s="192"/>
      <c r="D1071" s="192"/>
      <c r="E1071" s="192"/>
      <c r="F1071" s="192"/>
      <c r="G1071" s="192" t="str">
        <f>IFERROR(__xludf.DUMMYFUNCTION("""COMPUTED_VALUE"""),"Pankaj Gautam")</f>
        <v>Pankaj Gautam</v>
      </c>
      <c r="H1071" s="192" t="str">
        <f>IFERROR(__xludf.DUMMYFUNCTION("""COMPUTED_VALUE"""),"pankaj.gautam@zupee.in")</f>
        <v>pankaj.gautam@zupee.in</v>
      </c>
      <c r="I1071" s="192" t="str">
        <f>IFERROR(__xludf.DUMMYFUNCTION("""COMPUTED_VALUE"""),"sairam.mushyam@zupee.in: - Data")</f>
        <v>sairam.mushyam@zupee.in: - Data</v>
      </c>
      <c r="J1071" s="19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92"/>
      <c r="B1072" s="192"/>
      <c r="C1072" s="192"/>
      <c r="D1072" s="192"/>
      <c r="E1072" s="192"/>
      <c r="F1072" s="192"/>
      <c r="G1072" s="192" t="str">
        <f>IFERROR(__xludf.DUMMYFUNCTION("""COMPUTED_VALUE"""),"Anant Dnayeshwar Admane")</f>
        <v>Anant Dnayeshwar Admane</v>
      </c>
      <c r="H1072" s="192" t="str">
        <f>IFERROR(__xludf.DUMMYFUNCTION("""COMPUTED_VALUE"""),"anant.admane@zupee.in")</f>
        <v>anant.admane@zupee.in</v>
      </c>
      <c r="I1072" s="192" t="str">
        <f>IFERROR(__xludf.DUMMYFUNCTION("""COMPUTED_VALUE"""),"vishal.agarwal@zupee.in: - Technology")</f>
        <v>vishal.agarwal@zupee.in: - Technology</v>
      </c>
      <c r="J1072" s="19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92"/>
      <c r="B1073" s="192"/>
      <c r="C1073" s="192"/>
      <c r="D1073" s="192"/>
      <c r="E1073" s="192"/>
      <c r="F1073" s="192"/>
      <c r="G1073" s="192" t="str">
        <f>IFERROR(__xludf.DUMMYFUNCTION("""COMPUTED_VALUE"""),"Mukesh Singh")</f>
        <v>Mukesh Singh</v>
      </c>
      <c r="H1073" s="192" t="str">
        <f>IFERROR(__xludf.DUMMYFUNCTION("""COMPUTED_VALUE"""),"mukesh.singh@zupee.in")</f>
        <v>mukesh.singh@zupee.in</v>
      </c>
      <c r="I1073" s="192" t="str">
        <f>IFERROR(__xludf.DUMMYFUNCTION("""COMPUTED_VALUE"""),"shivam.bali@zupee.in: - Customer Experience")</f>
        <v>shivam.bali@zupee.in: - Customer Experience</v>
      </c>
      <c r="J1073" s="19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92"/>
      <c r="B1074" s="192"/>
      <c r="C1074" s="192"/>
      <c r="D1074" s="192"/>
      <c r="E1074" s="192"/>
      <c r="F1074" s="192"/>
      <c r="G1074" s="192" t="str">
        <f>IFERROR(__xludf.DUMMYFUNCTION("""COMPUTED_VALUE"""),"Developer Ludozing")</f>
        <v>Developer Ludozing</v>
      </c>
      <c r="H1074" s="192" t="str">
        <f>IFERROR(__xludf.DUMMYFUNCTION("""COMPUTED_VALUE"""),"developer@ludozing.com")</f>
        <v>developer@ludozing.com</v>
      </c>
      <c r="I1074" s="192" t="str">
        <f>IFERROR(__xludf.DUMMYFUNCTION("""COMPUTED_VALUE"""),"devagya.kumar@zupee.in: - Product")</f>
        <v>devagya.kumar@zupee.in: - Product</v>
      </c>
      <c r="J1074" s="19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92"/>
      <c r="B1075" s="192"/>
      <c r="C1075" s="192"/>
      <c r="D1075" s="192"/>
      <c r="E1075" s="192"/>
      <c r="F1075" s="192"/>
      <c r="G1075" s="192" t="str">
        <f>IFERROR(__xludf.DUMMYFUNCTION("""COMPUTED_VALUE"""),"Suraj Yadav")</f>
        <v>Suraj Yadav</v>
      </c>
      <c r="H1075" s="192" t="str">
        <f>IFERROR(__xludf.DUMMYFUNCTION("""COMPUTED_VALUE"""),"suraj.yadav@zupee.in")</f>
        <v>suraj.yadav@zupee.in</v>
      </c>
      <c r="I1075" s="192" t="str">
        <f>IFERROR(__xludf.DUMMYFUNCTION("""COMPUTED_VALUE"""),"shivam.bali@zupee.in: - Customer Experience")</f>
        <v>shivam.bali@zupee.in: - Customer Experience</v>
      </c>
      <c r="J1075" s="19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92"/>
      <c r="B1076" s="192"/>
      <c r="C1076" s="192"/>
      <c r="D1076" s="192"/>
      <c r="E1076" s="192"/>
      <c r="F1076" s="192"/>
      <c r="G1076" s="192" t="str">
        <f>IFERROR(__xludf.DUMMYFUNCTION("""COMPUTED_VALUE"""),"Aditya Rao")</f>
        <v>Aditya Rao</v>
      </c>
      <c r="H1076" s="192" t="str">
        <f>IFERROR(__xludf.DUMMYFUNCTION("""COMPUTED_VALUE"""),"aditya.rao@zupee.in")</f>
        <v>aditya.rao@zupee.in</v>
      </c>
      <c r="I1076" s="192" t="str">
        <f>IFERROR(__xludf.DUMMYFUNCTION("""COMPUTED_VALUE"""),"atique.firoz@zupee.in: - Technology")</f>
        <v>atique.firoz@zupee.in: - Technology</v>
      </c>
      <c r="J1076" s="19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92"/>
      <c r="B1077" s="192"/>
      <c r="C1077" s="192"/>
      <c r="D1077" s="192"/>
      <c r="E1077" s="192"/>
      <c r="F1077" s="192"/>
      <c r="G1077" s="192" t="str">
        <f>IFERROR(__xludf.DUMMYFUNCTION("""COMPUTED_VALUE"""),"Aditya Nath")</f>
        <v>Aditya Nath</v>
      </c>
      <c r="H1077" s="192" t="str">
        <f>IFERROR(__xludf.DUMMYFUNCTION("""COMPUTED_VALUE"""),"aditya.nath@zupee.in")</f>
        <v>aditya.nath@zupee.in</v>
      </c>
      <c r="I1077" s="192" t="str">
        <f>IFERROR(__xludf.DUMMYFUNCTION("""COMPUTED_VALUE"""),"deepak.khandelwal@zupee.in: - Technology")</f>
        <v>deepak.khandelwal@zupee.in: - Technology</v>
      </c>
      <c r="J1077" s="19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92"/>
      <c r="B1078" s="192"/>
      <c r="C1078" s="192"/>
      <c r="D1078" s="192"/>
      <c r="E1078" s="192"/>
      <c r="F1078" s="192"/>
      <c r="G1078" s="192" t="str">
        <f>IFERROR(__xludf.DUMMYFUNCTION("""COMPUTED_VALUE"""),"Amit Roy")</f>
        <v>Amit Roy</v>
      </c>
      <c r="H1078" s="192" t="str">
        <f>IFERROR(__xludf.DUMMYFUNCTION("""COMPUTED_VALUE"""),"amit.roy@zupee.in")</f>
        <v>amit.roy@zupee.in</v>
      </c>
      <c r="I1078" s="192" t="str">
        <f>IFERROR(__xludf.DUMMYFUNCTION("""COMPUTED_VALUE"""),"atique.firoz@zupee.in: - Technology")</f>
        <v>atique.firoz@zupee.in: - Technology</v>
      </c>
      <c r="J1078" s="19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92"/>
      <c r="B1079" s="192"/>
      <c r="C1079" s="192"/>
      <c r="D1079" s="192"/>
      <c r="E1079" s="192"/>
      <c r="F1079" s="192"/>
      <c r="G1079" s="192" t="str">
        <f>IFERROR(__xludf.DUMMYFUNCTION("""COMPUTED_VALUE"""),"Amit Arora")</f>
        <v>Amit Arora</v>
      </c>
      <c r="H1079" s="192" t="str">
        <f>IFERROR(__xludf.DUMMYFUNCTION("""COMPUTED_VALUE"""),"amit.a@zupee.in")</f>
        <v>amit.a@zupee.in</v>
      </c>
      <c r="I1079" s="192" t="str">
        <f>IFERROR(__xludf.DUMMYFUNCTION("""COMPUTED_VALUE"""),"shivam.bali@zupee.in: - Customer Experience")</f>
        <v>shivam.bali@zupee.in: - Customer Experience</v>
      </c>
      <c r="J1079" s="19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92"/>
      <c r="B1080" s="192"/>
      <c r="C1080" s="192"/>
      <c r="D1080" s="192"/>
      <c r="E1080" s="192"/>
      <c r="F1080" s="192"/>
      <c r="G1080" s="192" t="str">
        <f>IFERROR(__xludf.DUMMYFUNCTION("""COMPUTED_VALUE"""),"Aryan Duhan")</f>
        <v>Aryan Duhan</v>
      </c>
      <c r="H1080" s="192" t="str">
        <f>IFERROR(__xludf.DUMMYFUNCTION("""COMPUTED_VALUE"""),"aryan.duhan@zupee.in")</f>
        <v>aryan.duhan@zupee.in</v>
      </c>
      <c r="I1080" s="192" t="str">
        <f>IFERROR(__xludf.DUMMYFUNCTION("""COMPUTED_VALUE"""),"rahul.sharma@zupee.in: - Technology")</f>
        <v>rahul.sharma@zupee.in: - Technology</v>
      </c>
      <c r="J1080" s="19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92"/>
      <c r="B1081" s="192"/>
      <c r="C1081" s="192"/>
      <c r="D1081" s="192"/>
      <c r="E1081" s="192"/>
      <c r="F1081" s="192"/>
      <c r="G1081" s="192" t="str">
        <f>IFERROR(__xludf.DUMMYFUNCTION("""COMPUTED_VALUE"""),"Priyanshu Jha")</f>
        <v>Priyanshu Jha</v>
      </c>
      <c r="H1081" s="192" t="str">
        <f>IFERROR(__xludf.DUMMYFUNCTION("""COMPUTED_VALUE"""),"priyanshu.jha@zupee.in")</f>
        <v>priyanshu.jha@zupee.in</v>
      </c>
      <c r="I1081" s="192" t="str">
        <f>IFERROR(__xludf.DUMMYFUNCTION("""COMPUTED_VALUE"""),"piyush.shukla@zupee.in: - Technology")</f>
        <v>piyush.shukla@zupee.in: - Technology</v>
      </c>
      <c r="J1081" s="19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92"/>
      <c r="B1082" s="192"/>
      <c r="C1082" s="192"/>
      <c r="D1082" s="192"/>
      <c r="E1082" s="192"/>
      <c r="F1082" s="192"/>
      <c r="G1082" s="192" t="str">
        <f>IFERROR(__xludf.DUMMYFUNCTION("""COMPUTED_VALUE"""),"Rudraksh Sharma")</f>
        <v>Rudraksh Sharma</v>
      </c>
      <c r="H1082" s="192" t="str">
        <f>IFERROR(__xludf.DUMMYFUNCTION("""COMPUTED_VALUE"""),"rudraksh.sharma@zupee.in")</f>
        <v>rudraksh.sharma@zupee.in</v>
      </c>
      <c r="I1082" s="192" t="str">
        <f>IFERROR(__xludf.DUMMYFUNCTION("""COMPUTED_VALUE"""),"narender.tyagi@zupee.in: - Technology")</f>
        <v>narender.tyagi@zupee.in: - Technology</v>
      </c>
      <c r="J1082" s="19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92"/>
      <c r="B1083" s="192"/>
      <c r="C1083" s="192"/>
      <c r="D1083" s="192"/>
      <c r="E1083" s="192"/>
      <c r="F1083" s="192"/>
      <c r="G1083" s="192" t="str">
        <f>IFERROR(__xludf.DUMMYFUNCTION("""COMPUTED_VALUE"""),"Shrujai Gupta")</f>
        <v>Shrujai Gupta</v>
      </c>
      <c r="H1083" s="192" t="str">
        <f>IFERROR(__xludf.DUMMYFUNCTION("""COMPUTED_VALUE"""),"shrujai.gupta@zupee.in")</f>
        <v>shrujai.gupta@zupee.in</v>
      </c>
      <c r="I1083" s="192" t="str">
        <f>IFERROR(__xludf.DUMMYFUNCTION("""COMPUTED_VALUE"""),"narender.tyagi@zupee.in: - Technology")</f>
        <v>narender.tyagi@zupee.in: - Technology</v>
      </c>
      <c r="J1083" s="19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92"/>
      <c r="B1084" s="192"/>
      <c r="C1084" s="192"/>
      <c r="D1084" s="192"/>
      <c r="E1084" s="192"/>
      <c r="F1084" s="192"/>
      <c r="G1084" s="192" t="str">
        <f>IFERROR(__xludf.DUMMYFUNCTION("""COMPUTED_VALUE"""),"Upamdeep Buragohain")</f>
        <v>Upamdeep Buragohain</v>
      </c>
      <c r="H1084" s="192" t="str">
        <f>IFERROR(__xludf.DUMMYFUNCTION("""COMPUTED_VALUE"""),"upamdeep.buragohain@zupee.in")</f>
        <v>upamdeep.buragohain@zupee.in</v>
      </c>
      <c r="I1084" s="192" t="str">
        <f>IFERROR(__xludf.DUMMYFUNCTION("""COMPUTED_VALUE"""),"rahul.sharma@zupee.in: - Technology")</f>
        <v>rahul.sharma@zupee.in: - Technology</v>
      </c>
      <c r="J1084" s="19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92"/>
      <c r="B1085" s="192"/>
      <c r="C1085" s="192"/>
      <c r="D1085" s="192"/>
      <c r="E1085" s="192"/>
      <c r="F1085" s="192"/>
      <c r="G1085" s="192" t="str">
        <f>IFERROR(__xludf.DUMMYFUNCTION("""COMPUTED_VALUE"""),"Vamsi Haridasu")</f>
        <v>Vamsi Haridasu</v>
      </c>
      <c r="H1085" s="192" t="str">
        <f>IFERROR(__xludf.DUMMYFUNCTION("""COMPUTED_VALUE"""),"vamsi.haridasu@zupee.in")</f>
        <v>vamsi.haridasu@zupee.in</v>
      </c>
      <c r="I1085" s="192" t="str">
        <f>IFERROR(__xludf.DUMMYFUNCTION("""COMPUTED_VALUE"""),"piyush.shukla@zupee.in: - Technology")</f>
        <v>piyush.shukla@zupee.in: - Technology</v>
      </c>
      <c r="J1085" s="19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92"/>
      <c r="B1086" s="192"/>
      <c r="C1086" s="192"/>
      <c r="D1086" s="192"/>
      <c r="E1086" s="192"/>
      <c r="F1086" s="192"/>
      <c r="G1086" s="192" t="str">
        <f>IFERROR(__xludf.DUMMYFUNCTION("""COMPUTED_VALUE"""),"Dhruv Gupta")</f>
        <v>Dhruv Gupta</v>
      </c>
      <c r="H1086" s="192" t="str">
        <f>IFERROR(__xludf.DUMMYFUNCTION("""COMPUTED_VALUE"""),"dhruv.gupta@zupee.in")</f>
        <v>dhruv.gupta@zupee.in</v>
      </c>
      <c r="I1086" s="192" t="str">
        <f>IFERROR(__xludf.DUMMYFUNCTION("""COMPUTED_VALUE"""),"nandeshwar.gupta@zupee.in: - Data")</f>
        <v>nandeshwar.gupta@zupee.in: - Data</v>
      </c>
      <c r="J1086" s="19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92"/>
      <c r="B1087" s="192"/>
      <c r="C1087" s="192"/>
      <c r="D1087" s="192"/>
      <c r="E1087" s="192"/>
      <c r="F1087" s="192"/>
      <c r="G1087" s="192" t="str">
        <f>IFERROR(__xludf.DUMMYFUNCTION("""COMPUTED_VALUE"""),"Purchase Requisition")</f>
        <v>Purchase Requisition</v>
      </c>
      <c r="H1087" s="192" t="str">
        <f>IFERROR(__xludf.DUMMYFUNCTION("""COMPUTED_VALUE"""),"purchase.requisition@zupee.in")</f>
        <v>purchase.requisition@zupee.in</v>
      </c>
      <c r="I1087" s="192" t="str">
        <f>IFERROR(__xludf.DUMMYFUNCTION("""COMPUTED_VALUE"""),"siddharth.monga@zupee.in: - Finance")</f>
        <v>siddharth.monga@zupee.in: - Finance</v>
      </c>
      <c r="J1087" s="19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92"/>
      <c r="B1088" s="192"/>
      <c r="C1088" s="192"/>
      <c r="D1088" s="192"/>
      <c r="E1088" s="192"/>
      <c r="F1088" s="192"/>
      <c r="G1088" s="192" t="str">
        <f>IFERROR(__xludf.DUMMYFUNCTION("""COMPUTED_VALUE"""),"Ankit Kumar")</f>
        <v>Ankit Kumar</v>
      </c>
      <c r="H1088" s="192" t="str">
        <f>IFERROR(__xludf.DUMMYFUNCTION("""COMPUTED_VALUE"""),"ankit.kumar@zupee.in")</f>
        <v>ankit.kumar@zupee.in</v>
      </c>
      <c r="I1088" s="192" t="str">
        <f>IFERROR(__xludf.DUMMYFUNCTION("""COMPUTED_VALUE"""),"saurav.yadav@zupee.in: - Technology")</f>
        <v>saurav.yadav@zupee.in: - Technology</v>
      </c>
      <c r="J1088" s="19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92"/>
      <c r="B1089" s="192"/>
      <c r="C1089" s="192"/>
      <c r="D1089" s="192"/>
      <c r="E1089" s="192"/>
      <c r="F1089" s="192"/>
      <c r="G1089" s="192" t="str">
        <f>IFERROR(__xludf.DUMMYFUNCTION("""COMPUTED_VALUE"""),"New App")</f>
        <v>New App</v>
      </c>
      <c r="H1089" s="192" t="str">
        <f>IFERROR(__xludf.DUMMYFUNCTION("""COMPUTED_VALUE"""),"app@fantazyn.com")</f>
        <v>app@fantazyn.com</v>
      </c>
      <c r="I1089" s="192" t="str">
        <f>IFERROR(__xludf.DUMMYFUNCTION("""COMPUTED_VALUE"""),"mayank.jain@zupee.in: - Product")</f>
        <v>mayank.jain@zupee.in: - Product</v>
      </c>
      <c r="J1089" s="19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92"/>
      <c r="B1090" s="192"/>
      <c r="C1090" s="192"/>
      <c r="D1090" s="192"/>
      <c r="E1090" s="192"/>
      <c r="F1090" s="192"/>
      <c r="G1090" s="192" t="str">
        <f>IFERROR(__xludf.DUMMYFUNCTION("""COMPUTED_VALUE"""),"Tech Team")</f>
        <v>Tech Team</v>
      </c>
      <c r="H1090" s="192" t="str">
        <f>IFERROR(__xludf.DUMMYFUNCTION("""COMPUTED_VALUE"""),"tech@fantazyn.com")</f>
        <v>tech@fantazyn.com</v>
      </c>
      <c r="I1090" s="192" t="str">
        <f>IFERROR(__xludf.DUMMYFUNCTION("""COMPUTED_VALUE"""),"anshul.mittal@zupee.in: - Technology")</f>
        <v>anshul.mittal@zupee.in: - Technology</v>
      </c>
      <c r="J1090" s="19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92"/>
      <c r="B1091" s="192"/>
      <c r="C1091" s="192"/>
      <c r="D1091" s="192"/>
      <c r="E1091" s="192"/>
      <c r="F1091" s="192"/>
      <c r="G1091" s="192" t="str">
        <f>IFERROR(__xludf.DUMMYFUNCTION("""COMPUTED_VALUE"""),"Mirza Azhar")</f>
        <v>Mirza Azhar</v>
      </c>
      <c r="H1091" s="192" t="str">
        <f>IFERROR(__xludf.DUMMYFUNCTION("""COMPUTED_VALUE"""),"mirza.azhar@zupee.in")</f>
        <v>mirza.azhar@zupee.in</v>
      </c>
      <c r="I1091" s="192" t="str">
        <f>IFERROR(__xludf.DUMMYFUNCTION("""COMPUTED_VALUE"""),"shivam.bali@zupee.in: - Customer Experience")</f>
        <v>shivam.bali@zupee.in: - Customer Experience</v>
      </c>
      <c r="J1091" s="19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92"/>
      <c r="B1092" s="192"/>
      <c r="C1092" s="192"/>
      <c r="D1092" s="192"/>
      <c r="E1092" s="192"/>
      <c r="F1092" s="192"/>
      <c r="G1092" s="192" t="str">
        <f>IFERROR(__xludf.DUMMYFUNCTION("""COMPUTED_VALUE"""),"Query KBC")</f>
        <v>Query KBC</v>
      </c>
      <c r="H1092" s="192" t="str">
        <f>IFERROR(__xludf.DUMMYFUNCTION("""COMPUTED_VALUE"""),"query_kbc@zupee.in")</f>
        <v>query_kbc@zupee.in</v>
      </c>
      <c r="I1092" s="192" t="str">
        <f>IFERROR(__xludf.DUMMYFUNCTION("""COMPUTED_VALUE"""),"mritunjay.kumar@zupee.in: - Customer Experience")</f>
        <v>mritunjay.kumar@zupee.in: - Customer Experience</v>
      </c>
      <c r="J1092" s="19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92"/>
      <c r="B1093" s="192"/>
      <c r="C1093" s="192"/>
      <c r="D1093" s="192"/>
      <c r="E1093" s="192"/>
      <c r="F1093" s="192"/>
      <c r="G1093" s="192" t="str">
        <f>IFERROR(__xludf.DUMMYFUNCTION("""COMPUTED_VALUE"""),"Corp Comm")</f>
        <v>Corp Comm</v>
      </c>
      <c r="H1093" s="192" t="str">
        <f>IFERROR(__xludf.DUMMYFUNCTION("""COMPUTED_VALUE"""),"corpcomm@zupee.in")</f>
        <v>corpcomm@zupee.in</v>
      </c>
      <c r="I1093" s="192" t="str">
        <f>IFERROR(__xludf.DUMMYFUNCTION("""COMPUTED_VALUE"""),"yash.oberoi@zupee.in: - P R &amp; Corporate Comms")</f>
        <v>yash.oberoi@zupee.in: - P R &amp; Corporate Comms</v>
      </c>
      <c r="J1093" s="19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92"/>
      <c r="B1094" s="192"/>
      <c r="C1094" s="192"/>
      <c r="D1094" s="192"/>
      <c r="E1094" s="192"/>
      <c r="F1094" s="192"/>
      <c r="G1094" s="192" t="str">
        <f>IFERROR(__xludf.DUMMYFUNCTION("""COMPUTED_VALUE"""),"CA IT")</f>
        <v>CA IT</v>
      </c>
      <c r="H1094" s="192" t="str">
        <f>IFERROR(__xludf.DUMMYFUNCTION("""COMPUTED_VALUE"""),"ca.it@zupee.in")</f>
        <v>ca.it@zupee.in</v>
      </c>
      <c r="I1094" s="192" t="str">
        <f>IFERROR(__xludf.DUMMYFUNCTION("""COMPUTED_VALUE"""),"rajneesh.yadav@zupee.in: - Human Resources")</f>
        <v>rajneesh.yadav@zupee.in: - Human Resources</v>
      </c>
      <c r="J1094" s="19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92"/>
      <c r="B1095" s="192"/>
      <c r="C1095" s="192"/>
      <c r="D1095" s="192"/>
      <c r="E1095" s="192"/>
      <c r="F1095" s="192"/>
      <c r="G1095" s="192" t="str">
        <f>IFERROR(__xludf.DUMMYFUNCTION("""COMPUTED_VALUE"""),"Gift Card")</f>
        <v>Gift Card</v>
      </c>
      <c r="H1095" s="192" t="str">
        <f>IFERROR(__xludf.DUMMYFUNCTION("""COMPUTED_VALUE"""),"giftcard@zupee.in")</f>
        <v>giftcard@zupee.in</v>
      </c>
      <c r="I1095" s="192" t="str">
        <f>IFERROR(__xludf.DUMMYFUNCTION("""COMPUTED_VALUE"""),"maneesha.negi@zupee.in: - Product")</f>
        <v>maneesha.negi@zupee.in: - Product</v>
      </c>
      <c r="J1095" s="19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92"/>
      <c r="B1096" s="192"/>
      <c r="C1096" s="192"/>
      <c r="D1096" s="192"/>
      <c r="E1096" s="192"/>
      <c r="F1096" s="192"/>
      <c r="G1096" s="192" t="str">
        <f>IFERROR(__xludf.DUMMYFUNCTION("""COMPUTED_VALUE"""),"Giftcard Support")</f>
        <v>Giftcard Support</v>
      </c>
      <c r="H1096" s="192" t="str">
        <f>IFERROR(__xludf.DUMMYFUNCTION("""COMPUTED_VALUE"""),"giftcardsupport@zupee.in")</f>
        <v>giftcardsupport@zupee.in</v>
      </c>
      <c r="I1096" s="192" t="str">
        <f>IFERROR(__xludf.DUMMYFUNCTION("""COMPUTED_VALUE"""),"maneesha.negi@zupee.in: - Product")</f>
        <v>maneesha.negi@zupee.in: - Product</v>
      </c>
      <c r="J1096" s="19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92"/>
      <c r="B1097" s="192"/>
      <c r="C1097" s="192"/>
      <c r="D1097" s="192"/>
      <c r="E1097" s="192"/>
      <c r="F1097" s="192"/>
      <c r="G1097" s="192" t="str">
        <f>IFERROR(__xludf.DUMMYFUNCTION("""COMPUTED_VALUE"""),"Prateek Mittal")</f>
        <v>Prateek Mittal</v>
      </c>
      <c r="H1097" s="192" t="str">
        <f>IFERROR(__xludf.DUMMYFUNCTION("""COMPUTED_VALUE"""),"prateek.mittal@zupee.in")</f>
        <v>prateek.mittal@zupee.in</v>
      </c>
      <c r="I1097" s="192" t="str">
        <f>IFERROR(__xludf.DUMMYFUNCTION("""COMPUTED_VALUE"""),"sahil.puri@zupee.in: - Technology")</f>
        <v>sahil.puri@zupee.in: - Technology</v>
      </c>
      <c r="J1097" s="19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92"/>
      <c r="B1098" s="192"/>
      <c r="C1098" s="192"/>
      <c r="D1098" s="192"/>
      <c r="E1098" s="192"/>
      <c r="F1098" s="192"/>
      <c r="G1098" s="192" t="str">
        <f>IFERROR(__xludf.DUMMYFUNCTION("""COMPUTED_VALUE"""),"Dipankar Dipankar Yadav")</f>
        <v>Dipankar Dipankar Yadav</v>
      </c>
      <c r="H1098" s="192" t="str">
        <f>IFERROR(__xludf.DUMMYFUNCTION("""COMPUTED_VALUE"""),"dipankar.yadav@zupee.in")</f>
        <v>dipankar.yadav@zupee.in</v>
      </c>
      <c r="I1098" s="192" t="str">
        <f>IFERROR(__xludf.DUMMYFUNCTION("""COMPUTED_VALUE"""),"aman.g@zupee.in: - Technology")</f>
        <v>aman.g@zupee.in: - Technology</v>
      </c>
      <c r="J1098" s="19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92"/>
      <c r="B1099" s="192"/>
      <c r="C1099" s="192"/>
      <c r="D1099" s="192"/>
      <c r="E1099" s="192"/>
      <c r="F1099" s="192"/>
      <c r="G1099" s="192" t="str">
        <f>IFERROR(__xludf.DUMMYFUNCTION("""COMPUTED_VALUE"""),"Rochak Kumar Ritam")</f>
        <v>Rochak Kumar Ritam</v>
      </c>
      <c r="H1099" s="192" t="str">
        <f>IFERROR(__xludf.DUMMYFUNCTION("""COMPUTED_VALUE"""),"rochak.ritam@zupee.in")</f>
        <v>rochak.ritam@zupee.in</v>
      </c>
      <c r="I1099" s="192" t="str">
        <f>IFERROR(__xludf.DUMMYFUNCTION("""COMPUTED_VALUE"""),"pareena.singh@zupee.in: - Product")</f>
        <v>pareena.singh@zupee.in: - Product</v>
      </c>
      <c r="J1099" s="19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92"/>
      <c r="B1100" s="192"/>
      <c r="C1100" s="192"/>
      <c r="D1100" s="192"/>
      <c r="E1100" s="192"/>
      <c r="F1100" s="192"/>
      <c r="G1100" s="192" t="str">
        <f>IFERROR(__xludf.DUMMYFUNCTION("""COMPUTED_VALUE"""),"D S")</f>
        <v>D S</v>
      </c>
      <c r="H1100" s="192" t="str">
        <f>IFERROR(__xludf.DUMMYFUNCTION("""COMPUTED_VALUE"""),"ds@zupee.in")</f>
        <v>ds@zupee.in</v>
      </c>
      <c r="I1100" s="192" t="str">
        <f>IFERROR(__xludf.DUMMYFUNCTION("""COMPUTED_VALUE"""),"dilsher.malhi@zupee.in: - Org")</f>
        <v>dilsher.malhi@zupee.in: - Org</v>
      </c>
      <c r="J1100" s="19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92"/>
      <c r="B1101" s="192"/>
      <c r="C1101" s="192"/>
      <c r="D1101" s="192"/>
      <c r="E1101" s="192"/>
      <c r="F1101" s="192"/>
      <c r="G1101" s="192" t="str">
        <f>IFERROR(__xludf.DUMMYFUNCTION("""COMPUTED_VALUE"""),"Product Marketing")</f>
        <v>Product Marketing</v>
      </c>
      <c r="H1101" s="192" t="str">
        <f>IFERROR(__xludf.DUMMYFUNCTION("""COMPUTED_VALUE"""),"product.marketing@zupee.in")</f>
        <v>product.marketing@zupee.in</v>
      </c>
      <c r="I1101" s="192" t="str">
        <f>IFERROR(__xludf.DUMMYFUNCTION("""COMPUTED_VALUE"""),"pratik.taltia@zupee.in: - Strategy")</f>
        <v>pratik.taltia@zupee.in: - Strategy</v>
      </c>
      <c r="J1101" s="19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92"/>
      <c r="B1102" s="192"/>
      <c r="C1102" s="192"/>
      <c r="D1102" s="192"/>
      <c r="E1102" s="192"/>
      <c r="F1102" s="192"/>
      <c r="G1102" s="192" t="str">
        <f>IFERROR(__xludf.DUMMYFUNCTION("""COMPUTED_VALUE"""),"Kamal Dixit")</f>
        <v>Kamal Dixit</v>
      </c>
      <c r="H1102" s="192" t="str">
        <f>IFERROR(__xludf.DUMMYFUNCTION("""COMPUTED_VALUE"""),"kamal.dixit@zupee.in")</f>
        <v>kamal.dixit@zupee.in</v>
      </c>
      <c r="I1102" s="192" t="str">
        <f>IFERROR(__xludf.DUMMYFUNCTION("""COMPUTED_VALUE"""),"anshul.mittal@zupee.in: - Technology")</f>
        <v>anshul.mittal@zupee.in: - Technology</v>
      </c>
      <c r="J1102" s="19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92"/>
      <c r="B1103" s="192"/>
      <c r="C1103" s="192"/>
      <c r="D1103" s="192"/>
      <c r="E1103" s="192"/>
      <c r="F1103" s="192"/>
      <c r="G1103" s="192" t="str">
        <f>IFERROR(__xludf.DUMMYFUNCTION("""COMPUTED_VALUE"""),"App Vipjyotish")</f>
        <v>App Vipjyotish</v>
      </c>
      <c r="H1103" s="192" t="str">
        <f>IFERROR(__xludf.DUMMYFUNCTION("""COMPUTED_VALUE"""),"app@vipjyotish.com")</f>
        <v>app@vipjyotish.com</v>
      </c>
      <c r="I1103" s="192" t="str">
        <f>IFERROR(__xludf.DUMMYFUNCTION("""COMPUTED_VALUE"""),"anshul.mittal@zupee.in: - Technology")</f>
        <v>anshul.mittal@zupee.in: - Technology</v>
      </c>
      <c r="J1103" s="19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92"/>
      <c r="B1104" s="192"/>
      <c r="C1104" s="192"/>
      <c r="D1104" s="192"/>
      <c r="E1104" s="192"/>
      <c r="F1104" s="192"/>
      <c r="G1104" s="192" t="str">
        <f>IFERROR(__xludf.DUMMYFUNCTION("""COMPUTED_VALUE"""),"Abhishek Choudhary")</f>
        <v>Abhishek Choudhary</v>
      </c>
      <c r="H1104" s="192" t="str">
        <f>IFERROR(__xludf.DUMMYFUNCTION("""COMPUTED_VALUE"""),"abhishek.choudhary@zupee.in")</f>
        <v>abhishek.choudhary@zupee.in</v>
      </c>
      <c r="I1104" s="192" t="str">
        <f>IFERROR(__xludf.DUMMYFUNCTION("""COMPUTED_VALUE"""),"aman.kumar@zupee.in: - Data")</f>
        <v>aman.kumar@zupee.in: - Data</v>
      </c>
      <c r="J1104" s="19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92"/>
      <c r="B1105" s="192"/>
      <c r="C1105" s="192"/>
      <c r="D1105" s="192"/>
      <c r="E1105" s="192"/>
      <c r="F1105" s="192"/>
      <c r="G1105" s="192" t="str">
        <f>IFERROR(__xludf.DUMMYFUNCTION("""COMPUTED_VALUE"""),"Sparsh Agarwal")</f>
        <v>Sparsh Agarwal</v>
      </c>
      <c r="H1105" s="192" t="str">
        <f>IFERROR(__xludf.DUMMYFUNCTION("""COMPUTED_VALUE"""),"sparsh.agarwal@zupee.in")</f>
        <v>sparsh.agarwal@zupee.in</v>
      </c>
      <c r="I1105" s="192" t="str">
        <f>IFERROR(__xludf.DUMMYFUNCTION("""COMPUTED_VALUE"""),"shashank.gupta@zupee.in: - Finance")</f>
        <v>shashank.gupta@zupee.in: - Finance</v>
      </c>
      <c r="J1105" s="19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92"/>
      <c r="B1106" s="192"/>
      <c r="C1106" s="192"/>
      <c r="D1106" s="192"/>
      <c r="E1106" s="192"/>
      <c r="F1106" s="192"/>
      <c r="G1106" s="192" t="str">
        <f>IFERROR(__xludf.DUMMYFUNCTION("""COMPUTED_VALUE"""),"Web Frontend")</f>
        <v>Web Frontend</v>
      </c>
      <c r="H1106" s="192" t="str">
        <f>IFERROR(__xludf.DUMMYFUNCTION("""COMPUTED_VALUE"""),"web.frontend@zupee.in")</f>
        <v>web.frontend@zupee.in</v>
      </c>
      <c r="I1106" s="192" t="str">
        <f>IFERROR(__xludf.DUMMYFUNCTION("""COMPUTED_VALUE"""),"aryan.chopra@zupee.in: - Technology")</f>
        <v>aryan.chopra@zupee.in: - Technology</v>
      </c>
      <c r="J1106" s="19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92"/>
      <c r="B1107" s="192"/>
      <c r="C1107" s="192"/>
      <c r="D1107" s="192"/>
      <c r="E1107" s="192"/>
      <c r="F1107" s="192"/>
      <c r="G1107" s="192" t="str">
        <f>IFERROR(__xludf.DUMMYFUNCTION("""COMPUTED_VALUE"""),"Oracle Zupee")</f>
        <v>Oracle Zupee</v>
      </c>
      <c r="H1107" s="192" t="str">
        <f>IFERROR(__xludf.DUMMYFUNCTION("""COMPUTED_VALUE"""),"oracle@zupee.in")</f>
        <v>oracle@zupee.in</v>
      </c>
      <c r="I1107" s="192" t="str">
        <f>IFERROR(__xludf.DUMMYFUNCTION("""COMPUTED_VALUE"""),"dhruv.adlakha@zupee.in: - Finance")</f>
        <v>dhruv.adlakha@zupee.in: - Finance</v>
      </c>
      <c r="J1107" s="19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92"/>
      <c r="B1108" s="192"/>
      <c r="C1108" s="192"/>
      <c r="D1108" s="192"/>
      <c r="E1108" s="192"/>
      <c r="F1108" s="192"/>
      <c r="G1108" s="192" t="str">
        <f>IFERROR(__xludf.DUMMYFUNCTION("""COMPUTED_VALUE"""),"Anupam Kishore")</f>
        <v>Anupam Kishore</v>
      </c>
      <c r="H1108" s="192" t="str">
        <f>IFERROR(__xludf.DUMMYFUNCTION("""COMPUTED_VALUE"""),"anupam.kishore@zupee.in")</f>
        <v>anupam.kishore@zupee.in</v>
      </c>
      <c r="I1108" s="192" t="str">
        <f>IFERROR(__xludf.DUMMYFUNCTION("""COMPUTED_VALUE"""),"govind.mittal@zupee.in: - Org")</f>
        <v>govind.mittal@zupee.in: - Org</v>
      </c>
      <c r="J1108" s="19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92"/>
      <c r="B1109" s="192"/>
      <c r="C1109" s="192"/>
      <c r="D1109" s="192"/>
      <c r="E1109" s="192"/>
      <c r="F1109" s="192"/>
      <c r="G1109" s="192" t="str">
        <f>IFERROR(__xludf.DUMMYFUNCTION("""COMPUTED_VALUE"""),"Ankit Vikram")</f>
        <v>Ankit Vikram</v>
      </c>
      <c r="H1109" s="192" t="str">
        <f>IFERROR(__xludf.DUMMYFUNCTION("""COMPUTED_VALUE"""),"ankit.vikram@zupee.in")</f>
        <v>ankit.vikram@zupee.in</v>
      </c>
      <c r="I1109" s="192" t="str">
        <f>IFERROR(__xludf.DUMMYFUNCTION("""COMPUTED_VALUE"""),"khushali.bagga@zupee.in: - Brand Marketing")</f>
        <v>khushali.bagga@zupee.in: - Brand Marketing</v>
      </c>
      <c r="J1109" s="19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92"/>
      <c r="B1110" s="192"/>
      <c r="C1110" s="192"/>
      <c r="D1110" s="192"/>
      <c r="E1110" s="192"/>
      <c r="F1110" s="192"/>
      <c r="G1110" s="192" t="str">
        <f>IFERROR(__xludf.DUMMYFUNCTION("""COMPUTED_VALUE"""),"Pranav Arora")</f>
        <v>Pranav Arora</v>
      </c>
      <c r="H1110" s="192" t="str">
        <f>IFERROR(__xludf.DUMMYFUNCTION("""COMPUTED_VALUE"""),"pranav.arora@zupee.in")</f>
        <v>pranav.arora@zupee.in</v>
      </c>
      <c r="I1110" s="192" t="str">
        <f>IFERROR(__xludf.DUMMYFUNCTION("""COMPUTED_VALUE"""),"naveen.kadyan@zupee.in: - Product")</f>
        <v>naveen.kadyan@zupee.in: - Product</v>
      </c>
      <c r="J1110" s="19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92"/>
      <c r="B1111" s="192"/>
      <c r="C1111" s="192"/>
      <c r="D1111" s="192"/>
      <c r="E1111" s="192"/>
      <c r="F1111" s="192"/>
      <c r="G1111" s="192" t="str">
        <f>IFERROR(__xludf.DUMMYFUNCTION("""COMPUTED_VALUE"""),"Auditor Zupee")</f>
        <v>Auditor Zupee</v>
      </c>
      <c r="H1111" s="192" t="str">
        <f>IFERROR(__xludf.DUMMYFUNCTION("""COMPUTED_VALUE"""),"auditor@zupee.in")</f>
        <v>auditor@zupee.in</v>
      </c>
      <c r="I1111" s="192" t="str">
        <f>IFERROR(__xludf.DUMMYFUNCTION("""COMPUTED_VALUE"""),"hitesh.vats@zupee.in: - Finance")</f>
        <v>hitesh.vats@zupee.in: - Finance</v>
      </c>
      <c r="J1111" s="19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92"/>
      <c r="B1112" s="192"/>
      <c r="C1112" s="192"/>
      <c r="D1112" s="192"/>
      <c r="E1112" s="192"/>
      <c r="F1112" s="192"/>
      <c r="G1112" s="192" t="str">
        <f>IFERROR(__xludf.DUMMYFUNCTION("""COMPUTED_VALUE"""),"Shubham Agrawal")</f>
        <v>Shubham Agrawal</v>
      </c>
      <c r="H1112" s="192" t="str">
        <f>IFERROR(__xludf.DUMMYFUNCTION("""COMPUTED_VALUE"""),"shubham.agrawal@zupee.in")</f>
        <v>shubham.agrawal@zupee.in</v>
      </c>
      <c r="I1112" s="192" t="str">
        <f>IFERROR(__xludf.DUMMYFUNCTION("""COMPUTED_VALUE"""),"naveen.kadyan@zupee.in: - Product")</f>
        <v>naveen.kadyan@zupee.in: - Product</v>
      </c>
      <c r="J1112" s="19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92"/>
      <c r="B1113" s="192"/>
      <c r="C1113" s="192"/>
      <c r="D1113" s="192"/>
      <c r="E1113" s="192"/>
      <c r="F1113" s="192"/>
      <c r="G1113" s="192" t="str">
        <f>IFERROR(__xludf.DUMMYFUNCTION("""COMPUTED_VALUE"""),"Ashutosh Garg - Intern")</f>
        <v>Ashutosh Garg - Intern</v>
      </c>
      <c r="H1113" s="192" t="str">
        <f>IFERROR(__xludf.DUMMYFUNCTION("""COMPUTED_VALUE"""),"ashutosh.garg@zupee.in")</f>
        <v>ashutosh.garg@zupee.in</v>
      </c>
      <c r="I1113" s="192" t="str">
        <f>IFERROR(__xludf.DUMMYFUNCTION("""COMPUTED_VALUE"""),"aman.kumar@zupee.in: - Data")</f>
        <v>aman.kumar@zupee.in: - Data</v>
      </c>
      <c r="J1113" s="19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92"/>
      <c r="B1114" s="192"/>
      <c r="C1114" s="192"/>
      <c r="D1114" s="192"/>
      <c r="E1114" s="192"/>
      <c r="F1114" s="192"/>
      <c r="G1114" s="192" t="str">
        <f>IFERROR(__xludf.DUMMYFUNCTION("""COMPUTED_VALUE"""),"Priyanshu Gandhi")</f>
        <v>Priyanshu Gandhi</v>
      </c>
      <c r="H1114" s="192" t="str">
        <f>IFERROR(__xludf.DUMMYFUNCTION("""COMPUTED_VALUE"""),"priyanshu.gandhi@zupee.in")</f>
        <v>priyanshu.gandhi@zupee.in</v>
      </c>
      <c r="I1114" s="192" t="str">
        <f>IFERROR(__xludf.DUMMYFUNCTION("""COMPUTED_VALUE"""),"sahil.puri@zupee.in: - Technology")</f>
        <v>sahil.puri@zupee.in: - Technology</v>
      </c>
      <c r="J1114" s="19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92"/>
      <c r="B1115" s="192"/>
      <c r="C1115" s="192"/>
      <c r="D1115" s="192"/>
      <c r="E1115" s="192"/>
      <c r="F1115" s="192"/>
      <c r="G1115" s="192" t="str">
        <f>IFERROR(__xludf.DUMMYFUNCTION("""COMPUTED_VALUE"""),"Prashant Kumar")</f>
        <v>Prashant Kumar</v>
      </c>
      <c r="H1115" s="192" t="str">
        <f>IFERROR(__xludf.DUMMYFUNCTION("""COMPUTED_VALUE"""),"prashant.k@zupee.in")</f>
        <v>prashant.k@zupee.in</v>
      </c>
      <c r="I1115" s="192" t="str">
        <f>IFERROR(__xludf.DUMMYFUNCTION("""COMPUTED_VALUE"""),"gurmeet.singh@zupee.in: - Product Design")</f>
        <v>gurmeet.singh@zupee.in: - Product Design</v>
      </c>
      <c r="J1115" s="19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92"/>
      <c r="B1116" s="192"/>
      <c r="C1116" s="192"/>
      <c r="D1116" s="192"/>
      <c r="E1116" s="192"/>
      <c r="F1116" s="192"/>
      <c r="G1116" s="192" t="str">
        <f>IFERROR(__xludf.DUMMYFUNCTION("""COMPUTED_VALUE"""),"App Neoastro")</f>
        <v>App Neoastro</v>
      </c>
      <c r="H1116" s="192" t="str">
        <f>IFERROR(__xludf.DUMMYFUNCTION("""COMPUTED_VALUE"""),"app@neoastro.com")</f>
        <v>app@neoastro.com</v>
      </c>
      <c r="I1116" s="192" t="str">
        <f>IFERROR(__xludf.DUMMYFUNCTION("""COMPUTED_VALUE"""),"anshul.mittal@zupee.in: - Technology")</f>
        <v>anshul.mittal@zupee.in: - Technology</v>
      </c>
      <c r="J1116" s="19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92"/>
      <c r="B1117" s="192"/>
      <c r="C1117" s="192"/>
      <c r="D1117" s="192"/>
      <c r="E1117" s="192"/>
      <c r="F1117" s="192"/>
      <c r="G1117" s="192" t="str">
        <f>IFERROR(__xludf.DUMMYFUNCTION("""COMPUTED_VALUE"""),"Care Neoastro")</f>
        <v>Care Neoastro</v>
      </c>
      <c r="H1117" s="192" t="str">
        <f>IFERROR(__xludf.DUMMYFUNCTION("""COMPUTED_VALUE"""),"care@neoastro.com")</f>
        <v>care@neoastro.com</v>
      </c>
      <c r="I1117" s="192" t="str">
        <f>IFERROR(__xludf.DUMMYFUNCTION("""COMPUTED_VALUE"""),"anshul.mittal@zupee.in: - Technology")</f>
        <v>anshul.mittal@zupee.in: - Technology</v>
      </c>
      <c r="J1117" s="19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92"/>
      <c r="B1118" s="192"/>
      <c r="C1118" s="192"/>
      <c r="D1118" s="192"/>
      <c r="E1118" s="192"/>
      <c r="F1118" s="192"/>
      <c r="G1118" s="192" t="str">
        <f>IFERROR(__xludf.DUMMYFUNCTION("""COMPUTED_VALUE"""),"Grievance Neoastro")</f>
        <v>Grievance Neoastro</v>
      </c>
      <c r="H1118" s="192" t="str">
        <f>IFERROR(__xludf.DUMMYFUNCTION("""COMPUTED_VALUE"""),"grievance@neoastro.com")</f>
        <v>grievance@neoastro.com</v>
      </c>
      <c r="I1118" s="192" t="str">
        <f>IFERROR(__xludf.DUMMYFUNCTION("""COMPUTED_VALUE"""),"anshul.mittal@zupee.in: - Technology")</f>
        <v>anshul.mittal@zupee.in: - Technology</v>
      </c>
      <c r="J1118" s="19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92"/>
      <c r="B1119" s="192"/>
      <c r="C1119" s="192"/>
      <c r="D1119" s="192"/>
      <c r="E1119" s="192"/>
      <c r="F1119" s="192"/>
      <c r="G1119" s="192" t="str">
        <f>IFERROR(__xludf.DUMMYFUNCTION("""COMPUTED_VALUE"""),"Nodal Neoastro")</f>
        <v>Nodal Neoastro</v>
      </c>
      <c r="H1119" s="192" t="str">
        <f>IFERROR(__xludf.DUMMYFUNCTION("""COMPUTED_VALUE"""),"nodal@neoastro.com")</f>
        <v>nodal@neoastro.com</v>
      </c>
      <c r="I1119" s="192" t="str">
        <f>IFERROR(__xludf.DUMMYFUNCTION("""COMPUTED_VALUE"""),"anshul.mittal@zupee.in: - Technology")</f>
        <v>anshul.mittal@zupee.in: - Technology</v>
      </c>
      <c r="J1119" s="19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92"/>
      <c r="B1120" s="192"/>
      <c r="C1120" s="192"/>
      <c r="D1120" s="192"/>
      <c r="E1120" s="192"/>
      <c r="F1120" s="192"/>
      <c r="G1120" s="192" t="str">
        <f>IFERROR(__xludf.DUMMYFUNCTION("""COMPUTED_VALUE"""),"Social Neoastro")</f>
        <v>Social Neoastro</v>
      </c>
      <c r="H1120" s="192" t="str">
        <f>IFERROR(__xludf.DUMMYFUNCTION("""COMPUTED_VALUE"""),"social@neoastro.com")</f>
        <v>social@neoastro.com</v>
      </c>
      <c r="I1120" s="192" t="str">
        <f>IFERROR(__xludf.DUMMYFUNCTION("""COMPUTED_VALUE"""),"anshul.mittal@zupee.in: - Technology")</f>
        <v>anshul.mittal@zupee.in: - Technology</v>
      </c>
      <c r="J1120" s="19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92"/>
      <c r="B1121" s="192"/>
      <c r="C1121" s="192"/>
      <c r="D1121" s="192"/>
      <c r="E1121" s="192"/>
      <c r="F1121" s="192"/>
      <c r="G1121" s="192" t="str">
        <f>IFERROR(__xludf.DUMMYFUNCTION("""COMPUTED_VALUE"""),"Support Neoastro")</f>
        <v>Support Neoastro</v>
      </c>
      <c r="H1121" s="192" t="str">
        <f>IFERROR(__xludf.DUMMYFUNCTION("""COMPUTED_VALUE"""),"support@neoastro.com")</f>
        <v>support@neoastro.com</v>
      </c>
      <c r="I1121" s="192" t="str">
        <f>IFERROR(__xludf.DUMMYFUNCTION("""COMPUTED_VALUE"""),"anshul.mittal@zupee.in: - Technology")</f>
        <v>anshul.mittal@zupee.in: - Technology</v>
      </c>
      <c r="J1121" s="19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92"/>
      <c r="B1122" s="192"/>
      <c r="C1122" s="192"/>
      <c r="D1122" s="192"/>
      <c r="E1122" s="192"/>
      <c r="F1122" s="192"/>
      <c r="G1122" s="192" t="str">
        <f>IFERROR(__xludf.DUMMYFUNCTION("""COMPUTED_VALUE"""),"Testcare Neoastro")</f>
        <v>Testcare Neoastro</v>
      </c>
      <c r="H1122" s="192" t="str">
        <f>IFERROR(__xludf.DUMMYFUNCTION("""COMPUTED_VALUE"""),"testcare@neoastro.com")</f>
        <v>testcare@neoastro.com</v>
      </c>
      <c r="I1122" s="192" t="str">
        <f>IFERROR(__xludf.DUMMYFUNCTION("""COMPUTED_VALUE"""),"anshul.mittal@zupee.in: - Technology")</f>
        <v>anshul.mittal@zupee.in: - Technology</v>
      </c>
      <c r="J1122" s="19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92"/>
      <c r="B1123" s="192"/>
      <c r="C1123" s="192"/>
      <c r="D1123" s="192"/>
      <c r="E1123" s="192"/>
      <c r="F1123" s="192"/>
      <c r="G1123" s="192" t="str">
        <f>IFERROR(__xludf.DUMMYFUNCTION("""COMPUTED_VALUE"""),"Shubham Kashyap")</f>
        <v>Shubham Kashyap</v>
      </c>
      <c r="H1123" s="192" t="str">
        <f>IFERROR(__xludf.DUMMYFUNCTION("""COMPUTED_VALUE"""),"shubham.kashyap@zupee.in")</f>
        <v>shubham.kashyap@zupee.in</v>
      </c>
      <c r="I1123" s="192" t="str">
        <f>IFERROR(__xludf.DUMMYFUNCTION("""COMPUTED_VALUE"""),"aditya.jha@zupee.in: - Strategy")</f>
        <v>aditya.jha@zupee.in: - Strategy</v>
      </c>
      <c r="J1123" s="19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92"/>
      <c r="B1124" s="192"/>
      <c r="C1124" s="192"/>
      <c r="D1124" s="192"/>
      <c r="E1124" s="192"/>
      <c r="F1124" s="192"/>
      <c r="G1124" s="192" t="str">
        <f>IFERROR(__xludf.DUMMYFUNCTION("""COMPUTED_VALUE"""),"Admin Lite")</f>
        <v>Admin Lite</v>
      </c>
      <c r="H1124" s="192" t="str">
        <f>IFERROR(__xludf.DUMMYFUNCTION("""COMPUTED_VALUE"""),"adminlite@zupee.in")</f>
        <v>adminlite@zupee.in</v>
      </c>
      <c r="I1124" s="192" t="str">
        <f>IFERROR(__xludf.DUMMYFUNCTION("""COMPUTED_VALUE"""),"vikas.gupta@zupee.in: - Finance")</f>
        <v>vikas.gupta@zupee.in: - Finance</v>
      </c>
      <c r="J1124" s="19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92"/>
      <c r="B1125" s="192"/>
      <c r="C1125" s="192"/>
      <c r="D1125" s="192"/>
      <c r="E1125" s="192"/>
      <c r="F1125" s="192"/>
      <c r="G1125" s="192" t="str">
        <f>IFERROR(__xludf.DUMMYFUNCTION("""COMPUTED_VALUE"""),"Admin Ludo")</f>
        <v>Admin Ludo</v>
      </c>
      <c r="H1125" s="192" t="str">
        <f>IFERROR(__xludf.DUMMYFUNCTION("""COMPUTED_VALUE"""),"adminludo@zupee.in")</f>
        <v>adminludo@zupee.in</v>
      </c>
      <c r="I1125" s="192" t="str">
        <f>IFERROR(__xludf.DUMMYFUNCTION("""COMPUTED_VALUE"""),"vikas.gupta@zupee.in: - Finance")</f>
        <v>vikas.gupta@zupee.in: - Finance</v>
      </c>
      <c r="J1125" s="19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92"/>
      <c r="B1126" s="192"/>
      <c r="C1126" s="192"/>
      <c r="D1126" s="192"/>
      <c r="E1126" s="192"/>
      <c r="F1126" s="192"/>
      <c r="G1126" s="192" t="str">
        <f>IFERROR(__xludf.DUMMYFUNCTION("""COMPUTED_VALUE"""),"Admin Rummy")</f>
        <v>Admin Rummy</v>
      </c>
      <c r="H1126" s="192" t="str">
        <f>IFERROR(__xludf.DUMMYFUNCTION("""COMPUTED_VALUE"""),"adminrummy@tezrummy.com")</f>
        <v>adminrummy@tezrummy.com</v>
      </c>
      <c r="I1126" s="192" t="str">
        <f>IFERROR(__xludf.DUMMYFUNCTION("""COMPUTED_VALUE"""),"vikas.gupta@zupee.in: - Finance")</f>
        <v>vikas.gupta@zupee.in: - Finance</v>
      </c>
      <c r="J1126" s="19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92"/>
      <c r="B1127" s="192"/>
      <c r="C1127" s="192"/>
      <c r="D1127" s="192"/>
      <c r="E1127" s="192"/>
      <c r="F1127" s="192"/>
      <c r="G1127" s="192" t="str">
        <f>IFERROR(__xludf.DUMMYFUNCTION("""COMPUTED_VALUE"""),"Diksha Garg")</f>
        <v>Diksha Garg</v>
      </c>
      <c r="H1127" s="192" t="str">
        <f>IFERROR(__xludf.DUMMYFUNCTION("""COMPUTED_VALUE"""),"diksha.garg@zupee.in")</f>
        <v>diksha.garg@zupee.in</v>
      </c>
      <c r="I1127" s="192" t="str">
        <f>IFERROR(__xludf.DUMMYFUNCTION("""COMPUTED_VALUE"""),"ritwika.maitra@zupee.in: - Digital Marketing")</f>
        <v>ritwika.maitra@zupee.in: - Digital Marketing</v>
      </c>
      <c r="J1127" s="19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92"/>
      <c r="B1128" s="192"/>
      <c r="C1128" s="192"/>
      <c r="D1128" s="192"/>
      <c r="E1128" s="192"/>
      <c r="F1128" s="192"/>
      <c r="G1128" s="192" t="str">
        <f>IFERROR(__xludf.DUMMYFUNCTION("""COMPUTED_VALUE"""),"Yash Satwani")</f>
        <v>Yash Satwani</v>
      </c>
      <c r="H1128" s="192" t="str">
        <f>IFERROR(__xludf.DUMMYFUNCTION("""COMPUTED_VALUE"""),"yash.satwani@zupee.in")</f>
        <v>yash.satwani@zupee.in</v>
      </c>
      <c r="I1128" s="192" t="str">
        <f>IFERROR(__xludf.DUMMYFUNCTION("""COMPUTED_VALUE"""),"deep.dwivedi@zupee.in: - Data")</f>
        <v>deep.dwivedi@zupee.in: - Data</v>
      </c>
      <c r="J1128" s="19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92"/>
      <c r="B1129" s="192"/>
      <c r="C1129" s="192"/>
      <c r="D1129" s="192"/>
      <c r="E1129" s="192"/>
      <c r="F1129" s="192"/>
      <c r="G1129" s="192" t="str">
        <f>IFERROR(__xludf.DUMMYFUNCTION("""COMPUTED_VALUE"""),"Kajal Kaim")</f>
        <v>Kajal Kaim</v>
      </c>
      <c r="H1129" s="192" t="str">
        <f>IFERROR(__xludf.DUMMYFUNCTION("""COMPUTED_VALUE"""),"kajal.kaim@zupee.in")</f>
        <v>kajal.kaim@zupee.in</v>
      </c>
      <c r="I1129" s="192" t="str">
        <f>IFERROR(__xludf.DUMMYFUNCTION("""COMPUTED_VALUE"""),"shivam.bali@zupee.in: - Customer Experience")</f>
        <v>shivam.bali@zupee.in: - Customer Experience</v>
      </c>
      <c r="J1129" s="19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92"/>
      <c r="B1130" s="192"/>
      <c r="C1130" s="192"/>
      <c r="D1130" s="192"/>
      <c r="E1130" s="192"/>
      <c r="F1130" s="192"/>
      <c r="G1130" s="192" t="str">
        <f>IFERROR(__xludf.DUMMYFUNCTION("""COMPUTED_VALUE"""),"Mini Agarwal")</f>
        <v>Mini Agarwal</v>
      </c>
      <c r="H1130" s="192" t="str">
        <f>IFERROR(__xludf.DUMMYFUNCTION("""COMPUTED_VALUE"""),"mini.agarwal@zupee.in")</f>
        <v>mini.agarwal@zupee.in</v>
      </c>
      <c r="I1130" s="192" t="str">
        <f>IFERROR(__xludf.DUMMYFUNCTION("""COMPUTED_VALUE"""),"shivam.bali@zupee.in: - Customer Experience")</f>
        <v>shivam.bali@zupee.in: - Customer Experience</v>
      </c>
      <c r="J1130" s="19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92"/>
      <c r="B1131" s="192"/>
      <c r="C1131" s="192"/>
      <c r="D1131" s="192"/>
      <c r="E1131" s="192"/>
      <c r="F1131" s="192"/>
      <c r="G1131" s="192" t="str">
        <f>IFERROR(__xludf.DUMMYFUNCTION("""COMPUTED_VALUE"""),"Saumil Shah")</f>
        <v>Saumil Shah</v>
      </c>
      <c r="H1131" s="192" t="str">
        <f>IFERROR(__xludf.DUMMYFUNCTION("""COMPUTED_VALUE"""),"saumil.shah@zupee.in")</f>
        <v>saumil.shah@zupee.in</v>
      </c>
      <c r="I1131" s="192" t="str">
        <f>IFERROR(__xludf.DUMMYFUNCTION("""COMPUTED_VALUE"""),"nishant.jaiswal@zupee.in: - Digital Marketing")</f>
        <v>nishant.jaiswal@zupee.in: - Digital Marketing</v>
      </c>
      <c r="J1131" s="19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92"/>
      <c r="B1132" s="192"/>
      <c r="C1132" s="192"/>
      <c r="D1132" s="192"/>
      <c r="E1132" s="192"/>
      <c r="F1132" s="192"/>
      <c r="G1132" s="192" t="str">
        <f>IFERROR(__xludf.DUMMYFUNCTION("""COMPUTED_VALUE"""),"Vijay Yadav")</f>
        <v>Vijay Yadav</v>
      </c>
      <c r="H1132" s="192" t="str">
        <f>IFERROR(__xludf.DUMMYFUNCTION("""COMPUTED_VALUE"""),"vijay.yadav@zupee.in")</f>
        <v>vijay.yadav@zupee.in</v>
      </c>
      <c r="I1132" s="192" t="str">
        <f>IFERROR(__xludf.DUMMYFUNCTION("""COMPUTED_VALUE"""),"vishal.agarwal@zupee.in: - Technology")</f>
        <v>vishal.agarwal@zupee.in: - Technology</v>
      </c>
      <c r="J1132" s="19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92"/>
      <c r="B1133" s="192"/>
      <c r="C1133" s="192"/>
      <c r="D1133" s="192"/>
      <c r="E1133" s="192"/>
      <c r="F1133" s="192"/>
      <c r="G1133" s="192" t="str">
        <f>IFERROR(__xludf.DUMMYFUNCTION("""COMPUTED_VALUE"""),"Mitali Luthra")</f>
        <v>Mitali Luthra</v>
      </c>
      <c r="H1133" s="192" t="str">
        <f>IFERROR(__xludf.DUMMYFUNCTION("""COMPUTED_VALUE"""),"mitali.luthra@zupee.in")</f>
        <v>mitali.luthra@zupee.in</v>
      </c>
      <c r="I1133" s="192" t="str">
        <f>IFERROR(__xludf.DUMMYFUNCTION("""COMPUTED_VALUE"""),"hitesh.vats@zupee.in: - Finance")</f>
        <v>hitesh.vats@zupee.in: - Finance</v>
      </c>
      <c r="J1133" s="19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92"/>
      <c r="B1134" s="192"/>
      <c r="C1134" s="192"/>
      <c r="D1134" s="192"/>
      <c r="E1134" s="192"/>
      <c r="F1134" s="192"/>
      <c r="G1134" s="192" t="str">
        <f>IFERROR(__xludf.DUMMYFUNCTION("""COMPUTED_VALUE"""),"Shobhit Nanda")</f>
        <v>Shobhit Nanda</v>
      </c>
      <c r="H1134" s="192" t="str">
        <f>IFERROR(__xludf.DUMMYFUNCTION("""COMPUTED_VALUE"""),"shobhit.nanda@zupee.in")</f>
        <v>shobhit.nanda@zupee.in</v>
      </c>
      <c r="I1134" s="192" t="str">
        <f>IFERROR(__xludf.DUMMYFUNCTION("""COMPUTED_VALUE"""),"thomas.phillippe@zupee.in: - Legal")</f>
        <v>thomas.phillippe@zupee.in: - Legal</v>
      </c>
      <c r="J1134" s="19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92"/>
      <c r="B1135" s="192"/>
      <c r="C1135" s="192"/>
      <c r="D1135" s="192"/>
      <c r="E1135" s="192"/>
      <c r="F1135" s="192"/>
      <c r="G1135" s="192" t="str">
        <f>IFERROR(__xludf.DUMMYFUNCTION("""COMPUTED_VALUE"""),"Subhankar Jha")</f>
        <v>Subhankar Jha</v>
      </c>
      <c r="H1135" s="192" t="str">
        <f>IFERROR(__xludf.DUMMYFUNCTION("""COMPUTED_VALUE"""),"subhankar.jha@zupee.in")</f>
        <v>subhankar.jha@zupee.in</v>
      </c>
      <c r="I1135" s="192" t="str">
        <f>IFERROR(__xludf.DUMMYFUNCTION("""COMPUTED_VALUE"""),"mrityunjay.k@zupee.in: - Customer Experience")</f>
        <v>mrityunjay.k@zupee.in: - Customer Experience</v>
      </c>
      <c r="J1135" s="19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92"/>
      <c r="B1136" s="192"/>
      <c r="C1136" s="192"/>
      <c r="D1136" s="192"/>
      <c r="E1136" s="192"/>
      <c r="F1136" s="192"/>
      <c r="G1136" s="192" t="str">
        <f>IFERROR(__xludf.DUMMYFUNCTION("""COMPUTED_VALUE"""),"Kunal Bansal")</f>
        <v>Kunal Bansal</v>
      </c>
      <c r="H1136" s="192" t="str">
        <f>IFERROR(__xludf.DUMMYFUNCTION("""COMPUTED_VALUE"""),"kunal.bansal@zupee.in")</f>
        <v>kunal.bansal@zupee.in</v>
      </c>
      <c r="I1136" s="192" t="str">
        <f>IFERROR(__xludf.DUMMYFUNCTION("""COMPUTED_VALUE"""),"rahul.sharma@zupee.in: - Technology")</f>
        <v>rahul.sharma@zupee.in: - Technology</v>
      </c>
      <c r="J1136" s="19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92"/>
      <c r="B1137" s="192"/>
      <c r="C1137" s="192"/>
      <c r="D1137" s="192"/>
      <c r="E1137" s="192"/>
      <c r="F1137" s="192"/>
      <c r="G1137" s="192" t="str">
        <f>IFERROR(__xludf.DUMMYFUNCTION("""COMPUTED_VALUE"""),"Rajnish Kumar")</f>
        <v>Rajnish Kumar</v>
      </c>
      <c r="H1137" s="192" t="str">
        <f>IFERROR(__xludf.DUMMYFUNCTION("""COMPUTED_VALUE"""),"rajnish.kumar@zupee.in")</f>
        <v>rajnish.kumar@zupee.in</v>
      </c>
      <c r="I1137" s="192" t="str">
        <f>IFERROR(__xludf.DUMMYFUNCTION("""COMPUTED_VALUE"""),"annu.nirmal@zupee.in: - Technology")</f>
        <v>annu.nirmal@zupee.in: - Technology</v>
      </c>
      <c r="J1137" s="19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92"/>
      <c r="B1138" s="192"/>
      <c r="C1138" s="192"/>
      <c r="D1138" s="192"/>
      <c r="E1138" s="192"/>
      <c r="F1138" s="192"/>
      <c r="G1138" s="192" t="str">
        <f>IFERROR(__xludf.DUMMYFUNCTION("""COMPUTED_VALUE"""),"Pooja Uppal")</f>
        <v>Pooja Uppal</v>
      </c>
      <c r="H1138" s="192" t="str">
        <f>IFERROR(__xludf.DUMMYFUNCTION("""COMPUTED_VALUE"""),"pooja.uppal@zupee.in")</f>
        <v>pooja.uppal@zupee.in</v>
      </c>
      <c r="I1138" s="192" t="str">
        <f>IFERROR(__xludf.DUMMYFUNCTION("""COMPUTED_VALUE"""),"vipul.gupta@zupee.in: - Technology")</f>
        <v>vipul.gupta@zupee.in: - Technology</v>
      </c>
      <c r="J1138" s="19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92"/>
      <c r="B1139" s="192"/>
      <c r="C1139" s="192"/>
      <c r="D1139" s="192"/>
      <c r="E1139" s="192"/>
      <c r="F1139" s="192"/>
      <c r="G1139" s="192" t="str">
        <f>IFERROR(__xludf.DUMMYFUNCTION("""COMPUTED_VALUE"""),"Anshul Ahuja")</f>
        <v>Anshul Ahuja</v>
      </c>
      <c r="H1139" s="192" t="str">
        <f>IFERROR(__xludf.DUMMYFUNCTION("""COMPUTED_VALUE"""),"anshul.ahuja@zupee.in")</f>
        <v>anshul.ahuja@zupee.in</v>
      </c>
      <c r="I1139" s="192" t="str">
        <f>IFERROR(__xludf.DUMMYFUNCTION("""COMPUTED_VALUE"""),"sahil.puri@zupee.in: - Technology")</f>
        <v>sahil.puri@zupee.in: - Technology</v>
      </c>
      <c r="J1139" s="19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92"/>
      <c r="B1140" s="192"/>
      <c r="C1140" s="192"/>
      <c r="D1140" s="192"/>
      <c r="E1140" s="192"/>
      <c r="F1140" s="192"/>
      <c r="G1140" s="192" t="str">
        <f>IFERROR(__xludf.DUMMYFUNCTION("""COMPUTED_VALUE"""),"Divy Dwivedi")</f>
        <v>Divy Dwivedi</v>
      </c>
      <c r="H1140" s="192" t="str">
        <f>IFERROR(__xludf.DUMMYFUNCTION("""COMPUTED_VALUE"""),"divy.dwivedi@zupee.in")</f>
        <v>divy.dwivedi@zupee.in</v>
      </c>
      <c r="I1140" s="192" t="str">
        <f>IFERROR(__xludf.DUMMYFUNCTION("""COMPUTED_VALUE"""),"kinshuk.puri@zupee.in: - Technology")</f>
        <v>kinshuk.puri@zupee.in: - Technology</v>
      </c>
      <c r="J1140" s="19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92"/>
      <c r="B1141" s="192"/>
      <c r="C1141" s="192"/>
      <c r="D1141" s="192"/>
      <c r="E1141" s="192"/>
      <c r="F1141" s="192"/>
      <c r="G1141" s="192" t="str">
        <f>IFERROR(__xludf.DUMMYFUNCTION("""COMPUTED_VALUE"""),"Umang Chhabra")</f>
        <v>Umang Chhabra</v>
      </c>
      <c r="H1141" s="192" t="str">
        <f>IFERROR(__xludf.DUMMYFUNCTION("""COMPUTED_VALUE"""),"umang.chhabra@zupee.in")</f>
        <v>umang.chhabra@zupee.in</v>
      </c>
      <c r="I1141" s="192" t="str">
        <f>IFERROR(__xludf.DUMMYFUNCTION("""COMPUTED_VALUE"""),"aman.kumar@zupee.in: - Data")</f>
        <v>aman.kumar@zupee.in: - Data</v>
      </c>
      <c r="J1141" s="19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92"/>
      <c r="B1142" s="192"/>
      <c r="C1142" s="192"/>
      <c r="D1142" s="192"/>
      <c r="E1142" s="192"/>
      <c r="F1142" s="192"/>
      <c r="G1142" s="192" t="str">
        <f>IFERROR(__xludf.DUMMYFUNCTION("""COMPUTED_VALUE"""),"Ajinkya Puranik")</f>
        <v>Ajinkya Puranik</v>
      </c>
      <c r="H1142" s="192" t="str">
        <f>IFERROR(__xludf.DUMMYFUNCTION("""COMPUTED_VALUE"""),"ajinkya.puranik@zupee.in")</f>
        <v>ajinkya.puranik@zupee.in</v>
      </c>
      <c r="I1142" s="192" t="str">
        <f>IFERROR(__xludf.DUMMYFUNCTION("""COMPUTED_VALUE"""),"karan.aggarwal@zupee.in: - Strategy")</f>
        <v>karan.aggarwal@zupee.in: - Strategy</v>
      </c>
      <c r="J1142" s="19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92"/>
      <c r="B1143" s="192"/>
      <c r="C1143" s="192"/>
      <c r="D1143" s="192"/>
      <c r="E1143" s="192"/>
      <c r="F1143" s="192"/>
      <c r="G1143" s="192" t="str">
        <f>IFERROR(__xludf.DUMMYFUNCTION("""COMPUTED_VALUE"""),"Reetik Rajan")</f>
        <v>Reetik Rajan</v>
      </c>
      <c r="H1143" s="192" t="str">
        <f>IFERROR(__xludf.DUMMYFUNCTION("""COMPUTED_VALUE"""),"reetik.rajan@zupee.in")</f>
        <v>reetik.rajan@zupee.in</v>
      </c>
      <c r="I1143" s="192" t="str">
        <f>IFERROR(__xludf.DUMMYFUNCTION("""COMPUTED_VALUE"""),"Security Engineer: - Technology")</f>
        <v>Security Engineer: - Technology</v>
      </c>
      <c r="J1143" s="19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92"/>
      <c r="B1144" s="192"/>
      <c r="C1144" s="192"/>
      <c r="D1144" s="192"/>
      <c r="E1144" s="192"/>
      <c r="F1144" s="192"/>
      <c r="G1144" s="192" t="str">
        <f>IFERROR(__xludf.DUMMYFUNCTION("""COMPUTED_VALUE"""),"Sahil Verma")</f>
        <v>Sahil Verma</v>
      </c>
      <c r="H1144" s="192" t="str">
        <f>IFERROR(__xludf.DUMMYFUNCTION("""COMPUTED_VALUE"""),"sahil.verma@zupee.in")</f>
        <v>sahil.verma@zupee.in</v>
      </c>
      <c r="I1144" s="192" t="str">
        <f>IFERROR(__xludf.DUMMYFUNCTION("""COMPUTED_VALUE"""),"anish.abraham@zupee.in: - Product Design")</f>
        <v>anish.abraham@zupee.in: - Product Design</v>
      </c>
      <c r="J1144" s="19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92"/>
      <c r="B1145" s="192"/>
      <c r="C1145" s="192"/>
      <c r="D1145" s="192"/>
      <c r="E1145" s="192"/>
      <c r="F1145" s="192"/>
      <c r="G1145" s="192" t="str">
        <f>IFERROR(__xludf.DUMMYFUNCTION("""COMPUTED_VALUE"""),"Divakar Garg")</f>
        <v>Divakar Garg</v>
      </c>
      <c r="H1145" s="192" t="str">
        <f>IFERROR(__xludf.DUMMYFUNCTION("""COMPUTED_VALUE"""),"divakar.garg@zupee.in")</f>
        <v>divakar.garg@zupee.in</v>
      </c>
      <c r="I1145" s="192" t="str">
        <f>IFERROR(__xludf.DUMMYFUNCTION("""COMPUTED_VALUE"""),"raman.malik@zupee.in: - Data")</f>
        <v>raman.malik@zupee.in: - Data</v>
      </c>
      <c r="J1145" s="19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92"/>
      <c r="B1146" s="192"/>
      <c r="C1146" s="192"/>
      <c r="D1146" s="192"/>
      <c r="E1146" s="192"/>
      <c r="F1146" s="192"/>
      <c r="G1146" s="192" t="str">
        <f>IFERROR(__xludf.DUMMYFUNCTION("""COMPUTED_VALUE"""),"Harshita Sethi")</f>
        <v>Harshita Sethi</v>
      </c>
      <c r="H1146" s="192" t="str">
        <f>IFERROR(__xludf.DUMMYFUNCTION("""COMPUTED_VALUE"""),"harshita.sethi@zupee.in")</f>
        <v>harshita.sethi@zupee.in</v>
      </c>
      <c r="I1146" s="192" t="str">
        <f>IFERROR(__xludf.DUMMYFUNCTION("""COMPUTED_VALUE"""),"akshit.sharma@zupee.in: - Product Design")</f>
        <v>akshit.sharma@zupee.in: - Product Design</v>
      </c>
      <c r="J1146" s="19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92"/>
      <c r="B1147" s="192"/>
      <c r="C1147" s="192"/>
      <c r="D1147" s="192"/>
      <c r="E1147" s="192"/>
      <c r="F1147" s="192"/>
      <c r="G1147" s="192" t="str">
        <f>IFERROR(__xludf.DUMMYFUNCTION("""COMPUTED_VALUE"""),"Saurabh Singh")</f>
        <v>Saurabh Singh</v>
      </c>
      <c r="H1147" s="192" t="str">
        <f>IFERROR(__xludf.DUMMYFUNCTION("""COMPUTED_VALUE"""),"saurabh.singh@zupee.in")</f>
        <v>saurabh.singh@zupee.in</v>
      </c>
      <c r="I1147" s="192" t="str">
        <f>IFERROR(__xludf.DUMMYFUNCTION("""COMPUTED_VALUE"""),"rahul.sharma@zupee.in: - Technology")</f>
        <v>rahul.sharma@zupee.in: - Technology</v>
      </c>
      <c r="J1147" s="19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92"/>
      <c r="B1148" s="192"/>
      <c r="C1148" s="192"/>
      <c r="D1148" s="192"/>
      <c r="E1148" s="192"/>
      <c r="F1148" s="192"/>
      <c r="G1148" s="192" t="str">
        <f>IFERROR(__xludf.DUMMYFUNCTION("""COMPUTED_VALUE"""),"Shivam Pandita")</f>
        <v>Shivam Pandita</v>
      </c>
      <c r="H1148" s="192" t="str">
        <f>IFERROR(__xludf.DUMMYFUNCTION("""COMPUTED_VALUE"""),"shivam.pandita@zupee.in")</f>
        <v>shivam.pandita@zupee.in</v>
      </c>
      <c r="I1148" s="192" t="str">
        <f>IFERROR(__xludf.DUMMYFUNCTION("""COMPUTED_VALUE"""),"suryanshu.shekhar@zupee.in: - Digital Marketing")</f>
        <v>suryanshu.shekhar@zupee.in: - Digital Marketing</v>
      </c>
      <c r="J1148" s="19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92"/>
      <c r="B1149" s="192"/>
      <c r="C1149" s="192"/>
      <c r="D1149" s="192"/>
      <c r="E1149" s="192"/>
      <c r="F1149" s="192"/>
      <c r="G1149" s="192" t="str">
        <f>IFERROR(__xludf.DUMMYFUNCTION("""COMPUTED_VALUE"""),"Vania Islam")</f>
        <v>Vania Islam</v>
      </c>
      <c r="H1149" s="192" t="str">
        <f>IFERROR(__xludf.DUMMYFUNCTION("""COMPUTED_VALUE"""),"vania.islam@zupee.in")</f>
        <v>vania.islam@zupee.in</v>
      </c>
      <c r="I1149" s="192" t="str">
        <f>IFERROR(__xludf.DUMMYFUNCTION("""COMPUTED_VALUE"""),"anish.abraham@zupee.in: - Product Design")</f>
        <v>anish.abraham@zupee.in: - Product Design</v>
      </c>
      <c r="J1149" s="19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92"/>
      <c r="B1150" s="192"/>
      <c r="C1150" s="192"/>
      <c r="D1150" s="192"/>
      <c r="E1150" s="192"/>
      <c r="F1150" s="192"/>
      <c r="G1150" s="192" t="str">
        <f>IFERROR(__xludf.DUMMYFUNCTION("""COMPUTED_VALUE"""),"Yagya Srivastava")</f>
        <v>Yagya Srivastava</v>
      </c>
      <c r="H1150" s="192" t="str">
        <f>IFERROR(__xludf.DUMMYFUNCTION("""COMPUTED_VALUE"""),"yagya.srivastava@zupee.in")</f>
        <v>yagya.srivastava@zupee.in</v>
      </c>
      <c r="I1150" s="192" t="str">
        <f>IFERROR(__xludf.DUMMYFUNCTION("""COMPUTED_VALUE"""),"ravi.jha@zupee.in: - Public Policy")</f>
        <v>ravi.jha@zupee.in: - Public Policy</v>
      </c>
      <c r="J1150" s="19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92"/>
      <c r="B1151" s="192"/>
      <c r="C1151" s="192"/>
      <c r="D1151" s="192"/>
      <c r="E1151" s="192"/>
      <c r="F1151" s="192"/>
      <c r="G1151" s="192" t="str">
        <f>IFERROR(__xludf.DUMMYFUNCTION("""COMPUTED_VALUE"""),"Super Admin")</f>
        <v>Super Admin</v>
      </c>
      <c r="H1151" s="192" t="str">
        <f>IFERROR(__xludf.DUMMYFUNCTION("""COMPUTED_VALUE"""),"super.admin@zupee.in")</f>
        <v>super.admin@zupee.in</v>
      </c>
      <c r="I1151" s="192" t="str">
        <f>IFERROR(__xludf.DUMMYFUNCTION("""COMPUTED_VALUE"""),"abhishek.gupta@zupee.in: - Technology")</f>
        <v>abhishek.gupta@zupee.in: - Technology</v>
      </c>
      <c r="J1151" s="19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92"/>
      <c r="B1152" s="192"/>
      <c r="C1152" s="192"/>
      <c r="D1152" s="192"/>
      <c r="E1152" s="192"/>
      <c r="F1152" s="192"/>
      <c r="G1152" s="192" t="str">
        <f>IFERROR(__xludf.DUMMYFUNCTION("""COMPUTED_VALUE"""),"Sagar Nassa")</f>
        <v>Sagar Nassa</v>
      </c>
      <c r="H1152" s="192" t="str">
        <f>IFERROR(__xludf.DUMMYFUNCTION("""COMPUTED_VALUE"""),"sagar.nassa@zupee.in")</f>
        <v>sagar.nassa@zupee.in</v>
      </c>
      <c r="I1152" s="192" t="str">
        <f>IFERROR(__xludf.DUMMYFUNCTION("""COMPUTED_VALUE"""),"bishan.bhadra@zupee.in: - Data")</f>
        <v>bishan.bhadra@zupee.in: - Data</v>
      </c>
      <c r="J1152" s="19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92"/>
      <c r="B1153" s="192"/>
      <c r="C1153" s="192"/>
      <c r="D1153" s="192"/>
      <c r="E1153" s="192"/>
      <c r="F1153" s="192"/>
      <c r="G1153" s="192" t="str">
        <f>IFERROR(__xludf.DUMMYFUNCTION("""COMPUTED_VALUE"""),"Saurabh Shrivastava")</f>
        <v>Saurabh Shrivastava</v>
      </c>
      <c r="H1153" s="192" t="str">
        <f>IFERROR(__xludf.DUMMYFUNCTION("""COMPUTED_VALUE"""),"saurabh.s@zupee.in")</f>
        <v>saurabh.s@zupee.in</v>
      </c>
      <c r="I1153" s="192" t="str">
        <f>IFERROR(__xludf.DUMMYFUNCTION("""COMPUTED_VALUE"""),"nishant.jaiswal@zupee.in: - Digital Marketing")</f>
        <v>nishant.jaiswal@zupee.in: - Digital Marketing</v>
      </c>
      <c r="J1153" s="19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92"/>
      <c r="B1154" s="192"/>
      <c r="C1154" s="192"/>
      <c r="D1154" s="192"/>
      <c r="E1154" s="192"/>
      <c r="F1154" s="192"/>
      <c r="G1154" s="192" t="str">
        <f>IFERROR(__xludf.DUMMYFUNCTION("""COMPUTED_VALUE"""),"Ketan Keshri")</f>
        <v>Ketan Keshri</v>
      </c>
      <c r="H1154" s="192" t="str">
        <f>IFERROR(__xludf.DUMMYFUNCTION("""COMPUTED_VALUE"""),"ketan.keshri@zupee.in")</f>
        <v>ketan.keshri@zupee.in</v>
      </c>
      <c r="I1154" s="192" t="str">
        <f>IFERROR(__xludf.DUMMYFUNCTION("""COMPUTED_VALUE"""),"aman.kumar@zupee.in: - Data")</f>
        <v>aman.kumar@zupee.in: - Data</v>
      </c>
      <c r="J1154" s="19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92"/>
      <c r="B1155" s="192"/>
      <c r="C1155" s="192"/>
      <c r="D1155" s="192"/>
      <c r="E1155" s="192"/>
      <c r="F1155" s="192"/>
      <c r="G1155" s="192" t="str">
        <f>IFERROR(__xludf.DUMMYFUNCTION("""COMPUTED_VALUE"""),"Nitesh Dagar")</f>
        <v>Nitesh Dagar</v>
      </c>
      <c r="H1155" s="192" t="str">
        <f>IFERROR(__xludf.DUMMYFUNCTION("""COMPUTED_VALUE"""),"nitesh.dagar@zupee.in")</f>
        <v>nitesh.dagar@zupee.in</v>
      </c>
      <c r="I1155" s="192" t="str">
        <f>IFERROR(__xludf.DUMMYFUNCTION("""COMPUTED_VALUE"""),"rajat.garg@zupee.in: - Data")</f>
        <v>rajat.garg@zupee.in: - Data</v>
      </c>
      <c r="J1155" s="19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92"/>
      <c r="B1156" s="192"/>
      <c r="C1156" s="192"/>
      <c r="D1156" s="192"/>
      <c r="E1156" s="192"/>
      <c r="F1156" s="192"/>
      <c r="G1156" s="192" t="str">
        <f>IFERROR(__xludf.DUMMYFUNCTION("""COMPUTED_VALUE"""),"Zupee Talent")</f>
        <v>Zupee Talent</v>
      </c>
      <c r="H1156" s="192" t="str">
        <f>IFERROR(__xludf.DUMMYFUNCTION("""COMPUTED_VALUE"""),"buildwithus@zupee.in")</f>
        <v>buildwithus@zupee.in</v>
      </c>
      <c r="I1156" s="192" t="str">
        <f>IFERROR(__xludf.DUMMYFUNCTION("""COMPUTED_VALUE"""),"dilsher.malhi@zupee.in: - Org")</f>
        <v>dilsher.malhi@zupee.in: - Org</v>
      </c>
      <c r="J1156" s="19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92"/>
      <c r="B1157" s="192"/>
      <c r="C1157" s="192"/>
      <c r="D1157" s="192"/>
      <c r="E1157" s="192"/>
      <c r="F1157" s="192"/>
      <c r="G1157" s="192" t="str">
        <f>IFERROR(__xludf.DUMMYFUNCTION("""COMPUTED_VALUE"""),"Anshit Singh")</f>
        <v>Anshit Singh</v>
      </c>
      <c r="H1157" s="192" t="str">
        <f>IFERROR(__xludf.DUMMYFUNCTION("""COMPUTED_VALUE"""),"anshit.singh@zupee.in")</f>
        <v>anshit.singh@zupee.in</v>
      </c>
      <c r="I1157" s="192" t="str">
        <f>IFERROR(__xludf.DUMMYFUNCTION("""COMPUTED_VALUE"""),"karan.aggarwal@zupee.in: - Strategy")</f>
        <v>karan.aggarwal@zupee.in: - Strategy</v>
      </c>
      <c r="J1157" s="19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92"/>
      <c r="B1158" s="192"/>
      <c r="C1158" s="192"/>
      <c r="D1158" s="192"/>
      <c r="E1158" s="192"/>
      <c r="F1158" s="192"/>
      <c r="G1158" s="192" t="str">
        <f>IFERROR(__xludf.DUMMYFUNCTION("""COMPUTED_VALUE"""),"Himanshu Mittal")</f>
        <v>Himanshu Mittal</v>
      </c>
      <c r="H1158" s="192" t="str">
        <f>IFERROR(__xludf.DUMMYFUNCTION("""COMPUTED_VALUE"""),"himanshu.mittal@zupee.in")</f>
        <v>himanshu.mittal@zupee.in</v>
      </c>
      <c r="I1158" s="192" t="str">
        <f>IFERROR(__xludf.DUMMYFUNCTION("""COMPUTED_VALUE"""),"pankaj.gautam@zupee.in: - Data")</f>
        <v>pankaj.gautam@zupee.in: - Data</v>
      </c>
      <c r="J1158" s="19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92"/>
      <c r="B1159" s="192"/>
      <c r="C1159" s="192"/>
      <c r="D1159" s="192"/>
      <c r="E1159" s="192"/>
      <c r="F1159" s="192"/>
      <c r="G1159" s="192" t="str">
        <f>IFERROR(__xludf.DUMMYFUNCTION("""COMPUTED_VALUE"""),"Harshit Kumar Singh")</f>
        <v>Harshit Kumar Singh</v>
      </c>
      <c r="H1159" s="192" t="str">
        <f>IFERROR(__xludf.DUMMYFUNCTION("""COMPUTED_VALUE"""),"harshit.singh@zupee.in")</f>
        <v>harshit.singh@zupee.in</v>
      </c>
      <c r="I1159" s="192" t="str">
        <f>IFERROR(__xludf.DUMMYFUNCTION("""COMPUTED_VALUE"""),"deep.dwivedi@zupee.in: - Data")</f>
        <v>deep.dwivedi@zupee.in: - Data</v>
      </c>
      <c r="J1159" s="19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92"/>
      <c r="B1160" s="192"/>
      <c r="C1160" s="192"/>
      <c r="D1160" s="192"/>
      <c r="E1160" s="192"/>
      <c r="F1160" s="192"/>
      <c r="G1160" s="192" t="str">
        <f>IFERROR(__xludf.DUMMYFUNCTION("""COMPUTED_VALUE"""),"Archit Goswami")</f>
        <v>Archit Goswami</v>
      </c>
      <c r="H1160" s="192" t="str">
        <f>IFERROR(__xludf.DUMMYFUNCTION("""COMPUTED_VALUE"""),"archit.goswami@zupee.in")</f>
        <v>archit.goswami@zupee.in</v>
      </c>
      <c r="I1160" s="192" t="str">
        <f>IFERROR(__xludf.DUMMYFUNCTION("""COMPUTED_VALUE"""),"anshul.mittal@zupee.in: - Technology")</f>
        <v>anshul.mittal@zupee.in: - Technology</v>
      </c>
      <c r="J1160" s="19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92"/>
      <c r="B1161" s="192"/>
      <c r="C1161" s="192"/>
      <c r="D1161" s="192"/>
      <c r="E1161" s="192"/>
      <c r="F1161" s="192"/>
      <c r="G1161" s="192" t="str">
        <f>IFERROR(__xludf.DUMMYFUNCTION("""COMPUTED_VALUE"""),"Renuka Sarvaiya")</f>
        <v>Renuka Sarvaiya</v>
      </c>
      <c r="H1161" s="192" t="str">
        <f>IFERROR(__xludf.DUMMYFUNCTION("""COMPUTED_VALUE"""),"renuka.sarvaiya@zupee.in")</f>
        <v>renuka.sarvaiya@zupee.in</v>
      </c>
      <c r="I1161" s="192" t="str">
        <f>IFERROR(__xludf.DUMMYFUNCTION("""COMPUTED_VALUE"""),"saurabh.khurana@zupee.in: - Data")</f>
        <v>saurabh.khurana@zupee.in: - Data</v>
      </c>
      <c r="J1161" s="19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92"/>
      <c r="B1162" s="192"/>
      <c r="C1162" s="192"/>
      <c r="D1162" s="192"/>
      <c r="E1162" s="192"/>
      <c r="F1162" s="192"/>
      <c r="G1162" s="192" t="str">
        <f>IFERROR(__xludf.DUMMYFUNCTION("""COMPUTED_VALUE"""),"Richa Sahal")</f>
        <v>Richa Sahal</v>
      </c>
      <c r="H1162" s="192" t="str">
        <f>IFERROR(__xludf.DUMMYFUNCTION("""COMPUTED_VALUE"""),"richa.sahal@zupee.in")</f>
        <v>richa.sahal@zupee.in</v>
      </c>
      <c r="I1162" s="192" t="str">
        <f>IFERROR(__xludf.DUMMYFUNCTION("""COMPUTED_VALUE"""),"saumil.shah@zupee.in: - Digital Marketing")</f>
        <v>saumil.shah@zupee.in: - Digital Marketing</v>
      </c>
      <c r="J1162" s="19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92"/>
      <c r="B1163" s="192"/>
      <c r="C1163" s="192"/>
      <c r="D1163" s="192"/>
      <c r="E1163" s="192"/>
      <c r="F1163" s="192"/>
      <c r="G1163" s="192" t="str">
        <f>IFERROR(__xludf.DUMMYFUNCTION("""COMPUTED_VALUE"""),"Saumitra Raj")</f>
        <v>Saumitra Raj</v>
      </c>
      <c r="H1163" s="192" t="str">
        <f>IFERROR(__xludf.DUMMYFUNCTION("""COMPUTED_VALUE"""),"saumitra.raj@zupee.in")</f>
        <v>saumitra.raj@zupee.in</v>
      </c>
      <c r="I1163" s="192" t="str">
        <f>IFERROR(__xludf.DUMMYFUNCTION("""COMPUTED_VALUE"""),"akanksha.dhamija@zupee.in: - Strategy")</f>
        <v>akanksha.dhamija@zupee.in: - Strategy</v>
      </c>
      <c r="J1163" s="19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92"/>
      <c r="B1164" s="192"/>
      <c r="C1164" s="192"/>
      <c r="D1164" s="192"/>
      <c r="E1164" s="192"/>
      <c r="F1164" s="192"/>
      <c r="G1164" s="192" t="str">
        <f>IFERROR(__xludf.DUMMYFUNCTION("""COMPUTED_VALUE"""),"Ujwal Tandon")</f>
        <v>Ujwal Tandon</v>
      </c>
      <c r="H1164" s="192" t="str">
        <f>IFERROR(__xludf.DUMMYFUNCTION("""COMPUTED_VALUE"""),"ujwal.tandon@zupee.in")</f>
        <v>ujwal.tandon@zupee.in</v>
      </c>
      <c r="I1164" s="192" t="str">
        <f>IFERROR(__xludf.DUMMYFUNCTION("""COMPUTED_VALUE"""),"nandeshwar.gupta@zupee.in: - Data")</f>
        <v>nandeshwar.gupta@zupee.in: - Data</v>
      </c>
      <c r="J1164" s="19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92"/>
      <c r="B1165" s="192"/>
      <c r="C1165" s="192"/>
      <c r="D1165" s="192"/>
      <c r="E1165" s="192"/>
      <c r="F1165" s="192"/>
      <c r="G1165" s="192" t="str">
        <f>IFERROR(__xludf.DUMMYFUNCTION("""COMPUTED_VALUE"""),"Genai Ds")</f>
        <v>Genai Ds</v>
      </c>
      <c r="H1165" s="192" t="str">
        <f>IFERROR(__xludf.DUMMYFUNCTION("""COMPUTED_VALUE"""),"genai_ds@zupee.in")</f>
        <v>genai_ds@zupee.in</v>
      </c>
      <c r="I1165" s="192" t="str">
        <f>IFERROR(__xludf.DUMMYFUNCTION("""COMPUTED_VALUE"""),"deep.dwivedi@zupee.in: - Data")</f>
        <v>deep.dwivedi@zupee.in: - Data</v>
      </c>
      <c r="J1165" s="19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92"/>
      <c r="B1166" s="192"/>
      <c r="C1166" s="192"/>
      <c r="D1166" s="192"/>
      <c r="E1166" s="192"/>
      <c r="F1166" s="192"/>
      <c r="G1166" s="192" t="str">
        <f>IFERROR(__xludf.DUMMYFUNCTION("""COMPUTED_VALUE"""),"Rahul Sharma")</f>
        <v>Rahul Sharma</v>
      </c>
      <c r="H1166" s="192" t="str">
        <f>IFERROR(__xludf.DUMMYFUNCTION("""COMPUTED_VALUE"""),"rahul.sharma1@zupee.in")</f>
        <v>rahul.sharma1@zupee.in</v>
      </c>
      <c r="I1166" s="192" t="str">
        <f>IFERROR(__xludf.DUMMYFUNCTION("""COMPUTED_VALUE"""),"sairam.mushyam@zupee.in: - Data")</f>
        <v>sairam.mushyam@zupee.in: - Data</v>
      </c>
      <c r="J1166" s="19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92"/>
      <c r="B1167" s="192"/>
      <c r="C1167" s="192"/>
      <c r="D1167" s="192"/>
      <c r="E1167" s="192"/>
      <c r="F1167" s="192"/>
      <c r="G1167" s="192" t="str">
        <f>IFERROR(__xludf.DUMMYFUNCTION("""COMPUTED_VALUE"""),"Rohan Negi")</f>
        <v>Rohan Negi</v>
      </c>
      <c r="H1167" s="192" t="str">
        <f>IFERROR(__xludf.DUMMYFUNCTION("""COMPUTED_VALUE"""),"rohan.negi@zupee.in")</f>
        <v>rohan.negi@zupee.in</v>
      </c>
      <c r="I1167" s="192" t="str">
        <f>IFERROR(__xludf.DUMMYFUNCTION("""COMPUTED_VALUE"""),"aman.kumar@zupee.in: - Data")</f>
        <v>aman.kumar@zupee.in: - Data</v>
      </c>
      <c r="J1167" s="19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92"/>
      <c r="B1168" s="192"/>
      <c r="C1168" s="192"/>
      <c r="D1168" s="192"/>
      <c r="E1168" s="192"/>
      <c r="F1168" s="192"/>
      <c r="G1168" s="192" t="str">
        <f>IFERROR(__xludf.DUMMYFUNCTION("""COMPUTED_VALUE"""),"Sagar Rohi")</f>
        <v>Sagar Rohi</v>
      </c>
      <c r="H1168" s="192" t="str">
        <f>IFERROR(__xludf.DUMMYFUNCTION("""COMPUTED_VALUE"""),"sagar.rohi@zupee.in")</f>
        <v>sagar.rohi@zupee.in</v>
      </c>
      <c r="I1168" s="192" t="str">
        <f>IFERROR(__xludf.DUMMYFUNCTION("""COMPUTED_VALUE"""),"amit.garg@zupee.in: - Technology")</f>
        <v>amit.garg@zupee.in: - Technology</v>
      </c>
      <c r="J1168" s="19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92"/>
      <c r="B1169" s="192"/>
      <c r="C1169" s="192"/>
      <c r="D1169" s="192"/>
      <c r="E1169" s="192"/>
      <c r="F1169" s="192"/>
      <c r="G1169" s="192" t="str">
        <f>IFERROR(__xludf.DUMMYFUNCTION("""COMPUTED_VALUE"""),"Arun A R")</f>
        <v>Arun A R</v>
      </c>
      <c r="H1169" s="192" t="str">
        <f>IFERROR(__xludf.DUMMYFUNCTION("""COMPUTED_VALUE"""),"arun.r@zupee.in")</f>
        <v>arun.r@zupee.in</v>
      </c>
      <c r="I1169" s="192" t="str">
        <f>IFERROR(__xludf.DUMMYFUNCTION("""COMPUTED_VALUE"""),"shivam.bali@zupee.in: - Customer Experience")</f>
        <v>shivam.bali@zupee.in: - Customer Experience</v>
      </c>
      <c r="J1169" s="19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92"/>
      <c r="B1170" s="192"/>
      <c r="C1170" s="192"/>
      <c r="D1170" s="192"/>
      <c r="E1170" s="192"/>
      <c r="F1170" s="192"/>
      <c r="G1170" s="192" t="str">
        <f>IFERROR(__xludf.DUMMYFUNCTION("""COMPUTED_VALUE"""),"Jaya Tiwari")</f>
        <v>Jaya Tiwari</v>
      </c>
      <c r="H1170" s="192" t="str">
        <f>IFERROR(__xludf.DUMMYFUNCTION("""COMPUTED_VALUE"""),"jaya.tiwari@zupee.in")</f>
        <v>jaya.tiwari@zupee.in</v>
      </c>
      <c r="I1170" s="192" t="str">
        <f>IFERROR(__xludf.DUMMYFUNCTION("""COMPUTED_VALUE"""),"m.sangeetha@zupee.in: - Human Resources")</f>
        <v>m.sangeetha@zupee.in: - Human Resources</v>
      </c>
      <c r="J1170" s="19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92"/>
      <c r="B1171" s="192"/>
      <c r="C1171" s="192"/>
      <c r="D1171" s="192"/>
      <c r="E1171" s="192"/>
      <c r="F1171" s="192"/>
      <c r="G1171" s="192" t="str">
        <f>IFERROR(__xludf.DUMMYFUNCTION("""COMPUTED_VALUE"""),"Yogendra Tiwari")</f>
        <v>Yogendra Tiwari</v>
      </c>
      <c r="H1171" s="192" t="str">
        <f>IFERROR(__xludf.DUMMYFUNCTION("""COMPUTED_VALUE"""),"yogendra.tiwari@zupee.in")</f>
        <v>yogendra.tiwari@zupee.in</v>
      </c>
      <c r="I1171" s="192" t="str">
        <f>IFERROR(__xludf.DUMMYFUNCTION("""COMPUTED_VALUE"""),"sumit.singh@zupee.in: - Technology")</f>
        <v>sumit.singh@zupee.in: - Technology</v>
      </c>
      <c r="J1171" s="19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92"/>
      <c r="B1172" s="192"/>
      <c r="C1172" s="192"/>
      <c r="D1172" s="192"/>
      <c r="E1172" s="192"/>
      <c r="F1172" s="192"/>
      <c r="G1172" s="192" t="str">
        <f>IFERROR(__xludf.DUMMYFUNCTION("""COMPUTED_VALUE"""),"Shailja Tiwari")</f>
        <v>Shailja Tiwari</v>
      </c>
      <c r="H1172" s="192" t="str">
        <f>IFERROR(__xludf.DUMMYFUNCTION("""COMPUTED_VALUE"""),"shailja.tiwari@zupee.in")</f>
        <v>shailja.tiwari@zupee.in</v>
      </c>
      <c r="I1172" s="192" t="str">
        <f>IFERROR(__xludf.DUMMYFUNCTION("""COMPUTED_VALUE"""),"prachi.kabthiyal@zupee.in: - P R &amp; Corporate Comms")</f>
        <v>prachi.kabthiyal@zupee.in: - P R &amp; Corporate Comms</v>
      </c>
      <c r="J1172" s="19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92"/>
      <c r="B1173" s="192"/>
      <c r="C1173" s="192"/>
      <c r="D1173" s="192"/>
      <c r="E1173" s="192"/>
      <c r="F1173" s="192"/>
      <c r="G1173" s="192" t="str">
        <f>IFERROR(__xludf.DUMMYFUNCTION("""COMPUTED_VALUE"""),"proofponit TRAP")</f>
        <v>proofponit TRAP</v>
      </c>
      <c r="H1173" s="192" t="str">
        <f>IFERROR(__xludf.DUMMYFUNCTION("""COMPUTED_VALUE"""),"proofponit.trap@zupee.in")</f>
        <v>proofponit.trap@zupee.in</v>
      </c>
      <c r="I1173" s="192" t="str">
        <f>IFERROR(__xludf.DUMMYFUNCTION("""COMPUTED_VALUE"""),"rajkumar.singh@zupee.in: - IT Infra")</f>
        <v>rajkumar.singh@zupee.in: - IT Infra</v>
      </c>
      <c r="J1173" s="19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92"/>
      <c r="B1174" s="192"/>
      <c r="C1174" s="192"/>
      <c r="D1174" s="192"/>
      <c r="E1174" s="192"/>
      <c r="F1174" s="192"/>
      <c r="G1174" s="192" t="str">
        <f>IFERROR(__xludf.DUMMYFUNCTION("""COMPUTED_VALUE"""),"Sahil Brahmania")</f>
        <v>Sahil Brahmania</v>
      </c>
      <c r="H1174" s="192" t="str">
        <f>IFERROR(__xludf.DUMMYFUNCTION("""COMPUTED_VALUE"""),"sahil.brahmania@zupee.in")</f>
        <v>sahil.brahmania@zupee.in</v>
      </c>
      <c r="I1174" s="192" t="str">
        <f>IFERROR(__xludf.DUMMYFUNCTION("""COMPUTED_VALUE"""),"nishant.jaiswal@zupee.in: - Digital Marketing")</f>
        <v>nishant.jaiswal@zupee.in: - Digital Marketing</v>
      </c>
      <c r="J1174" s="19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92"/>
      <c r="B1175" s="192"/>
      <c r="C1175" s="192"/>
      <c r="D1175" s="192"/>
      <c r="E1175" s="192"/>
      <c r="F1175" s="192"/>
      <c r="G1175" s="192" t="str">
        <f>IFERROR(__xludf.DUMMYFUNCTION("""COMPUTED_VALUE"""),"Rohit Kumar Gupta")</f>
        <v>Rohit Kumar Gupta</v>
      </c>
      <c r="H1175" s="192" t="str">
        <f>IFERROR(__xludf.DUMMYFUNCTION("""COMPUTED_VALUE"""),"rohit.gupta@zupee.in")</f>
        <v>rohit.gupta@zupee.in</v>
      </c>
      <c r="I1175" s="192" t="str">
        <f>IFERROR(__xludf.DUMMYFUNCTION("""COMPUTED_VALUE"""),"anshul.ahuja@zupee.in: - Technology")</f>
        <v>anshul.ahuja@zupee.in: - Technology</v>
      </c>
      <c r="J1175" s="19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92"/>
      <c r="B1176" s="192"/>
      <c r="C1176" s="192"/>
      <c r="D1176" s="192"/>
      <c r="E1176" s="192"/>
      <c r="F1176" s="192"/>
      <c r="G1176" s="192" t="str">
        <f>IFERROR(__xludf.DUMMYFUNCTION("""COMPUTED_VALUE"""),"Social Ludo")</f>
        <v>Social Ludo</v>
      </c>
      <c r="H1176" s="192" t="str">
        <f>IFERROR(__xludf.DUMMYFUNCTION("""COMPUTED_VALUE"""),"socialludo@zupee.in")</f>
        <v>socialludo@zupee.in</v>
      </c>
      <c r="I1176" s="192" t="str">
        <f>IFERROR(__xludf.DUMMYFUNCTION("""COMPUTED_VALUE"""),"ritwika.rai@zupee.in: - Digital Marketing")</f>
        <v>ritwika.rai@zupee.in: - Digital Marketing</v>
      </c>
      <c r="J1176" s="19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92"/>
      <c r="B1177" s="192"/>
      <c r="C1177" s="192"/>
      <c r="D1177" s="192"/>
      <c r="E1177" s="192"/>
      <c r="F1177" s="192"/>
      <c r="G1177" s="192" t="str">
        <f>IFERROR(__xludf.DUMMYFUNCTION("""COMPUTED_VALUE"""),"Rishabh Raj")</f>
        <v>Rishabh Raj</v>
      </c>
      <c r="H1177" s="192" t="str">
        <f>IFERROR(__xludf.DUMMYFUNCTION("""COMPUTED_VALUE"""),"rishabh.raj@zupee.in")</f>
        <v>rishabh.raj@zupee.in</v>
      </c>
      <c r="I1177" s="192" t="str">
        <f>IFERROR(__xludf.DUMMYFUNCTION("""COMPUTED_VALUE"""),"anshul.mittal@zupee.in: - Technology")</f>
        <v>anshul.mittal@zupee.in: - Technology</v>
      </c>
      <c r="J1177" s="19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92"/>
      <c r="B1178" s="192"/>
      <c r="C1178" s="192"/>
      <c r="D1178" s="192"/>
      <c r="E1178" s="192"/>
      <c r="F1178" s="192"/>
      <c r="G1178" s="192" t="str">
        <f>IFERROR(__xludf.DUMMYFUNCTION("""COMPUTED_VALUE"""),"Dhiraj Kumar")</f>
        <v>Dhiraj Kumar</v>
      </c>
      <c r="H1178" s="192" t="str">
        <f>IFERROR(__xludf.DUMMYFUNCTION("""COMPUTED_VALUE"""),"dhiraj.kumar@zupee.in")</f>
        <v>dhiraj.kumar@zupee.in</v>
      </c>
      <c r="I1178" s="192" t="str">
        <f>IFERROR(__xludf.DUMMYFUNCTION("""COMPUTED_VALUE"""),"sahil.puri@zupee.in: - Technology")</f>
        <v>sahil.puri@zupee.in: - Technology</v>
      </c>
      <c r="J1178" s="19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92"/>
      <c r="B1179" s="192"/>
      <c r="C1179" s="192"/>
      <c r="D1179" s="192"/>
      <c r="E1179" s="192"/>
      <c r="F1179" s="192"/>
      <c r="G1179" s="192" t="str">
        <f>IFERROR(__xludf.DUMMYFUNCTION("""COMPUTED_VALUE"""),"Kushagra Agrawal")</f>
        <v>Kushagra Agrawal</v>
      </c>
      <c r="H1179" s="192" t="str">
        <f>IFERROR(__xludf.DUMMYFUNCTION("""COMPUTED_VALUE"""),"kushagra.agrawal@zupee.in")</f>
        <v>kushagra.agrawal@zupee.in</v>
      </c>
      <c r="I1179" s="192" t="str">
        <f>IFERROR(__xludf.DUMMYFUNCTION("""COMPUTED_VALUE"""),"abhishek.gupta@zupee.in: - Technology")</f>
        <v>abhishek.gupta@zupee.in: - Technology</v>
      </c>
      <c r="J1179" s="19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92"/>
      <c r="B1180" s="192"/>
      <c r="C1180" s="192"/>
      <c r="D1180" s="192"/>
      <c r="E1180" s="192"/>
      <c r="F1180" s="192"/>
      <c r="G1180" s="192" t="str">
        <f>IFERROR(__xludf.DUMMYFUNCTION("""COMPUTED_VALUE"""),"Mohit Garg")</f>
        <v>Mohit Garg</v>
      </c>
      <c r="H1180" s="192" t="str">
        <f>IFERROR(__xludf.DUMMYFUNCTION("""COMPUTED_VALUE"""),"mohit.garg@zupee.in")</f>
        <v>mohit.garg@zupee.in</v>
      </c>
      <c r="I1180" s="192" t="str">
        <f>IFERROR(__xludf.DUMMYFUNCTION("""COMPUTED_VALUE"""),"akanksha.dhamija@zupee.in: - Digital Marketing")</f>
        <v>akanksha.dhamija@zupee.in: - Digital Marketing</v>
      </c>
      <c r="J1180" s="19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92"/>
      <c r="B1181" s="192"/>
      <c r="C1181" s="192"/>
      <c r="D1181" s="192"/>
      <c r="E1181" s="192"/>
      <c r="F1181" s="192"/>
      <c r="G1181" s="192" t="str">
        <f>IFERROR(__xludf.DUMMYFUNCTION("""COMPUTED_VALUE"""),"Proofpoint phishalarm")</f>
        <v>Proofpoint phishalarm</v>
      </c>
      <c r="H1181" s="192" t="str">
        <f>IFERROR(__xludf.DUMMYFUNCTION("""COMPUTED_VALUE"""),"proofpoint.phishalarm@zupee.in")</f>
        <v>proofpoint.phishalarm@zupee.in</v>
      </c>
      <c r="I1181" s="192" t="str">
        <f>IFERROR(__xludf.DUMMYFUNCTION("""COMPUTED_VALUE"""),"rajkumar.singh@zupee.in: - IT Infra")</f>
        <v>rajkumar.singh@zupee.in: - IT Infra</v>
      </c>
      <c r="J1181" s="19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92"/>
      <c r="B1182" s="192"/>
      <c r="C1182" s="192"/>
      <c r="D1182" s="192"/>
      <c r="E1182" s="192"/>
      <c r="F1182" s="192"/>
      <c r="G1182" s="192" t="str">
        <f>IFERROR(__xludf.DUMMYFUNCTION("""COMPUTED_VALUE"""),"Proofpoint CASB")</f>
        <v>Proofpoint CASB</v>
      </c>
      <c r="H1182" s="192" t="str">
        <f>IFERROR(__xludf.DUMMYFUNCTION("""COMPUTED_VALUE"""),"proofpoint.casb@zupee.in")</f>
        <v>proofpoint.casb@zupee.in</v>
      </c>
      <c r="I1182" s="192" t="str">
        <f>IFERROR(__xludf.DUMMYFUNCTION("""COMPUTED_VALUE"""),"rajkumar.singh@zupee.in: - IT Infra")</f>
        <v>rajkumar.singh@zupee.in: - IT Infra</v>
      </c>
      <c r="J1182" s="19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92"/>
      <c r="B1183" s="192"/>
      <c r="C1183" s="192"/>
      <c r="D1183" s="192"/>
      <c r="E1183" s="192"/>
      <c r="F1183" s="192"/>
      <c r="G1183" s="192" t="str">
        <f>IFERROR(__xludf.DUMMYFUNCTION("""COMPUTED_VALUE"""),"Srishti Seth")</f>
        <v>Srishti Seth</v>
      </c>
      <c r="H1183" s="192" t="str">
        <f>IFERROR(__xludf.DUMMYFUNCTION("""COMPUTED_VALUE"""),"srishti.seth@zupee.in")</f>
        <v>srishti.seth@zupee.in</v>
      </c>
      <c r="I1183" s="192" t="str">
        <f>IFERROR(__xludf.DUMMYFUNCTION("""COMPUTED_VALUE"""),"katha.tara@zupee.in: - Brand Marketing")</f>
        <v>katha.tara@zupee.in: - Brand Marketing</v>
      </c>
      <c r="J1183" s="19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92"/>
      <c r="B1184" s="192"/>
      <c r="C1184" s="192"/>
      <c r="D1184" s="192"/>
      <c r="E1184" s="192"/>
      <c r="F1184" s="192"/>
      <c r="G1184" s="192" t="str">
        <f>IFERROR(__xludf.DUMMYFUNCTION("""COMPUTED_VALUE"""),"Varun Sahu")</f>
        <v>Varun Sahu</v>
      </c>
      <c r="H1184" s="192" t="str">
        <f>IFERROR(__xludf.DUMMYFUNCTION("""COMPUTED_VALUE"""),"varun.sahu@zupee.in")</f>
        <v>varun.sahu@zupee.in</v>
      </c>
      <c r="I1184" s="192" t="str">
        <f>IFERROR(__xludf.DUMMYFUNCTION("""COMPUTED_VALUE"""),"abhishek.gupta@zupee.in: - Technology")</f>
        <v>abhishek.gupta@zupee.in: - Technology</v>
      </c>
      <c r="J1184" s="19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92"/>
      <c r="B1185" s="192"/>
      <c r="C1185" s="192"/>
      <c r="D1185" s="192"/>
      <c r="E1185" s="192"/>
      <c r="F1185" s="192"/>
      <c r="G1185" s="192" t="str">
        <f>IFERROR(__xludf.DUMMYFUNCTION("""COMPUTED_VALUE"""),"Nisha Yadav")</f>
        <v>Nisha Yadav</v>
      </c>
      <c r="H1185" s="192" t="str">
        <f>IFERROR(__xludf.DUMMYFUNCTION("""COMPUTED_VALUE"""),"nisha.yadav@zupee.in")</f>
        <v>nisha.yadav@zupee.in</v>
      </c>
      <c r="I1185" s="192" t="str">
        <f>IFERROR(__xludf.DUMMYFUNCTION("""COMPUTED_VALUE"""),"sahil.puri@zupee.in: - Technology")</f>
        <v>sahil.puri@zupee.in: - Technology</v>
      </c>
      <c r="J1185" s="19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92"/>
      <c r="B1186" s="192"/>
      <c r="C1186" s="192"/>
      <c r="D1186" s="192"/>
      <c r="E1186" s="192"/>
      <c r="F1186" s="192"/>
      <c r="G1186" s="192" t="str">
        <f>IFERROR(__xludf.DUMMYFUNCTION("""COMPUTED_VALUE"""),"Sushmita Kannadi")</f>
        <v>Sushmita Kannadi</v>
      </c>
      <c r="H1186" s="192" t="str">
        <f>IFERROR(__xludf.DUMMYFUNCTION("""COMPUTED_VALUE"""),"sushmita.kannadi@zupee.in")</f>
        <v>sushmita.kannadi@zupee.in</v>
      </c>
      <c r="I1186" s="192" t="str">
        <f>IFERROR(__xludf.DUMMYFUNCTION("""COMPUTED_VALUE"""),"shivam.bali@zupee.in: - Customer Experience")</f>
        <v>shivam.bali@zupee.in: - Customer Experience</v>
      </c>
      <c r="J1186" s="19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92"/>
      <c r="B1187" s="192"/>
      <c r="C1187" s="192"/>
      <c r="D1187" s="192"/>
      <c r="E1187" s="192"/>
      <c r="F1187" s="192"/>
      <c r="G1187" s="192" t="str">
        <f>IFERROR(__xludf.DUMMYFUNCTION("""COMPUTED_VALUE"""),"Harshil Dhawan")</f>
        <v>Harshil Dhawan</v>
      </c>
      <c r="H1187" s="192" t="str">
        <f>IFERROR(__xludf.DUMMYFUNCTION("""COMPUTED_VALUE"""),"harshil.dhawan@zupee.in")</f>
        <v>harshil.dhawan@zupee.in</v>
      </c>
      <c r="I1187" s="192" t="str">
        <f>IFERROR(__xludf.DUMMYFUNCTION("""COMPUTED_VALUE"""),"katha.tara@zupee.in: - Brand Marketing")</f>
        <v>katha.tara@zupee.in: - Brand Marketing</v>
      </c>
      <c r="J1187" s="19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92"/>
      <c r="B1188" s="192"/>
      <c r="C1188" s="192"/>
      <c r="D1188" s="192"/>
      <c r="E1188" s="192"/>
      <c r="F1188" s="192"/>
      <c r="G1188" s="192" t="str">
        <f>IFERROR(__xludf.DUMMYFUNCTION("""COMPUTED_VALUE"""),"Neha Jain")</f>
        <v>Neha Jain</v>
      </c>
      <c r="H1188" s="192" t="str">
        <f>IFERROR(__xludf.DUMMYFUNCTION("""COMPUTED_VALUE"""),"neha.jain@zupee.in")</f>
        <v>neha.jain@zupee.in</v>
      </c>
      <c r="I1188" s="192" t="str">
        <f>IFERROR(__xludf.DUMMYFUNCTION("""COMPUTED_VALUE"""),"sairam.mushyam@zupee.in: - Data")</f>
        <v>sairam.mushyam@zupee.in: - Data</v>
      </c>
      <c r="J1188" s="19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92"/>
      <c r="B1189" s="192"/>
      <c r="C1189" s="192"/>
      <c r="D1189" s="192"/>
      <c r="E1189" s="192"/>
      <c r="F1189" s="192"/>
      <c r="G1189" s="192" t="str">
        <f>IFERROR(__xludf.DUMMYFUNCTION("""COMPUTED_VALUE"""),"Aman Srivastav")</f>
        <v>Aman Srivastav</v>
      </c>
      <c r="H1189" s="192" t="str">
        <f>IFERROR(__xludf.DUMMYFUNCTION("""COMPUTED_VALUE"""),"aman.srivastav@zupee.in")</f>
        <v>aman.srivastav@zupee.in</v>
      </c>
      <c r="I1189" s="192" t="str">
        <f>IFERROR(__xludf.DUMMYFUNCTION("""COMPUTED_VALUE"""),"abhishek.gupta@zupee.in: - Technology")</f>
        <v>abhishek.gupta@zupee.in: - Technology</v>
      </c>
      <c r="J1189" s="19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92"/>
      <c r="B1190" s="192"/>
      <c r="C1190" s="192"/>
      <c r="D1190" s="192"/>
      <c r="E1190" s="192"/>
      <c r="F1190" s="192"/>
      <c r="G1190" s="192" t="str">
        <f>IFERROR(__xludf.DUMMYFUNCTION("""COMPUTED_VALUE"""),"Finance Records")</f>
        <v>Finance Records</v>
      </c>
      <c r="H1190" s="192" t="str">
        <f>IFERROR(__xludf.DUMMYFUNCTION("""COMPUTED_VALUE"""),"finance.records@zupee.in")</f>
        <v>finance.records@zupee.in</v>
      </c>
      <c r="I1190" s="192" t="str">
        <f>IFERROR(__xludf.DUMMYFUNCTION("""COMPUTED_VALUE"""),"ankit.maheshwari@zupee.in: - Finance")</f>
        <v>ankit.maheshwari@zupee.in: - Finance</v>
      </c>
      <c r="J1190" s="19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92"/>
      <c r="B1191" s="192"/>
      <c r="C1191" s="192"/>
      <c r="D1191" s="192"/>
      <c r="E1191" s="192"/>
      <c r="F1191" s="192"/>
      <c r="G1191" s="192" t="str">
        <f>IFERROR(__xludf.DUMMYFUNCTION("""COMPUTED_VALUE"""),"Aarti Mangla")</f>
        <v>Aarti Mangla</v>
      </c>
      <c r="H1191" s="192" t="str">
        <f>IFERROR(__xludf.DUMMYFUNCTION("""COMPUTED_VALUE"""),"aarti.mangla@zupee.in")</f>
        <v>aarti.mangla@zupee.in</v>
      </c>
      <c r="I1191" s="192" t="str">
        <f>IFERROR(__xludf.DUMMYFUNCTION("""COMPUTED_VALUE"""),"siddharth.monga@zupee.in: - Finance")</f>
        <v>siddharth.monga@zupee.in: - Finance</v>
      </c>
      <c r="J1191" s="19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92"/>
      <c r="B1192" s="192"/>
      <c r="C1192" s="192"/>
      <c r="D1192" s="192"/>
      <c r="E1192" s="192"/>
      <c r="F1192" s="192"/>
      <c r="G1192" s="192" t="str">
        <f>IFERROR(__xludf.DUMMYFUNCTION("""COMPUTED_VALUE"""),"Bharat Gupta")</f>
        <v>Bharat Gupta</v>
      </c>
      <c r="H1192" s="192" t="str">
        <f>IFERROR(__xludf.DUMMYFUNCTION("""COMPUTED_VALUE"""),"bharat.gupta@zupee.in")</f>
        <v>bharat.gupta@zupee.in</v>
      </c>
      <c r="I1192" s="192" t="str">
        <f>IFERROR(__xludf.DUMMYFUNCTION("""COMPUTED_VALUE"""),"abhishek.gupta@zupee.in: - Technology")</f>
        <v>abhishek.gupta@zupee.in: - Technology</v>
      </c>
      <c r="J1192" s="19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92"/>
      <c r="B1193" s="192"/>
      <c r="C1193" s="192"/>
      <c r="D1193" s="192"/>
      <c r="E1193" s="192"/>
      <c r="F1193" s="192"/>
      <c r="G1193" s="192" t="str">
        <f>IFERROR(__xludf.DUMMYFUNCTION("""COMPUTED_VALUE"""),"Cheshtha Sharma")</f>
        <v>Cheshtha Sharma</v>
      </c>
      <c r="H1193" s="192" t="str">
        <f>IFERROR(__xludf.DUMMYFUNCTION("""COMPUTED_VALUE"""),"cheshtha.sharma@zupee.in.")</f>
        <v>cheshtha.sharma@zupee.in.</v>
      </c>
      <c r="I1193" s="192" t="str">
        <f>IFERROR(__xludf.DUMMYFUNCTION("""COMPUTED_VALUE"""),"m.sangeetha@zupee.in: - Human Resources")</f>
        <v>m.sangeetha@zupee.in: - Human Resources</v>
      </c>
      <c r="J1193" s="19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92"/>
      <c r="B1194" s="192"/>
      <c r="C1194" s="192"/>
      <c r="D1194" s="192"/>
      <c r="E1194" s="192"/>
      <c r="F1194" s="192"/>
      <c r="G1194" s="192" t="str">
        <f>IFERROR(__xludf.DUMMYFUNCTION("""COMPUTED_VALUE"""),"Abhisar Gautam")</f>
        <v>Abhisar Gautam</v>
      </c>
      <c r="H1194" s="192" t="str">
        <f>IFERROR(__xludf.DUMMYFUNCTION("""COMPUTED_VALUE"""),"abhisar.gautam@zupee.in")</f>
        <v>abhisar.gautam@zupee.in</v>
      </c>
      <c r="I1194" s="192" t="str">
        <f>IFERROR(__xludf.DUMMYFUNCTION("""COMPUTED_VALUE"""),"abhishek.gupta@zupee.in: - Technology")</f>
        <v>abhishek.gupta@zupee.in: - Technology</v>
      </c>
      <c r="J1194" s="19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92"/>
      <c r="B1195" s="192"/>
      <c r="C1195" s="192"/>
      <c r="D1195" s="192"/>
      <c r="E1195" s="192"/>
      <c r="F1195" s="192"/>
      <c r="G1195" s="192" t="str">
        <f>IFERROR(__xludf.DUMMYFUNCTION("""COMPUTED_VALUE"""),"Rishabh Baid")</f>
        <v>Rishabh Baid</v>
      </c>
      <c r="H1195" s="192" t="str">
        <f>IFERROR(__xludf.DUMMYFUNCTION("""COMPUTED_VALUE"""),"rishabh.baid@zupee.in")</f>
        <v>rishabh.baid@zupee.in</v>
      </c>
      <c r="I1195" s="192" t="str">
        <f>IFERROR(__xludf.DUMMYFUNCTION("""COMPUTED_VALUE"""),"ishank.mehta@zupee.in: - Strategy")</f>
        <v>ishank.mehta@zupee.in: - Strategy</v>
      </c>
      <c r="J1195" s="19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92"/>
      <c r="B1196" s="192"/>
      <c r="C1196" s="192"/>
      <c r="D1196" s="192"/>
      <c r="E1196" s="192"/>
      <c r="F1196" s="192"/>
      <c r="G1196" s="192" t="str">
        <f>IFERROR(__xludf.DUMMYFUNCTION("""COMPUTED_VALUE"""),"Samir Halder")</f>
        <v>Samir Halder</v>
      </c>
      <c r="H1196" s="192" t="str">
        <f>IFERROR(__xludf.DUMMYFUNCTION("""COMPUTED_VALUE"""),"samir.h@zupee.in.")</f>
        <v>samir.h@zupee.in.</v>
      </c>
      <c r="I1196" s="192" t="str">
        <f>IFERROR(__xludf.DUMMYFUNCTION("""COMPUTED_VALUE"""),"rijul.sehgal@zupee.in: - Digital Marketing")</f>
        <v>rijul.sehgal@zupee.in: - Digital Marketing</v>
      </c>
      <c r="J1196" s="19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92"/>
      <c r="B1197" s="192"/>
      <c r="C1197" s="192"/>
      <c r="D1197" s="192"/>
      <c r="E1197" s="192"/>
      <c r="F1197" s="192"/>
      <c r="G1197" s="192" t="str">
        <f>IFERROR(__xludf.DUMMYFUNCTION("""COMPUTED_VALUE"""),"Gaurav Singh")</f>
        <v>Gaurav Singh</v>
      </c>
      <c r="H1197" s="192" t="str">
        <f>IFERROR(__xludf.DUMMYFUNCTION("""COMPUTED_VALUE"""),"gaurav.singh@zupee.in")</f>
        <v>gaurav.singh@zupee.in</v>
      </c>
      <c r="I1197" s="192" t="str">
        <f>IFERROR(__xludf.DUMMYFUNCTION("""COMPUTED_VALUE"""),"m.sangeetha@zupee.in: - Human Resources")</f>
        <v>m.sangeetha@zupee.in: - Human Resources</v>
      </c>
      <c r="J1197" s="19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92"/>
      <c r="B1198" s="192"/>
      <c r="C1198" s="192"/>
      <c r="D1198" s="192"/>
      <c r="E1198" s="192"/>
      <c r="F1198" s="192"/>
      <c r="G1198" s="192" t="str">
        <f>IFERROR(__xludf.DUMMYFUNCTION("""COMPUTED_VALUE"""),"Vivek Sharma")</f>
        <v>Vivek Sharma</v>
      </c>
      <c r="H1198" s="192" t="str">
        <f>IFERROR(__xludf.DUMMYFUNCTION("""COMPUTED_VALUE"""),"vivek.sharma1@zupee.in")</f>
        <v>vivek.sharma1@zupee.in</v>
      </c>
      <c r="I1198" s="192" t="str">
        <f>IFERROR(__xludf.DUMMYFUNCTION("""COMPUTED_VALUE"""),"vishal.agarwal@zupee.in: - Technology")</f>
        <v>vishal.agarwal@zupee.in: - Technology</v>
      </c>
      <c r="J1198" s="19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92"/>
      <c r="B1199" s="192"/>
      <c r="C1199" s="192"/>
      <c r="D1199" s="192"/>
      <c r="E1199" s="192"/>
      <c r="F1199" s="192"/>
      <c r="G1199" s="192" t="str">
        <f>IFERROR(__xludf.DUMMYFUNCTION("""COMPUTED_VALUE"""),"Saurav Atram")</f>
        <v>Saurav Atram</v>
      </c>
      <c r="H1199" s="192" t="str">
        <f>IFERROR(__xludf.DUMMYFUNCTION("""COMPUTED_VALUE"""),"saurav.atram@zupee.in")</f>
        <v>saurav.atram@zupee.in</v>
      </c>
      <c r="I1199" s="192" t="str">
        <f>IFERROR(__xludf.DUMMYFUNCTION("""COMPUTED_VALUE"""),"vishal.agarwal@zupee.in: - Technology")</f>
        <v>vishal.agarwal@zupee.in: - Technology</v>
      </c>
      <c r="J1199" s="19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92"/>
      <c r="B1200" s="192"/>
      <c r="C1200" s="192"/>
      <c r="D1200" s="192"/>
      <c r="E1200" s="192"/>
      <c r="F1200" s="192"/>
      <c r="G1200" s="192" t="str">
        <f>IFERROR(__xludf.DUMMYFUNCTION("""COMPUTED_VALUE"""),"Malviya Malviya")</f>
        <v>Malviya Malviya</v>
      </c>
      <c r="H1200" s="192" t="str">
        <f>IFERROR(__xludf.DUMMYFUNCTION("""COMPUTED_VALUE"""),"siddharth.malviya@zupee.in")</f>
        <v>siddharth.malviya@zupee.in</v>
      </c>
      <c r="I1200" s="192" t="str">
        <f>IFERROR(__xludf.DUMMYFUNCTION("""COMPUTED_VALUE"""),"vishal.agarwal@zupee.in: - Technology")</f>
        <v>vishal.agarwal@zupee.in: - Technology</v>
      </c>
      <c r="J1200" s="19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92"/>
      <c r="B1201" s="192"/>
      <c r="C1201" s="192"/>
      <c r="D1201" s="192"/>
      <c r="E1201" s="192"/>
      <c r="F1201" s="192"/>
      <c r="G1201" s="192" t="str">
        <f>IFERROR(__xludf.DUMMYFUNCTION("""COMPUTED_VALUE"""),"Rohan Gauda")</f>
        <v>Rohan Gauda</v>
      </c>
      <c r="H1201" s="192" t="str">
        <f>IFERROR(__xludf.DUMMYFUNCTION("""COMPUTED_VALUE"""),"rohan.gauda@zupee.in")</f>
        <v>rohan.gauda@zupee.in</v>
      </c>
      <c r="I1201" s="192" t="str">
        <f>IFERROR(__xludf.DUMMYFUNCTION("""COMPUTED_VALUE"""),"vishal.agarwal@zupee.in: - Technology")</f>
        <v>vishal.agarwal@zupee.in: - Technology</v>
      </c>
      <c r="J1201" s="19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92"/>
      <c r="B1202" s="192"/>
      <c r="C1202" s="192"/>
      <c r="D1202" s="192"/>
      <c r="E1202" s="192"/>
      <c r="F1202" s="192"/>
      <c r="G1202" s="192" t="str">
        <f>IFERROR(__xludf.DUMMYFUNCTION("""COMPUTED_VALUE"""),"Priyanshu Tripathi")</f>
        <v>Priyanshu Tripathi</v>
      </c>
      <c r="H1202" s="192" t="str">
        <f>IFERROR(__xludf.DUMMYFUNCTION("""COMPUTED_VALUE"""),"priyanshu.tripathi@zupee.in")</f>
        <v>priyanshu.tripathi@zupee.in</v>
      </c>
      <c r="I1202" s="192" t="str">
        <f>IFERROR(__xludf.DUMMYFUNCTION("""COMPUTED_VALUE"""),"aditya.jha@zupee.in: - Strategy")</f>
        <v>aditya.jha@zupee.in: - Strategy</v>
      </c>
      <c r="J1202" s="19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92"/>
      <c r="B1203" s="192"/>
      <c r="C1203" s="192"/>
      <c r="D1203" s="192"/>
      <c r="E1203" s="192"/>
      <c r="F1203" s="192"/>
      <c r="G1203" s="192" t="str">
        <f>IFERROR(__xludf.DUMMYFUNCTION("""COMPUTED_VALUE"""),"Akansha Rajawat")</f>
        <v>Akansha Rajawat</v>
      </c>
      <c r="H1203" s="192" t="str">
        <f>IFERROR(__xludf.DUMMYFUNCTION("""COMPUTED_VALUE"""),"akansha.rajawat@zupee.in")</f>
        <v>akansha.rajawat@zupee.in</v>
      </c>
      <c r="I1203" s="192" t="str">
        <f>IFERROR(__xludf.DUMMYFUNCTION("""COMPUTED_VALUE"""),"aditya.jha@zupee.in: - Strategy")</f>
        <v>aditya.jha@zupee.in: - Strategy</v>
      </c>
      <c r="J1203" s="19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92"/>
      <c r="B1204" s="192"/>
      <c r="C1204" s="192"/>
      <c r="D1204" s="192"/>
      <c r="E1204" s="192"/>
      <c r="F1204" s="192"/>
      <c r="G1204" s="192" t="str">
        <f>IFERROR(__xludf.DUMMYFUNCTION("""COMPUTED_VALUE"""),"Kinjal Sharma")</f>
        <v>Kinjal Sharma</v>
      </c>
      <c r="H1204" s="192" t="str">
        <f>IFERROR(__xludf.DUMMYFUNCTION("""COMPUTED_VALUE"""),"kinjal.sharma@zupee.in")</f>
        <v>kinjal.sharma@zupee.in</v>
      </c>
      <c r="I1204" s="192" t="str">
        <f>IFERROR(__xludf.DUMMYFUNCTION("""COMPUTED_VALUE"""),"saumil.shah@zupee.in: - Digital Marketing")</f>
        <v>saumil.shah@zupee.in: - Digital Marketing</v>
      </c>
      <c r="J1204" s="19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92"/>
      <c r="B1205" s="192"/>
      <c r="C1205" s="192"/>
      <c r="D1205" s="192"/>
      <c r="E1205" s="192"/>
      <c r="F1205" s="192"/>
      <c r="G1205" s="192" t="str">
        <f>IFERROR(__xludf.DUMMYFUNCTION("""COMPUTED_VALUE"""),"Pratham Bansal")</f>
        <v>Pratham Bansal</v>
      </c>
      <c r="H1205" s="192" t="str">
        <f>IFERROR(__xludf.DUMMYFUNCTION("""COMPUTED_VALUE"""),"pratham.bansal@zupee.in")</f>
        <v>pratham.bansal@zupee.in</v>
      </c>
      <c r="I1205" s="192" t="str">
        <f>IFERROR(__xludf.DUMMYFUNCTION("""COMPUTED_VALUE"""),"abhishek.gupta@zupee.in: - Technology")</f>
        <v>abhishek.gupta@zupee.in: - Technology</v>
      </c>
      <c r="J1205" s="19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92"/>
      <c r="B1206" s="192"/>
      <c r="C1206" s="192"/>
      <c r="D1206" s="192"/>
      <c r="E1206" s="192"/>
      <c r="F1206" s="192"/>
      <c r="G1206" s="192" t="str">
        <f>IFERROR(__xludf.DUMMYFUNCTION("""COMPUTED_VALUE"""),"Lakshya Gupta")</f>
        <v>Lakshya Gupta</v>
      </c>
      <c r="H1206" s="192" t="str">
        <f>IFERROR(__xludf.DUMMYFUNCTION("""COMPUTED_VALUE"""),"lakshya.gupta@zupee.in")</f>
        <v>lakshya.gupta@zupee.in</v>
      </c>
      <c r="I1206" s="192" t="str">
        <f>IFERROR(__xludf.DUMMYFUNCTION("""COMPUTED_VALUE"""),"abhishek.gupta@zupee.in: - Technology")</f>
        <v>abhishek.gupta@zupee.in: - Technology</v>
      </c>
      <c r="J1206" s="19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92"/>
      <c r="B1207" s="192"/>
      <c r="C1207" s="192"/>
      <c r="D1207" s="192"/>
      <c r="E1207" s="192"/>
      <c r="F1207" s="192"/>
      <c r="G1207" s="192" t="str">
        <f>IFERROR(__xludf.DUMMYFUNCTION("""COMPUTED_VALUE"""),"Arpan Garg")</f>
        <v>Arpan Garg</v>
      </c>
      <c r="H1207" s="192" t="str">
        <f>IFERROR(__xludf.DUMMYFUNCTION("""COMPUTED_VALUE"""),"arpan.garg@zupee.in")</f>
        <v>arpan.garg@zupee.in</v>
      </c>
      <c r="I1207" s="192" t="str">
        <f>IFERROR(__xludf.DUMMYFUNCTION("""COMPUTED_VALUE"""),"abhishek.gupta@zupee.in: - Technology")</f>
        <v>abhishek.gupta@zupee.in: - Technology</v>
      </c>
      <c r="J1207" s="19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92"/>
      <c r="B1208" s="192"/>
      <c r="C1208" s="192"/>
      <c r="D1208" s="192"/>
      <c r="E1208" s="192"/>
      <c r="F1208" s="192"/>
      <c r="G1208" s="192" t="str">
        <f>IFERROR(__xludf.DUMMYFUNCTION("""COMPUTED_VALUE"""),"Animesh Jain")</f>
        <v>Animesh Jain</v>
      </c>
      <c r="H1208" s="192" t="str">
        <f>IFERROR(__xludf.DUMMYFUNCTION("""COMPUTED_VALUE"""),"animesh.jain@zupee.in")</f>
        <v>animesh.jain@zupee.in</v>
      </c>
      <c r="I1208" s="192" t="str">
        <f>IFERROR(__xludf.DUMMYFUNCTION("""COMPUTED_VALUE"""),"abhishek.gupta@zupee.in: - Technology")</f>
        <v>abhishek.gupta@zupee.in: - Technology</v>
      </c>
      <c r="J1208" s="19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92"/>
      <c r="B1209" s="192"/>
      <c r="C1209" s="192"/>
      <c r="D1209" s="192"/>
      <c r="E1209" s="192"/>
      <c r="F1209" s="192"/>
      <c r="G1209" s="192" t="str">
        <f>IFERROR(__xludf.DUMMYFUNCTION("""COMPUTED_VALUE"""),"Abhishek Rawat")</f>
        <v>Abhishek Rawat</v>
      </c>
      <c r="H1209" s="192" t="str">
        <f>IFERROR(__xludf.DUMMYFUNCTION("""COMPUTED_VALUE"""),"abhishek.rawat@zupee.in")</f>
        <v>abhishek.rawat@zupee.in</v>
      </c>
      <c r="I1209" s="192" t="str">
        <f>IFERROR(__xludf.DUMMYFUNCTION("""COMPUTED_VALUE"""),"abhishek.gupta@zupee.in: - Technology")</f>
        <v>abhishek.gupta@zupee.in: - Technology</v>
      </c>
      <c r="J1209" s="19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92"/>
      <c r="B1210" s="192"/>
      <c r="C1210" s="192"/>
      <c r="D1210" s="192"/>
      <c r="E1210" s="192"/>
      <c r="F1210" s="192"/>
      <c r="G1210" s="192" t="str">
        <f>IFERROR(__xludf.DUMMYFUNCTION("""COMPUTED_VALUE"""),"Shyam Warrier")</f>
        <v>Shyam Warrier</v>
      </c>
      <c r="H1210" s="192" t="str">
        <f>IFERROR(__xludf.DUMMYFUNCTION("""COMPUTED_VALUE"""),"shyam.warrier@zupee.in")</f>
        <v>shyam.warrier@zupee.in</v>
      </c>
      <c r="I1210" s="192" t="str">
        <f>IFERROR(__xludf.DUMMYFUNCTION("""COMPUTED_VALUE"""),"ritwika.maitra@zupee.in: - Digital Marketing")</f>
        <v>ritwika.maitra@zupee.in: - Digital Marketing</v>
      </c>
      <c r="J1210" s="19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92"/>
      <c r="B1211" s="192"/>
      <c r="C1211" s="192"/>
      <c r="D1211" s="192"/>
      <c r="E1211" s="192"/>
      <c r="F1211" s="192"/>
      <c r="G1211" s="192" t="str">
        <f>IFERROR(__xludf.DUMMYFUNCTION("""COMPUTED_VALUE"""),"Ambika G")</f>
        <v>Ambika G</v>
      </c>
      <c r="H1211" s="192" t="str">
        <f>IFERROR(__xludf.DUMMYFUNCTION("""COMPUTED_VALUE"""),"ambika.g@zupee.in")</f>
        <v>ambika.g@zupee.in</v>
      </c>
      <c r="I1211" s="192" t="str">
        <f>IFERROR(__xludf.DUMMYFUNCTION("""COMPUTED_VALUE"""),"raman.malik@zupee.in: - Data")</f>
        <v>raman.malik@zupee.in: - Data</v>
      </c>
      <c r="J1211" s="19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92"/>
      <c r="B1212" s="192"/>
      <c r="C1212" s="192"/>
      <c r="D1212" s="192"/>
      <c r="E1212" s="192"/>
      <c r="F1212" s="192"/>
      <c r="G1212" s="192" t="str">
        <f>IFERROR(__xludf.DUMMYFUNCTION("""COMPUTED_VALUE"""),"Abhishek Bajiya")</f>
        <v>Abhishek Bajiya</v>
      </c>
      <c r="H1212" s="192" t="str">
        <f>IFERROR(__xludf.DUMMYFUNCTION("""COMPUTED_VALUE"""),"abhishek.bajiya@zupee.in")</f>
        <v>abhishek.bajiya@zupee.in</v>
      </c>
      <c r="I1212" s="192" t="str">
        <f>IFERROR(__xludf.DUMMYFUNCTION("""COMPUTED_VALUE"""),"raman.malik@zupee.in: - Data")</f>
        <v>raman.malik@zupee.in: - Data</v>
      </c>
      <c r="J1212" s="19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92"/>
      <c r="B1213" s="192"/>
      <c r="C1213" s="192"/>
      <c r="D1213" s="192"/>
      <c r="E1213" s="192"/>
      <c r="F1213" s="192"/>
      <c r="G1213" s="192" t="str">
        <f>IFERROR(__xludf.DUMMYFUNCTION("""COMPUTED_VALUE"""),"Rajnish Kumar")</f>
        <v>Rajnish Kumar</v>
      </c>
      <c r="H1213" s="192" t="str">
        <f>IFERROR(__xludf.DUMMYFUNCTION("""COMPUTED_VALUE"""),"rajnish.kumar1@zupee.in")</f>
        <v>rajnish.kumar1@zupee.in</v>
      </c>
      <c r="I1213" s="192" t="str">
        <f>IFERROR(__xludf.DUMMYFUNCTION("""COMPUTED_VALUE"""),"saurav.yadav@zupee.in: - Technology")</f>
        <v>saurav.yadav@zupee.in: - Technology</v>
      </c>
      <c r="J1213" s="19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92"/>
      <c r="B1214" s="192"/>
      <c r="C1214" s="192"/>
      <c r="D1214" s="192"/>
      <c r="E1214" s="192"/>
      <c r="F1214" s="192"/>
      <c r="G1214" s="192" t="str">
        <f>IFERROR(__xludf.DUMMYFUNCTION("""COMPUTED_VALUE"""),"Chirag Goyal")</f>
        <v>Chirag Goyal</v>
      </c>
      <c r="H1214" s="192" t="str">
        <f>IFERROR(__xludf.DUMMYFUNCTION("""COMPUTED_VALUE"""),"chirag.goyal@zupee.in")</f>
        <v>chirag.goyal@zupee.in</v>
      </c>
      <c r="I1214" s="192" t="str">
        <f>IFERROR(__xludf.DUMMYFUNCTION("""COMPUTED_VALUE"""),"abhishek.gupta@zupee.in: - Technology")</f>
        <v>abhishek.gupta@zupee.in: - Technology</v>
      </c>
      <c r="J1214" s="19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92"/>
      <c r="B1215" s="192"/>
      <c r="C1215" s="192"/>
      <c r="D1215" s="192"/>
      <c r="E1215" s="192"/>
      <c r="F1215" s="192"/>
      <c r="G1215" s="192" t="str">
        <f>IFERROR(__xludf.DUMMYFUNCTION("""COMPUTED_VALUE"""),"Akhil Nr")</f>
        <v>Akhil Nr</v>
      </c>
      <c r="H1215" s="192" t="str">
        <f>IFERROR(__xludf.DUMMYFUNCTION("""COMPUTED_VALUE"""),"akhil.nr@zupee.in")</f>
        <v>akhil.nr@zupee.in</v>
      </c>
      <c r="I1215" s="192" t="str">
        <f>IFERROR(__xludf.DUMMYFUNCTION("""COMPUTED_VALUE"""),"govind.mittal@zupee.in: - Public Policy")</f>
        <v>govind.mittal@zupee.in: - Public Policy</v>
      </c>
      <c r="J1215" s="19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92"/>
      <c r="B1216" s="192"/>
      <c r="C1216" s="192"/>
      <c r="D1216" s="192"/>
      <c r="E1216" s="192"/>
      <c r="F1216" s="192"/>
      <c r="G1216" s="192" t="str">
        <f>IFERROR(__xludf.DUMMYFUNCTION("""COMPUTED_VALUE"""),"Suyash Kumar")</f>
        <v>Suyash Kumar</v>
      </c>
      <c r="H1216" s="192" t="str">
        <f>IFERROR(__xludf.DUMMYFUNCTION("""COMPUTED_VALUE"""),"suyash.kumar@zupee.in")</f>
        <v>suyash.kumar@zupee.in</v>
      </c>
      <c r="I1216" s="192" t="str">
        <f>IFERROR(__xludf.DUMMYFUNCTION("""COMPUTED_VALUE"""),"deep.dwivedi@zupee.in: - Data")</f>
        <v>deep.dwivedi@zupee.in: - Data</v>
      </c>
      <c r="J1216" s="19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92"/>
      <c r="B1217" s="192"/>
      <c r="C1217" s="192"/>
      <c r="D1217" s="192"/>
      <c r="E1217" s="192"/>
      <c r="F1217" s="192"/>
      <c r="G1217" s="192" t="str">
        <f>IFERROR(__xludf.DUMMYFUNCTION("""COMPUTED_VALUE"""),"Jay Patel")</f>
        <v>Jay Patel</v>
      </c>
      <c r="H1217" s="192" t="str">
        <f>IFERROR(__xludf.DUMMYFUNCTION("""COMPUTED_VALUE"""),"jay.patel@zupee.in")</f>
        <v>jay.patel@zupee.in</v>
      </c>
      <c r="I1217" s="192" t="str">
        <f>IFERROR(__xludf.DUMMYFUNCTION("""COMPUTED_VALUE"""),"abhishek.gupta@zupee.in: - Technology")</f>
        <v>abhishek.gupta@zupee.in: - Technology</v>
      </c>
      <c r="J1217" s="19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92"/>
      <c r="B1218" s="192"/>
      <c r="C1218" s="192"/>
      <c r="D1218" s="192"/>
      <c r="E1218" s="192"/>
      <c r="F1218" s="192"/>
      <c r="G1218" s="192" t="str">
        <f>IFERROR(__xludf.DUMMYFUNCTION("""COMPUTED_VALUE"""),"Rishabh Sharma")</f>
        <v>Rishabh Sharma</v>
      </c>
      <c r="H1218" s="192" t="str">
        <f>IFERROR(__xludf.DUMMYFUNCTION("""COMPUTED_VALUE"""),"rishabh.sharma@zupee.in")</f>
        <v>rishabh.sharma@zupee.in</v>
      </c>
      <c r="I1218" s="192" t="str">
        <f>IFERROR(__xludf.DUMMYFUNCTION("""COMPUTED_VALUE"""),"raman.malik@zupee.in: - Data")</f>
        <v>raman.malik@zupee.in: - Data</v>
      </c>
      <c r="J1218" s="19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92"/>
      <c r="B1219" s="192"/>
      <c r="C1219" s="192"/>
      <c r="D1219" s="192"/>
      <c r="E1219" s="192"/>
      <c r="F1219" s="192"/>
      <c r="G1219" s="192" t="str">
        <f>IFERROR(__xludf.DUMMYFUNCTION("""COMPUTED_VALUE"""),"Vaibhav Binaykiya")</f>
        <v>Vaibhav Binaykiya</v>
      </c>
      <c r="H1219" s="192" t="str">
        <f>IFERROR(__xludf.DUMMYFUNCTION("""COMPUTED_VALUE"""),"vaibhav.binaykiya@zupee.in")</f>
        <v>vaibhav.binaykiya@zupee.in</v>
      </c>
      <c r="I1219" s="192" t="str">
        <f>IFERROR(__xludf.DUMMYFUNCTION("""COMPUTED_VALUE"""),"naveen.kadyan@zupee.in: - Product")</f>
        <v>naveen.kadyan@zupee.in: - Product</v>
      </c>
      <c r="J1219" s="19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92"/>
      <c r="B1220" s="192"/>
      <c r="C1220" s="192"/>
      <c r="D1220" s="192"/>
      <c r="E1220" s="192"/>
      <c r="F1220" s="192"/>
      <c r="G1220" s="192" t="str">
        <f>IFERROR(__xludf.DUMMYFUNCTION("""COMPUTED_VALUE"""),"Piyush Saraf")</f>
        <v>Piyush Saraf</v>
      </c>
      <c r="H1220" s="192" t="str">
        <f>IFERROR(__xludf.DUMMYFUNCTION("""COMPUTED_VALUE"""),"piyush.saraf@zupee.in")</f>
        <v>piyush.saraf@zupee.in</v>
      </c>
      <c r="I1220" s="192" t="str">
        <f>IFERROR(__xludf.DUMMYFUNCTION("""COMPUTED_VALUE"""),"saurav.yadav@zupee.in: - Technology")</f>
        <v>saurav.yadav@zupee.in: - Technology</v>
      </c>
      <c r="J1220" s="19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92"/>
      <c r="B1221" s="192"/>
      <c r="C1221" s="192"/>
      <c r="D1221" s="192"/>
      <c r="E1221" s="192"/>
      <c r="F1221" s="192"/>
      <c r="G1221" s="192" t="str">
        <f>IFERROR(__xludf.DUMMYFUNCTION("""COMPUTED_VALUE"""),"Lovleen Thapar")</f>
        <v>Lovleen Thapar</v>
      </c>
      <c r="H1221" s="192" t="str">
        <f>IFERROR(__xludf.DUMMYFUNCTION("""COMPUTED_VALUE"""),"lovleen.thapar@zupee.in")</f>
        <v>lovleen.thapar@zupee.in</v>
      </c>
      <c r="I1221" s="192" t="str">
        <f>IFERROR(__xludf.DUMMYFUNCTION("""COMPUTED_VALUE"""),"anish.abraham@zupee.in: - Product Design")</f>
        <v>anish.abraham@zupee.in: - Product Design</v>
      </c>
      <c r="J1221" s="19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92"/>
      <c r="B1222" s="192"/>
      <c r="C1222" s="192"/>
      <c r="D1222" s="192"/>
      <c r="E1222" s="192"/>
      <c r="F1222" s="192"/>
      <c r="G1222" s="192" t="str">
        <f>IFERROR(__xludf.DUMMYFUNCTION("""COMPUTED_VALUE"""),"Social Ludo1")</f>
        <v>Social Ludo1</v>
      </c>
      <c r="H1222" s="192" t="str">
        <f>IFERROR(__xludf.DUMMYFUNCTION("""COMPUTED_VALUE"""),"Social.ludo1@zupee.in")</f>
        <v>Social.ludo1@zupee.in</v>
      </c>
      <c r="I1222" s="192" t="str">
        <f>IFERROR(__xludf.DUMMYFUNCTION("""COMPUTED_VALUE"""),"katha.tara@zupee.in: - Digital Marketing")</f>
        <v>katha.tara@zupee.in: - Digital Marketing</v>
      </c>
      <c r="J1222" s="19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92"/>
      <c r="B1223" s="192"/>
      <c r="C1223" s="192"/>
      <c r="D1223" s="192"/>
      <c r="E1223" s="192"/>
      <c r="F1223" s="192"/>
      <c r="G1223" s="192" t="str">
        <f>IFERROR(__xludf.DUMMYFUNCTION("""COMPUTED_VALUE"""),"Anuj Mittal")</f>
        <v>Anuj Mittal</v>
      </c>
      <c r="H1223" s="192" t="str">
        <f>IFERROR(__xludf.DUMMYFUNCTION("""COMPUTED_VALUE"""),"anuj.mittal@zupee.in")</f>
        <v>anuj.mittal@zupee.in</v>
      </c>
      <c r="I1223" s="192" t="str">
        <f>IFERROR(__xludf.DUMMYFUNCTION("""COMPUTED_VALUE"""),"raman.malik@zupee.in: - Data")</f>
        <v>raman.malik@zupee.in: - Data</v>
      </c>
      <c r="J1223" s="19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92"/>
      <c r="B1224" s="192"/>
      <c r="C1224" s="192"/>
      <c r="D1224" s="192"/>
      <c r="E1224" s="192"/>
      <c r="F1224" s="192"/>
      <c r="G1224" s="192" t="str">
        <f>IFERROR(__xludf.DUMMYFUNCTION("""COMPUTED_VALUE"""),"Urvashi Matta")</f>
        <v>Urvashi Matta</v>
      </c>
      <c r="H1224" s="192" t="str">
        <f>IFERROR(__xludf.DUMMYFUNCTION("""COMPUTED_VALUE"""),"urvashi.matta@zupee.in")</f>
        <v>urvashi.matta@zupee.in</v>
      </c>
      <c r="I1224" s="192" t="str">
        <f>IFERROR(__xludf.DUMMYFUNCTION("""COMPUTED_VALUE"""),"pareena.singh@zupee.in: - Product")</f>
        <v>pareena.singh@zupee.in: - Product</v>
      </c>
      <c r="J1224" s="19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92"/>
      <c r="B1225" s="192"/>
      <c r="C1225" s="192"/>
      <c r="D1225" s="192"/>
      <c r="E1225" s="192"/>
      <c r="F1225" s="192"/>
      <c r="G1225" s="192" t="str">
        <f>IFERROR(__xludf.DUMMYFUNCTION("""COMPUTED_VALUE"""),"Tarun Khandelwal")</f>
        <v>Tarun Khandelwal</v>
      </c>
      <c r="H1225" s="192" t="str">
        <f>IFERROR(__xludf.DUMMYFUNCTION("""COMPUTED_VALUE"""),"tarun.khandelwal@zupee.in")</f>
        <v>tarun.khandelwal@zupee.in</v>
      </c>
      <c r="I1225" s="192" t="str">
        <f>IFERROR(__xludf.DUMMYFUNCTION("""COMPUTED_VALUE"""),"raman.malik@zupee.in: - Data")</f>
        <v>raman.malik@zupee.in: - Data</v>
      </c>
      <c r="J1225" s="19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92"/>
      <c r="B1226" s="192"/>
      <c r="C1226" s="192"/>
      <c r="D1226" s="192"/>
      <c r="E1226" s="192"/>
      <c r="F1226" s="192"/>
      <c r="G1226" s="192" t="str">
        <f>IFERROR(__xludf.DUMMYFUNCTION("""COMPUTED_VALUE"""),"Abhishek Bithu")</f>
        <v>Abhishek Bithu</v>
      </c>
      <c r="H1226" s="192" t="str">
        <f>IFERROR(__xludf.DUMMYFUNCTION("""COMPUTED_VALUE"""),"abhishek.bithu@zupee.in")</f>
        <v>abhishek.bithu@zupee.in</v>
      </c>
      <c r="I1226" s="192" t="str">
        <f>IFERROR(__xludf.DUMMYFUNCTION("""COMPUTED_VALUE"""),"anshul.mittal@zupee.in: - Technology")</f>
        <v>anshul.mittal@zupee.in: - Technology</v>
      </c>
      <c r="J1226" s="19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92"/>
      <c r="B1227" s="192"/>
      <c r="C1227" s="192"/>
      <c r="D1227" s="192"/>
      <c r="E1227" s="192"/>
      <c r="F1227" s="192"/>
      <c r="G1227" s="192" t="str">
        <f>IFERROR(__xludf.DUMMYFUNCTION("""COMPUTED_VALUE"""),"Bhavya Arora")</f>
        <v>Bhavya Arora</v>
      </c>
      <c r="H1227" s="192" t="str">
        <f>IFERROR(__xludf.DUMMYFUNCTION("""COMPUTED_VALUE"""),"bhavya.arora@zupee.in")</f>
        <v>bhavya.arora@zupee.in</v>
      </c>
      <c r="I1227" s="192" t="str">
        <f>IFERROR(__xludf.DUMMYFUNCTION("""COMPUTED_VALUE"""),"sarthak.jain@zupee.in: - Finance")</f>
        <v>sarthak.jain@zupee.in: - Finance</v>
      </c>
      <c r="J1227" s="19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92"/>
      <c r="B1228" s="192"/>
      <c r="C1228" s="192"/>
      <c r="D1228" s="192"/>
      <c r="E1228" s="192"/>
      <c r="F1228" s="192"/>
      <c r="G1228" s="192" t="str">
        <f>IFERROR(__xludf.DUMMYFUNCTION("""COMPUTED_VALUE"""),"Jatin Jatin")</f>
        <v>Jatin Jatin</v>
      </c>
      <c r="H1228" s="192" t="str">
        <f>IFERROR(__xludf.DUMMYFUNCTION("""COMPUTED_VALUE"""),"jatin.jatin@zupee.in")</f>
        <v>jatin.jatin@zupee.in</v>
      </c>
      <c r="I1228" s="192" t="str">
        <f>IFERROR(__xludf.DUMMYFUNCTION("""COMPUTED_VALUE"""),"mohit.arora@zupee.in: - Finance")</f>
        <v>mohit.arora@zupee.in: - Finance</v>
      </c>
      <c r="J1228" s="19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92"/>
      <c r="B1229" s="192"/>
      <c r="C1229" s="192"/>
      <c r="D1229" s="192"/>
      <c r="E1229" s="192"/>
      <c r="F1229" s="192"/>
      <c r="G1229" s="192" t="str">
        <f>IFERROR(__xludf.DUMMYFUNCTION("""COMPUTED_VALUE"""),"Sarthak Chhabra")</f>
        <v>Sarthak Chhabra</v>
      </c>
      <c r="H1229" s="192" t="str">
        <f>IFERROR(__xludf.DUMMYFUNCTION("""COMPUTED_VALUE"""),"sarthak.chhabra@zupee.in")</f>
        <v>sarthak.chhabra@zupee.in</v>
      </c>
      <c r="I1229" s="192" t="str">
        <f>IFERROR(__xludf.DUMMYFUNCTION("""COMPUTED_VALUE"""),"ranjeet.kumar@zupee.in: - Technology")</f>
        <v>ranjeet.kumar@zupee.in: - Technology</v>
      </c>
      <c r="J1229" s="19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92"/>
      <c r="B1230" s="192"/>
      <c r="C1230" s="192"/>
      <c r="D1230" s="192"/>
      <c r="E1230" s="192"/>
      <c r="F1230" s="192"/>
      <c r="G1230" s="192" t="str">
        <f>IFERROR(__xludf.DUMMYFUNCTION("""COMPUTED_VALUE"""),"Abhinav Pant")</f>
        <v>Abhinav Pant</v>
      </c>
      <c r="H1230" s="192" t="str">
        <f>IFERROR(__xludf.DUMMYFUNCTION("""COMPUTED_VALUE"""),"abhinav.pant@zupee.in")</f>
        <v>abhinav.pant@zupee.in</v>
      </c>
      <c r="I1230" s="192" t="str">
        <f>IFERROR(__xludf.DUMMYFUNCTION("""COMPUTED_VALUE"""),"karan.aggarwal@zupee.in: - Strategy")</f>
        <v>karan.aggarwal@zupee.in: - Strategy</v>
      </c>
      <c r="J1230" s="19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92"/>
      <c r="B1231" s="192"/>
      <c r="C1231" s="192"/>
      <c r="D1231" s="192"/>
      <c r="E1231" s="192"/>
      <c r="F1231" s="192"/>
      <c r="G1231" s="192" t="str">
        <f>IFERROR(__xludf.DUMMYFUNCTION("""COMPUTED_VALUE"""),"Divyanshu Rastogi")</f>
        <v>Divyanshu Rastogi</v>
      </c>
      <c r="H1231" s="192" t="str">
        <f>IFERROR(__xludf.DUMMYFUNCTION("""COMPUTED_VALUE"""),"divyanshu.rastogi@zupee.in")</f>
        <v>divyanshu.rastogi@zupee.in</v>
      </c>
      <c r="I1231" s="192" t="str">
        <f>IFERROR(__xludf.DUMMYFUNCTION("""COMPUTED_VALUE"""),"naveen.kadyan@zupee.in: - Product")</f>
        <v>naveen.kadyan@zupee.in: - Product</v>
      </c>
      <c r="J1231" s="19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92"/>
      <c r="B1232" s="192"/>
      <c r="C1232" s="192"/>
      <c r="D1232" s="192"/>
      <c r="E1232" s="192"/>
      <c r="F1232" s="192"/>
      <c r="G1232" s="192" t="str">
        <f>IFERROR(__xludf.DUMMYFUNCTION("""COMPUTED_VALUE"""),"Yash Agarwal")</f>
        <v>Yash Agarwal</v>
      </c>
      <c r="H1232" s="192" t="str">
        <f>IFERROR(__xludf.DUMMYFUNCTION("""COMPUTED_VALUE"""),"yash.agarwal@zupee.in")</f>
        <v>yash.agarwal@zupee.in</v>
      </c>
      <c r="I1232" s="192" t="str">
        <f>IFERROR(__xludf.DUMMYFUNCTION("""COMPUTED_VALUE"""),"abhishek.gupta@zupee.in: - Technology")</f>
        <v>abhishek.gupta@zupee.in: - Technology</v>
      </c>
      <c r="J1232" s="19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92"/>
      <c r="B1233" s="192"/>
      <c r="C1233" s="192"/>
      <c r="D1233" s="192"/>
      <c r="E1233" s="192"/>
      <c r="F1233" s="192"/>
      <c r="G1233" s="192" t="str">
        <f>IFERROR(__xludf.DUMMYFUNCTION("""COMPUTED_VALUE"""),"Shuvamoy Roy")</f>
        <v>Shuvamoy Roy</v>
      </c>
      <c r="H1233" s="192" t="str">
        <f>IFERROR(__xludf.DUMMYFUNCTION("""COMPUTED_VALUE"""),"shuvamoy.roy@zupee.in")</f>
        <v>shuvamoy.roy@zupee.in</v>
      </c>
      <c r="I1233" s="192" t="str">
        <f>IFERROR(__xludf.DUMMYFUNCTION("""COMPUTED_VALUE"""),"saurav.yadav@zupee.in: - Technology")</f>
        <v>saurav.yadav@zupee.in: - Technology</v>
      </c>
      <c r="J1233" s="19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92"/>
      <c r="B1234" s="192"/>
      <c r="C1234" s="192"/>
      <c r="D1234" s="192"/>
      <c r="E1234" s="192"/>
      <c r="F1234" s="192"/>
      <c r="G1234" s="192" t="str">
        <f>IFERROR(__xludf.DUMMYFUNCTION("""COMPUTED_VALUE"""),"Akrant Sharma")</f>
        <v>Akrant Sharma</v>
      </c>
      <c r="H1234" s="192" t="str">
        <f>IFERROR(__xludf.DUMMYFUNCTION("""COMPUTED_VALUE"""),"akrant.sharma@zupee.in")</f>
        <v>akrant.sharma@zupee.in</v>
      </c>
      <c r="I1234" s="192" t="str">
        <f>IFERROR(__xludf.DUMMYFUNCTION("""COMPUTED_VALUE"""),"ritwika.rai@zupee.in: - Digital Marketing")</f>
        <v>ritwika.rai@zupee.in: - Digital Marketing</v>
      </c>
      <c r="J1234" s="19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92"/>
      <c r="B1235" s="192"/>
      <c r="C1235" s="192"/>
      <c r="D1235" s="192"/>
      <c r="E1235" s="192"/>
      <c r="F1235" s="192"/>
      <c r="G1235" s="192" t="str">
        <f>IFERROR(__xludf.DUMMYFUNCTION("""COMPUTED_VALUE"""),"Ankit Madan")</f>
        <v>Ankit Madan</v>
      </c>
      <c r="H1235" s="192" t="str">
        <f>IFERROR(__xludf.DUMMYFUNCTION("""COMPUTED_VALUE"""),"ankit.madan@zupee.in")</f>
        <v>ankit.madan@zupee.in</v>
      </c>
      <c r="I1235" s="192" t="str">
        <f>IFERROR(__xludf.DUMMYFUNCTION("""COMPUTED_VALUE"""),"akanksha.dhamija@zupee.in: - Strategy")</f>
        <v>akanksha.dhamija@zupee.in: - Strategy</v>
      </c>
      <c r="J1235" s="19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92"/>
      <c r="B1236" s="192"/>
      <c r="C1236" s="192"/>
      <c r="D1236" s="192"/>
      <c r="E1236" s="192"/>
      <c r="F1236" s="192"/>
      <c r="G1236" s="192" t="str">
        <f>IFERROR(__xludf.DUMMYFUNCTION("""COMPUTED_VALUE"""),"Mohim Singla")</f>
        <v>Mohim Singla</v>
      </c>
      <c r="H1236" s="192" t="str">
        <f>IFERROR(__xludf.DUMMYFUNCTION("""COMPUTED_VALUE"""),"mohim.singla@zupee.in")</f>
        <v>mohim.singla@zupee.in</v>
      </c>
      <c r="I1236" s="192" t="str">
        <f>IFERROR(__xludf.DUMMYFUNCTION("""COMPUTED_VALUE"""),"abhishek.gupta@zupee.in: - Technology")</f>
        <v>abhishek.gupta@zupee.in: - Technology</v>
      </c>
      <c r="J1236" s="19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92"/>
      <c r="B1237" s="192"/>
      <c r="C1237" s="192"/>
      <c r="D1237" s="192"/>
      <c r="E1237" s="192"/>
      <c r="F1237" s="192"/>
      <c r="G1237" s="192" t="str">
        <f>IFERROR(__xludf.DUMMYFUNCTION("""COMPUTED_VALUE"""),"Prakrati Gupta")</f>
        <v>Prakrati Gupta</v>
      </c>
      <c r="H1237" s="192" t="str">
        <f>IFERROR(__xludf.DUMMYFUNCTION("""COMPUTED_VALUE"""),"prakrati.gupta@zupee.in")</f>
        <v>prakrati.gupta@zupee.in</v>
      </c>
      <c r="I1237" s="192" t="str">
        <f>IFERROR(__xludf.DUMMYFUNCTION("""COMPUTED_VALUE"""),"abhishek.gupta@zupee.in: - Technology")</f>
        <v>abhishek.gupta@zupee.in: - Technology</v>
      </c>
      <c r="J1237" s="19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92"/>
      <c r="B1238" s="192"/>
      <c r="C1238" s="192"/>
      <c r="D1238" s="192"/>
      <c r="E1238" s="192"/>
      <c r="F1238" s="192"/>
      <c r="G1238" s="192" t="str">
        <f>IFERROR(__xludf.DUMMYFUNCTION("""COMPUTED_VALUE"""),"Aditya Singh Jaswal")</f>
        <v>Aditya Singh Jaswal</v>
      </c>
      <c r="H1238" s="192" t="str">
        <f>IFERROR(__xludf.DUMMYFUNCTION("""COMPUTED_VALUE"""),"aditya.jaswal@zupee.in")</f>
        <v>aditya.jaswal@zupee.in</v>
      </c>
      <c r="I1238" s="192" t="str">
        <f>IFERROR(__xludf.DUMMYFUNCTION("""COMPUTED_VALUE"""),"ritwika.rai@zupee.in: - Digital Marketing")</f>
        <v>ritwika.rai@zupee.in: - Digital Marketing</v>
      </c>
      <c r="J1238" s="19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92"/>
      <c r="B1239" s="192"/>
      <c r="C1239" s="192"/>
      <c r="D1239" s="192"/>
      <c r="E1239" s="192"/>
      <c r="F1239" s="192"/>
      <c r="G1239" s="192" t="str">
        <f>IFERROR(__xludf.DUMMYFUNCTION("""COMPUTED_VALUE"""),"Kunal Shivhare")</f>
        <v>Kunal Shivhare</v>
      </c>
      <c r="H1239" s="192" t="str">
        <f>IFERROR(__xludf.DUMMYFUNCTION("""COMPUTED_VALUE"""),"kunal.shivhare@zupee.in")</f>
        <v>kunal.shivhare@zupee.in</v>
      </c>
      <c r="I1239" s="192" t="str">
        <f>IFERROR(__xludf.DUMMYFUNCTION("""COMPUTED_VALUE"""),"anshul.mittal@zupee.in: - Technology")</f>
        <v>anshul.mittal@zupee.in: - Technology</v>
      </c>
      <c r="J1239" s="19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92"/>
      <c r="B1240" s="192"/>
      <c r="C1240" s="192"/>
      <c r="D1240" s="192"/>
      <c r="E1240" s="192"/>
      <c r="F1240" s="192"/>
      <c r="G1240" s="192" t="str">
        <f>IFERROR(__xludf.DUMMYFUNCTION("""COMPUTED_VALUE"""),"Harshit Singh Negi")</f>
        <v>Harshit Singh Negi</v>
      </c>
      <c r="H1240" s="192" t="str">
        <f>IFERROR(__xludf.DUMMYFUNCTION("""COMPUTED_VALUE"""),"harshit.negi@zupee.in")</f>
        <v>harshit.negi@zupee.in</v>
      </c>
      <c r="I1240" s="192" t="str">
        <f>IFERROR(__xludf.DUMMYFUNCTION("""COMPUTED_VALUE"""),"aditya.jha@zupee.in: - Strategy")</f>
        <v>aditya.jha@zupee.in: - Strategy</v>
      </c>
      <c r="J1240" s="19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92"/>
      <c r="B1241" s="192"/>
      <c r="C1241" s="192"/>
      <c r="D1241" s="192"/>
      <c r="E1241" s="192"/>
      <c r="F1241" s="192"/>
      <c r="G1241" s="192" t="str">
        <f>IFERROR(__xludf.DUMMYFUNCTION("""COMPUTED_VALUE"""),"Nitish Naidu")</f>
        <v>Nitish Naidu</v>
      </c>
      <c r="H1241" s="192" t="str">
        <f>IFERROR(__xludf.DUMMYFUNCTION("""COMPUTED_VALUE"""),"nitish.naidu@zupee.in")</f>
        <v>nitish.naidu@zupee.in</v>
      </c>
      <c r="I1241" s="192" t="str">
        <f>IFERROR(__xludf.DUMMYFUNCTION("""COMPUTED_VALUE"""),"abhishek.gupta@zupee.in: - Technology")</f>
        <v>abhishek.gupta@zupee.in: - Technology</v>
      </c>
      <c r="J1241" s="19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92"/>
      <c r="B1242" s="192"/>
      <c r="C1242" s="192"/>
      <c r="D1242" s="192"/>
      <c r="E1242" s="192"/>
      <c r="F1242" s="192"/>
      <c r="G1242" s="192" t="str">
        <f>IFERROR(__xludf.DUMMYFUNCTION("""COMPUTED_VALUE"""),"Varen Gupta")</f>
        <v>Varen Gupta</v>
      </c>
      <c r="H1242" s="192" t="str">
        <f>IFERROR(__xludf.DUMMYFUNCTION("""COMPUTED_VALUE"""),"varen.gupta@zupee.in")</f>
        <v>varen.gupta@zupee.in</v>
      </c>
      <c r="I1242" s="192" t="str">
        <f>IFERROR(__xludf.DUMMYFUNCTION("""COMPUTED_VALUE"""),"deep.dwivedi@zupee.in: - Data")</f>
        <v>deep.dwivedi@zupee.in: - Data</v>
      </c>
      <c r="J1242" s="19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92"/>
      <c r="B1243" s="192"/>
      <c r="C1243" s="192"/>
      <c r="D1243" s="192"/>
      <c r="E1243" s="192"/>
      <c r="F1243" s="192"/>
      <c r="G1243" s="192" t="str">
        <f>IFERROR(__xludf.DUMMYFUNCTION("""COMPUTED_VALUE"""),"Kashish Baliyan")</f>
        <v>Kashish Baliyan</v>
      </c>
      <c r="H1243" s="192" t="str">
        <f>IFERROR(__xludf.DUMMYFUNCTION("""COMPUTED_VALUE"""),"kashish.baliyan@zupee.in")</f>
        <v>kashish.baliyan@zupee.in</v>
      </c>
      <c r="I1243" s="192" t="str">
        <f>IFERROR(__xludf.DUMMYFUNCTION("""COMPUTED_VALUE"""),"vishal.agarwal@zupee.in: - Technology")</f>
        <v>vishal.agarwal@zupee.in: - Technology</v>
      </c>
      <c r="J1243" s="19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92"/>
      <c r="B1244" s="192"/>
      <c r="C1244" s="192"/>
      <c r="D1244" s="192"/>
      <c r="E1244" s="192"/>
      <c r="F1244" s="192"/>
      <c r="G1244" s="192" t="str">
        <f>IFERROR(__xludf.DUMMYFUNCTION("""COMPUTED_VALUE"""),"Kamini Rathore")</f>
        <v>Kamini Rathore</v>
      </c>
      <c r="H1244" s="192" t="str">
        <f>IFERROR(__xludf.DUMMYFUNCTION("""COMPUTED_VALUE"""),"kamini.rathore@zupee.in")</f>
        <v>kamini.rathore@zupee.in</v>
      </c>
      <c r="I1244" s="192" t="str">
        <f>IFERROR(__xludf.DUMMYFUNCTION("""COMPUTED_VALUE"""),"mrityunjay.k@zupee.in: - Customer Experience")</f>
        <v>mrityunjay.k@zupee.in: - Customer Experience</v>
      </c>
      <c r="J1244" s="19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92"/>
      <c r="B1245" s="192"/>
      <c r="C1245" s="192"/>
      <c r="D1245" s="192"/>
      <c r="E1245" s="192"/>
      <c r="F1245" s="192"/>
      <c r="G1245" s="192" t="str">
        <f>IFERROR(__xludf.DUMMYFUNCTION("""COMPUTED_VALUE"""),"Vinod Kumar")</f>
        <v>Vinod Kumar</v>
      </c>
      <c r="H1245" s="192" t="str">
        <f>IFERROR(__xludf.DUMMYFUNCTION("""COMPUTED_VALUE"""),"vinod.kumar@zupee.in")</f>
        <v>vinod.kumar@zupee.in</v>
      </c>
      <c r="I1245" s="192" t="str">
        <f>IFERROR(__xludf.DUMMYFUNCTION("""COMPUTED_VALUE"""),"mrityunjay.k@zupee.in: - Customer Experience")</f>
        <v>mrityunjay.k@zupee.in: - Customer Experience</v>
      </c>
      <c r="J1245" s="19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92"/>
      <c r="B1246" s="192"/>
      <c r="C1246" s="192"/>
      <c r="D1246" s="192"/>
      <c r="E1246" s="192"/>
      <c r="F1246" s="192"/>
      <c r="G1246" s="192" t="str">
        <f>IFERROR(__xludf.DUMMYFUNCTION("""COMPUTED_VALUE"""),"Durgesh Shukla")</f>
        <v>Durgesh Shukla</v>
      </c>
      <c r="H1246" s="192" t="str">
        <f>IFERROR(__xludf.DUMMYFUNCTION("""COMPUTED_VALUE"""),"durgesh.shukla@zupee.in")</f>
        <v>durgesh.shukla@zupee.in</v>
      </c>
      <c r="I1246" s="192" t="str">
        <f>IFERROR(__xludf.DUMMYFUNCTION("""COMPUTED_VALUE"""),"mrityunjay.k@zupee.in: - Customer Experience")</f>
        <v>mrityunjay.k@zupee.in: - Customer Experience</v>
      </c>
      <c r="J1246" s="19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92"/>
      <c r="B1247" s="192"/>
      <c r="C1247" s="192"/>
      <c r="D1247" s="192"/>
      <c r="E1247" s="192"/>
      <c r="F1247" s="192"/>
      <c r="G1247" s="192" t="str">
        <f>IFERROR(__xludf.DUMMYFUNCTION("""COMPUTED_VALUE"""),"Mohd Saad Khan")</f>
        <v>Mohd Saad Khan</v>
      </c>
      <c r="H1247" s="192" t="str">
        <f>IFERROR(__xludf.DUMMYFUNCTION("""COMPUTED_VALUE"""),"mohd.saad@zupee.in")</f>
        <v>mohd.saad@zupee.in</v>
      </c>
      <c r="I1247" s="192" t="str">
        <f>IFERROR(__xludf.DUMMYFUNCTION("""COMPUTED_VALUE"""),"mrityunjay.k@zupee.in: - Customer Experience")</f>
        <v>mrityunjay.k@zupee.in: - Customer Experience</v>
      </c>
      <c r="J1247" s="19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92"/>
      <c r="B1248" s="192"/>
      <c r="C1248" s="192"/>
      <c r="D1248" s="192"/>
      <c r="E1248" s="192"/>
      <c r="F1248" s="192"/>
      <c r="G1248" s="192" t="str">
        <f>IFERROR(__xludf.DUMMYFUNCTION("""COMPUTED_VALUE"""),"Laxmi Rajput")</f>
        <v>Laxmi Rajput</v>
      </c>
      <c r="H1248" s="192" t="str">
        <f>IFERROR(__xludf.DUMMYFUNCTION("""COMPUTED_VALUE"""),"laxmi.rajput@zupee.in")</f>
        <v>laxmi.rajput@zupee.in</v>
      </c>
      <c r="I1248" s="192" t="str">
        <f>IFERROR(__xludf.DUMMYFUNCTION("""COMPUTED_VALUE"""),"mrityunjay.k@zupee.in: - Customer Experience")</f>
        <v>mrityunjay.k@zupee.in: - Customer Experience</v>
      </c>
      <c r="J1248" s="19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92"/>
      <c r="B1249" s="192"/>
      <c r="C1249" s="192"/>
      <c r="D1249" s="192"/>
      <c r="E1249" s="192"/>
      <c r="F1249" s="192"/>
      <c r="G1249" s="192" t="str">
        <f>IFERROR(__xludf.DUMMYFUNCTION("""COMPUTED_VALUE"""),"Jatin Solanki")</f>
        <v>Jatin Solanki</v>
      </c>
      <c r="H1249" s="192" t="str">
        <f>IFERROR(__xludf.DUMMYFUNCTION("""COMPUTED_VALUE"""),"jatin.solanki@zupee.in")</f>
        <v>jatin.solanki@zupee.in</v>
      </c>
      <c r="I1249" s="192" t="str">
        <f>IFERROR(__xludf.DUMMYFUNCTION("""COMPUTED_VALUE"""),"mrityunjay.k@zupee.in: - Customer Experience")</f>
        <v>mrityunjay.k@zupee.in: - Customer Experience</v>
      </c>
      <c r="J1249" s="19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92"/>
      <c r="B1250" s="192"/>
      <c r="C1250" s="192"/>
      <c r="D1250" s="192"/>
      <c r="E1250" s="192"/>
      <c r="F1250" s="192"/>
      <c r="G1250" s="192" t="str">
        <f>IFERROR(__xludf.DUMMYFUNCTION("""COMPUTED_VALUE"""),"Mohammad Ubed")</f>
        <v>Mohammad Ubed</v>
      </c>
      <c r="H1250" s="192" t="str">
        <f>IFERROR(__xludf.DUMMYFUNCTION("""COMPUTED_VALUE"""),"mohammad.ubed@zupee.in")</f>
        <v>mohammad.ubed@zupee.in</v>
      </c>
      <c r="I1250" s="192" t="str">
        <f>IFERROR(__xludf.DUMMYFUNCTION("""COMPUTED_VALUE"""),"mrityunjay.k@zupee.in: - Customer Experience")</f>
        <v>mrityunjay.k@zupee.in: - Customer Experience</v>
      </c>
      <c r="J1250" s="19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92"/>
      <c r="B1251" s="192"/>
      <c r="C1251" s="192"/>
      <c r="D1251" s="192"/>
      <c r="E1251" s="192"/>
      <c r="F1251" s="192"/>
      <c r="G1251" s="192" t="str">
        <f>IFERROR(__xludf.DUMMYFUNCTION("""COMPUTED_VALUE"""),"Aditya Goswami")</f>
        <v>Aditya Goswami</v>
      </c>
      <c r="H1251" s="192" t="str">
        <f>IFERROR(__xludf.DUMMYFUNCTION("""COMPUTED_VALUE"""),"aditya.goswami@zupee.in")</f>
        <v>aditya.goswami@zupee.in</v>
      </c>
      <c r="I1251" s="192" t="str">
        <f>IFERROR(__xludf.DUMMYFUNCTION("""COMPUTED_VALUE"""),"vishal.agarwal@zupee.in: - Technology")</f>
        <v>vishal.agarwal@zupee.in: - Technology</v>
      </c>
      <c r="J1251" s="19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92"/>
      <c r="B1252" s="192"/>
      <c r="C1252" s="192"/>
      <c r="D1252" s="192"/>
      <c r="E1252" s="192"/>
      <c r="F1252" s="192"/>
      <c r="G1252" s="192" t="str">
        <f>IFERROR(__xludf.DUMMYFUNCTION("""COMPUTED_VALUE"""),"Vivek Pal")</f>
        <v>Vivek Pal</v>
      </c>
      <c r="H1252" s="192" t="str">
        <f>IFERROR(__xludf.DUMMYFUNCTION("""COMPUTED_VALUE"""),"vivek.pal@zupee.in")</f>
        <v>vivek.pal@zupee.in</v>
      </c>
      <c r="I1252" s="192" t="str">
        <f>IFERROR(__xludf.DUMMYFUNCTION("""COMPUTED_VALUE"""),"vishal.agarwal@zupee.in: - Technology")</f>
        <v>vishal.agarwal@zupee.in: - Technology</v>
      </c>
      <c r="J1252" s="19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92"/>
      <c r="B1253" s="192"/>
      <c r="C1253" s="192"/>
      <c r="D1253" s="192"/>
      <c r="E1253" s="192"/>
      <c r="F1253" s="192"/>
      <c r="G1253" s="192" t="str">
        <f>IFERROR(__xludf.DUMMYFUNCTION("""COMPUTED_VALUE"""),"Prateek Sharma")</f>
        <v>Prateek Sharma</v>
      </c>
      <c r="H1253" s="192" t="str">
        <f>IFERROR(__xludf.DUMMYFUNCTION("""COMPUTED_VALUE"""),"prateek.sharma1@zupee.in")</f>
        <v>prateek.sharma1@zupee.in</v>
      </c>
      <c r="I1253" s="192" t="str">
        <f>IFERROR(__xludf.DUMMYFUNCTION("""COMPUTED_VALUE"""),"abhishek.gupta@zupee.in: - Technology")</f>
        <v>abhishek.gupta@zupee.in: - Technology</v>
      </c>
      <c r="J1253" s="19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92"/>
      <c r="B1254" s="192"/>
      <c r="C1254" s="192"/>
      <c r="D1254" s="192"/>
      <c r="E1254" s="192"/>
      <c r="F1254" s="192"/>
      <c r="G1254" s="192" t="str">
        <f>IFERROR(__xludf.DUMMYFUNCTION("""COMPUTED_VALUE"""),"Gaurav Prakash")</f>
        <v>Gaurav Prakash</v>
      </c>
      <c r="H1254" s="192" t="str">
        <f>IFERROR(__xludf.DUMMYFUNCTION("""COMPUTED_VALUE"""),"gaurav.prakash1@zupee.in")</f>
        <v>gaurav.prakash1@zupee.in</v>
      </c>
      <c r="I1254" s="192" t="str">
        <f>IFERROR(__xludf.DUMMYFUNCTION("""COMPUTED_VALUE"""),"sahil.puri@zupee.in: - Technology")</f>
        <v>sahil.puri@zupee.in: - Technology</v>
      </c>
      <c r="J1254" s="19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92"/>
      <c r="B1255" s="192"/>
      <c r="C1255" s="192"/>
      <c r="D1255" s="192"/>
      <c r="E1255" s="192"/>
      <c r="F1255" s="192"/>
      <c r="G1255" s="192" t="str">
        <f>IFERROR(__xludf.DUMMYFUNCTION("""COMPUTED_VALUE"""),"Ishan Rajendra Margamwar")</f>
        <v>Ishan Rajendra Margamwar</v>
      </c>
      <c r="H1255" s="192" t="str">
        <f>IFERROR(__xludf.DUMMYFUNCTION("""COMPUTED_VALUE"""),"ishan.margamwar1@zupee.in")</f>
        <v>ishan.margamwar1@zupee.in</v>
      </c>
      <c r="I1255" s="192" t="str">
        <f>IFERROR(__xludf.DUMMYFUNCTION("""COMPUTED_VALUE"""),"aman.khare@zupee.in: - Customer Experience")</f>
        <v>aman.khare@zupee.in: - Customer Experience</v>
      </c>
      <c r="J1255" s="19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92"/>
      <c r="B1256" s="192"/>
      <c r="C1256" s="192"/>
      <c r="D1256" s="192"/>
      <c r="E1256" s="192"/>
      <c r="F1256" s="192"/>
      <c r="G1256" s="192" t="str">
        <f>IFERROR(__xludf.DUMMYFUNCTION("""COMPUTED_VALUE"""),"Arham Ali")</f>
        <v>Arham Ali</v>
      </c>
      <c r="H1256" s="192" t="str">
        <f>IFERROR(__xludf.DUMMYFUNCTION("""COMPUTED_VALUE"""),"arham.ali@zupee.in")</f>
        <v>arham.ali@zupee.in</v>
      </c>
      <c r="I1256" s="192" t="str">
        <f>IFERROR(__xludf.DUMMYFUNCTION("""COMPUTED_VALUE"""),"saurav.yadav@zupee.in: - Technology")</f>
        <v>saurav.yadav@zupee.in: - Technology</v>
      </c>
      <c r="J1256" s="19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92"/>
      <c r="B1257" s="192"/>
      <c r="C1257" s="192"/>
      <c r="D1257" s="192"/>
      <c r="E1257" s="192"/>
      <c r="F1257" s="192"/>
      <c r="G1257" s="192" t="str">
        <f>IFERROR(__xludf.DUMMYFUNCTION("""COMPUTED_VALUE"""),"Harshit Khanna")</f>
        <v>Harshit Khanna</v>
      </c>
      <c r="H1257" s="192" t="str">
        <f>IFERROR(__xludf.DUMMYFUNCTION("""COMPUTED_VALUE"""),"harshit.khanna@zupee.in")</f>
        <v>harshit.khanna@zupee.in</v>
      </c>
      <c r="I1257" s="192" t="str">
        <f>IFERROR(__xludf.DUMMYFUNCTION("""COMPUTED_VALUE"""),"ranjeet.kumar@zupee.in: - Technology")</f>
        <v>ranjeet.kumar@zupee.in: - Technology</v>
      </c>
      <c r="J1257" s="19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92"/>
      <c r="B1258" s="192"/>
      <c r="C1258" s="192"/>
      <c r="D1258" s="192"/>
      <c r="E1258" s="192"/>
      <c r="F1258" s="192"/>
      <c r="G1258" s="192" t="str">
        <f>IFERROR(__xludf.DUMMYFUNCTION("""COMPUTED_VALUE"""),"Gaurav Gaurav")</f>
        <v>Gaurav Gaurav</v>
      </c>
      <c r="H1258" s="192" t="str">
        <f>IFERROR(__xludf.DUMMYFUNCTION("""COMPUTED_VALUE"""),"gaurav.gaurav@zupee.in")</f>
        <v>gaurav.gaurav@zupee.in</v>
      </c>
      <c r="I1258" s="192" t="str">
        <f>IFERROR(__xludf.DUMMYFUNCTION("""COMPUTED_VALUE"""),"abhishek.gupta@zupee.in: - Technology")</f>
        <v>abhishek.gupta@zupee.in: - Technology</v>
      </c>
      <c r="J1258" s="19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92"/>
      <c r="B1259" s="192"/>
      <c r="C1259" s="192"/>
      <c r="D1259" s="192"/>
      <c r="E1259" s="192"/>
      <c r="F1259" s="192"/>
      <c r="G1259" s="192" t="str">
        <f>IFERROR(__xludf.DUMMYFUNCTION("""COMPUTED_VALUE"""),"Kulvinder Singh")</f>
        <v>Kulvinder Singh</v>
      </c>
      <c r="H1259" s="192" t="str">
        <f>IFERROR(__xludf.DUMMYFUNCTION("""COMPUTED_VALUE"""),"kulvinder.singh@zupee.in")</f>
        <v>kulvinder.singh@zupee.in</v>
      </c>
      <c r="I1259" s="192" t="str">
        <f>IFERROR(__xludf.DUMMYFUNCTION("""COMPUTED_VALUE"""),"anish.abraham@zupee.in: - Product Design")</f>
        <v>anish.abraham@zupee.in: - Product Design</v>
      </c>
      <c r="J1259" s="19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92"/>
      <c r="B1260" s="192"/>
      <c r="C1260" s="192"/>
      <c r="D1260" s="192"/>
      <c r="E1260" s="192"/>
      <c r="F1260" s="192"/>
      <c r="G1260" s="192" t="str">
        <f>IFERROR(__xludf.DUMMYFUNCTION("""COMPUTED_VALUE"""),"Mamta Yadav")</f>
        <v>Mamta Yadav</v>
      </c>
      <c r="H1260" s="192" t="str">
        <f>IFERROR(__xludf.DUMMYFUNCTION("""COMPUTED_VALUE"""),"mamta.yadav@zupee.in")</f>
        <v>mamta.yadav@zupee.in</v>
      </c>
      <c r="I1260" s="192" t="str">
        <f>IFERROR(__xludf.DUMMYFUNCTION("""COMPUTED_VALUE"""),"mrityunjay.k@zupee.in: - Customer Experience")</f>
        <v>mrityunjay.k@zupee.in: - Customer Experience</v>
      </c>
      <c r="J1260" s="19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92"/>
      <c r="B1261" s="192"/>
      <c r="C1261" s="192"/>
      <c r="D1261" s="192"/>
      <c r="E1261" s="192"/>
      <c r="F1261" s="192"/>
      <c r="G1261" s="192" t="str">
        <f>IFERROR(__xludf.DUMMYFUNCTION("""COMPUTED_VALUE"""),"Bhawna Bhawna")</f>
        <v>Bhawna Bhawna</v>
      </c>
      <c r="H1261" s="192" t="str">
        <f>IFERROR(__xludf.DUMMYFUNCTION("""COMPUTED_VALUE"""),"bhawna.bhawna@zupee.in")</f>
        <v>bhawna.bhawna@zupee.in</v>
      </c>
      <c r="I1261" s="192" t="str">
        <f>IFERROR(__xludf.DUMMYFUNCTION("""COMPUTED_VALUE"""),"mrityunjay.k@zupee.in: - Customer Experience")</f>
        <v>mrityunjay.k@zupee.in: - Customer Experience</v>
      </c>
      <c r="J1261" s="19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92"/>
      <c r="B1262" s="192"/>
      <c r="C1262" s="192"/>
      <c r="D1262" s="192"/>
      <c r="E1262" s="192"/>
      <c r="F1262" s="192"/>
      <c r="G1262" s="192" t="str">
        <f>IFERROR(__xludf.DUMMYFUNCTION("""COMPUTED_VALUE"""),"Sameer Qureshi")</f>
        <v>Sameer Qureshi</v>
      </c>
      <c r="H1262" s="192" t="str">
        <f>IFERROR(__xludf.DUMMYFUNCTION("""COMPUTED_VALUE"""),"sameer.qureshi@zupee.in")</f>
        <v>sameer.qureshi@zupee.in</v>
      </c>
      <c r="I1262" s="192" t="str">
        <f>IFERROR(__xludf.DUMMYFUNCTION("""COMPUTED_VALUE"""),"mrityunjay.k@zupee.in: - Customer Experience")</f>
        <v>mrityunjay.k@zupee.in: - Customer Experience</v>
      </c>
      <c r="J1262" s="19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92"/>
      <c r="B1263" s="192"/>
      <c r="C1263" s="192"/>
      <c r="D1263" s="192"/>
      <c r="E1263" s="192"/>
      <c r="F1263" s="192"/>
      <c r="G1263" s="192" t="str">
        <f>IFERROR(__xludf.DUMMYFUNCTION("""COMPUTED_VALUE"""),"MD Irfan")</f>
        <v>MD Irfan</v>
      </c>
      <c r="H1263" s="192" t="str">
        <f>IFERROR(__xludf.DUMMYFUNCTION("""COMPUTED_VALUE"""),"md.Irfan@zupee.in")</f>
        <v>md.Irfan@zupee.in</v>
      </c>
      <c r="I1263" s="192" t="str">
        <f>IFERROR(__xludf.DUMMYFUNCTION("""COMPUTED_VALUE"""),"mrityunjay.k@zupee.in: - Customer Experience")</f>
        <v>mrityunjay.k@zupee.in: - Customer Experience</v>
      </c>
      <c r="J1263" s="19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92"/>
      <c r="B1264" s="192"/>
      <c r="C1264" s="192"/>
      <c r="D1264" s="192"/>
      <c r="E1264" s="192"/>
      <c r="F1264" s="192"/>
      <c r="G1264" s="192" t="str">
        <f>IFERROR(__xludf.DUMMYFUNCTION("""COMPUTED_VALUE"""),"Biswin K")</f>
        <v>Biswin K</v>
      </c>
      <c r="H1264" s="192" t="str">
        <f>IFERROR(__xludf.DUMMYFUNCTION("""COMPUTED_VALUE"""),"biswin.k@zupee.in")</f>
        <v>biswin.k@zupee.in</v>
      </c>
      <c r="I1264" s="192" t="str">
        <f>IFERROR(__xludf.DUMMYFUNCTION("""COMPUTED_VALUE"""),"mrityunjay.k@zupee.in: - Customer Experience")</f>
        <v>mrityunjay.k@zupee.in: - Customer Experience</v>
      </c>
      <c r="J1264" s="19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92"/>
      <c r="B1265" s="192"/>
      <c r="C1265" s="192"/>
      <c r="D1265" s="192"/>
      <c r="E1265" s="192"/>
      <c r="F1265" s="192"/>
      <c r="G1265" s="192" t="str">
        <f>IFERROR(__xludf.DUMMYFUNCTION("""COMPUTED_VALUE"""),"Soyesh Dixit")</f>
        <v>Soyesh Dixit</v>
      </c>
      <c r="H1265" s="192" t="str">
        <f>IFERROR(__xludf.DUMMYFUNCTION("""COMPUTED_VALUE"""),"soyesh.dixit@zupee.in")</f>
        <v>soyesh.dixit@zupee.in</v>
      </c>
      <c r="I1265" s="192" t="str">
        <f>IFERROR(__xludf.DUMMYFUNCTION("""COMPUTED_VALUE"""),"rahul.suman@zupee.in: - IT Infra")</f>
        <v>rahul.suman@zupee.in: - IT Infra</v>
      </c>
      <c r="J1265" s="19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92"/>
      <c r="B1266" s="192"/>
      <c r="C1266" s="192"/>
      <c r="D1266" s="192"/>
      <c r="E1266" s="192"/>
      <c r="F1266" s="192"/>
      <c r="G1266" s="192" t="str">
        <f>IFERROR(__xludf.DUMMYFUNCTION("""COMPUTED_VALUE"""),"Bhupendra Kumar")</f>
        <v>Bhupendra Kumar</v>
      </c>
      <c r="H1266" s="192" t="str">
        <f>IFERROR(__xludf.DUMMYFUNCTION("""COMPUTED_VALUE"""),"bhupendra.kumar@zupee.in")</f>
        <v>bhupendra.kumar@zupee.in</v>
      </c>
      <c r="I1266" s="192" t="str">
        <f>IFERROR(__xludf.DUMMYFUNCTION("""COMPUTED_VALUE"""),"karan.aggarwal@zupee.in: - Strategy")</f>
        <v>karan.aggarwal@zupee.in: - Strategy</v>
      </c>
      <c r="J1266" s="19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92"/>
      <c r="B1267" s="192"/>
      <c r="C1267" s="192"/>
      <c r="D1267" s="192"/>
      <c r="E1267" s="192"/>
      <c r="F1267" s="192"/>
      <c r="G1267" s="192" t="str">
        <f>IFERROR(__xludf.DUMMYFUNCTION("""COMPUTED_VALUE"""),"Shiv Kumar")</f>
        <v>Shiv Kumar</v>
      </c>
      <c r="H1267" s="192" t="str">
        <f>IFERROR(__xludf.DUMMYFUNCTION("""COMPUTED_VALUE"""),"shiv.kumar1@zupee.in")</f>
        <v>shiv.kumar1@zupee.in</v>
      </c>
      <c r="I1267" s="192" t="str">
        <f>IFERROR(__xludf.DUMMYFUNCTION("""COMPUTED_VALUE"""),"piyush.shukla@zupee.in: - Technology")</f>
        <v>piyush.shukla@zupee.in: - Technology</v>
      </c>
      <c r="J1267" s="19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92"/>
      <c r="B1268" s="192"/>
      <c r="C1268" s="192"/>
      <c r="D1268" s="192"/>
      <c r="E1268" s="192"/>
      <c r="F1268" s="192"/>
      <c r="G1268" s="192" t="str">
        <f>IFERROR(__xludf.DUMMYFUNCTION("""COMPUTED_VALUE"""),"Madhav Gupta")</f>
        <v>Madhav Gupta</v>
      </c>
      <c r="H1268" s="192" t="str">
        <f>IFERROR(__xludf.DUMMYFUNCTION("""COMPUTED_VALUE"""),"madhav.gupta@zupee.in")</f>
        <v>madhav.gupta@zupee.in</v>
      </c>
      <c r="I1268" s="192" t="str">
        <f>IFERROR(__xludf.DUMMYFUNCTION("""COMPUTED_VALUE"""),"rahul.sharma@zupee.in: - Technology")</f>
        <v>rahul.sharma@zupee.in: - Technology</v>
      </c>
      <c r="J1268" s="19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92"/>
      <c r="B1269" s="192"/>
      <c r="C1269" s="192"/>
      <c r="D1269" s="192"/>
      <c r="E1269" s="192"/>
      <c r="F1269" s="192"/>
      <c r="G1269" s="192" t="str">
        <f>IFERROR(__xludf.DUMMYFUNCTION("""COMPUTED_VALUE"""),"Anuj Srivastava")</f>
        <v>Anuj Srivastava</v>
      </c>
      <c r="H1269" s="192" t="str">
        <f>IFERROR(__xludf.DUMMYFUNCTION("""COMPUTED_VALUE"""),"anuj.srivastava@zupee.in")</f>
        <v>anuj.srivastava@zupee.in</v>
      </c>
      <c r="I1269" s="192" t="str">
        <f>IFERROR(__xludf.DUMMYFUNCTION("""COMPUTED_VALUE"""),"piyush.shukla@zupee.in: - Technology")</f>
        <v>piyush.shukla@zupee.in: - Technology</v>
      </c>
      <c r="J1269" s="19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92"/>
      <c r="B1270" s="192"/>
      <c r="C1270" s="192"/>
      <c r="D1270" s="192"/>
      <c r="E1270" s="192"/>
      <c r="F1270" s="192"/>
      <c r="G1270" s="192" t="str">
        <f>IFERROR(__xludf.DUMMYFUNCTION("""COMPUTED_VALUE"""),"Hardik Kumar")</f>
        <v>Hardik Kumar</v>
      </c>
      <c r="H1270" s="192" t="str">
        <f>IFERROR(__xludf.DUMMYFUNCTION("""COMPUTED_VALUE"""),"hardik.kumar@zupee.in")</f>
        <v>hardik.kumar@zupee.in</v>
      </c>
      <c r="I1270" s="192" t="str">
        <f>IFERROR(__xludf.DUMMYFUNCTION("""COMPUTED_VALUE"""),"deep.dwivedi@zupee.in: - Data")</f>
        <v>deep.dwivedi@zupee.in: - Data</v>
      </c>
      <c r="J1270" s="19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92"/>
      <c r="B1271" s="192"/>
      <c r="C1271" s="192"/>
      <c r="D1271" s="192"/>
      <c r="E1271" s="192"/>
      <c r="F1271" s="192"/>
      <c r="G1271" s="192" t="str">
        <f>IFERROR(__xludf.DUMMYFUNCTION("""COMPUTED_VALUE"""),"Saransh Bankiwal")</f>
        <v>Saransh Bankiwal</v>
      </c>
      <c r="H1271" s="192" t="str">
        <f>IFERROR(__xludf.DUMMYFUNCTION("""COMPUTED_VALUE"""),"saransh.bankiwal@zupee.in")</f>
        <v>saransh.bankiwal@zupee.in</v>
      </c>
      <c r="I1271" s="192" t="str">
        <f>IFERROR(__xludf.DUMMYFUNCTION("""COMPUTED_VALUE"""),"saurav.yadav@zupee.in: - Technology")</f>
        <v>saurav.yadav@zupee.in: - Technology</v>
      </c>
      <c r="J1271" s="19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92"/>
      <c r="B1272" s="192"/>
      <c r="C1272" s="192"/>
      <c r="D1272" s="192"/>
      <c r="E1272" s="192"/>
      <c r="F1272" s="192"/>
      <c r="G1272" s="192" t="str">
        <f>IFERROR(__xludf.DUMMYFUNCTION("""COMPUTED_VALUE"""),"Aditya Gupta")</f>
        <v>Aditya Gupta</v>
      </c>
      <c r="H1272" s="192" t="str">
        <f>IFERROR(__xludf.DUMMYFUNCTION("""COMPUTED_VALUE"""),"aditya.gupta@zupee.in")</f>
        <v>aditya.gupta@zupee.in</v>
      </c>
      <c r="I1272" s="192" t="str">
        <f>IFERROR(__xludf.DUMMYFUNCTION("""COMPUTED_VALUE"""),"raman.malik@zupee.in: - Data")</f>
        <v>raman.malik@zupee.in: - Data</v>
      </c>
      <c r="J1272" s="19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92"/>
      <c r="B1273" s="192"/>
      <c r="C1273" s="192"/>
      <c r="D1273" s="192"/>
      <c r="E1273" s="192"/>
      <c r="F1273" s="192"/>
      <c r="G1273" s="192" t="str">
        <f>IFERROR(__xludf.DUMMYFUNCTION("""COMPUTED_VALUE"""),"Devansh Mittal")</f>
        <v>Devansh Mittal</v>
      </c>
      <c r="H1273" s="192" t="str">
        <f>IFERROR(__xludf.DUMMYFUNCTION("""COMPUTED_VALUE"""),"devansh.mittal@zupee.in")</f>
        <v>devansh.mittal@zupee.in</v>
      </c>
      <c r="I1273" s="192" t="str">
        <f>IFERROR(__xludf.DUMMYFUNCTION("""COMPUTED_VALUE"""),"saurav.yadav@zupee.in: - Technology")</f>
        <v>saurav.yadav@zupee.in: - Technology</v>
      </c>
      <c r="J1273" s="19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92"/>
      <c r="B1274" s="192"/>
      <c r="C1274" s="192"/>
      <c r="D1274" s="192"/>
      <c r="E1274" s="192"/>
      <c r="F1274" s="192"/>
      <c r="G1274" s="192" t="str">
        <f>IFERROR(__xludf.DUMMYFUNCTION("""COMPUTED_VALUE"""),"Deepankar Rao")</f>
        <v>Deepankar Rao</v>
      </c>
      <c r="H1274" s="192" t="str">
        <f>IFERROR(__xludf.DUMMYFUNCTION("""COMPUTED_VALUE"""),"deepankar.rao@zupee.in")</f>
        <v>deepankar.rao@zupee.in</v>
      </c>
      <c r="I1274" s="192" t="str">
        <f>IFERROR(__xludf.DUMMYFUNCTION("""COMPUTED_VALUE"""),"rahul.sharma1@zupee.in: - Data")</f>
        <v>rahul.sharma1@zupee.in: - Data</v>
      </c>
      <c r="J1274" s="19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92"/>
      <c r="B1275" s="192"/>
      <c r="C1275" s="192"/>
      <c r="D1275" s="192"/>
      <c r="E1275" s="192"/>
      <c r="F1275" s="192"/>
      <c r="G1275" s="192" t="str">
        <f>IFERROR(__xludf.DUMMYFUNCTION("""COMPUTED_VALUE"""),"Rachit Sharma")</f>
        <v>Rachit Sharma</v>
      </c>
      <c r="H1275" s="192" t="str">
        <f>IFERROR(__xludf.DUMMYFUNCTION("""COMPUTED_VALUE"""),"rachit.sharma@zupee.in")</f>
        <v>rachit.sharma@zupee.in</v>
      </c>
      <c r="I1275" s="192" t="str">
        <f>IFERROR(__xludf.DUMMYFUNCTION("""COMPUTED_VALUE"""),"neha.jain@zupee.in: - Data")</f>
        <v>neha.jain@zupee.in: - Data</v>
      </c>
      <c r="J1275" s="19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92"/>
      <c r="B1276" s="192"/>
      <c r="C1276" s="192"/>
      <c r="D1276" s="192"/>
      <c r="E1276" s="192"/>
      <c r="F1276" s="192"/>
      <c r="G1276" s="192" t="str">
        <f>IFERROR(__xludf.DUMMYFUNCTION("""COMPUTED_VALUE"""),"Aditya Tamta")</f>
        <v>Aditya Tamta</v>
      </c>
      <c r="H1276" s="192" t="str">
        <f>IFERROR(__xludf.DUMMYFUNCTION("""COMPUTED_VALUE"""),"aditya.tamta@zupee.in")</f>
        <v>aditya.tamta@zupee.in</v>
      </c>
      <c r="I1276" s="192" t="str">
        <f>IFERROR(__xludf.DUMMYFUNCTION("""COMPUTED_VALUE"""),"neha.jain@zupee.in: - Data")</f>
        <v>neha.jain@zupee.in: - Data</v>
      </c>
      <c r="J1276" s="19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92"/>
      <c r="B1277" s="192"/>
      <c r="C1277" s="192"/>
      <c r="D1277" s="192"/>
      <c r="E1277" s="192"/>
      <c r="F1277" s="192"/>
      <c r="G1277" s="192" t="str">
        <f>IFERROR(__xludf.DUMMYFUNCTION("""COMPUTED_VALUE"""),"Harsh Dubey")</f>
        <v>Harsh Dubey</v>
      </c>
      <c r="H1277" s="192" t="str">
        <f>IFERROR(__xludf.DUMMYFUNCTION("""COMPUTED_VALUE"""),"harsh.dubey@zupee.in")</f>
        <v>harsh.dubey@zupee.in</v>
      </c>
      <c r="I1277" s="192" t="str">
        <f>IFERROR(__xludf.DUMMYFUNCTION("""COMPUTED_VALUE"""),"neha.jain@zupee.in: - Data")</f>
        <v>neha.jain@zupee.in: - Data</v>
      </c>
      <c r="J1277" s="19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92"/>
      <c r="B1278" s="192"/>
      <c r="C1278" s="192"/>
      <c r="D1278" s="192"/>
      <c r="E1278" s="192"/>
      <c r="F1278" s="192"/>
      <c r="G1278" s="192" t="str">
        <f>IFERROR(__xludf.DUMMYFUNCTION("""COMPUTED_VALUE"""),"Vinay Singh")</f>
        <v>Vinay Singh</v>
      </c>
      <c r="H1278" s="192" t="str">
        <f>IFERROR(__xludf.DUMMYFUNCTION("""COMPUTED_VALUE"""),"vinay.singh@zupee.in")</f>
        <v>vinay.singh@zupee.in</v>
      </c>
      <c r="I1278" s="192" t="str">
        <f>IFERROR(__xludf.DUMMYFUNCTION("""COMPUTED_VALUE"""),"neha.jain@zupee.in: - Data")</f>
        <v>neha.jain@zupee.in: - Data</v>
      </c>
      <c r="J1278" s="19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92"/>
      <c r="B1279" s="192"/>
      <c r="C1279" s="192"/>
      <c r="D1279" s="192"/>
      <c r="E1279" s="192"/>
      <c r="F1279" s="192"/>
      <c r="G1279" s="192" t="str">
        <f>IFERROR(__xludf.DUMMYFUNCTION("""COMPUTED_VALUE"""),"Rishi Patidar")</f>
        <v>Rishi Patidar</v>
      </c>
      <c r="H1279" s="192" t="str">
        <f>IFERROR(__xludf.DUMMYFUNCTION("""COMPUTED_VALUE"""),"rishi.patidar@zupee.in")</f>
        <v>rishi.patidar@zupee.in</v>
      </c>
      <c r="I1279" s="192" t="str">
        <f>IFERROR(__xludf.DUMMYFUNCTION("""COMPUTED_VALUE"""),"Endpoint Security Engineer: - IT Infra")</f>
        <v>Endpoint Security Engineer: - IT Infra</v>
      </c>
      <c r="J1279" s="19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92"/>
      <c r="B1280" s="192"/>
      <c r="C1280" s="192"/>
      <c r="D1280" s="192"/>
      <c r="E1280" s="192"/>
      <c r="F1280" s="192"/>
      <c r="G1280" s="192" t="str">
        <f>IFERROR(__xludf.DUMMYFUNCTION("""COMPUTED_VALUE"""),"Dhruv Bisht")</f>
        <v>Dhruv Bisht</v>
      </c>
      <c r="H1280" s="192" t="str">
        <f>IFERROR(__xludf.DUMMYFUNCTION("""COMPUTED_VALUE"""),"dhruv.bisht@zupee.in")</f>
        <v>dhruv.bisht@zupee.in</v>
      </c>
      <c r="I1280" s="192" t="str">
        <f>IFERROR(__xludf.DUMMYFUNCTION("""COMPUTED_VALUE"""),"srishti.seth@zupee.in: - Brand Marketing")</f>
        <v>srishti.seth@zupee.in: - Brand Marketing</v>
      </c>
      <c r="J1280" s="19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92"/>
      <c r="B1281" s="192"/>
      <c r="C1281" s="192"/>
      <c r="D1281" s="192"/>
      <c r="E1281" s="192"/>
      <c r="F1281" s="192"/>
      <c r="G1281" s="192" t="str">
        <f>IFERROR(__xludf.DUMMYFUNCTION("""COMPUTED_VALUE"""),"Rishav Bansal")</f>
        <v>Rishav Bansal</v>
      </c>
      <c r="H1281" s="192" t="str">
        <f>IFERROR(__xludf.DUMMYFUNCTION("""COMPUTED_VALUE"""),"rishav.bansal@zupee.in")</f>
        <v>rishav.bansal@zupee.in</v>
      </c>
      <c r="I1281" s="192" t="str">
        <f>IFERROR(__xludf.DUMMYFUNCTION("""COMPUTED_VALUE"""),"sahil.puri@zupee.in: - Technology")</f>
        <v>sahil.puri@zupee.in: - Technology</v>
      </c>
      <c r="J1281" s="19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92"/>
      <c r="B1282" s="192"/>
      <c r="C1282" s="192"/>
      <c r="D1282" s="192"/>
      <c r="E1282" s="192"/>
      <c r="F1282" s="192"/>
      <c r="G1282" s="192" t="str">
        <f>IFERROR(__xludf.DUMMYFUNCTION("""COMPUTED_VALUE"""),"Khalique Firoz")</f>
        <v>Khalique Firoz</v>
      </c>
      <c r="H1282" s="192" t="str">
        <f>IFERROR(__xludf.DUMMYFUNCTION("""COMPUTED_VALUE"""),"khalique.firoz@zupee.in")</f>
        <v>khalique.firoz@zupee.in</v>
      </c>
      <c r="I1282" s="192" t="str">
        <f>IFERROR(__xludf.DUMMYFUNCTION("""COMPUTED_VALUE"""),"piyush.shukla@zupee.in: - Technology")</f>
        <v>piyush.shukla@zupee.in: - Technology</v>
      </c>
      <c r="J1282" s="19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92"/>
      <c r="B1283" s="192"/>
      <c r="C1283" s="192"/>
      <c r="D1283" s="192"/>
      <c r="E1283" s="192"/>
      <c r="F1283" s="192"/>
      <c r="G1283" s="192" t="str">
        <f>IFERROR(__xludf.DUMMYFUNCTION("""COMPUTED_VALUE"""),"Gagandeep Singh")</f>
        <v>Gagandeep Singh</v>
      </c>
      <c r="H1283" s="192" t="str">
        <f>IFERROR(__xludf.DUMMYFUNCTION("""COMPUTED_VALUE"""),"gagandeep.singh@zupee.in")</f>
        <v>gagandeep.singh@zupee.in</v>
      </c>
      <c r="I1283" s="192" t="str">
        <f>IFERROR(__xludf.DUMMYFUNCTION("""COMPUTED_VALUE"""),"pulkit.sehgal@zupee.in: - Finance")</f>
        <v>pulkit.sehgal@zupee.in: - Finance</v>
      </c>
      <c r="J1283" s="19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92"/>
      <c r="B1284" s="192"/>
      <c r="C1284" s="192"/>
      <c r="D1284" s="192"/>
      <c r="E1284" s="192"/>
      <c r="F1284" s="192"/>
      <c r="G1284" s="192" t="str">
        <f>IFERROR(__xludf.DUMMYFUNCTION("""COMPUTED_VALUE"""),"Vaishnav Vaishnav")</f>
        <v>Vaishnav Vaishnav</v>
      </c>
      <c r="H1284" s="192" t="str">
        <f>IFERROR(__xludf.DUMMYFUNCTION("""COMPUTED_VALUE"""),"vaishnav.vaishnav@zupee.in")</f>
        <v>vaishnav.vaishnav@zupee.in</v>
      </c>
      <c r="I1284" s="192" t="str">
        <f>IFERROR(__xludf.DUMMYFUNCTION("""COMPUTED_VALUE"""),"pratyaksh.rawat@zupee.in: - Org")</f>
        <v>pratyaksh.rawat@zupee.in: - Org</v>
      </c>
      <c r="J1284" s="19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92"/>
      <c r="B1285" s="192"/>
      <c r="C1285" s="192"/>
      <c r="D1285" s="192"/>
      <c r="E1285" s="192"/>
      <c r="F1285" s="192"/>
      <c r="G1285" s="192" t="str">
        <f>IFERROR(__xludf.DUMMYFUNCTION("""COMPUTED_VALUE"""),"Aditya Gandhi")</f>
        <v>Aditya Gandhi</v>
      </c>
      <c r="H1285" s="192" t="str">
        <f>IFERROR(__xludf.DUMMYFUNCTION("""COMPUTED_VALUE"""),"aditya.gandhi@zupee.in")</f>
        <v>aditya.gandhi@zupee.in</v>
      </c>
      <c r="I1285" s="192" t="str">
        <f>IFERROR(__xludf.DUMMYFUNCTION("""COMPUTED_VALUE"""),"dilsher.malhi@zupee.in: - Org")</f>
        <v>dilsher.malhi@zupee.in: - Org</v>
      </c>
      <c r="J1285" s="19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92"/>
      <c r="B1286" s="192"/>
      <c r="C1286" s="192"/>
      <c r="D1286" s="192"/>
      <c r="E1286" s="192"/>
      <c r="F1286" s="192"/>
      <c r="G1286" s="192" t="str">
        <f>IFERROR(__xludf.DUMMYFUNCTION("""COMPUTED_VALUE"""),"Rahul Yadav")</f>
        <v>Rahul Yadav</v>
      </c>
      <c r="H1286" s="192" t="str">
        <f>IFERROR(__xludf.DUMMYFUNCTION("""COMPUTED_VALUE"""),"rahul.yadav1@zupee.in")</f>
        <v>rahul.yadav1@zupee.in</v>
      </c>
      <c r="I1286" s="192" t="str">
        <f>IFERROR(__xludf.DUMMYFUNCTION("""COMPUTED_VALUE"""),"anshul.mittal@zupee.in: - Technology")</f>
        <v>anshul.mittal@zupee.in: - Technology</v>
      </c>
      <c r="J1286" s="19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92"/>
      <c r="B1287" s="192"/>
      <c r="C1287" s="192"/>
      <c r="D1287" s="192"/>
      <c r="E1287" s="192"/>
      <c r="F1287" s="192"/>
      <c r="G1287" s="192" t="str">
        <f>IFERROR(__xludf.DUMMYFUNCTION("""COMPUTED_VALUE"""),"Vishal Raj")</f>
        <v>Vishal Raj</v>
      </c>
      <c r="H1287" s="192" t="str">
        <f>IFERROR(__xludf.DUMMYFUNCTION("""COMPUTED_VALUE"""),"vishal.raj@zupee.in")</f>
        <v>vishal.raj@zupee.in</v>
      </c>
      <c r="I1287" s="192" t="str">
        <f>IFERROR(__xludf.DUMMYFUNCTION("""COMPUTED_VALUE"""),"rahul.sharma1@zupee.in: - Data")</f>
        <v>rahul.sharma1@zupee.in: - Data</v>
      </c>
      <c r="J1287" s="19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92"/>
      <c r="B1288" s="192"/>
      <c r="C1288" s="192"/>
      <c r="D1288" s="192"/>
      <c r="E1288" s="192"/>
      <c r="F1288" s="192"/>
      <c r="G1288" s="192" t="str">
        <f>IFERROR(__xludf.DUMMYFUNCTION("""COMPUTED_VALUE"""),"Prabhat Kumar")</f>
        <v>Prabhat Kumar</v>
      </c>
      <c r="H1288" s="192" t="str">
        <f>IFERROR(__xludf.DUMMYFUNCTION("""COMPUTED_VALUE"""),"prabhat.kumar1@zupee.in")</f>
        <v>prabhat.kumar1@zupee.in</v>
      </c>
      <c r="I1288" s="192" t="str">
        <f>IFERROR(__xludf.DUMMYFUNCTION("""COMPUTED_VALUE"""),"anshul.mittal@zupee.in: - Technology")</f>
        <v>anshul.mittal@zupee.in: - Technology</v>
      </c>
      <c r="J1288" s="19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92"/>
      <c r="B1289" s="192"/>
      <c r="C1289" s="192"/>
      <c r="D1289" s="192"/>
      <c r="E1289" s="192"/>
      <c r="F1289" s="192"/>
      <c r="G1289" s="192" t="str">
        <f>IFERROR(__xludf.DUMMYFUNCTION("""COMPUTED_VALUE"""),"Akhil Mudgal")</f>
        <v>Akhil Mudgal</v>
      </c>
      <c r="H1289" s="192" t="str">
        <f>IFERROR(__xludf.DUMMYFUNCTION("""COMPUTED_VALUE"""),"akhil.mudgal@zupee.in")</f>
        <v>akhil.mudgal@zupee.in</v>
      </c>
      <c r="I1289" s="192" t="str">
        <f>IFERROR(__xludf.DUMMYFUNCTION("""COMPUTED_VALUE"""),"saurav.yadav@zupee.in: - Technology")</f>
        <v>saurav.yadav@zupee.in: - Technology</v>
      </c>
      <c r="J1289" s="19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92"/>
      <c r="B1290" s="192"/>
      <c r="C1290" s="192"/>
      <c r="D1290" s="192"/>
      <c r="E1290" s="192"/>
      <c r="F1290" s="192"/>
      <c r="G1290" s="192" t="str">
        <f>IFERROR(__xludf.DUMMYFUNCTION("""COMPUTED_VALUE"""),"Shubham Sharma")</f>
        <v>Shubham Sharma</v>
      </c>
      <c r="H1290" s="192" t="str">
        <f>IFERROR(__xludf.DUMMYFUNCTION("""COMPUTED_VALUE"""),"shubham.sharma@zupee.in")</f>
        <v>shubham.sharma@zupee.in</v>
      </c>
      <c r="I1290" s="192" t="str">
        <f>IFERROR(__xludf.DUMMYFUNCTION("""COMPUTED_VALUE"""),"mrityunjay.k@zupee.in: - Customer Experience")</f>
        <v>mrityunjay.k@zupee.in: - Customer Experience</v>
      </c>
      <c r="J1290" s="19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92"/>
      <c r="B1291" s="192"/>
      <c r="C1291" s="192"/>
      <c r="D1291" s="192"/>
      <c r="E1291" s="192"/>
      <c r="F1291" s="192"/>
      <c r="G1291" s="192" t="str">
        <f>IFERROR(__xludf.DUMMYFUNCTION("""COMPUTED_VALUE"""),"Mohit Kumar - IT")</f>
        <v>Mohit Kumar - IT</v>
      </c>
      <c r="H1291" s="192" t="str">
        <f>IFERROR(__xludf.DUMMYFUNCTION("""COMPUTED_VALUE"""),"mohit.kumar1@zupee.in")</f>
        <v>mohit.kumar1@zupee.in</v>
      </c>
      <c r="I1291" s="192" t="str">
        <f>IFERROR(__xludf.DUMMYFUNCTION("""COMPUTED_VALUE"""),"IT Infra Lead: - IT Infra")</f>
        <v>IT Infra Lead: - IT Infra</v>
      </c>
      <c r="J1291" s="19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92"/>
      <c r="B1292" s="192"/>
      <c r="C1292" s="192"/>
      <c r="D1292" s="192"/>
      <c r="E1292" s="192"/>
      <c r="F1292" s="192"/>
      <c r="G1292" s="192" t="str">
        <f>IFERROR(__xludf.DUMMYFUNCTION("""COMPUTED_VALUE"""),"Garvit Bhatia")</f>
        <v>Garvit Bhatia</v>
      </c>
      <c r="H1292" s="192" t="str">
        <f>IFERROR(__xludf.DUMMYFUNCTION("""COMPUTED_VALUE"""),"garvit.bhatia@zupee.in")</f>
        <v>garvit.bhatia@zupee.in</v>
      </c>
      <c r="I1292" s="192" t="str">
        <f>IFERROR(__xludf.DUMMYFUNCTION("""COMPUTED_VALUE"""),"anshul.mittal@zupee.in: - Technology")</f>
        <v>anshul.mittal@zupee.in: - Technology</v>
      </c>
      <c r="J1292" s="19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92"/>
      <c r="B1293" s="192"/>
      <c r="C1293" s="192"/>
      <c r="D1293" s="192"/>
      <c r="E1293" s="192"/>
      <c r="F1293" s="192"/>
      <c r="G1293" s="192" t="str">
        <f>IFERROR(__xludf.DUMMYFUNCTION("""COMPUTED_VALUE"""),"Rahul Modi")</f>
        <v>Rahul Modi</v>
      </c>
      <c r="H1293" s="192" t="str">
        <f>IFERROR(__xludf.DUMMYFUNCTION("""COMPUTED_VALUE"""),"rahul.modi@zupee.in")</f>
        <v>rahul.modi@zupee.in</v>
      </c>
      <c r="I1293" s="192" t="str">
        <f>IFERROR(__xludf.DUMMYFUNCTION("""COMPUTED_VALUE"""),"saumitra.raj@zupee.in: - Data")</f>
        <v>saumitra.raj@zupee.in: - Data</v>
      </c>
      <c r="J1293" s="19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92"/>
      <c r="B1294" s="192"/>
      <c r="C1294" s="192"/>
      <c r="D1294" s="192"/>
      <c r="E1294" s="192"/>
      <c r="F1294" s="192"/>
      <c r="G1294" s="192" t="str">
        <f>IFERROR(__xludf.DUMMYFUNCTION("""COMPUTED_VALUE"""),"Khushank Tayal")</f>
        <v>Khushank Tayal</v>
      </c>
      <c r="H1294" s="192" t="str">
        <f>IFERROR(__xludf.DUMMYFUNCTION("""COMPUTED_VALUE"""),"khushank.tayal@zupee.in")</f>
        <v>khushank.tayal@zupee.in</v>
      </c>
      <c r="I1294" s="192" t="str">
        <f>IFERROR(__xludf.DUMMYFUNCTION("""COMPUTED_VALUE"""),"neha.jain@zupee.in: - Data")</f>
        <v>neha.jain@zupee.in: - Data</v>
      </c>
      <c r="J1294" s="19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92"/>
      <c r="B1295" s="192"/>
      <c r="C1295" s="192"/>
      <c r="D1295" s="192"/>
      <c r="E1295" s="192"/>
      <c r="F1295" s="192"/>
      <c r="G1295" s="192" t="str">
        <f>IFERROR(__xludf.DUMMYFUNCTION("""COMPUTED_VALUE"""),"Harshit Varshney")</f>
        <v>Harshit Varshney</v>
      </c>
      <c r="H1295" s="192" t="str">
        <f>IFERROR(__xludf.DUMMYFUNCTION("""COMPUTED_VALUE"""),"harshit.varshney@zupee.in")</f>
        <v>harshit.varshney@zupee.in</v>
      </c>
      <c r="I1295" s="192" t="str">
        <f>IFERROR(__xludf.DUMMYFUNCTION("""COMPUTED_VALUE"""),"amit.garg@zupee.in: - Technology")</f>
        <v>amit.garg@zupee.in: - Technology</v>
      </c>
      <c r="J1295" s="19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92"/>
      <c r="B1296" s="192"/>
      <c r="C1296" s="192"/>
      <c r="D1296" s="192"/>
      <c r="E1296" s="192"/>
      <c r="F1296" s="192"/>
      <c r="G1296" s="192" t="str">
        <f>IFERROR(__xludf.DUMMYFUNCTION("""COMPUTED_VALUE"""),"Srishty Gagneja")</f>
        <v>Srishty Gagneja</v>
      </c>
      <c r="H1296" s="192" t="str">
        <f>IFERROR(__xludf.DUMMYFUNCTION("""COMPUTED_VALUE"""),"srishty.gagneja@zupee.in")</f>
        <v>srishty.gagneja@zupee.in</v>
      </c>
      <c r="I1296" s="192" t="str">
        <f>IFERROR(__xludf.DUMMYFUNCTION("""COMPUTED_VALUE"""),"sahil.puri@zupee.in: - Technology")</f>
        <v>sahil.puri@zupee.in: - Technology</v>
      </c>
      <c r="J1296" s="19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92"/>
      <c r="B1297" s="192"/>
      <c r="C1297" s="192"/>
      <c r="D1297" s="192"/>
      <c r="E1297" s="192"/>
      <c r="F1297" s="192"/>
      <c r="G1297" s="192" t="str">
        <f>IFERROR(__xludf.DUMMYFUNCTION("""COMPUTED_VALUE"""),"Madhavam Saxena")</f>
        <v>Madhavam Saxena</v>
      </c>
      <c r="H1297" s="192" t="str">
        <f>IFERROR(__xludf.DUMMYFUNCTION("""COMPUTED_VALUE"""),"madhavam.saxena@zupee.in")</f>
        <v>madhavam.saxena@zupee.in</v>
      </c>
      <c r="I1297" s="192" t="str">
        <f>IFERROR(__xludf.DUMMYFUNCTION("""COMPUTED_VALUE"""),"saurav.yadav@zupee.in: - Technology")</f>
        <v>saurav.yadav@zupee.in: - Technology</v>
      </c>
      <c r="J1297" s="19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92"/>
      <c r="B1298" s="192"/>
      <c r="C1298" s="192"/>
      <c r="D1298" s="192"/>
      <c r="E1298" s="192"/>
      <c r="F1298" s="192"/>
      <c r="G1298" s="192" t="str">
        <f>IFERROR(__xludf.DUMMYFUNCTION("""COMPUTED_VALUE"""),"Shubham Srivastava")</f>
        <v>Shubham Srivastava</v>
      </c>
      <c r="H1298" s="192" t="str">
        <f>IFERROR(__xludf.DUMMYFUNCTION("""COMPUTED_VALUE"""),"shubham.srivastava@zupee.in")</f>
        <v>shubham.srivastava@zupee.in</v>
      </c>
      <c r="I1298" s="192" t="str">
        <f>IFERROR(__xludf.DUMMYFUNCTION("""COMPUTED_VALUE"""),"arun.prabhakaran@zupee.in: - Technology")</f>
        <v>arun.prabhakaran@zupee.in: - Technology</v>
      </c>
      <c r="J1298" s="19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92"/>
      <c r="B1299" s="192"/>
      <c r="C1299" s="192"/>
      <c r="D1299" s="192"/>
      <c r="E1299" s="192"/>
      <c r="F1299" s="192"/>
      <c r="G1299" s="192" t="str">
        <f>IFERROR(__xludf.DUMMYFUNCTION("""COMPUTED_VALUE"""),"Gauravjit Singh")</f>
        <v>Gauravjit Singh</v>
      </c>
      <c r="H1299" s="192" t="str">
        <f>IFERROR(__xludf.DUMMYFUNCTION("""COMPUTED_VALUE"""),"gauravjit.singh@zupee.in")</f>
        <v>gauravjit.singh@zupee.in</v>
      </c>
      <c r="I1299" s="192" t="str">
        <f>IFERROR(__xludf.DUMMYFUNCTION("""COMPUTED_VALUE"""),"katha.tara@zupee.in: - Brand Marketing")</f>
        <v>katha.tara@zupee.in: - Brand Marketing</v>
      </c>
      <c r="J1299" s="19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92"/>
      <c r="B1300" s="192"/>
      <c r="C1300" s="192"/>
      <c r="D1300" s="192"/>
      <c r="E1300" s="192"/>
      <c r="F1300" s="192"/>
      <c r="G1300" s="192" t="str">
        <f>IFERROR(__xludf.DUMMYFUNCTION("""COMPUTED_VALUE"""),"Aashit Dua")</f>
        <v>Aashit Dua</v>
      </c>
      <c r="H1300" s="192" t="str">
        <f>IFERROR(__xludf.DUMMYFUNCTION("""COMPUTED_VALUE"""),"aashit.dua@zupee.in")</f>
        <v>aashit.dua@zupee.in</v>
      </c>
      <c r="I1300" s="192" t="str">
        <f>IFERROR(__xludf.DUMMYFUNCTION("""COMPUTED_VALUE"""),"raman.malik@zupee.in: - Data")</f>
        <v>raman.malik@zupee.in: - Data</v>
      </c>
      <c r="J1300" s="19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92"/>
      <c r="B1301" s="192"/>
      <c r="C1301" s="192"/>
      <c r="D1301" s="192"/>
      <c r="E1301" s="192"/>
      <c r="F1301" s="192"/>
      <c r="G1301" s="192" t="str">
        <f>IFERROR(__xludf.DUMMYFUNCTION("""COMPUTED_VALUE"""),"Palak Dua")</f>
        <v>Palak Dua</v>
      </c>
      <c r="H1301" s="192" t="str">
        <f>IFERROR(__xludf.DUMMYFUNCTION("""COMPUTED_VALUE"""),"palak.dua@zupee.in")</f>
        <v>palak.dua@zupee.in</v>
      </c>
      <c r="I1301" s="192" t="str">
        <f>IFERROR(__xludf.DUMMYFUNCTION("""COMPUTED_VALUE"""),"anshul.mittal@zupee.in: - Technology")</f>
        <v>anshul.mittal@zupee.in: - Technology</v>
      </c>
      <c r="J1301" s="19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92"/>
      <c r="B1302" s="192"/>
      <c r="C1302" s="192"/>
      <c r="D1302" s="192"/>
      <c r="E1302" s="192"/>
      <c r="F1302" s="192"/>
      <c r="G1302" s="192" t="str">
        <f>IFERROR(__xludf.DUMMYFUNCTION("""COMPUTED_VALUE"""),"Akash Tamta")</f>
        <v>Akash Tamta</v>
      </c>
      <c r="H1302" s="192" t="str">
        <f>IFERROR(__xludf.DUMMYFUNCTION("""COMPUTED_VALUE"""),"akash.tamta@zupee.in")</f>
        <v>akash.tamta@zupee.in</v>
      </c>
      <c r="I1302" s="192" t="str">
        <f>IFERROR(__xludf.DUMMYFUNCTION("""COMPUTED_VALUE"""),"mrityunjay.k@zupee.in: - Customer Experience")</f>
        <v>mrityunjay.k@zupee.in: - Customer Experience</v>
      </c>
      <c r="J1302" s="19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92"/>
      <c r="B1303" s="192"/>
      <c r="C1303" s="192"/>
      <c r="D1303" s="192"/>
      <c r="E1303" s="192"/>
      <c r="F1303" s="192"/>
      <c r="G1303" s="192" t="str">
        <f>IFERROR(__xludf.DUMMYFUNCTION("""COMPUTED_VALUE"""),"Kunal Chauhan")</f>
        <v>Kunal Chauhan</v>
      </c>
      <c r="H1303" s="192" t="str">
        <f>IFERROR(__xludf.DUMMYFUNCTION("""COMPUTED_VALUE"""),"kunal.chauhan@zupee.in")</f>
        <v>kunal.chauhan@zupee.in</v>
      </c>
      <c r="I1303" s="192" t="str">
        <f>IFERROR(__xludf.DUMMYFUNCTION("""COMPUTED_VALUE"""),"mrityunjay.k@zupee.in: - Customer Experience")</f>
        <v>mrityunjay.k@zupee.in: - Customer Experience</v>
      </c>
      <c r="J1303" s="19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92"/>
      <c r="B1304" s="192"/>
      <c r="C1304" s="192"/>
      <c r="D1304" s="192"/>
      <c r="E1304" s="192"/>
      <c r="F1304" s="192"/>
      <c r="G1304" s="192" t="str">
        <f>IFERROR(__xludf.DUMMYFUNCTION("""COMPUTED_VALUE"""),"Pashupathi Ravi")</f>
        <v>Pashupathi Ravi</v>
      </c>
      <c r="H1304" s="192" t="str">
        <f>IFERROR(__xludf.DUMMYFUNCTION("""COMPUTED_VALUE"""),"pashupathi.ravi@zupee.in")</f>
        <v>pashupathi.ravi@zupee.in</v>
      </c>
      <c r="I1304" s="192" t="str">
        <f>IFERROR(__xludf.DUMMYFUNCTION("""COMPUTED_VALUE"""),"mrityunjay.k@zupee.in: - Customer Experience")</f>
        <v>mrityunjay.k@zupee.in: - Customer Experience</v>
      </c>
      <c r="J1304" s="19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92"/>
      <c r="B1305" s="192"/>
      <c r="C1305" s="192"/>
      <c r="D1305" s="192"/>
      <c r="E1305" s="192"/>
      <c r="F1305" s="192"/>
      <c r="G1305" s="192" t="str">
        <f>IFERROR(__xludf.DUMMYFUNCTION("""COMPUTED_VALUE"""),"Rohit Dutta")</f>
        <v>Rohit Dutta</v>
      </c>
      <c r="H1305" s="192" t="str">
        <f>IFERROR(__xludf.DUMMYFUNCTION("""COMPUTED_VALUE"""),"rohit.dutta@zupee.in")</f>
        <v>rohit.dutta@zupee.in</v>
      </c>
      <c r="I1305" s="192" t="str">
        <f>IFERROR(__xludf.DUMMYFUNCTION("""COMPUTED_VALUE"""),"mrityunjay.k@zupee.in: - Customer Experience")</f>
        <v>mrityunjay.k@zupee.in: - Customer Experience</v>
      </c>
      <c r="J1305" s="19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92"/>
      <c r="B1306" s="192"/>
      <c r="C1306" s="192"/>
      <c r="D1306" s="192"/>
      <c r="E1306" s="192"/>
      <c r="F1306" s="192"/>
      <c r="G1306" s="192" t="str">
        <f>IFERROR(__xludf.DUMMYFUNCTION("""COMPUTED_VALUE"""),"Divyansh Jaiswal")</f>
        <v>Divyansh Jaiswal</v>
      </c>
      <c r="H1306" s="192" t="str">
        <f>IFERROR(__xludf.DUMMYFUNCTION("""COMPUTED_VALUE"""),"divyansh.jaiswal@zupee.in")</f>
        <v>divyansh.jaiswal@zupee.in</v>
      </c>
      <c r="I1306" s="192" t="str">
        <f>IFERROR(__xludf.DUMMYFUNCTION("""COMPUTED_VALUE"""),"mrityunjay.k@zupee.in: - Customer Experience")</f>
        <v>mrityunjay.k@zupee.in: - Customer Experience</v>
      </c>
      <c r="J1306" s="19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92"/>
      <c r="B1307" s="192"/>
      <c r="C1307" s="192"/>
      <c r="D1307" s="192"/>
      <c r="E1307" s="192"/>
      <c r="F1307" s="192"/>
      <c r="G1307" s="192" t="str">
        <f>IFERROR(__xludf.DUMMYFUNCTION("""COMPUTED_VALUE"""),"Sumit Kumar")</f>
        <v>Sumit Kumar</v>
      </c>
      <c r="H1307" s="192" t="str">
        <f>IFERROR(__xludf.DUMMYFUNCTION("""COMPUTED_VALUE"""),"sumit.kumar2@zupee.in")</f>
        <v>sumit.kumar2@zupee.in</v>
      </c>
      <c r="I1307" s="192" t="str">
        <f>IFERROR(__xludf.DUMMYFUNCTION("""COMPUTED_VALUE"""),"mrityunjay.k@zupee.in: - Customer Experience")</f>
        <v>mrityunjay.k@zupee.in: - Customer Experience</v>
      </c>
      <c r="J1307" s="19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92"/>
      <c r="B1308" s="192"/>
      <c r="C1308" s="192"/>
      <c r="D1308" s="192"/>
      <c r="E1308" s="192"/>
      <c r="F1308" s="192"/>
      <c r="G1308" s="192" t="str">
        <f>IFERROR(__xludf.DUMMYFUNCTION("""COMPUTED_VALUE"""),"Aniket Goel")</f>
        <v>Aniket Goel</v>
      </c>
      <c r="H1308" s="192" t="str">
        <f>IFERROR(__xludf.DUMMYFUNCTION("""COMPUTED_VALUE"""),"aniket.goel@zupee.in")</f>
        <v>aniket.goel@zupee.in</v>
      </c>
      <c r="I1308" s="192" t="str">
        <f>IFERROR(__xludf.DUMMYFUNCTION("""COMPUTED_VALUE"""),"rahul.sharma1@zupee.in: - Technology")</f>
        <v>rahul.sharma1@zupee.in: - Technology</v>
      </c>
      <c r="J1308" s="19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92"/>
      <c r="B1309" s="192"/>
      <c r="C1309" s="192"/>
      <c r="D1309" s="192"/>
      <c r="E1309" s="192"/>
      <c r="F1309" s="192"/>
      <c r="G1309" s="192" t="str">
        <f>IFERROR(__xludf.DUMMYFUNCTION("""COMPUTED_VALUE"""),"Ritik Asati")</f>
        <v>Ritik Asati</v>
      </c>
      <c r="H1309" s="192" t="str">
        <f>IFERROR(__xludf.DUMMYFUNCTION("""COMPUTED_VALUE"""),"ritik.asati@zupee.in")</f>
        <v>ritik.asati@zupee.in</v>
      </c>
      <c r="I1309" s="192" t="str">
        <f>IFERROR(__xludf.DUMMYFUNCTION("""COMPUTED_VALUE"""),"vishal.agarwal@zupee.in: - Technology")</f>
        <v>vishal.agarwal@zupee.in: - Technology</v>
      </c>
      <c r="J1309" s="19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92"/>
      <c r="B1310" s="192"/>
      <c r="C1310" s="192"/>
      <c r="D1310" s="192"/>
      <c r="E1310" s="192"/>
      <c r="F1310" s="192"/>
      <c r="G1310" s="192" t="str">
        <f>IFERROR(__xludf.DUMMYFUNCTION("""COMPUTED_VALUE"""),"Vidit Mathur")</f>
        <v>Vidit Mathur</v>
      </c>
      <c r="H1310" s="192" t="str">
        <f>IFERROR(__xludf.DUMMYFUNCTION("""COMPUTED_VALUE"""),"vidit.mathur@zupee.in")</f>
        <v>vidit.mathur@zupee.in</v>
      </c>
      <c r="I1310" s="192" t="str">
        <f>IFERROR(__xludf.DUMMYFUNCTION("""COMPUTED_VALUE"""),"amit.garg@zupee.in: - Technology")</f>
        <v>amit.garg@zupee.in: - Technology</v>
      </c>
      <c r="J1310" s="19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92"/>
      <c r="B1311" s="192"/>
      <c r="C1311" s="192"/>
      <c r="D1311" s="192"/>
      <c r="E1311" s="192"/>
      <c r="F1311" s="192"/>
      <c r="G1311" s="192" t="str">
        <f>IFERROR(__xludf.DUMMYFUNCTION("""COMPUTED_VALUE"""),"Sahil Bajaj")</f>
        <v>Sahil Bajaj</v>
      </c>
      <c r="H1311" s="192" t="str">
        <f>IFERROR(__xludf.DUMMYFUNCTION("""COMPUTED_VALUE"""),"sahil.bajaj@zupee.in")</f>
        <v>sahil.bajaj@zupee.in</v>
      </c>
      <c r="I1311" s="192" t="str">
        <f>IFERROR(__xludf.DUMMYFUNCTION("""COMPUTED_VALUE"""),"piyush.shukla@zupee.in: - Technology")</f>
        <v>piyush.shukla@zupee.in: - Technology</v>
      </c>
      <c r="J1311" s="19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92"/>
      <c r="B1312" s="192"/>
      <c r="C1312" s="192"/>
      <c r="D1312" s="192"/>
      <c r="E1312" s="192"/>
      <c r="F1312" s="192"/>
      <c r="G1312" s="192" t="str">
        <f>IFERROR(__xludf.DUMMYFUNCTION("""COMPUTED_VALUE"""),"Deepak Kumar")</f>
        <v>Deepak Kumar</v>
      </c>
      <c r="H1312" s="192" t="str">
        <f>IFERROR(__xludf.DUMMYFUNCTION("""COMPUTED_VALUE"""),"deepak.kumar@zupee.in")</f>
        <v>deepak.kumar@zupee.in</v>
      </c>
      <c r="I1312" s="192" t="str">
        <f>IFERROR(__xludf.DUMMYFUNCTION("""COMPUTED_VALUE"""),"abhishek.gupta@zupee.in: - Technology")</f>
        <v>abhishek.gupta@zupee.in: - Technology</v>
      </c>
      <c r="J1312" s="19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92"/>
      <c r="B1313" s="192"/>
      <c r="C1313" s="192"/>
      <c r="D1313" s="192"/>
      <c r="E1313" s="192"/>
      <c r="F1313" s="192"/>
      <c r="G1313" s="192" t="str">
        <f>IFERROR(__xludf.DUMMYFUNCTION("""COMPUTED_VALUE"""),"Suraj Kumar")</f>
        <v>Suraj Kumar</v>
      </c>
      <c r="H1313" s="192" t="str">
        <f>IFERROR(__xludf.DUMMYFUNCTION("""COMPUTED_VALUE"""),"suraj.kumar@zupee.in")</f>
        <v>suraj.kumar@zupee.in</v>
      </c>
      <c r="I1313" s="192" t="str">
        <f>IFERROR(__xludf.DUMMYFUNCTION("""COMPUTED_VALUE"""),"mohit.kumar1@zupee.in: - IT Infra")</f>
        <v>mohit.kumar1@zupee.in: - IT Infra</v>
      </c>
      <c r="J1313" s="19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92"/>
      <c r="B1314" s="192"/>
      <c r="C1314" s="192"/>
      <c r="D1314" s="192"/>
      <c r="E1314" s="192"/>
      <c r="F1314" s="192"/>
      <c r="G1314" s="192" t="str">
        <f>IFERROR(__xludf.DUMMYFUNCTION("""COMPUTED_VALUE"""),"Praveen Kumar")</f>
        <v>Praveen Kumar</v>
      </c>
      <c r="H1314" s="192" t="str">
        <f>IFERROR(__xludf.DUMMYFUNCTION("""COMPUTED_VALUE"""),"praveen.kumar@zupee.in")</f>
        <v>praveen.kumar@zupee.in</v>
      </c>
      <c r="I1314" s="192" t="str">
        <f>IFERROR(__xludf.DUMMYFUNCTION("""COMPUTED_VALUE"""),"abhishek.gupta@zupee.in: - Technology")</f>
        <v>abhishek.gupta@zupee.in: - Technology</v>
      </c>
      <c r="J1314" s="19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92"/>
      <c r="B1315" s="192"/>
      <c r="C1315" s="192"/>
      <c r="D1315" s="192"/>
      <c r="E1315" s="192"/>
      <c r="F1315" s="192"/>
      <c r="G1315" s="192" t="str">
        <f>IFERROR(__xludf.DUMMYFUNCTION("""COMPUTED_VALUE"""),"Ashutosh Wadhwani")</f>
        <v>Ashutosh Wadhwani</v>
      </c>
      <c r="H1315" s="192" t="str">
        <f>IFERROR(__xludf.DUMMYFUNCTION("""COMPUTED_VALUE"""),"ashutosh.wadhwani@zupee.in")</f>
        <v>ashutosh.wadhwani@zupee.in</v>
      </c>
      <c r="I1315" s="192" t="str">
        <f>IFERROR(__xludf.DUMMYFUNCTION("""COMPUTED_VALUE"""),"akanksha.dhamija@zupee.in: - Strategy")</f>
        <v>akanksha.dhamija@zupee.in: - Strategy</v>
      </c>
      <c r="J1315" s="19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92"/>
      <c r="B1316" s="192"/>
      <c r="C1316" s="192"/>
      <c r="D1316" s="192"/>
      <c r="E1316" s="192"/>
      <c r="F1316" s="192"/>
      <c r="G1316" s="192" t="str">
        <f>IFERROR(__xludf.DUMMYFUNCTION("""COMPUTED_VALUE"""),"Divas Gupta")</f>
        <v>Divas Gupta</v>
      </c>
      <c r="H1316" s="192" t="str">
        <f>IFERROR(__xludf.DUMMYFUNCTION("""COMPUTED_VALUE"""),"divas.gupta@zupee.in")</f>
        <v>divas.gupta@zupee.in</v>
      </c>
      <c r="I1316" s="192" t="str">
        <f>IFERROR(__xludf.DUMMYFUNCTION("""COMPUTED_VALUE"""),"abhishek.gupta@zupee.in: - Technology")</f>
        <v>abhishek.gupta@zupee.in: - Technology</v>
      </c>
      <c r="J1316" s="19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92"/>
      <c r="B1317" s="192"/>
      <c r="C1317" s="192"/>
      <c r="D1317" s="192"/>
      <c r="E1317" s="192"/>
      <c r="F1317" s="192"/>
      <c r="G1317" s="192" t="str">
        <f>IFERROR(__xludf.DUMMYFUNCTION("""COMPUTED_VALUE"""),"Abhishek Saxena")</f>
        <v>Abhishek Saxena</v>
      </c>
      <c r="H1317" s="192" t="str">
        <f>IFERROR(__xludf.DUMMYFUNCTION("""COMPUTED_VALUE"""),"abhishek.saxena@zupee.in")</f>
        <v>abhishek.saxena@zupee.in</v>
      </c>
      <c r="I1317" s="192" t="str">
        <f>IFERROR(__xludf.DUMMYFUNCTION("""COMPUTED_VALUE"""),"abhishek.gupta@zupee.in: - Technology")</f>
        <v>abhishek.gupta@zupee.in: - Technology</v>
      </c>
      <c r="J1317" s="19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92"/>
      <c r="B1318" s="192"/>
      <c r="C1318" s="192"/>
      <c r="D1318" s="192"/>
      <c r="E1318" s="192"/>
      <c r="F1318" s="192"/>
      <c r="G1318" s="192" t="str">
        <f>IFERROR(__xludf.DUMMYFUNCTION("""COMPUTED_VALUE"""),"Nitesh Gupta")</f>
        <v>Nitesh Gupta</v>
      </c>
      <c r="H1318" s="192" t="str">
        <f>IFERROR(__xludf.DUMMYFUNCTION("""COMPUTED_VALUE"""),"nitesh.gupta@zupee.in")</f>
        <v>nitesh.gupta@zupee.in</v>
      </c>
      <c r="I1318" s="192" t="str">
        <f>IFERROR(__xludf.DUMMYFUNCTION("""COMPUTED_VALUE"""),"abhishek.gupta@zupee.in: - Technology")</f>
        <v>abhishek.gupta@zupee.in: - Technology</v>
      </c>
      <c r="J1318" s="19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92"/>
      <c r="B1319" s="192"/>
      <c r="C1319" s="192"/>
      <c r="D1319" s="192"/>
      <c r="E1319" s="192"/>
      <c r="F1319" s="192"/>
      <c r="G1319" s="192" t="str">
        <f>IFERROR(__xludf.DUMMYFUNCTION("""COMPUTED_VALUE"""),"Navneet Lohia")</f>
        <v>Navneet Lohia</v>
      </c>
      <c r="H1319" s="192" t="str">
        <f>IFERROR(__xludf.DUMMYFUNCTION("""COMPUTED_VALUE"""),"navneet.lohia@zupee.in")</f>
        <v>navneet.lohia@zupee.in</v>
      </c>
      <c r="I1319" s="192" t="str">
        <f>IFERROR(__xludf.DUMMYFUNCTION("""COMPUTED_VALUE"""),"piyush.shukla@zupee.in: - Technology")</f>
        <v>piyush.shukla@zupee.in: - Technology</v>
      </c>
      <c r="J1319" s="19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92"/>
      <c r="B1320" s="192"/>
      <c r="C1320" s="192"/>
      <c r="D1320" s="192"/>
      <c r="E1320" s="192"/>
      <c r="F1320" s="192"/>
      <c r="G1320" s="192" t="str">
        <f>IFERROR(__xludf.DUMMYFUNCTION("""COMPUTED_VALUE"""),"Sarthak Saluja")</f>
        <v>Sarthak Saluja</v>
      </c>
      <c r="H1320" s="192" t="str">
        <f>IFERROR(__xludf.DUMMYFUNCTION("""COMPUTED_VALUE"""),"sarthak.saluja@zupee.in")</f>
        <v>sarthak.saluja@zupee.in</v>
      </c>
      <c r="I1320" s="192" t="str">
        <f>IFERROR(__xludf.DUMMYFUNCTION("""COMPUTED_VALUE"""),"raman.malik@zupee.in: - Data")</f>
        <v>raman.malik@zupee.in: - Data</v>
      </c>
      <c r="J1320" s="19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92"/>
      <c r="B1321" s="192"/>
      <c r="C1321" s="192"/>
      <c r="D1321" s="192"/>
      <c r="E1321" s="192"/>
      <c r="F1321" s="192"/>
      <c r="G1321" s="192" t="str">
        <f>IFERROR(__xludf.DUMMYFUNCTION("""COMPUTED_VALUE"""),"Kamya Aggarwal")</f>
        <v>Kamya Aggarwal</v>
      </c>
      <c r="H1321" s="192" t="str">
        <f>IFERROR(__xludf.DUMMYFUNCTION("""COMPUTED_VALUE"""),"kamya.aggarwal@zupee.in")</f>
        <v>kamya.aggarwal@zupee.in</v>
      </c>
      <c r="I1321" s="192" t="str">
        <f>IFERROR(__xludf.DUMMYFUNCTION("""COMPUTED_VALUE"""),"ishank.mehta@zupee.in: - Digital Marketing")</f>
        <v>ishank.mehta@zupee.in: - Digital Marketing</v>
      </c>
      <c r="J1321" s="19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92"/>
      <c r="B1322" s="192"/>
      <c r="C1322" s="192"/>
      <c r="D1322" s="192"/>
      <c r="E1322" s="192"/>
      <c r="F1322" s="192"/>
      <c r="G1322" s="192" t="str">
        <f>IFERROR(__xludf.DUMMYFUNCTION("""COMPUTED_VALUE"""),"Vikas Pandey")</f>
        <v>Vikas Pandey</v>
      </c>
      <c r="H1322" s="192" t="str">
        <f>IFERROR(__xludf.DUMMYFUNCTION("""COMPUTED_VALUE"""),"vikas.pandey@zupee.in")</f>
        <v>vikas.pandey@zupee.in</v>
      </c>
      <c r="I1322" s="192" t="str">
        <f>IFERROR(__xludf.DUMMYFUNCTION("""COMPUTED_VALUE"""),"abhishek.gupta@zupee.in: - Technology")</f>
        <v>abhishek.gupta@zupee.in: - Technology</v>
      </c>
      <c r="J1322" s="19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92"/>
      <c r="B1323" s="192"/>
      <c r="C1323" s="192"/>
      <c r="D1323" s="192"/>
      <c r="E1323" s="192"/>
      <c r="F1323" s="192"/>
      <c r="G1323" s="192" t="str">
        <f>IFERROR(__xludf.DUMMYFUNCTION("""COMPUTED_VALUE"""),"A Chakravarthy Thalluri")</f>
        <v>A Chakravarthy Thalluri</v>
      </c>
      <c r="H1323" s="192" t="str">
        <f>IFERROR(__xludf.DUMMYFUNCTION("""COMPUTED_VALUE"""),"chakravarthy.thalluri@zupee.in")</f>
        <v>chakravarthy.thalluri@zupee.in</v>
      </c>
      <c r="I1323" s="192" t="str">
        <f>IFERROR(__xludf.DUMMYFUNCTION("""COMPUTED_VALUE"""),"raman.malik@zupee.in: - Data")</f>
        <v>raman.malik@zupee.in: - Data</v>
      </c>
      <c r="J1323" s="19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92"/>
      <c r="B1324" s="192"/>
      <c r="C1324" s="192"/>
      <c r="D1324" s="192"/>
      <c r="E1324" s="192"/>
      <c r="F1324" s="192"/>
      <c r="G1324" s="192" t="str">
        <f>IFERROR(__xludf.DUMMYFUNCTION("""COMPUTED_VALUE"""),"Shah Faizal Khan")</f>
        <v>Shah Faizal Khan</v>
      </c>
      <c r="H1324" s="192" t="str">
        <f>IFERROR(__xludf.DUMMYFUNCTION("""COMPUTED_VALUE"""),"faizal.khan@zupee.in")</f>
        <v>faizal.khan@zupee.in</v>
      </c>
      <c r="I1324" s="192" t="str">
        <f>IFERROR(__xludf.DUMMYFUNCTION("""COMPUTED_VALUE"""),"abhishek.gupta@zupee.in: - Technology")</f>
        <v>abhishek.gupta@zupee.in: - Technology</v>
      </c>
      <c r="J1324" s="19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92"/>
      <c r="B1325" s="192"/>
      <c r="C1325" s="192"/>
      <c r="D1325" s="192"/>
      <c r="E1325" s="192"/>
      <c r="F1325" s="192"/>
      <c r="G1325" s="192" t="str">
        <f>IFERROR(__xludf.DUMMYFUNCTION("""COMPUTED_VALUE"""),"Shivam Goel")</f>
        <v>Shivam Goel</v>
      </c>
      <c r="H1325" s="192" t="str">
        <f>IFERROR(__xludf.DUMMYFUNCTION("""COMPUTED_VALUE"""),"shivam.goel@zupee.in")</f>
        <v>shivam.goel@zupee.in</v>
      </c>
      <c r="I1325" s="192" t="str">
        <f>IFERROR(__xludf.DUMMYFUNCTION("""COMPUTED_VALUE"""),"saumitra.raj@zupee.in: - Strategy")</f>
        <v>saumitra.raj@zupee.in: - Strategy</v>
      </c>
      <c r="J1325" s="19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92"/>
      <c r="B1326" s="192"/>
      <c r="C1326" s="192"/>
      <c r="D1326" s="192"/>
      <c r="E1326" s="192"/>
      <c r="F1326" s="192"/>
      <c r="G1326" s="192" t="str">
        <f>IFERROR(__xludf.DUMMYFUNCTION("""COMPUTED_VALUE"""),"Sunny Shanker Anand")</f>
        <v>Sunny Shanker Anand</v>
      </c>
      <c r="H1326" s="192" t="str">
        <f>IFERROR(__xludf.DUMMYFUNCTION("""COMPUTED_VALUE"""),"sunny.anand@zupee.in")</f>
        <v>sunny.anand@zupee.in</v>
      </c>
      <c r="I1326" s="192" t="str">
        <f>IFERROR(__xludf.DUMMYFUNCTION("""COMPUTED_VALUE"""),"ravi.jha@zupee.in: - Public Policy")</f>
        <v>ravi.jha@zupee.in: - Public Policy</v>
      </c>
      <c r="J1326" s="19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92"/>
      <c r="B1327" s="192"/>
      <c r="C1327" s="192"/>
      <c r="D1327" s="192"/>
      <c r="E1327" s="192"/>
      <c r="F1327" s="192"/>
      <c r="G1327" s="192" t="str">
        <f>IFERROR(__xludf.DUMMYFUNCTION("""COMPUTED_VALUE"""),"Anmol Rawlani")</f>
        <v>Anmol Rawlani</v>
      </c>
      <c r="H1327" s="192" t="str">
        <f>IFERROR(__xludf.DUMMYFUNCTION("""COMPUTED_VALUE"""),"anmol.rawlani@zupee.in")</f>
        <v>anmol.rawlani@zupee.in</v>
      </c>
      <c r="I1327" s="192" t="str">
        <f>IFERROR(__xludf.DUMMYFUNCTION("""COMPUTED_VALUE"""),"katha.tara@zupee.in: - Brand Marketing")</f>
        <v>katha.tara@zupee.in: - Brand Marketing</v>
      </c>
      <c r="J1327" s="19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92"/>
      <c r="B1328" s="192"/>
      <c r="C1328" s="192"/>
      <c r="D1328" s="192"/>
      <c r="E1328" s="192"/>
      <c r="F1328" s="192"/>
      <c r="G1328" s="192" t="str">
        <f>IFERROR(__xludf.DUMMYFUNCTION("""COMPUTED_VALUE"""),"Joyce Dass")</f>
        <v>Joyce Dass</v>
      </c>
      <c r="H1328" s="192" t="str">
        <f>IFERROR(__xludf.DUMMYFUNCTION("""COMPUTED_VALUE"""),"joyce.dass@zupee.in")</f>
        <v>joyce.dass@zupee.in</v>
      </c>
      <c r="I1328" s="192" t="str">
        <f>IFERROR(__xludf.DUMMYFUNCTION("""COMPUTED_VALUE"""),"sanjeev.kumar@zupee.in: - Customer Experience")</f>
        <v>sanjeev.kumar@zupee.in: - Customer Experience</v>
      </c>
      <c r="J1328" s="19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92"/>
      <c r="B1329" s="192"/>
      <c r="C1329" s="192"/>
      <c r="D1329" s="192"/>
      <c r="E1329" s="192"/>
      <c r="F1329" s="192"/>
      <c r="G1329" s="192" t="str">
        <f>IFERROR(__xludf.DUMMYFUNCTION("""COMPUTED_VALUE"""),"Sumit Yadav")</f>
        <v>Sumit Yadav</v>
      </c>
      <c r="H1329" s="192" t="str">
        <f>IFERROR(__xludf.DUMMYFUNCTION("""COMPUTED_VALUE"""),"sumit.yadav@neoastro.com")</f>
        <v>sumit.yadav@neoastro.com</v>
      </c>
      <c r="I1329" s="192" t="str">
        <f>IFERROR(__xludf.DUMMYFUNCTION("""COMPUTED_VALUE"""),": - Customer Experience")</f>
        <v>: - Customer Experience</v>
      </c>
      <c r="J1329" s="19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92"/>
      <c r="B1330" s="192"/>
      <c r="C1330" s="192"/>
      <c r="D1330" s="192"/>
      <c r="E1330" s="192"/>
      <c r="F1330" s="192"/>
      <c r="G1330" s="192" t="str">
        <f>IFERROR(__xludf.DUMMYFUNCTION("""COMPUTED_VALUE"""),"Om Hari Mishra")</f>
        <v>Om Hari Mishra</v>
      </c>
      <c r="H1330" s="192" t="str">
        <f>IFERROR(__xludf.DUMMYFUNCTION("""COMPUTED_VALUE"""),"om.mishra@neoastro.com")</f>
        <v>om.mishra@neoastro.com</v>
      </c>
      <c r="I1330" s="192" t="str">
        <f>IFERROR(__xludf.DUMMYFUNCTION("""COMPUTED_VALUE"""),": - Customer Experience")</f>
        <v>: - Customer Experience</v>
      </c>
      <c r="J1330" s="19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92"/>
      <c r="B1331" s="192"/>
      <c r="C1331" s="192"/>
      <c r="D1331" s="192"/>
      <c r="E1331" s="192"/>
      <c r="F1331" s="192"/>
      <c r="G1331" s="192" t="str">
        <f>IFERROR(__xludf.DUMMYFUNCTION("""COMPUTED_VALUE"""),"Support")</f>
        <v>Support</v>
      </c>
      <c r="H1331" s="192" t="str">
        <f>IFERROR(__xludf.DUMMYFUNCTION("""COMPUTED_VALUE"""),"support@zupeestudio.com")</f>
        <v>support@zupeestudio.com</v>
      </c>
      <c r="I1331" s="192" t="str">
        <f>IFERROR(__xludf.DUMMYFUNCTION("""COMPUTED_VALUE"""),"mayank.jain@zupee.in: - Product")</f>
        <v>mayank.jain@zupee.in: - Product</v>
      </c>
      <c r="J1331" s="19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92"/>
      <c r="B1332" s="192"/>
      <c r="C1332" s="192"/>
      <c r="D1332" s="192"/>
      <c r="E1332" s="192"/>
      <c r="F1332" s="192"/>
      <c r="G1332" s="192" t="str">
        <f>IFERROR(__xludf.DUMMYFUNCTION("""COMPUTED_VALUE"""),"Grievances")</f>
        <v>Grievances</v>
      </c>
      <c r="H1332" s="192" t="str">
        <f>IFERROR(__xludf.DUMMYFUNCTION("""COMPUTED_VALUE"""),"grievances@zupeestudio.com")</f>
        <v>grievances@zupeestudio.com</v>
      </c>
      <c r="I1332" s="192" t="str">
        <f>IFERROR(__xludf.DUMMYFUNCTION("""COMPUTED_VALUE"""),"mayank.jain@zupee.in: - Product")</f>
        <v>mayank.jain@zupee.in: - Product</v>
      </c>
      <c r="J1332" s="19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92"/>
      <c r="B1333" s="192"/>
      <c r="C1333" s="192"/>
      <c r="D1333" s="192"/>
      <c r="E1333" s="192"/>
      <c r="F1333" s="192"/>
      <c r="G1333" s="192" t="str">
        <f>IFERROR(__xludf.DUMMYFUNCTION("""COMPUTED_VALUE"""),"Nodal")</f>
        <v>Nodal</v>
      </c>
      <c r="H1333" s="192" t="str">
        <f>IFERROR(__xludf.DUMMYFUNCTION("""COMPUTED_VALUE"""),"nodal@zupeestudio.com")</f>
        <v>nodal@zupeestudio.com</v>
      </c>
      <c r="I1333" s="192" t="str">
        <f>IFERROR(__xludf.DUMMYFUNCTION("""COMPUTED_VALUE"""),"mayank.jain@zupee.in: - Product")</f>
        <v>mayank.jain@zupee.in: - Product</v>
      </c>
      <c r="J1333" s="19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92"/>
      <c r="B1334" s="192"/>
      <c r="C1334" s="192"/>
      <c r="D1334" s="192"/>
      <c r="E1334" s="192"/>
      <c r="F1334" s="192"/>
      <c r="G1334" s="192" t="str">
        <f>IFERROR(__xludf.DUMMYFUNCTION("""COMPUTED_VALUE"""),"Mukesh Singh")</f>
        <v>Mukesh Singh</v>
      </c>
      <c r="H1334" s="192" t="str">
        <f>IFERROR(__xludf.DUMMYFUNCTION("""COMPUTED_VALUE"""),"mukesh.singh@neoastro.com")</f>
        <v>mukesh.singh@neoastro.com</v>
      </c>
      <c r="I1334" s="192" t="str">
        <f>IFERROR(__xludf.DUMMYFUNCTION("""COMPUTED_VALUE"""),": - Customer Experience")</f>
        <v>: - Customer Experience</v>
      </c>
      <c r="J1334" s="19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92"/>
      <c r="B1335" s="192"/>
      <c r="C1335" s="192"/>
      <c r="D1335" s="192"/>
      <c r="E1335" s="192"/>
      <c r="F1335" s="192"/>
      <c r="G1335" s="192" t="str">
        <f>IFERROR(__xludf.DUMMYFUNCTION("""COMPUTED_VALUE"""),"Shubham Khan")</f>
        <v>Shubham Khan</v>
      </c>
      <c r="H1335" s="192" t="str">
        <f>IFERROR(__xludf.DUMMYFUNCTION("""COMPUTED_VALUE"""),"shubham.khan@zupee.in")</f>
        <v>shubham.khan@zupee.in</v>
      </c>
      <c r="I1335" s="192" t="str">
        <f>IFERROR(__xludf.DUMMYFUNCTION("""COMPUTED_VALUE"""),"katha.tara@zupee.in: - Brand Marketing")</f>
        <v>katha.tara@zupee.in: - Brand Marketing</v>
      </c>
      <c r="J1335" s="19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92"/>
      <c r="B1336" s="192"/>
      <c r="C1336" s="192"/>
      <c r="D1336" s="192"/>
      <c r="E1336" s="192"/>
      <c r="F1336" s="192"/>
      <c r="G1336" s="192" t="str">
        <f>IFERROR(__xludf.DUMMYFUNCTION("""COMPUTED_VALUE"""),"Consultant 1")</f>
        <v>Consultant 1</v>
      </c>
      <c r="H1336" s="192" t="str">
        <f>IFERROR(__xludf.DUMMYFUNCTION("""COMPUTED_VALUE"""),"consultant.1@zupee.in")</f>
        <v>consultant.1@zupee.in</v>
      </c>
      <c r="I1336" s="192" t="str">
        <f>IFERROR(__xludf.DUMMYFUNCTION("""COMPUTED_VALUE"""),"mukul.chaudhary@zupee.in: - Digital Marketing")</f>
        <v>mukul.chaudhary@zupee.in: - Digital Marketing</v>
      </c>
      <c r="J1336" s="19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92"/>
      <c r="B1337" s="192"/>
      <c r="C1337" s="192"/>
      <c r="D1337" s="192"/>
      <c r="E1337" s="192"/>
      <c r="F1337" s="192"/>
      <c r="G1337" s="192" t="str">
        <f>IFERROR(__xludf.DUMMYFUNCTION("""COMPUTED_VALUE"""),"Consultant 2")</f>
        <v>Consultant 2</v>
      </c>
      <c r="H1337" s="192" t="str">
        <f>IFERROR(__xludf.DUMMYFUNCTION("""COMPUTED_VALUE"""),"consultant.2@zupee.in")</f>
        <v>consultant.2@zupee.in</v>
      </c>
      <c r="I1337" s="192" t="str">
        <f>IFERROR(__xludf.DUMMYFUNCTION("""COMPUTED_VALUE"""),"mukul.chaudhary@zupee.in: - Digital Marketing")</f>
        <v>mukul.chaudhary@zupee.in: - Digital Marketing</v>
      </c>
      <c r="J1337" s="19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92"/>
      <c r="B1338" s="192"/>
      <c r="C1338" s="192"/>
      <c r="D1338" s="192"/>
      <c r="E1338" s="192"/>
      <c r="F1338" s="192"/>
      <c r="G1338" s="192" t="str">
        <f>IFERROR(__xludf.DUMMYFUNCTION("""COMPUTED_VALUE"""),"Consultant 3")</f>
        <v>Consultant 3</v>
      </c>
      <c r="H1338" s="192" t="str">
        <f>IFERROR(__xludf.DUMMYFUNCTION("""COMPUTED_VALUE"""),"consultant.3@zupee.in")</f>
        <v>consultant.3@zupee.in</v>
      </c>
      <c r="I1338" s="192" t="str">
        <f>IFERROR(__xludf.DUMMYFUNCTION("""COMPUTED_VALUE"""),"mukul.chaudhary@zupee.in: - Digital Marketing")</f>
        <v>mukul.chaudhary@zupee.in: - Digital Marketing</v>
      </c>
      <c r="J1338" s="19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92"/>
      <c r="B1339" s="192"/>
      <c r="C1339" s="192"/>
      <c r="D1339" s="192"/>
      <c r="E1339" s="192"/>
      <c r="F1339" s="192"/>
      <c r="G1339" s="192" t="str">
        <f>IFERROR(__xludf.DUMMYFUNCTION("""COMPUTED_VALUE"""),"Consultant 4")</f>
        <v>Consultant 4</v>
      </c>
      <c r="H1339" s="192" t="str">
        <f>IFERROR(__xludf.DUMMYFUNCTION("""COMPUTED_VALUE"""),"consultant.4@zupee.in")</f>
        <v>consultant.4@zupee.in</v>
      </c>
      <c r="I1339" s="192" t="str">
        <f>IFERROR(__xludf.DUMMYFUNCTION("""COMPUTED_VALUE"""),"mukul.chaudhary@zupee.in: - Digital Marketing")</f>
        <v>mukul.chaudhary@zupee.in: - Digital Marketing</v>
      </c>
      <c r="J1339" s="19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92"/>
      <c r="B1340" s="192"/>
      <c r="C1340" s="192"/>
      <c r="D1340" s="192"/>
      <c r="E1340" s="192"/>
      <c r="F1340" s="192"/>
      <c r="G1340" s="192" t="str">
        <f>IFERROR(__xludf.DUMMYFUNCTION("""COMPUTED_VALUE"""),"Tech Team")</f>
        <v>Tech Team</v>
      </c>
      <c r="H1340" s="192" t="str">
        <f>IFERROR(__xludf.DUMMYFUNCTION("""COMPUTED_VALUE"""),"tech@neoastro.com")</f>
        <v>tech@neoastro.com</v>
      </c>
      <c r="I1340" s="192" t="str">
        <f>IFERROR(__xludf.DUMMYFUNCTION("""COMPUTED_VALUE"""),": - Technology")</f>
        <v>: - Technology</v>
      </c>
      <c r="J1340" s="19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92"/>
      <c r="B1341" s="192"/>
      <c r="C1341" s="192"/>
      <c r="D1341" s="192"/>
      <c r="E1341" s="192"/>
      <c r="F1341" s="192"/>
      <c r="G1341" s="192" t="str">
        <f>IFERROR(__xludf.DUMMYFUNCTION("""COMPUTED_VALUE"""),"Support")</f>
        <v>Support</v>
      </c>
      <c r="H1341" s="192" t="str">
        <f>IFERROR(__xludf.DUMMYFUNCTION("""COMPUTED_VALUE"""),"support@zaplearn.com")</f>
        <v>support@zaplearn.com</v>
      </c>
      <c r="I1341" s="192" t="str">
        <f>IFERROR(__xludf.DUMMYFUNCTION("""COMPUTED_VALUE"""),"sumit.yadav@zupee.com: - Customer Experience")</f>
        <v>sumit.yadav@zupee.com: - Customer Experience</v>
      </c>
      <c r="J1341" s="19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92"/>
      <c r="B1342" s="192"/>
      <c r="C1342" s="192"/>
      <c r="D1342" s="192"/>
      <c r="E1342" s="192"/>
      <c r="F1342" s="192"/>
      <c r="G1342" s="192" t="str">
        <f>IFERROR(__xludf.DUMMYFUNCTION("""COMPUTED_VALUE"""),"Tech")</f>
        <v>Tech</v>
      </c>
      <c r="H1342" s="192" t="str">
        <f>IFERROR(__xludf.DUMMYFUNCTION("""COMPUTED_VALUE"""),"tech@zaplearn.com")</f>
        <v>tech@zaplearn.com</v>
      </c>
      <c r="I1342" s="192" t="str">
        <f>IFERROR(__xludf.DUMMYFUNCTION("""COMPUTED_VALUE"""),"raghav.bansal@zupee.in: - Product")</f>
        <v>raghav.bansal@zupee.in: - Product</v>
      </c>
      <c r="J1342" s="19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92"/>
      <c r="B1343" s="192"/>
      <c r="C1343" s="192"/>
      <c r="D1343" s="192"/>
      <c r="E1343" s="192"/>
      <c r="F1343" s="192"/>
      <c r="G1343" s="192" t="str">
        <f>IFERROR(__xludf.DUMMYFUNCTION("""COMPUTED_VALUE"""),"Grievances")</f>
        <v>Grievances</v>
      </c>
      <c r="H1343" s="192" t="str">
        <f>IFERROR(__xludf.DUMMYFUNCTION("""COMPUTED_VALUE"""),"grievances@zaplearn.com")</f>
        <v>grievances@zaplearn.com</v>
      </c>
      <c r="I1343" s="192" t="str">
        <f>IFERROR(__xludf.DUMMYFUNCTION("""COMPUTED_VALUE"""),"raghav.bansal@zupee.in: - Product")</f>
        <v>raghav.bansal@zupee.in: - Product</v>
      </c>
      <c r="J1343" s="19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92"/>
      <c r="B1344" s="192"/>
      <c r="C1344" s="192"/>
      <c r="D1344" s="192"/>
      <c r="E1344" s="192"/>
      <c r="F1344" s="192"/>
      <c r="G1344" s="192" t="str">
        <f>IFERROR(__xludf.DUMMYFUNCTION("""COMPUTED_VALUE"""),"Nodal")</f>
        <v>Nodal</v>
      </c>
      <c r="H1344" s="192" t="str">
        <f>IFERROR(__xludf.DUMMYFUNCTION("""COMPUTED_VALUE"""),"nodal@zaplearn.com")</f>
        <v>nodal@zaplearn.com</v>
      </c>
      <c r="I1344" s="192" t="str">
        <f>IFERROR(__xludf.DUMMYFUNCTION("""COMPUTED_VALUE"""),"raghav.bansal@zupee.in: - Product")</f>
        <v>raghav.bansal@zupee.in: - Product</v>
      </c>
      <c r="J1344" s="19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92"/>
      <c r="B1345" s="192"/>
      <c r="C1345" s="192"/>
      <c r="D1345" s="192"/>
      <c r="E1345" s="192"/>
      <c r="F1345" s="192"/>
      <c r="G1345" s="192" t="str">
        <f>IFERROR(__xludf.DUMMYFUNCTION("""COMPUTED_VALUE"""),"Avinash Kumar")</f>
        <v>Avinash Kumar</v>
      </c>
      <c r="H1345" s="192" t="str">
        <f>IFERROR(__xludf.DUMMYFUNCTION("""COMPUTED_VALUE"""),"avinash.kumar@zupee.in")</f>
        <v>avinash.kumar@zupee.in</v>
      </c>
      <c r="I1345" s="192" t="str">
        <f>IFERROR(__xludf.DUMMYFUNCTION("""COMPUTED_VALUE"""),"katha.tara@zupee.in: - Brand Marketing")</f>
        <v>katha.tara@zupee.in: - Brand Marketing</v>
      </c>
      <c r="J1345" s="19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92"/>
      <c r="B1346" s="192"/>
      <c r="C1346" s="192"/>
      <c r="D1346" s="192"/>
      <c r="E1346" s="192"/>
      <c r="F1346" s="192"/>
      <c r="G1346" s="192" t="str">
        <f>IFERROR(__xludf.DUMMYFUNCTION("""COMPUTED_VALUE"""),"Amrit Raj Jha")</f>
        <v>Amrit Raj Jha</v>
      </c>
      <c r="H1346" s="192" t="str">
        <f>IFERROR(__xludf.DUMMYFUNCTION("""COMPUTED_VALUE"""),"amritraj.jha@zupee.in")</f>
        <v>amritraj.jha@zupee.in</v>
      </c>
      <c r="I1346" s="192" t="str">
        <f>IFERROR(__xludf.DUMMYFUNCTION("""COMPUTED_VALUE"""),"katha.tara@zupee.in: - Brand Marketing")</f>
        <v>katha.tara@zupee.in: - Brand Marketing</v>
      </c>
      <c r="J1346" s="19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92"/>
      <c r="B1347" s="192"/>
      <c r="C1347" s="192"/>
      <c r="D1347" s="192"/>
      <c r="E1347" s="192"/>
      <c r="F1347" s="192"/>
      <c r="G1347" s="192" t="str">
        <f>IFERROR(__xludf.DUMMYFUNCTION("""COMPUTED_VALUE"""),"Chiragkumar Savjibhai Sabhadiya")</f>
        <v>Chiragkumar Savjibhai Sabhadiya</v>
      </c>
      <c r="H1347" s="192" t="str">
        <f>IFERROR(__xludf.DUMMYFUNCTION("""COMPUTED_VALUE"""),"chirag.sabhadiya@zupee.in")</f>
        <v>chirag.sabhadiya@zupee.in</v>
      </c>
      <c r="I1347" s="192" t="str">
        <f>IFERROR(__xludf.DUMMYFUNCTION("""COMPUTED_VALUE"""),"saumitra.raj@zupee.in: - Strategy")</f>
        <v>saumitra.raj@zupee.in: - Strategy</v>
      </c>
      <c r="J1347" s="19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92"/>
      <c r="B1348" s="192"/>
      <c r="C1348" s="192"/>
      <c r="D1348" s="192"/>
      <c r="E1348" s="192"/>
      <c r="F1348" s="192"/>
      <c r="G1348" s="192" t="str">
        <f>IFERROR(__xludf.DUMMYFUNCTION("""COMPUTED_VALUE"""),"Admin Neoastro")</f>
        <v>Admin Neoastro</v>
      </c>
      <c r="H1348" s="192" t="str">
        <f>IFERROR(__xludf.DUMMYFUNCTION("""COMPUTED_VALUE"""),"admin_neoastro@zupee.in")</f>
        <v>admin_neoastro@zupee.in</v>
      </c>
      <c r="I1348" s="192" t="str">
        <f>IFERROR(__xludf.DUMMYFUNCTION("""COMPUTED_VALUE"""),": - Finance")</f>
        <v>: - Finance</v>
      </c>
      <c r="J1348" s="19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92"/>
      <c r="B1349" s="192"/>
      <c r="C1349" s="192"/>
      <c r="D1349" s="192"/>
      <c r="E1349" s="192"/>
      <c r="F1349" s="192"/>
      <c r="G1349" s="192" t="str">
        <f>IFERROR(__xludf.DUMMYFUNCTION("""COMPUTED_VALUE"""),"Admin Vedicsankalp")</f>
        <v>Admin Vedicsankalp</v>
      </c>
      <c r="H1349" s="192" t="str">
        <f>IFERROR(__xludf.DUMMYFUNCTION("""COMPUTED_VALUE"""),"admin_vedicsankalp@zupee.in")</f>
        <v>admin_vedicsankalp@zupee.in</v>
      </c>
      <c r="I1349" s="192" t="str">
        <f>IFERROR(__xludf.DUMMYFUNCTION("""COMPUTED_VALUE"""),": - Finance")</f>
        <v>: - Finance</v>
      </c>
      <c r="J1349" s="19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92"/>
      <c r="B1350" s="192"/>
      <c r="C1350" s="192"/>
      <c r="D1350" s="192"/>
      <c r="E1350" s="192"/>
      <c r="F1350" s="192"/>
      <c r="G1350" s="192" t="str">
        <f>IFERROR(__xludf.DUMMYFUNCTION("""COMPUTED_VALUE"""),"Admin Zupeestudio")</f>
        <v>Admin Zupeestudio</v>
      </c>
      <c r="H1350" s="192" t="str">
        <f>IFERROR(__xludf.DUMMYFUNCTION("""COMPUTED_VALUE"""),"admin_zupeestudio@zupee.in")</f>
        <v>admin_zupeestudio@zupee.in</v>
      </c>
      <c r="I1350" s="192" t="str">
        <f>IFERROR(__xludf.DUMMYFUNCTION("""COMPUTED_VALUE"""),": - Finance")</f>
        <v>: - Finance</v>
      </c>
      <c r="J1350" s="19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92"/>
      <c r="B1351" s="192"/>
      <c r="C1351" s="192"/>
      <c r="D1351" s="192"/>
      <c r="E1351" s="192"/>
      <c r="F1351" s="192"/>
      <c r="G1351" s="192" t="str">
        <f>IFERROR(__xludf.DUMMYFUNCTION("""COMPUTED_VALUE"""),"Admin Zaplearn")</f>
        <v>Admin Zaplearn</v>
      </c>
      <c r="H1351" s="192" t="str">
        <f>IFERROR(__xludf.DUMMYFUNCTION("""COMPUTED_VALUE"""),"admin_zaplearn@zupee.in")</f>
        <v>admin_zaplearn@zupee.in</v>
      </c>
      <c r="I1351" s="192" t="str">
        <f>IFERROR(__xludf.DUMMYFUNCTION("""COMPUTED_VALUE"""),": - Finance")</f>
        <v>: - Finance</v>
      </c>
      <c r="J1351" s="19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92"/>
      <c r="B1352" s="192"/>
      <c r="C1352" s="192"/>
      <c r="D1352" s="192"/>
      <c r="E1352" s="192"/>
      <c r="F1352" s="192"/>
      <c r="G1352" s="192" t="str">
        <f>IFERROR(__xludf.DUMMYFUNCTION("""COMPUTED_VALUE"""),"Gaurav Mishra")</f>
        <v>Gaurav Mishra</v>
      </c>
      <c r="H1352" s="192" t="str">
        <f>IFERROR(__xludf.DUMMYFUNCTION("""COMPUTED_VALUE"""),"gaurav.mishra@zupee.in")</f>
        <v>gaurav.mishra@zupee.in</v>
      </c>
      <c r="I1352" s="192" t="str">
        <f>IFERROR(__xludf.DUMMYFUNCTION("""COMPUTED_VALUE"""),"katha.tara@zupee.in: - Brand Marketing")</f>
        <v>katha.tara@zupee.in: - Brand Marketing</v>
      </c>
      <c r="J1352" s="19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92"/>
      <c r="B1353" s="192"/>
      <c r="C1353" s="192"/>
      <c r="D1353" s="192"/>
      <c r="E1353" s="192"/>
      <c r="F1353" s="192"/>
      <c r="G1353" s="192" t="str">
        <f>IFERROR(__xludf.DUMMYFUNCTION("""COMPUTED_VALUE"""),"Nivedita Sharma")</f>
        <v>Nivedita Sharma</v>
      </c>
      <c r="H1353" s="192" t="str">
        <f>IFERROR(__xludf.DUMMYFUNCTION("""COMPUTED_VALUE"""),"nivedita.sharma@zupee.in")</f>
        <v>nivedita.sharma@zupee.in</v>
      </c>
      <c r="I1353" s="192" t="str">
        <f>IFERROR(__xludf.DUMMYFUNCTION("""COMPUTED_VALUE"""),"katha.tara@zupee.in: - Brand Marketing")</f>
        <v>katha.tara@zupee.in: - Brand Marketing</v>
      </c>
      <c r="J1353" s="19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92"/>
      <c r="B1354" s="192"/>
      <c r="C1354" s="192"/>
      <c r="D1354" s="192"/>
      <c r="E1354" s="192"/>
      <c r="F1354" s="192"/>
      <c r="G1354" s="192" t="str">
        <f>IFERROR(__xludf.DUMMYFUNCTION("""COMPUTED_VALUE"""),"Strategy Growth &amp; Revenue")</f>
        <v>Strategy Growth &amp; Revenue</v>
      </c>
      <c r="H1354" s="192" t="str">
        <f>IFERROR(__xludf.DUMMYFUNCTION("""COMPUTED_VALUE"""),"strategy@zupee.in")</f>
        <v>strategy@zupee.in</v>
      </c>
      <c r="I1354" s="192" t="str">
        <f>IFERROR(__xludf.DUMMYFUNCTION("""COMPUTED_VALUE"""),": - Strategy")</f>
        <v>: - Strategy</v>
      </c>
      <c r="J1354" s="19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92"/>
      <c r="B1355" s="192"/>
      <c r="C1355" s="192"/>
      <c r="D1355" s="192"/>
      <c r="E1355" s="192"/>
      <c r="F1355" s="192"/>
      <c r="G1355" s="192" t="str">
        <f>IFERROR(__xludf.DUMMYFUNCTION("""COMPUTED_VALUE"""),"Shriya Sarda")</f>
        <v>Shriya Sarda</v>
      </c>
      <c r="H1355" s="192" t="str">
        <f>IFERROR(__xludf.DUMMYFUNCTION("""COMPUTED_VALUE"""),"shriya.sarda@zupee.in")</f>
        <v>shriya.sarda@zupee.in</v>
      </c>
      <c r="I1355" s="192" t="str">
        <f>IFERROR(__xludf.DUMMYFUNCTION("""COMPUTED_VALUE"""),"chirag.sabhadiya@zupee.in: - Strategy")</f>
        <v>chirag.sabhadiya@zupee.in: - Strategy</v>
      </c>
      <c r="J1355" s="19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92"/>
      <c r="B1356" s="192"/>
      <c r="C1356" s="192"/>
      <c r="D1356" s="192"/>
      <c r="E1356" s="192"/>
      <c r="F1356" s="192"/>
      <c r="G1356" s="192" t="str">
        <f>IFERROR(__xludf.DUMMYFUNCTION("""COMPUTED_VALUE"""),"Data Science Micro Drama")</f>
        <v>Data Science Micro Drama</v>
      </c>
      <c r="H1356" s="192" t="str">
        <f>IFERROR(__xludf.DUMMYFUNCTION("""COMPUTED_VALUE"""),"data-science-micro-drama-auth@zupee.in")</f>
        <v>data-science-micro-drama-auth@zupee.in</v>
      </c>
      <c r="I1356" s="192" t="str">
        <f>IFERROR(__xludf.DUMMYFUNCTION("""COMPUTED_VALUE"""),"amogh.babbar@zupee.in: - Data")</f>
        <v>amogh.babbar@zupee.in: - Data</v>
      </c>
      <c r="J1356" s="19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92"/>
      <c r="B1357" s="192"/>
      <c r="C1357" s="192"/>
      <c r="D1357" s="192"/>
      <c r="E1357" s="192"/>
      <c r="F1357" s="192"/>
      <c r="G1357" s="192" t="str">
        <f>IFERROR(__xludf.DUMMYFUNCTION("""COMPUTED_VALUE"""),"Rishabh Pratap Singh")</f>
        <v>Rishabh Pratap Singh</v>
      </c>
      <c r="H1357" s="192" t="str">
        <f>IFERROR(__xludf.DUMMYFUNCTION("""COMPUTED_VALUE"""),"rishabhpratap.singh@zupee.in")</f>
        <v>rishabhpratap.singh@zupee.in</v>
      </c>
      <c r="I1357" s="192" t="str">
        <f>IFERROR(__xludf.DUMMYFUNCTION("""COMPUTED_VALUE"""),"abhishek.srivastava@zupee.in: - Product Design")</f>
        <v>abhishek.srivastava@zupee.in: - Product Design</v>
      </c>
      <c r="J1357" s="19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92"/>
      <c r="B1358" s="192"/>
      <c r="C1358" s="192"/>
      <c r="D1358" s="192"/>
      <c r="E1358" s="192"/>
      <c r="F1358" s="192"/>
      <c r="G1358" s="192" t="str">
        <f>IFERROR(__xludf.DUMMYFUNCTION("""COMPUTED_VALUE"""),"Akshay S Poddar")</f>
        <v>Akshay S Poddar</v>
      </c>
      <c r="H1358" s="192" t="str">
        <f>IFERROR(__xludf.DUMMYFUNCTION("""COMPUTED_VALUE"""),"akshay.poddar@zupee.in")</f>
        <v>akshay.poddar@zupee.in</v>
      </c>
      <c r="I1358" s="192" t="str">
        <f>IFERROR(__xludf.DUMMYFUNCTION("""COMPUTED_VALUE"""),"katha.tara@zupee.in: - Brand Marketing")</f>
        <v>katha.tara@zupee.in: - Brand Marketing</v>
      </c>
      <c r="J1358" s="19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92"/>
      <c r="B1359" s="192"/>
      <c r="C1359" s="192"/>
      <c r="D1359" s="192"/>
      <c r="E1359" s="192"/>
      <c r="F1359" s="192"/>
      <c r="G1359" s="192" t="str">
        <f>IFERROR(__xludf.DUMMYFUNCTION("""COMPUTED_VALUE"""),"Z Tech")</f>
        <v>Z Tech</v>
      </c>
      <c r="H1359" s="192" t="str">
        <f>IFERROR(__xludf.DUMMYFUNCTION("""COMPUTED_VALUE"""),"ztech@zupee.in")</f>
        <v>ztech@zupee.in</v>
      </c>
      <c r="I1359" s="192" t="str">
        <f>IFERROR(__xludf.DUMMYFUNCTION("""COMPUTED_VALUE"""),"shivam.sharma@zupee.in: - Technology")</f>
        <v>shivam.sharma@zupee.in: - Technology</v>
      </c>
      <c r="J1359" s="19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92"/>
      <c r="B1360" s="192"/>
      <c r="C1360" s="192"/>
      <c r="D1360" s="192"/>
      <c r="E1360" s="192"/>
      <c r="F1360" s="192"/>
      <c r="G1360" s="192" t="str">
        <f>IFERROR(__xludf.DUMMYFUNCTION("""COMPUTED_VALUE"""),"Neoastro Team")</f>
        <v>Neoastro Team</v>
      </c>
      <c r="H1360" s="192" t="str">
        <f>IFERROR(__xludf.DUMMYFUNCTION("""COMPUTED_VALUE"""),"neoastro@zupee.in")</f>
        <v>neoastro@zupee.in</v>
      </c>
      <c r="I1360" s="192" t="str">
        <f>IFERROR(__xludf.DUMMYFUNCTION("""COMPUTED_VALUE"""),": - Brand Marketing")</f>
        <v>: - Brand Marketing</v>
      </c>
      <c r="J1360" s="19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92"/>
      <c r="B1361" s="192"/>
      <c r="C1361" s="192"/>
      <c r="D1361" s="192"/>
      <c r="E1361" s="192"/>
      <c r="F1361" s="192"/>
      <c r="G1361" s="192" t="str">
        <f>IFERROR(__xludf.DUMMYFUNCTION("""COMPUTED_VALUE"""),"Superlearn Team")</f>
        <v>Superlearn Team</v>
      </c>
      <c r="H1361" s="192" t="str">
        <f>IFERROR(__xludf.DUMMYFUNCTION("""COMPUTED_VALUE"""),"superlearn@zupee.in")</f>
        <v>superlearn@zupee.in</v>
      </c>
      <c r="I1361" s="192" t="str">
        <f>IFERROR(__xludf.DUMMYFUNCTION("""COMPUTED_VALUE"""),": - Brand Marketing")</f>
        <v>: - Brand Marketing</v>
      </c>
      <c r="J1361" s="19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92"/>
      <c r="B1362" s="192"/>
      <c r="C1362" s="192"/>
      <c r="D1362" s="192"/>
      <c r="E1362" s="192"/>
      <c r="F1362" s="192"/>
      <c r="G1362" s="192" t="str">
        <f>IFERROR(__xludf.DUMMYFUNCTION("""COMPUTED_VALUE"""),"Zupeestudio Team")</f>
        <v>Zupeestudio Team</v>
      </c>
      <c r="H1362" s="192" t="str">
        <f>IFERROR(__xludf.DUMMYFUNCTION("""COMPUTED_VALUE"""),"zupeestudio@zupee.in")</f>
        <v>zupeestudio@zupee.in</v>
      </c>
      <c r="I1362" s="192" t="str">
        <f>IFERROR(__xludf.DUMMYFUNCTION("""COMPUTED_VALUE"""),": - Brand Marketing")</f>
        <v>: - Brand Marketing</v>
      </c>
      <c r="J1362" s="19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92"/>
      <c r="B1363" s="192"/>
      <c r="C1363" s="192"/>
      <c r="D1363" s="192"/>
      <c r="E1363" s="192"/>
      <c r="F1363" s="192"/>
      <c r="G1363" s="192" t="str">
        <f>IFERROR(__xludf.DUMMYFUNCTION("""COMPUTED_VALUE"""),"Tina Khurana")</f>
        <v>Tina Khurana</v>
      </c>
      <c r="H1363" s="192" t="str">
        <f>IFERROR(__xludf.DUMMYFUNCTION("""COMPUTED_VALUE"""),"tina.khurana@zupee.in")</f>
        <v>tina.khurana@zupee.in</v>
      </c>
      <c r="I1363" s="192" t="str">
        <f>IFERROR(__xludf.DUMMYFUNCTION("""COMPUTED_VALUE"""),"Katha.tara@zupee.in: - Brand Marketing")</f>
        <v>Katha.tara@zupee.in: - Brand Marketing</v>
      </c>
      <c r="J1363" s="19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92"/>
      <c r="B1364" s="192"/>
      <c r="C1364" s="192"/>
      <c r="D1364" s="192"/>
      <c r="E1364" s="192"/>
      <c r="F1364" s="192"/>
      <c r="G1364" s="192" t="str">
        <f>IFERROR(__xludf.DUMMYFUNCTION("""COMPUTED_VALUE"""),"Lovenith S Rampure")</f>
        <v>Lovenith S Rampure</v>
      </c>
      <c r="H1364" s="192" t="str">
        <f>IFERROR(__xludf.DUMMYFUNCTION("""COMPUTED_VALUE"""),"lovenith.rampure@zupee.in")</f>
        <v>lovenith.rampure@zupee.in</v>
      </c>
      <c r="I1364" s="192" t="str">
        <f>IFERROR(__xludf.DUMMYFUNCTION("""COMPUTED_VALUE"""),"katha.tara@zupee.in: - Brand Marketing")</f>
        <v>katha.tara@zupee.in: - Brand Marketing</v>
      </c>
      <c r="J1364" s="19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92"/>
      <c r="B1365" s="192"/>
      <c r="C1365" s="192"/>
      <c r="D1365" s="192"/>
      <c r="E1365" s="192"/>
      <c r="F1365" s="192"/>
      <c r="G1365" s="192" t="str">
        <f>IFERROR(__xludf.DUMMYFUNCTION("""COMPUTED_VALUE"""),"Aman Chhabra")</f>
        <v>Aman Chhabra</v>
      </c>
      <c r="H1365" s="192" t="str">
        <f>IFERROR(__xludf.DUMMYFUNCTION("""COMPUTED_VALUE"""),"aman.chhabra@neoastro.com")</f>
        <v>aman.chhabra@neoastro.com</v>
      </c>
      <c r="I1365" s="192" t="str">
        <f>IFERROR(__xludf.DUMMYFUNCTION("""COMPUTED_VALUE"""),": - Customer Experience")</f>
        <v>: - Customer Experience</v>
      </c>
      <c r="J1365" s="19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92"/>
      <c r="B1366" s="192"/>
      <c r="C1366" s="192"/>
      <c r="D1366" s="192"/>
      <c r="E1366" s="192"/>
      <c r="F1366" s="192"/>
      <c r="G1366" s="192" t="str">
        <f>IFERROR(__xludf.DUMMYFUNCTION("""COMPUTED_VALUE"""),"Astrologer Team")</f>
        <v>Astrologer Team</v>
      </c>
      <c r="H1366" s="192" t="str">
        <f>IFERROR(__xludf.DUMMYFUNCTION("""COMPUTED_VALUE"""),"astrologer@neoastro.com")</f>
        <v>astrologer@neoastro.com</v>
      </c>
      <c r="I1366" s="192" t="str">
        <f>IFERROR(__xludf.DUMMYFUNCTION("""COMPUTED_VALUE"""),": - Customer Experience")</f>
        <v>: - Customer Experience</v>
      </c>
      <c r="J1366" s="19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92"/>
      <c r="B1367" s="192"/>
      <c r="C1367" s="192"/>
      <c r="D1367" s="192"/>
      <c r="E1367" s="192"/>
      <c r="F1367" s="192"/>
      <c r="G1367" s="192" t="str">
        <f>IFERROR(__xludf.DUMMYFUNCTION("""COMPUTED_VALUE"""),"Reshma Shikalgar")</f>
        <v>Reshma Shikalgar</v>
      </c>
      <c r="H1367" s="192" t="str">
        <f>IFERROR(__xludf.DUMMYFUNCTION("""COMPUTED_VALUE"""),"reshma.shikalgar@zupee.in")</f>
        <v>reshma.shikalgar@zupee.in</v>
      </c>
      <c r="I1367" s="192" t="str">
        <f>IFERROR(__xludf.DUMMYFUNCTION("""COMPUTED_VALUE"""),"chirag.sabhadiya@zupee.in: - Strategy")</f>
        <v>chirag.sabhadiya@zupee.in: - Strategy</v>
      </c>
      <c r="J1367" s="19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92"/>
      <c r="B1368" s="192"/>
      <c r="C1368" s="192"/>
      <c r="D1368" s="192"/>
      <c r="E1368" s="192"/>
      <c r="F1368" s="192"/>
      <c r="G1368" s="192" t="str">
        <f>IFERROR(__xludf.DUMMYFUNCTION("""COMPUTED_VALUE"""),"Rohit Upadhyay")</f>
        <v>Rohit Upadhyay</v>
      </c>
      <c r="H1368" s="192" t="str">
        <f>IFERROR(__xludf.DUMMYFUNCTION("""COMPUTED_VALUE"""),"rohit.upadhyay@zupee.in")</f>
        <v>rohit.upadhyay@zupee.in</v>
      </c>
      <c r="I1368" s="192" t="str">
        <f>IFERROR(__xludf.DUMMYFUNCTION("""COMPUTED_VALUE"""),"katha.tara@zupee.in: - Brand Marketing")</f>
        <v>katha.tara@zupee.in: - Brand Marketing</v>
      </c>
      <c r="J1368" s="19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92"/>
      <c r="B1369" s="192"/>
      <c r="C1369" s="192"/>
      <c r="D1369" s="192"/>
      <c r="E1369" s="192"/>
      <c r="F1369" s="192"/>
      <c r="G1369" s="192" t="str">
        <f>IFERROR(__xludf.DUMMYFUNCTION("""COMPUTED_VALUE"""),"Nilushanan Kulasingham")</f>
        <v>Nilushanan Kulasingham</v>
      </c>
      <c r="H1369" s="192" t="str">
        <f>IFERROR(__xludf.DUMMYFUNCTION("""COMPUTED_VALUE"""),"nilushanan.kulasingham@zupee.in")</f>
        <v>nilushanan.kulasingham@zupee.in</v>
      </c>
      <c r="I1369" s="192" t="str">
        <f>IFERROR(__xludf.DUMMYFUNCTION("""COMPUTED_VALUE"""),": - ")</f>
        <v>: - </v>
      </c>
      <c r="J1369" s="19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92"/>
      <c r="B1370" s="192"/>
      <c r="C1370" s="192"/>
      <c r="D1370" s="192"/>
      <c r="E1370" s="192"/>
      <c r="F1370" s="192"/>
      <c r="G1370" s="192" t="str">
        <f>IFERROR(__xludf.DUMMYFUNCTION("""COMPUTED_VALUE"""),"Brijesh Trivedi")</f>
        <v>Brijesh Trivedi</v>
      </c>
      <c r="H1370" s="192" t="str">
        <f>IFERROR(__xludf.DUMMYFUNCTION("""COMPUTED_VALUE"""),"brijesh.trivedi@zupee.in")</f>
        <v>brijesh.trivedi@zupee.in</v>
      </c>
      <c r="I1370" s="192" t="str">
        <f>IFERROR(__xludf.DUMMYFUNCTION("""COMPUTED_VALUE"""),": - ")</f>
        <v>: - </v>
      </c>
      <c r="J1370" s="19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92"/>
      <c r="B1371" s="192"/>
      <c r="C1371" s="192"/>
      <c r="D1371" s="192"/>
      <c r="E1371" s="192"/>
      <c r="F1371" s="192"/>
      <c r="G1371" s="192" t="str">
        <f>IFERROR(__xludf.DUMMYFUNCTION("""COMPUTED_VALUE"""),"Mohit Paliwal")</f>
        <v>Mohit Paliwal</v>
      </c>
      <c r="H1371" s="192" t="str">
        <f>IFERROR(__xludf.DUMMYFUNCTION("""COMPUTED_VALUE"""),"mohit.paliwal@zupee.in")</f>
        <v>mohit.paliwal@zupee.in</v>
      </c>
      <c r="I1371" s="192" t="str">
        <f>IFERROR(__xludf.DUMMYFUNCTION("""COMPUTED_VALUE"""),": - Vertical Tv")</f>
        <v>: - Vertical Tv</v>
      </c>
      <c r="J1371" s="19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92"/>
      <c r="B1372" s="192"/>
      <c r="C1372" s="192"/>
      <c r="D1372" s="192"/>
      <c r="E1372" s="192"/>
      <c r="F1372" s="192"/>
      <c r="G1372" s="192" t="str">
        <f>IFERROR(__xludf.DUMMYFUNCTION("""COMPUTED_VALUE"""),"Mohit Goswami")</f>
        <v>Mohit Goswami</v>
      </c>
      <c r="H1372" s="192" t="str">
        <f>IFERROR(__xludf.DUMMYFUNCTION("""COMPUTED_VALUE"""),"mohit@zupee.in")</f>
        <v>mohit@zupee.in</v>
      </c>
      <c r="I1372" s="192" t="str">
        <f>IFERROR(__xludf.DUMMYFUNCTION("""COMPUTED_VALUE"""),": - Vertical Tv")</f>
        <v>: - Vertical Tv</v>
      </c>
      <c r="J1372" s="19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92"/>
      <c r="B1373" s="192"/>
      <c r="C1373" s="192"/>
      <c r="D1373" s="192"/>
      <c r="E1373" s="192"/>
      <c r="F1373" s="192"/>
      <c r="G1373" s="192" t="str">
        <f>IFERROR(__xludf.DUMMYFUNCTION("""COMPUTED_VALUE"""),"Aditya Rai")</f>
        <v>Aditya Rai</v>
      </c>
      <c r="H1373" s="192" t="str">
        <f>IFERROR(__xludf.DUMMYFUNCTION("""COMPUTED_VALUE"""),"aditya.rai1@zupee.in")</f>
        <v>aditya.rai1@zupee.in</v>
      </c>
      <c r="I1373" s="192" t="str">
        <f>IFERROR(__xludf.DUMMYFUNCTION("""COMPUTED_VALUE"""),": - Vertical Tv")</f>
        <v>: - Vertical Tv</v>
      </c>
      <c r="J1373" s="19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92"/>
      <c r="B1374" s="192"/>
      <c r="C1374" s="192"/>
      <c r="D1374" s="192"/>
      <c r="E1374" s="192"/>
      <c r="F1374" s="192"/>
      <c r="G1374" s="192" t="str">
        <f>IFERROR(__xludf.DUMMYFUNCTION("""COMPUTED_VALUE"""),"Ravi Pradhan")</f>
        <v>Ravi Pradhan</v>
      </c>
      <c r="H1374" s="192" t="str">
        <f>IFERROR(__xludf.DUMMYFUNCTION("""COMPUTED_VALUE"""),"ravi.pradhan@zupee.in")</f>
        <v>ravi.pradhan@zupee.in</v>
      </c>
      <c r="I1374" s="192" t="str">
        <f>IFERROR(__xludf.DUMMYFUNCTION("""COMPUTED_VALUE"""),": - Vertical Tv")</f>
        <v>: - Vertical Tv</v>
      </c>
      <c r="J1374" s="19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92"/>
      <c r="B1375" s="192"/>
      <c r="C1375" s="192"/>
      <c r="D1375" s="192"/>
      <c r="E1375" s="192"/>
      <c r="F1375" s="192"/>
      <c r="G1375" s="192" t="str">
        <f>IFERROR(__xludf.DUMMYFUNCTION("""COMPUTED_VALUE"""),"Vengadesan Devagourou")</f>
        <v>Vengadesan Devagourou</v>
      </c>
      <c r="H1375" s="192" t="str">
        <f>IFERROR(__xludf.DUMMYFUNCTION("""COMPUTED_VALUE"""),"vengadesan.devagourou@zupee.in")</f>
        <v>vengadesan.devagourou@zupee.in</v>
      </c>
      <c r="I1375" s="192" t="str">
        <f>IFERROR(__xludf.DUMMYFUNCTION("""COMPUTED_VALUE"""),": - Vertical Tv")</f>
        <v>: - Vertical Tv</v>
      </c>
      <c r="J1375" s="19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92"/>
      <c r="B1376" s="192"/>
      <c r="C1376" s="192"/>
      <c r="D1376" s="192"/>
      <c r="E1376" s="192"/>
      <c r="F1376" s="192"/>
      <c r="G1376" s="192" t="str">
        <f>IFERROR(__xludf.DUMMYFUNCTION("""COMPUTED_VALUE"""),"Anup Thanvi")</f>
        <v>Anup Thanvi</v>
      </c>
      <c r="H1376" s="192" t="str">
        <f>IFERROR(__xludf.DUMMYFUNCTION("""COMPUTED_VALUE"""),"anup.thanvi@zupee.in")</f>
        <v>anup.thanvi@zupee.in</v>
      </c>
      <c r="I1376" s="192" t="str">
        <f>IFERROR(__xludf.DUMMYFUNCTION("""COMPUTED_VALUE"""),": - Vertical Tv")</f>
        <v>: - Vertical Tv</v>
      </c>
      <c r="J1376" s="19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92"/>
      <c r="B1377" s="192"/>
      <c r="C1377" s="192"/>
      <c r="D1377" s="192"/>
      <c r="E1377" s="192"/>
      <c r="F1377" s="192"/>
      <c r="G1377" s="192" t="str">
        <f>IFERROR(__xludf.DUMMYFUNCTION("""COMPUTED_VALUE"""),"Maimoona Shafique")</f>
        <v>Maimoona Shafique</v>
      </c>
      <c r="H1377" s="192" t="str">
        <f>IFERROR(__xludf.DUMMYFUNCTION("""COMPUTED_VALUE"""),"maimoona.shafique@zupee.in")</f>
        <v>maimoona.shafique@zupee.in</v>
      </c>
      <c r="I1377" s="192" t="str">
        <f>IFERROR(__xludf.DUMMYFUNCTION("""COMPUTED_VALUE"""),": - Vertical Tv")</f>
        <v>: - Vertical Tv</v>
      </c>
      <c r="J1377" s="19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92"/>
      <c r="B1378" s="192"/>
      <c r="C1378" s="192"/>
      <c r="D1378" s="192"/>
      <c r="E1378" s="192"/>
      <c r="F1378" s="192"/>
      <c r="G1378" s="192" t="str">
        <f>IFERROR(__xludf.DUMMYFUNCTION("""COMPUTED_VALUE"""),"Abhinav Banerjee")</f>
        <v>Abhinav Banerjee</v>
      </c>
      <c r="H1378" s="192" t="str">
        <f>IFERROR(__xludf.DUMMYFUNCTION("""COMPUTED_VALUE"""),"abhinav.banerjee@zupee.in")</f>
        <v>abhinav.banerjee@zupee.in</v>
      </c>
      <c r="I1378" s="192" t="str">
        <f>IFERROR(__xludf.DUMMYFUNCTION("""COMPUTED_VALUE"""),": - Vertical Tv")</f>
        <v>: - Vertical Tv</v>
      </c>
      <c r="J1378" s="19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92"/>
      <c r="B1379" s="192"/>
      <c r="C1379" s="192"/>
      <c r="D1379" s="192"/>
      <c r="E1379" s="192"/>
      <c r="F1379" s="192"/>
      <c r="G1379" s="192" t="str">
        <f>IFERROR(__xludf.DUMMYFUNCTION("""COMPUTED_VALUE"""),"Rushabh Mangloorkar")</f>
        <v>Rushabh Mangloorkar</v>
      </c>
      <c r="H1379" s="192" t="str">
        <f>IFERROR(__xludf.DUMMYFUNCTION("""COMPUTED_VALUE"""),"rushabh.mangloorkar@zupee.in")</f>
        <v>rushabh.mangloorkar@zupee.in</v>
      </c>
      <c r="I1379" s="192" t="str">
        <f>IFERROR(__xludf.DUMMYFUNCTION("""COMPUTED_VALUE"""),": - Vertical Tv")</f>
        <v>: - Vertical Tv</v>
      </c>
      <c r="J1379" s="19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92"/>
      <c r="B1380" s="192"/>
      <c r="C1380" s="192"/>
      <c r="D1380" s="192"/>
      <c r="E1380" s="192"/>
      <c r="F1380" s="192"/>
      <c r="G1380" s="192" t="str">
        <f>IFERROR(__xludf.DUMMYFUNCTION("""COMPUTED_VALUE"""),"Vaishnav Binu Nair")</f>
        <v>Vaishnav Binu Nair</v>
      </c>
      <c r="H1380" s="192" t="str">
        <f>IFERROR(__xludf.DUMMYFUNCTION("""COMPUTED_VALUE"""),"vaishnav.nair@zupee.in")</f>
        <v>vaishnav.nair@zupee.in</v>
      </c>
      <c r="I1380" s="192" t="str">
        <f>IFERROR(__xludf.DUMMYFUNCTION("""COMPUTED_VALUE"""),": - Vertical Tv")</f>
        <v>: - Vertical Tv</v>
      </c>
      <c r="J1380" s="19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92"/>
      <c r="B1381" s="192"/>
      <c r="C1381" s="192"/>
      <c r="D1381" s="192"/>
      <c r="E1381" s="192"/>
      <c r="F1381" s="192"/>
      <c r="G1381" s="192" t="str">
        <f>IFERROR(__xludf.DUMMYFUNCTION("""COMPUTED_VALUE"""),"Mohit Shandilya")</f>
        <v>Mohit Shandilya</v>
      </c>
      <c r="H1381" s="192" t="str">
        <f>IFERROR(__xludf.DUMMYFUNCTION("""COMPUTED_VALUE"""),"mohit.shandilya@zupee.in")</f>
        <v>mohit.shandilya@zupee.in</v>
      </c>
      <c r="I1381" s="192" t="str">
        <f>IFERROR(__xludf.DUMMYFUNCTION("""COMPUTED_VALUE"""),": - Vertical Tv")</f>
        <v>: - Vertical Tv</v>
      </c>
      <c r="J1381" s="19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92"/>
      <c r="B1382" s="192"/>
      <c r="C1382" s="192"/>
      <c r="D1382" s="192"/>
      <c r="E1382" s="192"/>
      <c r="F1382" s="192"/>
      <c r="G1382" s="192" t="str">
        <f>IFERROR(__xludf.DUMMYFUNCTION("""COMPUTED_VALUE"""),"Job PJ")</f>
        <v>Job PJ</v>
      </c>
      <c r="H1382" s="192" t="str">
        <f>IFERROR(__xludf.DUMMYFUNCTION("""COMPUTED_VALUE"""),"job.pj@zupee.in")</f>
        <v>job.pj@zupee.in</v>
      </c>
      <c r="I1382" s="192" t="str">
        <f>IFERROR(__xludf.DUMMYFUNCTION("""COMPUTED_VALUE"""),": - Vertical Tv")</f>
        <v>: - Vertical Tv</v>
      </c>
      <c r="J1382" s="19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92"/>
      <c r="B1383" s="192"/>
      <c r="C1383" s="192"/>
      <c r="D1383" s="192"/>
      <c r="E1383" s="192"/>
      <c r="F1383" s="192"/>
      <c r="G1383" s="192" t="str">
        <f>IFERROR(__xludf.DUMMYFUNCTION("""COMPUTED_VALUE"""),"Anto Thomas")</f>
        <v>Anto Thomas</v>
      </c>
      <c r="H1383" s="192" t="str">
        <f>IFERROR(__xludf.DUMMYFUNCTION("""COMPUTED_VALUE"""),"anto.thomas@zupee.in")</f>
        <v>anto.thomas@zupee.in</v>
      </c>
      <c r="I1383" s="192" t="str">
        <f>IFERROR(__xludf.DUMMYFUNCTION("""COMPUTED_VALUE"""),": - Vertical Tv")</f>
        <v>: - Vertical Tv</v>
      </c>
      <c r="J1383" s="19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92"/>
      <c r="B1384" s="192"/>
      <c r="C1384" s="192"/>
      <c r="D1384" s="192"/>
      <c r="E1384" s="192"/>
      <c r="F1384" s="192"/>
      <c r="G1384" s="192" t="str">
        <f>IFERROR(__xludf.DUMMYFUNCTION("""COMPUTED_VALUE"""),"Muhammed Rashin N")</f>
        <v>Muhammed Rashin N</v>
      </c>
      <c r="H1384" s="192" t="str">
        <f>IFERROR(__xludf.DUMMYFUNCTION("""COMPUTED_VALUE"""),"rashin.muhammed@zupee.in")</f>
        <v>rashin.muhammed@zupee.in</v>
      </c>
      <c r="I1384" s="192" t="str">
        <f>IFERROR(__xludf.DUMMYFUNCTION("""COMPUTED_VALUE"""),": - Vertical Tv")</f>
        <v>: - Vertical Tv</v>
      </c>
      <c r="J1384" s="19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92"/>
      <c r="B1385" s="192"/>
      <c r="C1385" s="192"/>
      <c r="D1385" s="192"/>
      <c r="E1385" s="192"/>
      <c r="F1385" s="192"/>
      <c r="G1385" s="192" t="str">
        <f>IFERROR(__xludf.DUMMYFUNCTION("""COMPUTED_VALUE"""),"Bishal Kumar Gurung")</f>
        <v>Bishal Kumar Gurung</v>
      </c>
      <c r="H1385" s="192" t="str">
        <f>IFERROR(__xludf.DUMMYFUNCTION("""COMPUTED_VALUE"""),"bishal.gurung@zupee.in")</f>
        <v>bishal.gurung@zupee.in</v>
      </c>
      <c r="I1385" s="192" t="str">
        <f>IFERROR(__xludf.DUMMYFUNCTION("""COMPUTED_VALUE"""),": - Vertical Tv")</f>
        <v>: - Vertical Tv</v>
      </c>
      <c r="J1385" s="19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92"/>
      <c r="B1386" s="192"/>
      <c r="C1386" s="192"/>
      <c r="D1386" s="192"/>
      <c r="E1386" s="192"/>
      <c r="F1386" s="192"/>
      <c r="G1386" s="192" t="str">
        <f>IFERROR(__xludf.DUMMYFUNCTION("""COMPUTED_VALUE"""),"Kirti")</f>
        <v>Kirti</v>
      </c>
      <c r="H1386" s="192" t="str">
        <f>IFERROR(__xludf.DUMMYFUNCTION("""COMPUTED_VALUE"""),"kirti.maurya@zupee.in")</f>
        <v>kirti.maurya@zupee.in</v>
      </c>
      <c r="I1386" s="192" t="str">
        <f>IFERROR(__xludf.DUMMYFUNCTION("""COMPUTED_VALUE"""),": - Vertical Tv")</f>
        <v>: - Vertical Tv</v>
      </c>
      <c r="J1386" s="19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92"/>
      <c r="B1387" s="192"/>
      <c r="C1387" s="192"/>
      <c r="D1387" s="192"/>
      <c r="E1387" s="192"/>
      <c r="F1387" s="192"/>
      <c r="G1387" s="192" t="str">
        <f>IFERROR(__xludf.DUMMYFUNCTION("""COMPUTED_VALUE"""),"Ritesh Panda")</f>
        <v>Ritesh Panda</v>
      </c>
      <c r="H1387" s="192" t="str">
        <f>IFERROR(__xludf.DUMMYFUNCTION("""COMPUTED_VALUE"""),"ritesh.panda@zupee.in")</f>
        <v>ritesh.panda@zupee.in</v>
      </c>
      <c r="I1387" s="192" t="str">
        <f>IFERROR(__xludf.DUMMYFUNCTION("""COMPUTED_VALUE"""),": - Vertical Tv")</f>
        <v>: - Vertical Tv</v>
      </c>
      <c r="J1387" s="19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92"/>
      <c r="B1388" s="192"/>
      <c r="C1388" s="192"/>
      <c r="D1388" s="192"/>
      <c r="E1388" s="192"/>
      <c r="F1388" s="192"/>
      <c r="G1388" s="192" t="str">
        <f>IFERROR(__xludf.DUMMYFUNCTION("""COMPUTED_VALUE"""),"Akash Verma")</f>
        <v>Akash Verma</v>
      </c>
      <c r="H1388" s="192" t="str">
        <f>IFERROR(__xludf.DUMMYFUNCTION("""COMPUTED_VALUE"""),"akash.verma@zupee.in")</f>
        <v>akash.verma@zupee.in</v>
      </c>
      <c r="I1388" s="192" t="str">
        <f>IFERROR(__xludf.DUMMYFUNCTION("""COMPUTED_VALUE"""),": - Vertical Tv")</f>
        <v>: - Vertical Tv</v>
      </c>
      <c r="J1388" s="19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92"/>
      <c r="B1389" s="192"/>
      <c r="C1389" s="192"/>
      <c r="D1389" s="192"/>
      <c r="E1389" s="192"/>
      <c r="F1389" s="192"/>
      <c r="G1389" s="192" t="str">
        <f>IFERROR(__xludf.DUMMYFUNCTION("""COMPUTED_VALUE"""),"Gaurav Sharma")</f>
        <v>Gaurav Sharma</v>
      </c>
      <c r="H1389" s="192" t="str">
        <f>IFERROR(__xludf.DUMMYFUNCTION("""COMPUTED_VALUE"""),"gaurav.sharma1@zupee.in")</f>
        <v>gaurav.sharma1@zupee.in</v>
      </c>
      <c r="I1389" s="192" t="str">
        <f>IFERROR(__xludf.DUMMYFUNCTION("""COMPUTED_VALUE"""),": - Vertical Tv")</f>
        <v>: - Vertical Tv</v>
      </c>
      <c r="J1389" s="19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92"/>
      <c r="B1390" s="192"/>
      <c r="C1390" s="192"/>
      <c r="D1390" s="192"/>
      <c r="E1390" s="192"/>
      <c r="F1390" s="192"/>
      <c r="G1390" s="192" t="str">
        <f>IFERROR(__xludf.DUMMYFUNCTION("""COMPUTED_VALUE"""),"Pratham Sharma")</f>
        <v>Pratham Sharma</v>
      </c>
      <c r="H1390" s="192" t="str">
        <f>IFERROR(__xludf.DUMMYFUNCTION("""COMPUTED_VALUE"""),"pratham.sharma@zupee.in")</f>
        <v>pratham.sharma@zupee.in</v>
      </c>
      <c r="I1390" s="192" t="str">
        <f>IFERROR(__xludf.DUMMYFUNCTION("""COMPUTED_VALUE"""),": - Vertical Tv")</f>
        <v>: - Vertical Tv</v>
      </c>
      <c r="J1390" s="19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92"/>
      <c r="B1391" s="192"/>
      <c r="C1391" s="192"/>
      <c r="D1391" s="192"/>
      <c r="E1391" s="192"/>
      <c r="F1391" s="192"/>
      <c r="G1391" s="192" t="str">
        <f>IFERROR(__xludf.DUMMYFUNCTION("""COMPUTED_VALUE"""),"Purodha Singh")</f>
        <v>Purodha Singh</v>
      </c>
      <c r="H1391" s="192" t="str">
        <f>IFERROR(__xludf.DUMMYFUNCTION("""COMPUTED_VALUE"""),"purodha.singh@zupee.in")</f>
        <v>purodha.singh@zupee.in</v>
      </c>
      <c r="I1391" s="192" t="str">
        <f>IFERROR(__xludf.DUMMYFUNCTION("""COMPUTED_VALUE"""),"shashank.gupta@zupee.in: - Finance")</f>
        <v>shashank.gupta@zupee.in: - Finance</v>
      </c>
      <c r="J1391" s="19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92"/>
      <c r="B1392" s="192"/>
      <c r="C1392" s="192"/>
      <c r="D1392" s="192"/>
      <c r="E1392" s="192"/>
      <c r="F1392" s="192"/>
      <c r="G1392" s="192" t="str">
        <f>IFERROR(__xludf.DUMMYFUNCTION("""COMPUTED_VALUE"""),"Nilesh Ashok Inkar")</f>
        <v>Nilesh Ashok Inkar</v>
      </c>
      <c r="H1392" s="192" t="str">
        <f>IFERROR(__xludf.DUMMYFUNCTION("""COMPUTED_VALUE"""),"nilesh.inkar@zupee.in")</f>
        <v>nilesh.inkar@zupee.in</v>
      </c>
      <c r="I1392" s="192" t="str">
        <f>IFERROR(__xludf.DUMMYFUNCTION("""COMPUTED_VALUE"""),"chirag.sabhadiya@zupee.in: - Strategy")</f>
        <v>chirag.sabhadiya@zupee.in: - Strategy</v>
      </c>
      <c r="J1392" s="19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92"/>
      <c r="B1393" s="192"/>
      <c r="C1393" s="192"/>
      <c r="D1393" s="192"/>
      <c r="E1393" s="192"/>
      <c r="F1393" s="192"/>
      <c r="G1393" s="192" t="str">
        <f>IFERROR(__xludf.DUMMYFUNCTION("""COMPUTED_VALUE"""),"Vaibhav Patawari")</f>
        <v>Vaibhav Patawari</v>
      </c>
      <c r="H1393" s="192" t="str">
        <f>IFERROR(__xludf.DUMMYFUNCTION("""COMPUTED_VALUE"""),"vaibhav.patawari@zupee.in")</f>
        <v>vaibhav.patawari@zupee.in</v>
      </c>
      <c r="I1393" s="192" t="str">
        <f>IFERROR(__xludf.DUMMYFUNCTION("""COMPUTED_VALUE"""),"chirag.sabhadiya@zupee.in: - Strategy")</f>
        <v>chirag.sabhadiya@zupee.in: - Strategy</v>
      </c>
      <c r="J1393" s="19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92"/>
      <c r="B1394" s="192"/>
      <c r="C1394" s="192"/>
      <c r="D1394" s="192"/>
      <c r="E1394" s="192"/>
      <c r="F1394" s="192"/>
      <c r="G1394" s="192" t="str">
        <f>IFERROR(__xludf.DUMMYFUNCTION("""COMPUTED_VALUE"""),"Cheshtha Sharma")</f>
        <v>Cheshtha Sharma</v>
      </c>
      <c r="H1394" s="192" t="str">
        <f>IFERROR(__xludf.DUMMYFUNCTION("""COMPUTED_VALUE"""),"cheshtha.sharma@zupee.in")</f>
        <v>cheshtha.sharma@zupee.in</v>
      </c>
      <c r="I1394" s="192" t="str">
        <f>IFERROR(__xludf.DUMMYFUNCTION("""COMPUTED_VALUE"""),"m.sangeetha@zupee.in: - Human Resources")</f>
        <v>m.sangeetha@zupee.in: - Human Resources</v>
      </c>
      <c r="J1394" s="19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92"/>
      <c r="B1395" s="192"/>
      <c r="C1395" s="192"/>
      <c r="D1395" s="192"/>
      <c r="E1395" s="192"/>
      <c r="F1395" s="192"/>
      <c r="G1395" s="192" t="str">
        <f>IFERROR(__xludf.DUMMYFUNCTION("""COMPUTED_VALUE"""),"Nikhil Goswami")</f>
        <v>Nikhil Goswami</v>
      </c>
      <c r="H1395" s="192" t="str">
        <f>IFERROR(__xludf.DUMMYFUNCTION("""COMPUTED_VALUE"""),"nikhil.goswami@zupee.in")</f>
        <v>nikhil.goswami@zupee.in</v>
      </c>
      <c r="I1395" s="192" t="str">
        <f>IFERROR(__xludf.DUMMYFUNCTION("""COMPUTED_VALUE"""),"sahil.brahmania@zupee.in: - Digital Marketing")</f>
        <v>sahil.brahmania@zupee.in: - Digital Marketing</v>
      </c>
      <c r="J1395" s="19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92"/>
      <c r="B1396" s="192"/>
      <c r="C1396" s="192"/>
      <c r="D1396" s="192"/>
      <c r="E1396" s="192"/>
      <c r="F1396" s="192"/>
      <c r="G1396" s="192" t="str">
        <f>IFERROR(__xludf.DUMMYFUNCTION("""COMPUTED_VALUE"""),"Nishant Pandey")</f>
        <v>Nishant Pandey</v>
      </c>
      <c r="H1396" s="192" t="str">
        <f>IFERROR(__xludf.DUMMYFUNCTION("""COMPUTED_VALUE"""),"nishant.pandey@zupee.in")</f>
        <v>nishant.pandey@zupee.in</v>
      </c>
      <c r="I1396" s="192" t="str">
        <f>IFERROR(__xludf.DUMMYFUNCTION("""COMPUTED_VALUE"""),"chirag.sabhadiya@zupee.in: - Strategy")</f>
        <v>chirag.sabhadiya@zupee.in: - Strategy</v>
      </c>
      <c r="J1396" s="19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92"/>
      <c r="B1397" s="192"/>
      <c r="C1397" s="192"/>
      <c r="D1397" s="192"/>
      <c r="E1397" s="192"/>
      <c r="F1397" s="192"/>
      <c r="G1397" s="192" t="str">
        <f>IFERROR(__xludf.DUMMYFUNCTION("""COMPUTED_VALUE"""),"Khushboo Bansal")</f>
        <v>Khushboo Bansal</v>
      </c>
      <c r="H1397" s="192" t="str">
        <f>IFERROR(__xludf.DUMMYFUNCTION("""COMPUTED_VALUE"""),"khushboo.bansal@zupee.in")</f>
        <v>khushboo.bansal@zupee.in</v>
      </c>
      <c r="I1397" s="192" t="str">
        <f>IFERROR(__xludf.DUMMYFUNCTION("""COMPUTED_VALUE"""),"khushboo.bansal0404@gmail.com: - Vertical Tv")</f>
        <v>khushboo.bansal0404@gmail.com: - Vertical Tv</v>
      </c>
      <c r="J1397" s="19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92"/>
      <c r="B1398" s="192"/>
      <c r="C1398" s="192"/>
      <c r="D1398" s="192"/>
      <c r="E1398" s="192"/>
      <c r="F1398" s="192"/>
      <c r="G1398" s="192" t="str">
        <f>IFERROR(__xludf.DUMMYFUNCTION("""COMPUTED_VALUE"""),"Sajiya")</f>
        <v>Sajiya</v>
      </c>
      <c r="H1398" s="192" t="str">
        <f>IFERROR(__xludf.DUMMYFUNCTION("""COMPUTED_VALUE"""),"sajiya@zupee.in")</f>
        <v>sajiya@zupee.in</v>
      </c>
      <c r="I1398" s="192" t="str">
        <f>IFERROR(__xludf.DUMMYFUNCTION("""COMPUTED_VALUE"""),"life123with@gmail.com: - Vertical Tv")</f>
        <v>life123with@gmail.com: - Vertical Tv</v>
      </c>
      <c r="J1398" s="19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92"/>
      <c r="B1399" s="192"/>
      <c r="C1399" s="192"/>
      <c r="D1399" s="192"/>
      <c r="E1399" s="192"/>
      <c r="F1399" s="192"/>
      <c r="G1399" s="192" t="str">
        <f>IFERROR(__xludf.DUMMYFUNCTION("""COMPUTED_VALUE"""),"Mukul Vikram")</f>
        <v>Mukul Vikram</v>
      </c>
      <c r="H1399" s="192" t="str">
        <f>IFERROR(__xludf.DUMMYFUNCTION("""COMPUTED_VALUE"""),"mukul.vikram@zupee.in")</f>
        <v>mukul.vikram@zupee.in</v>
      </c>
      <c r="I1399" s="192" t="str">
        <f>IFERROR(__xludf.DUMMYFUNCTION("""COMPUTED_VALUE"""),"mukul.vg@gmail.com: - Vertical Tv")</f>
        <v>mukul.vg@gmail.com: - Vertical Tv</v>
      </c>
      <c r="J1399" s="19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92"/>
      <c r="B1400" s="192"/>
      <c r="C1400" s="192"/>
      <c r="D1400" s="192"/>
      <c r="E1400" s="192"/>
      <c r="F1400" s="192"/>
      <c r="G1400" s="192" t="str">
        <f>IFERROR(__xludf.DUMMYFUNCTION("""COMPUTED_VALUE"""),"Divyansh Srivastava")</f>
        <v>Divyansh Srivastava</v>
      </c>
      <c r="H1400" s="192" t="str">
        <f>IFERROR(__xludf.DUMMYFUNCTION("""COMPUTED_VALUE"""),"divyansh.srivastava@zupee.in")</f>
        <v>divyansh.srivastava@zupee.in</v>
      </c>
      <c r="I1400" s="192" t="str">
        <f>IFERROR(__xludf.DUMMYFUNCTION("""COMPUTED_VALUE"""),"xstudiosyt@gmail.com: - Vertical Tv")</f>
        <v>xstudiosyt@gmail.com: - Vertical Tv</v>
      </c>
      <c r="J1400" s="19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92"/>
      <c r="B1401" s="192"/>
      <c r="C1401" s="192"/>
      <c r="D1401" s="192"/>
      <c r="E1401" s="192"/>
      <c r="F1401" s="192"/>
      <c r="G1401" s="192" t="str">
        <f>IFERROR(__xludf.DUMMYFUNCTION("""COMPUTED_VALUE"""),"Sujal Verma")</f>
        <v>Sujal Verma</v>
      </c>
      <c r="H1401" s="192" t="str">
        <f>IFERROR(__xludf.DUMMYFUNCTION("""COMPUTED_VALUE"""),"sujal.verma@zupee.in")</f>
        <v>sujal.verma@zupee.in</v>
      </c>
      <c r="I1401" s="192" t="str">
        <f>IFERROR(__xludf.DUMMYFUNCTION("""COMPUTED_VALUE"""),"sujalv84@gmail.com: - Vertical Tv")</f>
        <v>sujalv84@gmail.com: - Vertical Tv</v>
      </c>
      <c r="J1401" s="19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92"/>
      <c r="B1402" s="192"/>
      <c r="C1402" s="192"/>
      <c r="D1402" s="192"/>
      <c r="E1402" s="192"/>
      <c r="F1402" s="192"/>
      <c r="G1402" s="192" t="str">
        <f>IFERROR(__xludf.DUMMYFUNCTION("""COMPUTED_VALUE"""),"Tech")</f>
        <v>Tech</v>
      </c>
      <c r="H1402" s="192" t="str">
        <f>IFERROR(__xludf.DUMMYFUNCTION("""COMPUTED_VALUE"""),"tech@superlearn.in")</f>
        <v>tech@superlearn.in</v>
      </c>
      <c r="I1402" s="192" t="str">
        <f>IFERROR(__xludf.DUMMYFUNCTION("""COMPUTED_VALUE"""),": - ")</f>
        <v>: - </v>
      </c>
      <c r="J1402" s="19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92"/>
      <c r="B1403" s="192"/>
      <c r="C1403" s="192"/>
      <c r="D1403" s="192"/>
      <c r="E1403" s="192"/>
      <c r="F1403" s="192"/>
      <c r="G1403" s="192" t="str">
        <f>IFERROR(__xludf.DUMMYFUNCTION("""COMPUTED_VALUE"""),"Nodal")</f>
        <v>Nodal</v>
      </c>
      <c r="H1403" s="192" t="str">
        <f>IFERROR(__xludf.DUMMYFUNCTION("""COMPUTED_VALUE"""),"nodal@superlearn.in")</f>
        <v>nodal@superlearn.in</v>
      </c>
      <c r="I1403" s="192" t="str">
        <f>IFERROR(__xludf.DUMMYFUNCTION("""COMPUTED_VALUE"""),": - ")</f>
        <v>: - </v>
      </c>
      <c r="J1403" s="19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92"/>
      <c r="B1404" s="192"/>
      <c r="C1404" s="192"/>
      <c r="D1404" s="192"/>
      <c r="E1404" s="192"/>
      <c r="F1404" s="192"/>
      <c r="G1404" s="192" t="str">
        <f>IFERROR(__xludf.DUMMYFUNCTION("""COMPUTED_VALUE"""),"Support")</f>
        <v>Support</v>
      </c>
      <c r="H1404" s="192" t="str">
        <f>IFERROR(__xludf.DUMMYFUNCTION("""COMPUTED_VALUE"""),"support@superlearn.in")</f>
        <v>support@superlearn.in</v>
      </c>
      <c r="I1404" s="192" t="str">
        <f>IFERROR(__xludf.DUMMYFUNCTION("""COMPUTED_VALUE"""),": - ")</f>
        <v>: - </v>
      </c>
      <c r="J1404" s="19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92"/>
      <c r="B1405" s="192"/>
      <c r="C1405" s="192"/>
      <c r="D1405" s="192"/>
      <c r="E1405" s="192"/>
      <c r="F1405" s="192"/>
      <c r="G1405" s="192" t="str">
        <f>IFERROR(__xludf.DUMMYFUNCTION("""COMPUTED_VALUE"""),"Grievances")</f>
        <v>Grievances</v>
      </c>
      <c r="H1405" s="192" t="str">
        <f>IFERROR(__xludf.DUMMYFUNCTION("""COMPUTED_VALUE"""),"grievances@superlearn.in")</f>
        <v>grievances@superlearn.in</v>
      </c>
      <c r="I1405" s="192" t="str">
        <f>IFERROR(__xludf.DUMMYFUNCTION("""COMPUTED_VALUE"""),": - ")</f>
        <v>: - </v>
      </c>
      <c r="J1405" s="19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92"/>
      <c r="B1406" s="192"/>
      <c r="C1406" s="192"/>
      <c r="D1406" s="192"/>
      <c r="E1406" s="192"/>
      <c r="F1406" s="192"/>
      <c r="G1406" s="192" t="str">
        <f>IFERROR(__xludf.DUMMYFUNCTION("""COMPUTED_VALUE"""),"Sagarika Sarin")</f>
        <v>Sagarika Sarin</v>
      </c>
      <c r="H1406" s="192" t="str">
        <f>IFERROR(__xludf.DUMMYFUNCTION("""COMPUTED_VALUE"""),"sagarika.sarin@zupee.in")</f>
        <v>sagarika.sarin@zupee.in</v>
      </c>
      <c r="I1406" s="192" t="str">
        <f>IFERROR(__xludf.DUMMYFUNCTION("""COMPUTED_VALUE"""),"ankit.maheshwari@zupee.in: - Finance")</f>
        <v>ankit.maheshwari@zupee.in: - Finance</v>
      </c>
      <c r="J1406" s="19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92"/>
      <c r="B1407" s="192"/>
      <c r="C1407" s="192"/>
      <c r="D1407" s="192"/>
      <c r="E1407" s="192"/>
      <c r="F1407" s="192"/>
      <c r="G1407" s="192" t="str">
        <f>IFERROR(__xludf.DUMMYFUNCTION("""COMPUTED_VALUE"""),"Aman Maurya")</f>
        <v>Aman Maurya</v>
      </c>
      <c r="H1407" s="192" t="str">
        <f>IFERROR(__xludf.DUMMYFUNCTION("""COMPUTED_VALUE"""),"aman.maurya1@zupee.in")</f>
        <v>aman.maurya1@zupee.in</v>
      </c>
      <c r="I1407" s="192" t="str">
        <f>IFERROR(__xludf.DUMMYFUNCTION("""COMPUTED_VALUE"""),"nandeshwar.gupta@zupee.in: - Data")</f>
        <v>nandeshwar.gupta@zupee.in: - Data</v>
      </c>
      <c r="J1407" s="19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92"/>
      <c r="B1408" s="192"/>
      <c r="C1408" s="192"/>
      <c r="D1408" s="192"/>
      <c r="E1408" s="192"/>
      <c r="F1408" s="192"/>
      <c r="G1408" s="192" t="str">
        <f>IFERROR(__xludf.DUMMYFUNCTION("""COMPUTED_VALUE"""),"Anand Dayama")</f>
        <v>Anand Dayama</v>
      </c>
      <c r="H1408" s="192" t="str">
        <f>IFERROR(__xludf.DUMMYFUNCTION("""COMPUTED_VALUE"""),"anand.dayama@zupee.in")</f>
        <v>anand.dayama@zupee.in</v>
      </c>
      <c r="I1408" s="192" t="str">
        <f>IFERROR(__xludf.DUMMYFUNCTION("""COMPUTED_VALUE"""),"daymaanand19@gmail.com: - Vertical Tv")</f>
        <v>daymaanand19@gmail.com: - Vertical Tv</v>
      </c>
      <c r="J1408" s="19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92"/>
      <c r="B1409" s="192"/>
      <c r="C1409" s="192"/>
      <c r="D1409" s="192"/>
      <c r="E1409" s="192"/>
      <c r="F1409" s="192"/>
      <c r="G1409" s="192" t="str">
        <f>IFERROR(__xludf.DUMMYFUNCTION("""COMPUTED_VALUE"""),"Support")</f>
        <v>Support</v>
      </c>
      <c r="H1409" s="192" t="str">
        <f>IFERROR(__xludf.DUMMYFUNCTION("""COMPUTED_VALUE"""),"support@verticaltvbyzupee.com")</f>
        <v>support@verticaltvbyzupee.com</v>
      </c>
      <c r="I1409" s="192" t="str">
        <f>IFERROR(__xludf.DUMMYFUNCTION("""COMPUTED_VALUE"""),"shubham.agrawal@zupee.in: - ")</f>
        <v>shubham.agrawal@zupee.in: - </v>
      </c>
      <c r="J1409" s="19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92"/>
      <c r="B1410" s="192"/>
      <c r="C1410" s="192"/>
      <c r="D1410" s="192"/>
      <c r="E1410" s="192"/>
      <c r="F1410" s="192"/>
      <c r="G1410" s="192" t="str">
        <f>IFERROR(__xludf.DUMMYFUNCTION("""COMPUTED_VALUE"""),"Ujjawal Parmar")</f>
        <v>Ujjawal Parmar</v>
      </c>
      <c r="H1410" s="192" t="str">
        <f>IFERROR(__xludf.DUMMYFUNCTION("""COMPUTED_VALUE"""),"ujjawal.parmar@zupee.in")</f>
        <v>ujjawal.parmar@zupee.in</v>
      </c>
      <c r="I1410" s="192" t="str">
        <f>IFERROR(__xludf.DUMMYFUNCTION("""COMPUTED_VALUE"""),"ujjwalaudio@gmail.com: - Vertical Tv")</f>
        <v>ujjwalaudio@gmail.com: - Vertical Tv</v>
      </c>
      <c r="J1410" s="19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92"/>
      <c r="B1411" s="192"/>
      <c r="C1411" s="192"/>
      <c r="D1411" s="192"/>
      <c r="E1411" s="192"/>
      <c r="F1411" s="192"/>
      <c r="G1411" s="192" t="str">
        <f>IFERROR(__xludf.DUMMYFUNCTION("""COMPUTED_VALUE"""),"Mayur Kewal Khairkar")</f>
        <v>Mayur Kewal Khairkar</v>
      </c>
      <c r="H1411" s="192" t="str">
        <f>IFERROR(__xludf.DUMMYFUNCTION("""COMPUTED_VALUE"""),"mayur.khairkar@zupee.in")</f>
        <v>mayur.khairkar@zupee.in</v>
      </c>
      <c r="I1411" s="192" t="str">
        <f>IFERROR(__xludf.DUMMYFUNCTION("""COMPUTED_VALUE"""),"mayurkhairkar1@gmail.com: - Vertical Tv")</f>
        <v>mayurkhairkar1@gmail.com: - Vertical Tv</v>
      </c>
      <c r="J1411" s="19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92"/>
      <c r="B1412" s="192"/>
      <c r="C1412" s="192"/>
      <c r="D1412" s="192"/>
      <c r="E1412" s="192"/>
      <c r="F1412" s="192"/>
      <c r="G1412" s="192" t="str">
        <f>IFERROR(__xludf.DUMMYFUNCTION("""COMPUTED_VALUE"""),"Mudit Mishra")</f>
        <v>Mudit Mishra</v>
      </c>
      <c r="H1412" s="192" t="str">
        <f>IFERROR(__xludf.DUMMYFUNCTION("""COMPUTED_VALUE"""),"mudit.mishra@zupee.in")</f>
        <v>mudit.mishra@zupee.in</v>
      </c>
      <c r="I1412" s="192" t="str">
        <f>IFERROR(__xludf.DUMMYFUNCTION("""COMPUTED_VALUE"""),"muditmishra10@gmail.com: - Vertical Tv")</f>
        <v>muditmishra10@gmail.com: - Vertical Tv</v>
      </c>
      <c r="J1412" s="19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92"/>
      <c r="B1413" s="192"/>
      <c r="C1413" s="192"/>
      <c r="D1413" s="192"/>
      <c r="E1413" s="192"/>
      <c r="F1413" s="192"/>
      <c r="G1413" s="192" t="str">
        <f>IFERROR(__xludf.DUMMYFUNCTION("""COMPUTED_VALUE"""),"Abhijeet Yashvant Chavan")</f>
        <v>Abhijeet Yashvant Chavan</v>
      </c>
      <c r="H1413" s="192" t="str">
        <f>IFERROR(__xludf.DUMMYFUNCTION("""COMPUTED_VALUE"""),"abhijeet.chavan@zupee.in")</f>
        <v>abhijeet.chavan@zupee.in</v>
      </c>
      <c r="I1413" s="192" t="str">
        <f>IFERROR(__xludf.DUMMYFUNCTION("""COMPUTED_VALUE"""),"abhiraag258@gmail.com: - Vertical Tv")</f>
        <v>abhiraag258@gmail.com: - Vertical Tv</v>
      </c>
      <c r="J1413" s="19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92"/>
      <c r="B1414" s="192"/>
      <c r="C1414" s="192"/>
      <c r="D1414" s="192"/>
      <c r="E1414" s="192"/>
      <c r="F1414" s="192"/>
      <c r="G1414" s="192" t="str">
        <f>IFERROR(__xludf.DUMMYFUNCTION("""COMPUTED_VALUE"""),"Aditya Kumar Sinha")</f>
        <v>Aditya Kumar Sinha</v>
      </c>
      <c r="H1414" s="192" t="str">
        <f>IFERROR(__xludf.DUMMYFUNCTION("""COMPUTED_VALUE"""),"aditya.sinha@zupee.in")</f>
        <v>aditya.sinha@zupee.in</v>
      </c>
      <c r="I1414" s="192" t="str">
        <f>IFERROR(__xludf.DUMMYFUNCTION("""COMPUTED_VALUE"""),"chirag.sabhadiya@zupee.in: - Strategy")</f>
        <v>chirag.sabhadiya@zupee.in: - Strategy</v>
      </c>
      <c r="J1414" s="19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92"/>
      <c r="B1415" s="192"/>
      <c r="C1415" s="192"/>
      <c r="D1415" s="192"/>
      <c r="E1415" s="192"/>
      <c r="F1415" s="192"/>
      <c r="G1415" s="192" t="str">
        <f>IFERROR(__xludf.DUMMYFUNCTION("""COMPUTED_VALUE"""),"Siddartha Verma")</f>
        <v>Siddartha Verma</v>
      </c>
      <c r="H1415" s="192" t="str">
        <f>IFERROR(__xludf.DUMMYFUNCTION("""COMPUTED_VALUE"""),"siddartha.verma@zupee.in")</f>
        <v>siddartha.verma@zupee.in</v>
      </c>
      <c r="I1415" s="192" t="str">
        <f>IFERROR(__xludf.DUMMYFUNCTION("""COMPUTED_VALUE"""),"sushil.patel@zupee.in: - Human Resources")</f>
        <v>sushil.patel@zupee.in: - Human Resources</v>
      </c>
      <c r="J1415" s="19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92"/>
      <c r="B1416" s="192"/>
      <c r="C1416" s="192"/>
      <c r="D1416" s="192"/>
      <c r="E1416" s="192"/>
      <c r="F1416" s="192"/>
      <c r="G1416" s="192" t="str">
        <f>IFERROR(__xludf.DUMMYFUNCTION("""COMPUTED_VALUE"""),"Pradeep Kumar")</f>
        <v>Pradeep Kumar</v>
      </c>
      <c r="H1416" s="192" t="str">
        <f>IFERROR(__xludf.DUMMYFUNCTION("""COMPUTED_VALUE"""),"pradeep.kumar@zupee.in")</f>
        <v>pradeep.kumar@zupee.in</v>
      </c>
      <c r="I1416" s="192" t="str">
        <f>IFERROR(__xludf.DUMMYFUNCTION("""COMPUTED_VALUE"""),"mandalpradeep555@gmail.com: - Vertical Tv")</f>
        <v>mandalpradeep555@gmail.com: - Vertical Tv</v>
      </c>
      <c r="J1416" s="19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92"/>
      <c r="B1417" s="192"/>
      <c r="C1417" s="192"/>
      <c r="D1417" s="192"/>
      <c r="E1417" s="192"/>
      <c r="F1417" s="192"/>
      <c r="G1417" s="192" t="str">
        <f>IFERROR(__xludf.DUMMYFUNCTION("""COMPUTED_VALUE"""),"Abhishek Mohapatra")</f>
        <v>Abhishek Mohapatra</v>
      </c>
      <c r="H1417" s="192" t="str">
        <f>IFERROR(__xludf.DUMMYFUNCTION("""COMPUTED_VALUE"""),"abhishek.mohapatra@zupee.in")</f>
        <v>abhishek.mohapatra@zupee.in</v>
      </c>
      <c r="I1417" s="192" t="str">
        <f>IFERROR(__xludf.DUMMYFUNCTION("""COMPUTED_VALUE"""),"chirag.sabhadiya@zupee.in: - Strategy")</f>
        <v>chirag.sabhadiya@zupee.in: - Strategy</v>
      </c>
      <c r="J1417" s="19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92"/>
      <c r="B1418" s="192"/>
      <c r="C1418" s="192"/>
      <c r="D1418" s="192"/>
      <c r="E1418" s="192"/>
      <c r="F1418" s="192"/>
      <c r="G1418" s="192" t="str">
        <f>IFERROR(__xludf.DUMMYFUNCTION("""COMPUTED_VALUE"""),"Sumit Kumar Sinha")</f>
        <v>Sumit Kumar Sinha</v>
      </c>
      <c r="H1418" s="192" t="str">
        <f>IFERROR(__xludf.DUMMYFUNCTION("""COMPUTED_VALUE"""),"sumit.sinha@zupee.in")</f>
        <v>sumit.sinha@zupee.in</v>
      </c>
      <c r="I1418" s="192" t="str">
        <f>IFERROR(__xludf.DUMMYFUNCTION("""COMPUTED_VALUE"""),"sumitsamarthya@gmail.com: - Vertical Tv")</f>
        <v>sumitsamarthya@gmail.com: - Vertical Tv</v>
      </c>
      <c r="J1418" s="19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92"/>
      <c r="B1419" s="192"/>
      <c r="C1419" s="192"/>
      <c r="D1419" s="192"/>
      <c r="E1419" s="192"/>
      <c r="F1419" s="192"/>
      <c r="G1419" s="192" t="str">
        <f>IFERROR(__xludf.DUMMYFUNCTION("""COMPUTED_VALUE"""),"Ankit Anil Waghela")</f>
        <v>Ankit Anil Waghela</v>
      </c>
      <c r="H1419" s="192" t="str">
        <f>IFERROR(__xludf.DUMMYFUNCTION("""COMPUTED_VALUE"""),"ankit.waghela@zupee.in")</f>
        <v>ankit.waghela@zupee.in</v>
      </c>
      <c r="I1419" s="192" t="str">
        <f>IFERROR(__xludf.DUMMYFUNCTION("""COMPUTED_VALUE"""),"ankitwaghela93@gmail.com: - Vertical Tv")</f>
        <v>ankitwaghela93@gmail.com: - Vertical Tv</v>
      </c>
      <c r="J1419" s="19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92"/>
      <c r="B1420" s="192"/>
      <c r="C1420" s="192"/>
      <c r="D1420" s="192"/>
      <c r="E1420" s="192"/>
      <c r="F1420" s="192"/>
      <c r="G1420" s="192" t="str">
        <f>IFERROR(__xludf.DUMMYFUNCTION("""COMPUTED_VALUE"""),"Ashwini Suresh Gaikwad")</f>
        <v>Ashwini Suresh Gaikwad</v>
      </c>
      <c r="H1420" s="192" t="str">
        <f>IFERROR(__xludf.DUMMYFUNCTION("""COMPUTED_VALUE"""),"ashwini.gaikwad@zupee.in")</f>
        <v>ashwini.gaikwad@zupee.in</v>
      </c>
      <c r="I1420" s="192" t="str">
        <f>IFERROR(__xludf.DUMMYFUNCTION("""COMPUTED_VALUE"""),"ashwini.gkwd2899@gmail.com: - Vertical Tv")</f>
        <v>ashwini.gkwd2899@gmail.com: - Vertical Tv</v>
      </c>
      <c r="J1420" s="19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92"/>
      <c r="B1421" s="192"/>
      <c r="C1421" s="192"/>
      <c r="D1421" s="192"/>
      <c r="E1421" s="192"/>
      <c r="F1421" s="192"/>
      <c r="G1421" s="192" t="str">
        <f>IFERROR(__xludf.DUMMYFUNCTION("""COMPUTED_VALUE"""),"Rohit Abhay Sawant")</f>
        <v>Rohit Abhay Sawant</v>
      </c>
      <c r="H1421" s="192" t="str">
        <f>IFERROR(__xludf.DUMMYFUNCTION("""COMPUTED_VALUE"""),"rohit.sawant@zupee.in")</f>
        <v>rohit.sawant@zupee.in</v>
      </c>
      <c r="I1421" s="192" t="str">
        <f>IFERROR(__xludf.DUMMYFUNCTION("""COMPUTED_VALUE"""),"rrohitsawant24@gmail.com: - Vertical Tv")</f>
        <v>rrohitsawant24@gmail.com: - Vertical Tv</v>
      </c>
      <c r="J1421" s="19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92"/>
      <c r="B1422" s="192"/>
      <c r="C1422" s="192"/>
      <c r="D1422" s="192"/>
      <c r="E1422" s="192"/>
      <c r="F1422" s="192"/>
      <c r="G1422" s="192" t="str">
        <f>IFERROR(__xludf.DUMMYFUNCTION("""COMPUTED_VALUE"""),"Arpan Kapadia")</f>
        <v>Arpan Kapadia</v>
      </c>
      <c r="H1422" s="192" t="str">
        <f>IFERROR(__xludf.DUMMYFUNCTION("""COMPUTED_VALUE"""),"arpan.kapadia@zupee.in")</f>
        <v>arpan.kapadia@zupee.in</v>
      </c>
      <c r="I1422" s="192" t="str">
        <f>IFERROR(__xludf.DUMMYFUNCTION("""COMPUTED_VALUE"""),"arpankapadia13@gmail.com: - Vertical Tv")</f>
        <v>arpankapadia13@gmail.com: - Vertical Tv</v>
      </c>
      <c r="J1422" s="19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92"/>
      <c r="B1423" s="192"/>
      <c r="C1423" s="192"/>
      <c r="D1423" s="192"/>
      <c r="E1423" s="192"/>
      <c r="F1423" s="192"/>
      <c r="G1423" s="192" t="str">
        <f>IFERROR(__xludf.DUMMYFUNCTION("""COMPUTED_VALUE"""),"Omkar Sanjay Palkar")</f>
        <v>Omkar Sanjay Palkar</v>
      </c>
      <c r="H1423" s="192" t="str">
        <f>IFERROR(__xludf.DUMMYFUNCTION("""COMPUTED_VALUE"""),"omkar.palkar@zupee.in")</f>
        <v>omkar.palkar@zupee.in</v>
      </c>
      <c r="I1423" s="192" t="str">
        <f>IFERROR(__xludf.DUMMYFUNCTION("""COMPUTED_VALUE"""),"mohit@zupee.in: - Vertical Tv")</f>
        <v>mohit@zupee.in: - Vertical Tv</v>
      </c>
      <c r="J1423" s="19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92"/>
      <c r="B1424" s="192"/>
      <c r="C1424" s="192"/>
      <c r="D1424" s="192"/>
      <c r="E1424" s="192"/>
      <c r="F1424" s="192"/>
      <c r="G1424" s="192" t="str">
        <f>IFERROR(__xludf.DUMMYFUNCTION("""COMPUTED_VALUE"""),"Security Test")</f>
        <v>Security Test</v>
      </c>
      <c r="H1424" s="192" t="str">
        <f>IFERROR(__xludf.DUMMYFUNCTION("""COMPUTED_VALUE"""),"security.test@zupee.in")</f>
        <v>security.test@zupee.in</v>
      </c>
      <c r="I1424" s="192" t="str">
        <f>IFERROR(__xludf.DUMMYFUNCTION("""COMPUTED_VALUE"""),": - ")</f>
        <v>: - </v>
      </c>
      <c r="J1424" s="19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92"/>
      <c r="B1425" s="192"/>
      <c r="C1425" s="192"/>
      <c r="D1425" s="192"/>
      <c r="E1425" s="192"/>
      <c r="F1425" s="192"/>
      <c r="G1425" s="192" t="str">
        <f>IFERROR(__xludf.DUMMYFUNCTION("""COMPUTED_VALUE"""),"Rahul Emmanuel")</f>
        <v>Rahul Emmanuel</v>
      </c>
      <c r="H1425" s="192" t="str">
        <f>IFERROR(__xludf.DUMMYFUNCTION("""COMPUTED_VALUE"""),"rahul.emmanuel@zupee.in")</f>
        <v>rahul.emmanuel@zupee.in</v>
      </c>
      <c r="I1425" s="192" t="str">
        <f>IFERROR(__xludf.DUMMYFUNCTION("""COMPUTED_VALUE"""),"katha.tara@zupee.in: - Brand Marketing")</f>
        <v>katha.tara@zupee.in: - Brand Marketing</v>
      </c>
      <c r="J1425" s="19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92"/>
      <c r="B1426" s="192"/>
      <c r="C1426" s="192"/>
      <c r="D1426" s="192"/>
      <c r="E1426" s="192"/>
      <c r="F1426" s="192"/>
      <c r="G1426" s="192" t="str">
        <f>IFERROR(__xludf.DUMMYFUNCTION("""COMPUTED_VALUE"""),"Rahul Bajpai")</f>
        <v>Rahul Bajpai</v>
      </c>
      <c r="H1426" s="192" t="str">
        <f>IFERROR(__xludf.DUMMYFUNCTION("""COMPUTED_VALUE"""),"rahul.bajpai@zupee.in")</f>
        <v>rahul.bajpai@zupee.in</v>
      </c>
      <c r="I1426" s="192" t="str">
        <f>IFERROR(__xludf.DUMMYFUNCTION("""COMPUTED_VALUE"""),"akash.verma@zupee.in: - Vertical Tv")</f>
        <v>akash.verma@zupee.in: - Vertical Tv</v>
      </c>
      <c r="J1426" s="19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92"/>
      <c r="B1427" s="192"/>
      <c r="C1427" s="192"/>
      <c r="D1427" s="192"/>
      <c r="E1427" s="192"/>
      <c r="F1427" s="192"/>
      <c r="G1427" s="192" t="str">
        <f>IFERROR(__xludf.DUMMYFUNCTION("""COMPUTED_VALUE"""),"Deep Singh Mukhtiar")</f>
        <v>Deep Singh Mukhtiar</v>
      </c>
      <c r="H1427" s="192" t="str">
        <f>IFERROR(__xludf.DUMMYFUNCTION("""COMPUTED_VALUE"""),"deep.mukhtiar@zupee.in")</f>
        <v>deep.mukhtiar@zupee.in</v>
      </c>
      <c r="I1427" s="192" t="str">
        <f>IFERROR(__xludf.DUMMYFUNCTION("""COMPUTED_VALUE"""),"mohit.shandilya@zupee.in: - Vertical Tv")</f>
        <v>mohit.shandilya@zupee.in: - Vertical Tv</v>
      </c>
      <c r="J1427" s="19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92"/>
      <c r="B1428" s="192"/>
      <c r="C1428" s="192"/>
      <c r="D1428" s="192"/>
      <c r="E1428" s="192"/>
      <c r="F1428" s="192"/>
      <c r="G1428" s="192" t="str">
        <f>IFERROR(__xludf.DUMMYFUNCTION("""COMPUTED_VALUE"""),"Sigfred Dcruz")</f>
        <v>Sigfred Dcruz</v>
      </c>
      <c r="H1428" s="192" t="str">
        <f>IFERROR(__xludf.DUMMYFUNCTION("""COMPUTED_VALUE"""),"sigfred.dcruz@zupee.in")</f>
        <v>sigfred.dcruz@zupee.in</v>
      </c>
      <c r="I1428" s="192" t="str">
        <f>IFERROR(__xludf.DUMMYFUNCTION("""COMPUTED_VALUE"""),"mohit.shandilya@zupee.in: - Vertical Tv")</f>
        <v>mohit.shandilya@zupee.in: - Vertical Tv</v>
      </c>
      <c r="J1428" s="19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92"/>
      <c r="B1429" s="192"/>
      <c r="C1429" s="192"/>
      <c r="D1429" s="192"/>
      <c r="E1429" s="192"/>
      <c r="F1429" s="192"/>
      <c r="G1429" s="192" t="str">
        <f>IFERROR(__xludf.DUMMYFUNCTION("""COMPUTED_VALUE"""),"Aastha Vimal Shah")</f>
        <v>Aastha Vimal Shah</v>
      </c>
      <c r="H1429" s="192" t="str">
        <f>IFERROR(__xludf.DUMMYFUNCTION("""COMPUTED_VALUE"""),"aastha.shah@zupee.in")</f>
        <v>aastha.shah@zupee.in</v>
      </c>
      <c r="I1429" s="192" t="str">
        <f>IFERROR(__xludf.DUMMYFUNCTION("""COMPUTED_VALUE"""),"mohit.paliwal@zupee.in: - Vertical Tv")</f>
        <v>mohit.paliwal@zupee.in: - Vertical Tv</v>
      </c>
      <c r="J1429" s="19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92"/>
      <c r="B1430" s="192"/>
      <c r="C1430" s="192"/>
      <c r="D1430" s="192"/>
      <c r="E1430" s="192"/>
      <c r="F1430" s="192"/>
      <c r="G1430" s="192" t="str">
        <f>IFERROR(__xludf.DUMMYFUNCTION("""COMPUTED_VALUE"""),"Bahneman Saikia")</f>
        <v>Bahneman Saikia</v>
      </c>
      <c r="H1430" s="192" t="str">
        <f>IFERROR(__xludf.DUMMYFUNCTION("""COMPUTED_VALUE"""),"bahneman.saikia@zupee.in")</f>
        <v>bahneman.saikia@zupee.in</v>
      </c>
      <c r="I1430" s="192" t="str">
        <f>IFERROR(__xludf.DUMMYFUNCTION("""COMPUTED_VALUE"""),"mohit.shandilya@zupee.in: - Vertical Tv")</f>
        <v>mohit.shandilya@zupee.in: - Vertical Tv</v>
      </c>
      <c r="J1430" s="19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92"/>
      <c r="B1431" s="192"/>
      <c r="C1431" s="192"/>
      <c r="D1431" s="192"/>
      <c r="E1431" s="192"/>
      <c r="F1431" s="192"/>
      <c r="G1431" s="192" t="str">
        <f>IFERROR(__xludf.DUMMYFUNCTION("""COMPUTED_VALUE"""),"Deepak Upadhayay")</f>
        <v>Deepak Upadhayay</v>
      </c>
      <c r="H1431" s="192" t="str">
        <f>IFERROR(__xludf.DUMMYFUNCTION("""COMPUTED_VALUE"""),"deepak.upadhayay@zupee.in")</f>
        <v>deepak.upadhayay@zupee.in</v>
      </c>
      <c r="I1431" s="192" t="str">
        <f>IFERROR(__xludf.DUMMYFUNCTION("""COMPUTED_VALUE"""),"hitesh.vats@zupee.in: - Product")</f>
        <v>hitesh.vats@zupee.in: - Product</v>
      </c>
      <c r="J1431" s="19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92"/>
      <c r="B1432" s="192"/>
      <c r="C1432" s="192"/>
      <c r="D1432" s="192"/>
      <c r="E1432" s="192"/>
      <c r="F1432" s="192"/>
      <c r="G1432" s="192" t="str">
        <f>IFERROR(__xludf.DUMMYFUNCTION("""COMPUTED_VALUE"""),"Naman")</f>
        <v>Naman</v>
      </c>
      <c r="H1432" s="192" t="str">
        <f>IFERROR(__xludf.DUMMYFUNCTION("""COMPUTED_VALUE"""),"naman@zupee.in")</f>
        <v>naman@zupee.in</v>
      </c>
      <c r="I1432" s="192" t="str">
        <f>IFERROR(__xludf.DUMMYFUNCTION("""COMPUTED_VALUE"""),"saumil.shah@zupee.in: - Vertical Tv")</f>
        <v>saumil.shah@zupee.in: - Vertical Tv</v>
      </c>
      <c r="J1432" s="19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92"/>
      <c r="B1433" s="192"/>
      <c r="C1433" s="192"/>
      <c r="D1433" s="192"/>
      <c r="E1433" s="192"/>
      <c r="F1433" s="192"/>
      <c r="G1433" s="192" t="str">
        <f>IFERROR(__xludf.DUMMYFUNCTION("""COMPUTED_VALUE"""),"Saptarshi De")</f>
        <v>Saptarshi De</v>
      </c>
      <c r="H1433" s="192" t="str">
        <f>IFERROR(__xludf.DUMMYFUNCTION("""COMPUTED_VALUE"""),"saptarshi.de@zupee.in")</f>
        <v>saptarshi.de@zupee.in</v>
      </c>
      <c r="I1433" s="192" t="str">
        <f>IFERROR(__xludf.DUMMYFUNCTION("""COMPUTED_VALUE"""),"akash.verma@zupee.in: - Vertical Tv")</f>
        <v>akash.verma@zupee.in: - Vertical Tv</v>
      </c>
      <c r="J1433" s="19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92"/>
      <c r="B1434" s="192"/>
      <c r="C1434" s="192"/>
      <c r="D1434" s="192"/>
      <c r="E1434" s="192"/>
      <c r="F1434" s="192"/>
      <c r="G1434" s="192" t="str">
        <f>IFERROR(__xludf.DUMMYFUNCTION("""COMPUTED_VALUE"""),"Manov Bhowmick")</f>
        <v>Manov Bhowmick</v>
      </c>
      <c r="H1434" s="192" t="str">
        <f>IFERROR(__xludf.DUMMYFUNCTION("""COMPUTED_VALUE"""),"manov.bhowmick@zupee.in")</f>
        <v>manov.bhowmick@zupee.in</v>
      </c>
      <c r="I1434" s="192" t="str">
        <f>IFERROR(__xludf.DUMMYFUNCTION("""COMPUTED_VALUE"""),"mohit.shandilya@zupee.in: - Vertical Tv")</f>
        <v>mohit.shandilya@zupee.in: - Vertical Tv</v>
      </c>
      <c r="J1434" s="19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92"/>
      <c r="B1435" s="192"/>
      <c r="C1435" s="192"/>
      <c r="D1435" s="192"/>
      <c r="E1435" s="192"/>
      <c r="F1435" s="192"/>
      <c r="G1435" s="192" t="str">
        <f>IFERROR(__xludf.DUMMYFUNCTION("""COMPUTED_VALUE"""),"Dattatraya Prahlad Ghodke")</f>
        <v>Dattatraya Prahlad Ghodke</v>
      </c>
      <c r="H1435" s="192" t="str">
        <f>IFERROR(__xludf.DUMMYFUNCTION("""COMPUTED_VALUE"""),"dattatraya.ghodke@zupee.in")</f>
        <v>dattatraya.ghodke@zupee.in</v>
      </c>
      <c r="I1435" s="192" t="str">
        <f>IFERROR(__xludf.DUMMYFUNCTION("""COMPUTED_VALUE"""),"mohit@zupee.in: - Vertical Tv")</f>
        <v>mohit@zupee.in: - Vertical Tv</v>
      </c>
      <c r="J1435" s="19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92"/>
      <c r="B1436" s="192"/>
      <c r="C1436" s="192"/>
      <c r="D1436" s="192"/>
      <c r="E1436" s="192"/>
      <c r="F1436" s="192"/>
      <c r="G1436" s="192" t="str">
        <f>IFERROR(__xludf.DUMMYFUNCTION("""COMPUTED_VALUE"""),"Sumit Kumar")</f>
        <v>Sumit Kumar</v>
      </c>
      <c r="H1436" s="192" t="str">
        <f>IFERROR(__xludf.DUMMYFUNCTION("""COMPUTED_VALUE"""),"sumit.kumar1@zupee.in")</f>
        <v>sumit.kumar1@zupee.in</v>
      </c>
      <c r="I1436" s="192" t="str">
        <f>IFERROR(__xludf.DUMMYFUNCTION("""COMPUTED_VALUE"""),"sagarika.sarin@zupee.in: - Finance")</f>
        <v>sagarika.sarin@zupee.in: - Finance</v>
      </c>
      <c r="J1436" s="19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92"/>
      <c r="B1437" s="192"/>
      <c r="C1437" s="192"/>
      <c r="D1437" s="192"/>
      <c r="E1437" s="192"/>
      <c r="F1437" s="192"/>
      <c r="G1437" s="192" t="str">
        <f>IFERROR(__xludf.DUMMYFUNCTION("""COMPUTED_VALUE"""),"Rohit Kumar Sharma")</f>
        <v>Rohit Kumar Sharma</v>
      </c>
      <c r="H1437" s="192" t="str">
        <f>IFERROR(__xludf.DUMMYFUNCTION("""COMPUTED_VALUE"""),"rohit.sharma@zupee.in")</f>
        <v>rohit.sharma@zupee.in</v>
      </c>
      <c r="I1437" s="192" t="str">
        <f>IFERROR(__xludf.DUMMYFUNCTION("""COMPUTED_VALUE"""),"nilushanan.kulasingham@zupee.in: - Nucanon")</f>
        <v>nilushanan.kulasingham@zupee.in: - Nucanon</v>
      </c>
      <c r="J1437" s="19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92"/>
      <c r="B1438" s="192"/>
      <c r="C1438" s="192"/>
      <c r="D1438" s="192"/>
      <c r="E1438" s="192"/>
      <c r="F1438" s="192"/>
      <c r="G1438" s="192" t="str">
        <f>IFERROR(__xludf.DUMMYFUNCTION("""COMPUTED_VALUE"""),"Suraj Jalindar Pol")</f>
        <v>Suraj Jalindar Pol</v>
      </c>
      <c r="H1438" s="192" t="str">
        <f>IFERROR(__xludf.DUMMYFUNCTION("""COMPUTED_VALUE"""),"suraj.pol@zupee.in")</f>
        <v>suraj.pol@zupee.in</v>
      </c>
      <c r="I1438" s="192" t="str">
        <f>IFERROR(__xludf.DUMMYFUNCTION("""COMPUTED_VALUE"""),"mohit.shandilya@zupee.in: - Vertical Tv")</f>
        <v>mohit.shandilya@zupee.in: - Vertical Tv</v>
      </c>
      <c r="J1438" s="19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92"/>
      <c r="B1439" s="192"/>
      <c r="C1439" s="192"/>
      <c r="D1439" s="192"/>
      <c r="E1439" s="192"/>
      <c r="F1439" s="192"/>
      <c r="G1439" s="192" t="str">
        <f>IFERROR(__xludf.DUMMYFUNCTION("""COMPUTED_VALUE"""),"Nikhil Chand")</f>
        <v>Nikhil Chand</v>
      </c>
      <c r="H1439" s="192" t="str">
        <f>IFERROR(__xludf.DUMMYFUNCTION("""COMPUTED_VALUE"""),"nikhil.chand@zupee.in")</f>
        <v>nikhil.chand@zupee.in</v>
      </c>
      <c r="I1439" s="192" t="str">
        <f>IFERROR(__xludf.DUMMYFUNCTION("""COMPUTED_VALUE"""),"mohit@zupee.in: - Vertical Tv")</f>
        <v>mohit@zupee.in: - Vertical Tv</v>
      </c>
      <c r="J1439" s="19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92"/>
      <c r="B1440" s="192"/>
      <c r="C1440" s="192"/>
      <c r="D1440" s="192"/>
      <c r="E1440" s="192"/>
      <c r="F1440" s="192"/>
      <c r="G1440" s="192" t="str">
        <f>IFERROR(__xludf.DUMMYFUNCTION("""COMPUTED_VALUE"""),"Promo Editor")</f>
        <v>Promo Editor</v>
      </c>
      <c r="H1440" s="192" t="str">
        <f>IFERROR(__xludf.DUMMYFUNCTION("""COMPUTED_VALUE"""),"promo.editor@zupee.in")</f>
        <v>promo.editor@zupee.in</v>
      </c>
      <c r="I1440" s="192" t="str">
        <f>IFERROR(__xludf.DUMMYFUNCTION("""COMPUTED_VALUE"""),"akash.verma@zupee.in: - Vertical Tv")</f>
        <v>akash.verma@zupee.in: - Vertical Tv</v>
      </c>
      <c r="J1440" s="19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92"/>
      <c r="B1441" s="192"/>
      <c r="C1441" s="192"/>
      <c r="D1441" s="192"/>
      <c r="E1441" s="192"/>
      <c r="F1441" s="192"/>
      <c r="G1441" s="192" t="str">
        <f>IFERROR(__xludf.DUMMYFUNCTION("""COMPUTED_VALUE"""),"Prashant Kumar")</f>
        <v>Prashant Kumar</v>
      </c>
      <c r="H1441" s="192" t="str">
        <f>IFERROR(__xludf.DUMMYFUNCTION("""COMPUTED_VALUE"""),"prashant.kumar1@zupee.in")</f>
        <v>prashant.kumar1@zupee.in</v>
      </c>
      <c r="I1441" s="192" t="str">
        <f>IFERROR(__xludf.DUMMYFUNCTION("""COMPUTED_VALUE"""),"aastha.shah@zupee.in: - Vertical Tv")</f>
        <v>aastha.shah@zupee.in: - Vertical Tv</v>
      </c>
      <c r="J1441" s="19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92"/>
      <c r="B1442" s="192"/>
      <c r="C1442" s="192"/>
      <c r="D1442" s="192"/>
      <c r="E1442" s="192"/>
      <c r="F1442" s="192"/>
      <c r="G1442" s="192" t="str">
        <f>IFERROR(__xludf.DUMMYFUNCTION("""COMPUTED_VALUE"""),"Abhijeet Purohit")</f>
        <v>Abhijeet Purohit</v>
      </c>
      <c r="H1442" s="192" t="str">
        <f>IFERROR(__xludf.DUMMYFUNCTION("""COMPUTED_VALUE"""),"abhijeet.purohit@zupee.in")</f>
        <v>abhijeet.purohit@zupee.in</v>
      </c>
      <c r="I1442" s="192" t="str">
        <f>IFERROR(__xludf.DUMMYFUNCTION("""COMPUTED_VALUE"""),"mohit@zupee.in: - Vertical Tv")</f>
        <v>mohit@zupee.in: - Vertical Tv</v>
      </c>
      <c r="J1442" s="19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92"/>
      <c r="B1443" s="192"/>
      <c r="C1443" s="192"/>
      <c r="D1443" s="192"/>
      <c r="E1443" s="192"/>
      <c r="F1443" s="192"/>
      <c r="G1443" s="192" t="str">
        <f>IFERROR(__xludf.DUMMYFUNCTION("""COMPUTED_VALUE"""),"Raunak Rajawant Singh")</f>
        <v>Raunak Rajawant Singh</v>
      </c>
      <c r="H1443" s="192" t="str">
        <f>IFERROR(__xludf.DUMMYFUNCTION("""COMPUTED_VALUE"""),"raunak.singh@zupee.in")</f>
        <v>raunak.singh@zupee.in</v>
      </c>
      <c r="I1443" s="192" t="str">
        <f>IFERROR(__xludf.DUMMYFUNCTION("""COMPUTED_VALUE"""),"anup.thanvi@zupee.in: - Vertical Tv")</f>
        <v>anup.thanvi@zupee.in: - Vertical Tv</v>
      </c>
      <c r="J1443" s="19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92"/>
      <c r="B1444" s="192"/>
      <c r="C1444" s="192"/>
      <c r="D1444" s="192"/>
      <c r="E1444" s="192"/>
      <c r="F1444" s="192"/>
      <c r="G1444" s="192" t="str">
        <f>IFERROR(__xludf.DUMMYFUNCTION("""COMPUTED_VALUE"""),"Aashita Jain")</f>
        <v>Aashita Jain</v>
      </c>
      <c r="H1444" s="192" t="str">
        <f>IFERROR(__xludf.DUMMYFUNCTION("""COMPUTED_VALUE"""),"aashita.jain@zupee.in")</f>
        <v>aashita.jain@zupee.in</v>
      </c>
      <c r="I1444" s="192" t="str">
        <f>IFERROR(__xludf.DUMMYFUNCTION("""COMPUTED_VALUE"""),"nishant.jaiswal@zupee.in: - Digital Marketing")</f>
        <v>nishant.jaiswal@zupee.in: - Digital Marketing</v>
      </c>
      <c r="J1444" s="19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92"/>
      <c r="B1445" s="192"/>
      <c r="C1445" s="192"/>
      <c r="D1445" s="192"/>
      <c r="E1445" s="192"/>
      <c r="F1445" s="192"/>
      <c r="G1445" s="192" t="str">
        <f>IFERROR(__xludf.DUMMYFUNCTION("""COMPUTED_VALUE"""),"Nupur Aggarwal")</f>
        <v>Nupur Aggarwal</v>
      </c>
      <c r="H1445" s="192" t="str">
        <f>IFERROR(__xludf.DUMMYFUNCTION("""COMPUTED_VALUE"""),"nupur.aggarwal@zupee.in")</f>
        <v>nupur.aggarwal@zupee.in</v>
      </c>
      <c r="I1445" s="192" t="str">
        <f>IFERROR(__xludf.DUMMYFUNCTION("""COMPUTED_VALUE"""),"hitesh.vats@zupee.in: - Finance")</f>
        <v>hitesh.vats@zupee.in: - Finance</v>
      </c>
      <c r="J1445" s="19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92"/>
      <c r="B1446" s="192"/>
      <c r="C1446" s="192"/>
      <c r="D1446" s="192"/>
      <c r="E1446" s="192"/>
      <c r="F1446" s="192"/>
      <c r="G1446" s="192" t="str">
        <f>IFERROR(__xludf.DUMMYFUNCTION("""COMPUTED_VALUE"""),"Ganesh Balaso Karande")</f>
        <v>Ganesh Balaso Karande</v>
      </c>
      <c r="H1446" s="192" t="str">
        <f>IFERROR(__xludf.DUMMYFUNCTION("""COMPUTED_VALUE"""),"ganesh.karande@zupee.in")</f>
        <v>ganesh.karande@zupee.in</v>
      </c>
      <c r="I1446" s="192" t="str">
        <f>IFERROR(__xludf.DUMMYFUNCTION("""COMPUTED_VALUE"""),"mohit.shandilya@zupee.in: - Vertical Tv")</f>
        <v>mohit.shandilya@zupee.in: - Vertical Tv</v>
      </c>
      <c r="J1446" s="19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92"/>
      <c r="B1447" s="192"/>
      <c r="C1447" s="192"/>
      <c r="D1447" s="192"/>
      <c r="E1447" s="192"/>
      <c r="F1447" s="192"/>
      <c r="G1447" s="192" t="str">
        <f>IFERROR(__xludf.DUMMYFUNCTION("""COMPUTED_VALUE"""),"Albina Chishty")</f>
        <v>Albina Chishty</v>
      </c>
      <c r="H1447" s="192" t="str">
        <f>IFERROR(__xludf.DUMMYFUNCTION("""COMPUTED_VALUE"""),"albina.chishty@zupee.in")</f>
        <v>albina.chishty@zupee.in</v>
      </c>
      <c r="I1447" s="192" t="str">
        <f>IFERROR(__xludf.DUMMYFUNCTION("""COMPUTED_VALUE"""),"akash.verma@zupee.in: - Vertical Tv")</f>
        <v>akash.verma@zupee.in: - Vertical Tv</v>
      </c>
      <c r="J1447" s="19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92"/>
      <c r="B1448" s="192"/>
      <c r="C1448" s="192"/>
      <c r="D1448" s="192"/>
      <c r="E1448" s="192"/>
      <c r="F1448" s="192"/>
      <c r="G1448" s="192" t="str">
        <f>IFERROR(__xludf.DUMMYFUNCTION("""COMPUTED_VALUE"""),"Vrushali Prabhakar Sayam")</f>
        <v>Vrushali Prabhakar Sayam</v>
      </c>
      <c r="H1448" s="192" t="str">
        <f>IFERROR(__xludf.DUMMYFUNCTION("""COMPUTED_VALUE"""),"vrushali.sayam@zupee.in")</f>
        <v>vrushali.sayam@zupee.in</v>
      </c>
      <c r="I1448" s="192" t="str">
        <f>IFERROR(__xludf.DUMMYFUNCTION("""COMPUTED_VALUE"""),"mohit.shandilya@zupee.in: - Vertical Tv")</f>
        <v>mohit.shandilya@zupee.in: - Vertical Tv</v>
      </c>
      <c r="J1448" s="19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92"/>
      <c r="B1449" s="192"/>
      <c r="C1449" s="192"/>
      <c r="D1449" s="192"/>
      <c r="E1449" s="192"/>
      <c r="F1449" s="192"/>
      <c r="G1449" s="192" t="str">
        <f>IFERROR(__xludf.DUMMYFUNCTION("""COMPUTED_VALUE"""),"Tushar Gulati")</f>
        <v>Tushar Gulati</v>
      </c>
      <c r="H1449" s="192" t="str">
        <f>IFERROR(__xludf.DUMMYFUNCTION("""COMPUTED_VALUE"""),"tushar.gulati@zupee.in")</f>
        <v>tushar.gulati@zupee.in</v>
      </c>
      <c r="I1449" s="192" t="str">
        <f>IFERROR(__xludf.DUMMYFUNCTION("""COMPUTED_VALUE"""),"anup.thanvi@zupee.in: - Vertical Tv")</f>
        <v>anup.thanvi@zupee.in: - Vertical Tv</v>
      </c>
      <c r="J1449" s="19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92"/>
      <c r="B1450" s="192"/>
      <c r="C1450" s="192"/>
      <c r="D1450" s="192"/>
      <c r="E1450" s="192"/>
      <c r="F1450" s="192"/>
      <c r="G1450" s="192" t="str">
        <f>IFERROR(__xludf.DUMMYFUNCTION("""COMPUTED_VALUE"""),"Pranay Kumar")</f>
        <v>Pranay Kumar</v>
      </c>
      <c r="H1450" s="192" t="str">
        <f>IFERROR(__xludf.DUMMYFUNCTION("""COMPUTED_VALUE"""),"pranay.kumar@zupee.in")</f>
        <v>pranay.kumar@zupee.in</v>
      </c>
      <c r="I1450" s="192" t="str">
        <f>IFERROR(__xludf.DUMMYFUNCTION("""COMPUTED_VALUE"""),"aastha.shah@zupee.in: - Vertical Tv")</f>
        <v>aastha.shah@zupee.in: - Vertical Tv</v>
      </c>
      <c r="J1450" s="19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92"/>
      <c r="B1451" s="192"/>
      <c r="C1451" s="192"/>
      <c r="D1451" s="192"/>
      <c r="E1451" s="192"/>
      <c r="F1451" s="192"/>
      <c r="G1451" s="192" t="str">
        <f>IFERROR(__xludf.DUMMYFUNCTION("""COMPUTED_VALUE"""),"Jahanvi Bhagat")</f>
        <v>Jahanvi Bhagat</v>
      </c>
      <c r="H1451" s="192" t="str">
        <f>IFERROR(__xludf.DUMMYFUNCTION("""COMPUTED_VALUE"""),"jahanvi.bhagat@zupee.in")</f>
        <v>jahanvi.bhagat@zupee.in</v>
      </c>
      <c r="I1451" s="192" t="str">
        <f>IFERROR(__xludf.DUMMYFUNCTION("""COMPUTED_VALUE"""),"anup.thanvi@zupee.in: - Vertical Tv")</f>
        <v>anup.thanvi@zupee.in: - Vertical Tv</v>
      </c>
      <c r="J1451" s="19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92"/>
      <c r="B1452" s="192"/>
      <c r="C1452" s="192"/>
      <c r="D1452" s="192"/>
      <c r="E1452" s="192"/>
      <c r="F1452" s="192"/>
      <c r="G1452" s="192" t="str">
        <f>IFERROR(__xludf.DUMMYFUNCTION("""COMPUTED_VALUE"""),"Suneel Kumar")</f>
        <v>Suneel Kumar</v>
      </c>
      <c r="H1452" s="192" t="str">
        <f>IFERROR(__xludf.DUMMYFUNCTION("""COMPUTED_VALUE"""),"suneel.kumar@zupee.in")</f>
        <v>suneel.kumar@zupee.in</v>
      </c>
      <c r="I1452" s="192" t="str">
        <f>IFERROR(__xludf.DUMMYFUNCTION("""COMPUTED_VALUE"""),"aastha.shah@zupee.in: - Vertical Tv")</f>
        <v>aastha.shah@zupee.in: - Vertical Tv</v>
      </c>
      <c r="J1452" s="19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92"/>
      <c r="B1453" s="192"/>
      <c r="C1453" s="192"/>
      <c r="D1453" s="192"/>
      <c r="E1453" s="192"/>
      <c r="F1453" s="192"/>
      <c r="G1453" s="192" t="str">
        <f>IFERROR(__xludf.DUMMYFUNCTION("""COMPUTED_VALUE"""),"Pratik Anil Toradmal")</f>
        <v>Pratik Anil Toradmal</v>
      </c>
      <c r="H1453" s="192" t="str">
        <f>IFERROR(__xludf.DUMMYFUNCTION("""COMPUTED_VALUE"""),"pratik.toradmal@zupee.in")</f>
        <v>pratik.toradmal@zupee.in</v>
      </c>
      <c r="I1453" s="192" t="str">
        <f>IFERROR(__xludf.DUMMYFUNCTION("""COMPUTED_VALUE"""),"aastha.shah@zupee.in: - Vertical Tv")</f>
        <v>aastha.shah@zupee.in: - Vertical Tv</v>
      </c>
      <c r="J1453" s="19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92"/>
      <c r="B1454" s="192"/>
      <c r="C1454" s="192"/>
      <c r="D1454" s="192"/>
      <c r="E1454" s="192"/>
      <c r="F1454" s="192"/>
      <c r="G1454" s="192" t="str">
        <f>IFERROR(__xludf.DUMMYFUNCTION("""COMPUTED_VALUE"""),"Finance Temp")</f>
        <v>Finance Temp</v>
      </c>
      <c r="H1454" s="192" t="str">
        <f>IFERROR(__xludf.DUMMYFUNCTION("""COMPUTED_VALUE"""),"finance.temp@zupee.in")</f>
        <v>finance.temp@zupee.in</v>
      </c>
      <c r="I1454" s="192" t="str">
        <f>IFERROR(__xludf.DUMMYFUNCTION("""COMPUTED_VALUE"""),"ankit.maheshwari@zupee.in: - ")</f>
        <v>ankit.maheshwari@zupee.in: - </v>
      </c>
      <c r="J1454" s="19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92"/>
      <c r="B1455" s="192"/>
      <c r="C1455" s="192"/>
      <c r="D1455" s="192"/>
      <c r="E1455" s="192"/>
      <c r="F1455" s="192"/>
      <c r="G1455" s="192" t="str">
        <f>IFERROR(__xludf.DUMMYFUNCTION("""COMPUTED_VALUE"""),"Nandan Sharma")</f>
        <v>Nandan Sharma</v>
      </c>
      <c r="H1455" s="192" t="str">
        <f>IFERROR(__xludf.DUMMYFUNCTION("""COMPUTED_VALUE"""),"nandan.sharma@zupee.in")</f>
        <v>nandan.sharma@zupee.in</v>
      </c>
      <c r="I1455" s="192" t="str">
        <f>IFERROR(__xludf.DUMMYFUNCTION("""COMPUTED_VALUE"""),"dilsher.malhi@zupee.in: - Strategy")</f>
        <v>dilsher.malhi@zupee.in: - Strategy</v>
      </c>
      <c r="J1455" s="19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92"/>
      <c r="B1456" s="192"/>
      <c r="C1456" s="192"/>
      <c r="D1456" s="192"/>
      <c r="E1456" s="192"/>
      <c r="F1456" s="192"/>
      <c r="G1456" s="192" t="str">
        <f>IFERROR(__xludf.DUMMYFUNCTION("""COMPUTED_VALUE"""),"Devika Prakash")</f>
        <v>Devika Prakash</v>
      </c>
      <c r="H1456" s="192" t="str">
        <f>IFERROR(__xludf.DUMMYFUNCTION("""COMPUTED_VALUE"""),"devika.prakash@zupee.in")</f>
        <v>devika.prakash@zupee.in</v>
      </c>
      <c r="I1456" s="192" t="str">
        <f>IFERROR(__xludf.DUMMYFUNCTION("""COMPUTED_VALUE"""),"katha.tara@zupee.in: - Brand Marketing")</f>
        <v>katha.tara@zupee.in: - Brand Marketing</v>
      </c>
      <c r="J1456" s="19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92"/>
      <c r="B1457" s="192"/>
      <c r="C1457" s="192"/>
      <c r="D1457" s="192"/>
      <c r="E1457" s="192"/>
      <c r="F1457" s="192"/>
      <c r="G1457" s="192" t="str">
        <f>IFERROR(__xludf.DUMMYFUNCTION("""COMPUTED_VALUE"""),"Chhavi Joshi")</f>
        <v>Chhavi Joshi</v>
      </c>
      <c r="H1457" s="192" t="str">
        <f>IFERROR(__xludf.DUMMYFUNCTION("""COMPUTED_VALUE"""),"chhavi.joshi@zupee.in")</f>
        <v>chhavi.joshi@zupee.in</v>
      </c>
      <c r="I1457" s="192" t="str">
        <f>IFERROR(__xludf.DUMMYFUNCTION("""COMPUTED_VALUE"""),"katha.tara@zupee.in: - Brand Marketing")</f>
        <v>katha.tara@zupee.in: - Brand Marketing</v>
      </c>
      <c r="J1457" s="19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92"/>
      <c r="B1458" s="192"/>
      <c r="C1458" s="192"/>
      <c r="D1458" s="192"/>
      <c r="E1458" s="192"/>
      <c r="F1458" s="192"/>
      <c r="G1458" s="192" t="str">
        <f>IFERROR(__xludf.DUMMYFUNCTION("""COMPUTED_VALUE"""),"Yogesh Ravindra Prajapati")</f>
        <v>Yogesh Ravindra Prajapati</v>
      </c>
      <c r="H1458" s="192" t="str">
        <f>IFERROR(__xludf.DUMMYFUNCTION("""COMPUTED_VALUE"""),"yogesh.prajapati@zupee.in")</f>
        <v>yogesh.prajapati@zupee.in</v>
      </c>
      <c r="I1458" s="192" t="str">
        <f>IFERROR(__xludf.DUMMYFUNCTION("""COMPUTED_VALUE"""),"mohit.shandilya@zupee.in: - Vertical Tv")</f>
        <v>mohit.shandilya@zupee.in: - Vertical Tv</v>
      </c>
      <c r="J1458" s="19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92"/>
      <c r="B1459" s="192"/>
      <c r="C1459" s="192"/>
      <c r="D1459" s="192"/>
      <c r="E1459" s="192"/>
      <c r="F1459" s="192"/>
      <c r="G1459" s="192" t="str">
        <f>IFERROR(__xludf.DUMMYFUNCTION("""COMPUTED_VALUE"""),"Sound Verticaltv1")</f>
        <v>Sound Verticaltv1</v>
      </c>
      <c r="H1459" s="192" t="str">
        <f>IFERROR(__xludf.DUMMYFUNCTION("""COMPUTED_VALUE"""),"sound.verticaltv1@zupee.in")</f>
        <v>sound.verticaltv1@zupee.in</v>
      </c>
      <c r="I1459" s="192" t="str">
        <f>IFERROR(__xludf.DUMMYFUNCTION("""COMPUTED_VALUE"""),"mohit.shandilya@zupee.in: - Vertical Tv")</f>
        <v>mohit.shandilya@zupee.in: - Vertical Tv</v>
      </c>
      <c r="J1459" s="19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92"/>
      <c r="B1460" s="192"/>
      <c r="C1460" s="192"/>
      <c r="D1460" s="192"/>
      <c r="E1460" s="192"/>
      <c r="F1460" s="192"/>
      <c r="G1460" s="192" t="str">
        <f>IFERROR(__xludf.DUMMYFUNCTION("""COMPUTED_VALUE"""),"Sound Verticaltv2")</f>
        <v>Sound Verticaltv2</v>
      </c>
      <c r="H1460" s="192" t="str">
        <f>IFERROR(__xludf.DUMMYFUNCTION("""COMPUTED_VALUE"""),"sound.verticaltv2@zupee.in")</f>
        <v>sound.verticaltv2@zupee.in</v>
      </c>
      <c r="I1460" s="192" t="str">
        <f>IFERROR(__xludf.DUMMYFUNCTION("""COMPUTED_VALUE"""),"mohit.shandilya@zupee.in: - Vertical Tv")</f>
        <v>mohit.shandilya@zupee.in: - Vertical Tv</v>
      </c>
      <c r="J1460" s="19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92"/>
      <c r="B1461" s="192"/>
      <c r="C1461" s="192"/>
      <c r="D1461" s="192"/>
      <c r="E1461" s="192"/>
      <c r="F1461" s="192"/>
      <c r="G1461" s="192" t="str">
        <f>IFERROR(__xludf.DUMMYFUNCTION("""COMPUTED_VALUE"""),"Sound Verticaltv3")</f>
        <v>Sound Verticaltv3</v>
      </c>
      <c r="H1461" s="192" t="str">
        <f>IFERROR(__xludf.DUMMYFUNCTION("""COMPUTED_VALUE"""),"sound.verticaltv3@zupee.in")</f>
        <v>sound.verticaltv3@zupee.in</v>
      </c>
      <c r="I1461" s="192" t="str">
        <f>IFERROR(__xludf.DUMMYFUNCTION("""COMPUTED_VALUE"""),"mohit.shandilya@zupee.in: - Vertical Tv")</f>
        <v>mohit.shandilya@zupee.in: - Vertical Tv</v>
      </c>
      <c r="J1461" s="19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92"/>
      <c r="B1462" s="192"/>
      <c r="C1462" s="192"/>
      <c r="D1462" s="192"/>
      <c r="E1462" s="192"/>
      <c r="F1462" s="192"/>
      <c r="G1462" s="192" t="str">
        <f>IFERROR(__xludf.DUMMYFUNCTION("""COMPUTED_VALUE"""),"Sound Verticaltv4")</f>
        <v>Sound Verticaltv4</v>
      </c>
      <c r="H1462" s="192" t="str">
        <f>IFERROR(__xludf.DUMMYFUNCTION("""COMPUTED_VALUE"""),"sound.verticaltv4@zupee.in")</f>
        <v>sound.verticaltv4@zupee.in</v>
      </c>
      <c r="I1462" s="192" t="str">
        <f>IFERROR(__xludf.DUMMYFUNCTION("""COMPUTED_VALUE"""),"mohit.shandilya@zupee.in: - Vertical Tv")</f>
        <v>mohit.shandilya@zupee.in: - Vertical Tv</v>
      </c>
      <c r="J1462" s="19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92"/>
      <c r="B1463" s="192"/>
      <c r="C1463" s="192"/>
      <c r="D1463" s="192"/>
      <c r="E1463" s="192"/>
      <c r="F1463" s="192"/>
      <c r="G1463" s="192" t="str">
        <f>IFERROR(__xludf.DUMMYFUNCTION("""COMPUTED_VALUE"""),"Sound Verticaltv5")</f>
        <v>Sound Verticaltv5</v>
      </c>
      <c r="H1463" s="192" t="str">
        <f>IFERROR(__xludf.DUMMYFUNCTION("""COMPUTED_VALUE"""),"sound.verticaltv5@zupee.in")</f>
        <v>sound.verticaltv5@zupee.in</v>
      </c>
      <c r="I1463" s="192" t="str">
        <f>IFERROR(__xludf.DUMMYFUNCTION("""COMPUTED_VALUE"""),"mohit.shandilya@zupee.in: - Vertical Tv")</f>
        <v>mohit.shandilya@zupee.in: - Vertical Tv</v>
      </c>
      <c r="J1463" s="19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92"/>
      <c r="B1464" s="192"/>
      <c r="C1464" s="192"/>
      <c r="D1464" s="192"/>
      <c r="E1464" s="192"/>
      <c r="F1464" s="192"/>
      <c r="G1464" s="192" t="str">
        <f>IFERROR(__xludf.DUMMYFUNCTION("""COMPUTED_VALUE"""),"Postprod1 Verticaltv")</f>
        <v>Postprod1 Verticaltv</v>
      </c>
      <c r="H1464" s="192" t="str">
        <f>IFERROR(__xludf.DUMMYFUNCTION("""COMPUTED_VALUE"""),"postprod1.verticaltv@zupee.in")</f>
        <v>postprod1.verticaltv@zupee.in</v>
      </c>
      <c r="I1464" s="192" t="str">
        <f>IFERROR(__xludf.DUMMYFUNCTION("""COMPUTED_VALUE"""),"mohit.shandilya@zupee.in: - Vertical Tv")</f>
        <v>mohit.shandilya@zupee.in: - Vertical Tv</v>
      </c>
      <c r="J1464" s="19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92"/>
      <c r="B1465" s="192"/>
      <c r="C1465" s="192"/>
      <c r="D1465" s="192"/>
      <c r="E1465" s="192"/>
      <c r="F1465" s="192"/>
      <c r="G1465" s="192" t="str">
        <f>IFERROR(__xludf.DUMMYFUNCTION("""COMPUTED_VALUE"""),"Fuzail Mushir")</f>
        <v>Fuzail Mushir</v>
      </c>
      <c r="H1465" s="192" t="str">
        <f>IFERROR(__xludf.DUMMYFUNCTION("""COMPUTED_VALUE"""),"fuzail.mushir@zupee.in")</f>
        <v>fuzail.mushir@zupee.in</v>
      </c>
      <c r="I1465" s="192" t="str">
        <f>IFERROR(__xludf.DUMMYFUNCTION("""COMPUTED_VALUE"""),"mohit.shandilya@zupee.in: - Vertical Tv")</f>
        <v>mohit.shandilya@zupee.in: - Vertical Tv</v>
      </c>
      <c r="J1465" s="19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92"/>
      <c r="B1466" s="192"/>
      <c r="C1466" s="192"/>
      <c r="D1466" s="192"/>
      <c r="E1466" s="192"/>
      <c r="F1466" s="192"/>
      <c r="G1466" s="192" t="str">
        <f>IFERROR(__xludf.DUMMYFUNCTION("""COMPUTED_VALUE"""),"Ritesh Kumar")</f>
        <v>Ritesh Kumar</v>
      </c>
      <c r="H1466" s="192" t="str">
        <f>IFERROR(__xludf.DUMMYFUNCTION("""COMPUTED_VALUE"""),"ritesh.kumar@zupee.in")</f>
        <v>ritesh.kumar@zupee.in</v>
      </c>
      <c r="I1466" s="192" t="str">
        <f>IFERROR(__xludf.DUMMYFUNCTION("""COMPUTED_VALUE"""),"akash.verma@zupee.in: - Vertical Tv")</f>
        <v>akash.verma@zupee.in: - Vertical Tv</v>
      </c>
      <c r="J1466" s="19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92"/>
      <c r="B1467" s="192"/>
      <c r="C1467" s="192"/>
      <c r="D1467" s="192"/>
      <c r="E1467" s="192"/>
      <c r="F1467" s="192"/>
      <c r="G1467" s="192" t="str">
        <f>IFERROR(__xludf.DUMMYFUNCTION("""COMPUTED_VALUE"""),"Akshay Vidyanand Katkar")</f>
        <v>Akshay Vidyanand Katkar</v>
      </c>
      <c r="H1467" s="192" t="str">
        <f>IFERROR(__xludf.DUMMYFUNCTION("""COMPUTED_VALUE"""),"akshay.katkar@zupee.in")</f>
        <v>akshay.katkar@zupee.in</v>
      </c>
      <c r="I1467" s="192" t="str">
        <f>IFERROR(__xludf.DUMMYFUNCTION("""COMPUTED_VALUE"""),"akash.verma@zupee.in: - Vertical Tv")</f>
        <v>akash.verma@zupee.in: - Vertical Tv</v>
      </c>
      <c r="J1467" s="19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92"/>
      <c r="B1468" s="192"/>
      <c r="C1468" s="192"/>
      <c r="D1468" s="192"/>
      <c r="E1468" s="192"/>
      <c r="F1468" s="192"/>
      <c r="G1468" s="192" t="str">
        <f>IFERROR(__xludf.DUMMYFUNCTION("""COMPUTED_VALUE"""),"Avirath Kadam")</f>
        <v>Avirath Kadam</v>
      </c>
      <c r="H1468" s="192" t="str">
        <f>IFERROR(__xludf.DUMMYFUNCTION("""COMPUTED_VALUE"""),"avirath.kadam@zupee.in")</f>
        <v>avirath.kadam@zupee.in</v>
      </c>
      <c r="I1468" s="192" t="str">
        <f>IFERROR(__xludf.DUMMYFUNCTION("""COMPUTED_VALUE"""),"mohit.shandilya@zupee.in: - Vertical Tv")</f>
        <v>mohit.shandilya@zupee.in: - Vertical Tv</v>
      </c>
      <c r="J1468" s="19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92"/>
      <c r="B1469" s="192"/>
      <c r="C1469" s="192"/>
      <c r="D1469" s="192"/>
      <c r="E1469" s="192"/>
      <c r="F1469" s="192"/>
      <c r="G1469" s="192" t="str">
        <f>IFERROR(__xludf.DUMMYFUNCTION("""COMPUTED_VALUE"""),"Arshdeep Kaur")</f>
        <v>Arshdeep Kaur</v>
      </c>
      <c r="H1469" s="192" t="str">
        <f>IFERROR(__xludf.DUMMYFUNCTION("""COMPUTED_VALUE"""),"arshdeep.kaur@zupee.in")</f>
        <v>arshdeep.kaur@zupee.in</v>
      </c>
      <c r="I1469" s="192" t="str">
        <f>IFERROR(__xludf.DUMMYFUNCTION("""COMPUTED_VALUE"""),"mohit.shandilya@zupee.in: - Vertical Tv")</f>
        <v>mohit.shandilya@zupee.in: - Vertical Tv</v>
      </c>
      <c r="J1469" s="19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92"/>
      <c r="B1470" s="192"/>
      <c r="C1470" s="192"/>
      <c r="D1470" s="192"/>
      <c r="E1470" s="192"/>
      <c r="F1470" s="192"/>
      <c r="G1470" s="192" t="str">
        <f>IFERROR(__xludf.DUMMYFUNCTION("""COMPUTED_VALUE"""),"Sourav Ganguly")</f>
        <v>Sourav Ganguly</v>
      </c>
      <c r="H1470" s="192" t="str">
        <f>IFERROR(__xludf.DUMMYFUNCTION("""COMPUTED_VALUE"""),"sourav.ganguly@zupee.in")</f>
        <v>sourav.ganguly@zupee.in</v>
      </c>
      <c r="I1470" s="192" t="str">
        <f>IFERROR(__xludf.DUMMYFUNCTION("""COMPUTED_VALUE"""),"mohit.shandilya@zupee.in: - Vertical Tv")</f>
        <v>mohit.shandilya@zupee.in: - Vertical Tv</v>
      </c>
      <c r="J1470" s="19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92"/>
      <c r="B1471" s="192"/>
      <c r="C1471" s="192"/>
      <c r="D1471" s="192"/>
      <c r="E1471" s="192"/>
      <c r="F1471" s="192"/>
      <c r="G1471" s="192" t="str">
        <f>IFERROR(__xludf.DUMMYFUNCTION("""COMPUTED_VALUE"""),"Suraj Ganesh Ubale")</f>
        <v>Suraj Ganesh Ubale</v>
      </c>
      <c r="H1471" s="192" t="str">
        <f>IFERROR(__xludf.DUMMYFUNCTION("""COMPUTED_VALUE"""),"suraj.ubale@zupee.in")</f>
        <v>suraj.ubale@zupee.in</v>
      </c>
      <c r="I1471" s="192" t="str">
        <f>IFERROR(__xludf.DUMMYFUNCTION("""COMPUTED_VALUE"""),"mohit.shandilya@zupee.in: - Vertical Tv")</f>
        <v>mohit.shandilya@zupee.in: - Vertical Tv</v>
      </c>
      <c r="J1471" s="19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92"/>
      <c r="B1472" s="192"/>
      <c r="C1472" s="192"/>
      <c r="D1472" s="192"/>
      <c r="E1472" s="192"/>
      <c r="F1472" s="192"/>
      <c r="G1472" s="192" t="str">
        <f>IFERROR(__xludf.DUMMYFUNCTION("""COMPUTED_VALUE"""),"Shaad Salim Attar")</f>
        <v>Shaad Salim Attar</v>
      </c>
      <c r="H1472" s="192" t="str">
        <f>IFERROR(__xludf.DUMMYFUNCTION("""COMPUTED_VALUE"""),"shaad.attar@zupee.in")</f>
        <v>shaad.attar@zupee.in</v>
      </c>
      <c r="I1472" s="192" t="str">
        <f>IFERROR(__xludf.DUMMYFUNCTION("""COMPUTED_VALUE"""),"aastha.shah@zupee.in: - Vertical Tv")</f>
        <v>aastha.shah@zupee.in: - Vertical Tv</v>
      </c>
      <c r="J1472" s="19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92"/>
      <c r="B1473" s="192"/>
      <c r="C1473" s="192"/>
      <c r="D1473" s="192"/>
      <c r="E1473" s="192"/>
      <c r="F1473" s="192"/>
      <c r="G1473" s="192" t="str">
        <f>IFERROR(__xludf.DUMMYFUNCTION("""COMPUTED_VALUE"""),"Vaibhav Gupta")</f>
        <v>Vaibhav Gupta</v>
      </c>
      <c r="H1473" s="192" t="str">
        <f>IFERROR(__xludf.DUMMYFUNCTION("""COMPUTED_VALUE"""),"vaibhav.gupta@zupee.in")</f>
        <v>vaibhav.gupta@zupee.in</v>
      </c>
      <c r="I1473" s="192" t="str">
        <f>IFERROR(__xludf.DUMMYFUNCTION("""COMPUTED_VALUE"""),"aastha.shah@zupee.in: - Vertical Tv")</f>
        <v>aastha.shah@zupee.in: - Vertical Tv</v>
      </c>
      <c r="J1473" s="19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92"/>
      <c r="B1474" s="192"/>
      <c r="C1474" s="192"/>
      <c r="D1474" s="192"/>
      <c r="E1474" s="192"/>
      <c r="F1474" s="192"/>
      <c r="G1474" s="192" t="str">
        <f>IFERROR(__xludf.DUMMYFUNCTION("""COMPUTED_VALUE"""),"Arjun Sharmu")</f>
        <v>Arjun Sharmu</v>
      </c>
      <c r="H1474" s="192" t="str">
        <f>IFERROR(__xludf.DUMMYFUNCTION("""COMPUTED_VALUE"""),"arjun.sharmu@zupee.in")</f>
        <v>arjun.sharmu@zupee.in</v>
      </c>
      <c r="I1474" s="192" t="str">
        <f>IFERROR(__xludf.DUMMYFUNCTION("""COMPUTED_VALUE"""),"piyush.shukla@zupee.in: - Technology")</f>
        <v>piyush.shukla@zupee.in: - Technology</v>
      </c>
      <c r="J1474" s="19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92"/>
      <c r="B1475" s="192"/>
      <c r="C1475" s="192"/>
      <c r="D1475" s="192"/>
      <c r="E1475" s="192"/>
      <c r="F1475" s="192"/>
      <c r="G1475" s="192" t="str">
        <f>IFERROR(__xludf.DUMMYFUNCTION("""COMPUTED_VALUE"""),"Rohit Vermu")</f>
        <v>Rohit Vermu</v>
      </c>
      <c r="H1475" s="192" t="str">
        <f>IFERROR(__xludf.DUMMYFUNCTION("""COMPUTED_VALUE"""),"rohit.vermu@zupee.in")</f>
        <v>rohit.vermu@zupee.in</v>
      </c>
      <c r="I1475" s="192" t="str">
        <f>IFERROR(__xludf.DUMMYFUNCTION("""COMPUTED_VALUE"""),"piyush.shukla@zupee.in: - Technology")</f>
        <v>piyush.shukla@zupee.in: - Technology</v>
      </c>
      <c r="J1475" s="19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92"/>
      <c r="B1476" s="192"/>
      <c r="C1476" s="192"/>
      <c r="D1476" s="192"/>
      <c r="E1476" s="192"/>
      <c r="F1476" s="192"/>
      <c r="G1476" s="192" t="str">
        <f>IFERROR(__xludf.DUMMYFUNCTION("""COMPUTED_VALUE"""),"Ankit Goyalaa")</f>
        <v>Ankit Goyalaa</v>
      </c>
      <c r="H1476" s="192" t="str">
        <f>IFERROR(__xludf.DUMMYFUNCTION("""COMPUTED_VALUE"""),"ankit.goyalaa@zupee.in")</f>
        <v>ankit.goyalaa@zupee.in</v>
      </c>
      <c r="I1476" s="192" t="str">
        <f>IFERROR(__xludf.DUMMYFUNCTION("""COMPUTED_VALUE"""),"piyush.shukla@zupee.in: - Technology")</f>
        <v>piyush.shukla@zupee.in: - Technology</v>
      </c>
      <c r="J1476" s="19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92"/>
      <c r="B1477" s="192"/>
      <c r="C1477" s="192"/>
      <c r="D1477" s="192"/>
      <c r="E1477" s="192"/>
      <c r="F1477" s="192"/>
      <c r="G1477" s="192" t="str">
        <f>IFERROR(__xludf.DUMMYFUNCTION("""COMPUTED_VALUE"""),"Rahul Misraa")</f>
        <v>Rahul Misraa</v>
      </c>
      <c r="H1477" s="192" t="str">
        <f>IFERROR(__xludf.DUMMYFUNCTION("""COMPUTED_VALUE"""),"rahul.misraa@zupee.in")</f>
        <v>rahul.misraa@zupee.in</v>
      </c>
      <c r="I1477" s="192" t="str">
        <f>IFERROR(__xludf.DUMMYFUNCTION("""COMPUTED_VALUE"""),"piyush.shukla@zupee.in: - Technology")</f>
        <v>piyush.shukla@zupee.in: - Technology</v>
      </c>
      <c r="J1477" s="19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92"/>
      <c r="B1478" s="192"/>
      <c r="C1478" s="192"/>
      <c r="D1478" s="192"/>
      <c r="E1478" s="192"/>
      <c r="F1478" s="192"/>
      <c r="G1478" s="192" t="str">
        <f>IFERROR(__xludf.DUMMYFUNCTION("""COMPUTED_VALUE"""),"Priya Jainani")</f>
        <v>Priya Jainani</v>
      </c>
      <c r="H1478" s="192" t="str">
        <f>IFERROR(__xludf.DUMMYFUNCTION("""COMPUTED_VALUE"""),"priya.jainani@zupee.in")</f>
        <v>priya.jainani@zupee.in</v>
      </c>
      <c r="I1478" s="192" t="str">
        <f>IFERROR(__xludf.DUMMYFUNCTION("""COMPUTED_VALUE"""),"piyush.shukla@zupee.in: - Technology")</f>
        <v>piyush.shukla@zupee.in: - Technology</v>
      </c>
      <c r="J1478" s="19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92"/>
      <c r="B1479" s="192"/>
      <c r="C1479" s="192"/>
      <c r="D1479" s="192"/>
      <c r="E1479" s="192"/>
      <c r="F1479" s="192"/>
      <c r="G1479" s="192" t="str">
        <f>IFERROR(__xludf.DUMMYFUNCTION("""COMPUTED_VALUE"""),"Piyush Maurya")</f>
        <v>Piyush Maurya</v>
      </c>
      <c r="H1479" s="192" t="str">
        <f>IFERROR(__xludf.DUMMYFUNCTION("""COMPUTED_VALUE"""),"piyush.maurya1@zupee.in")</f>
        <v>piyush.maurya1@zupee.in</v>
      </c>
      <c r="I1479" s="192" t="str">
        <f>IFERROR(__xludf.DUMMYFUNCTION("""COMPUTED_VALUE"""),"nandan.sharma@zupee.in: - Strategy")</f>
        <v>nandan.sharma@zupee.in: - Strategy</v>
      </c>
      <c r="J1479" s="19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92"/>
      <c r="B1480" s="192"/>
      <c r="C1480" s="192"/>
      <c r="D1480" s="192"/>
      <c r="E1480" s="192"/>
      <c r="F1480" s="192"/>
      <c r="G1480" s="192" t="str">
        <f>IFERROR(__xludf.DUMMYFUNCTION("""COMPUTED_VALUE"""),"Jyoti Prakash")</f>
        <v>Jyoti Prakash</v>
      </c>
      <c r="H1480" s="192" t="str">
        <f>IFERROR(__xludf.DUMMYFUNCTION("""COMPUTED_VALUE"""),"jyoti.prakash@zupee.in")</f>
        <v>jyoti.prakash@zupee.in</v>
      </c>
      <c r="I1480" s="192" t="str">
        <f>IFERROR(__xludf.DUMMYFUNCTION("""COMPUTED_VALUE"""),"katha.tara@zupee.in: - Brand Marketing")</f>
        <v>katha.tara@zupee.in: - Brand Marketing</v>
      </c>
      <c r="J1480" s="19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92"/>
      <c r="B1481" s="192"/>
      <c r="C1481" s="192"/>
      <c r="D1481" s="192"/>
      <c r="E1481" s="192"/>
      <c r="F1481" s="192"/>
      <c r="G1481" s="192" t="str">
        <f>IFERROR(__xludf.DUMMYFUNCTION("""COMPUTED_VALUE"""),"Ankush Das")</f>
        <v>Ankush Das</v>
      </c>
      <c r="H1481" s="192" t="str">
        <f>IFERROR(__xludf.DUMMYFUNCTION("""COMPUTED_VALUE"""),"ankush.das@zupee.in")</f>
        <v>ankush.das@zupee.in</v>
      </c>
      <c r="I1481" s="192" t="str">
        <f>IFERROR(__xludf.DUMMYFUNCTION("""COMPUTED_VALUE"""),"mohit.shandilya@zupee.in: - Vertical Tv")</f>
        <v>mohit.shandilya@zupee.in: - Vertical Tv</v>
      </c>
      <c r="J1481" s="19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92"/>
      <c r="B1482" s="192"/>
      <c r="C1482" s="192"/>
      <c r="D1482" s="192"/>
      <c r="E1482" s="192"/>
      <c r="F1482" s="192"/>
      <c r="G1482" s="192" t="str">
        <f>IFERROR(__xludf.DUMMYFUNCTION("""COMPUTED_VALUE"""),"Nikita Gadal")</f>
        <v>Nikita Gadal</v>
      </c>
      <c r="H1482" s="192" t="str">
        <f>IFERROR(__xludf.DUMMYFUNCTION("""COMPUTED_VALUE"""),"nikita.gadal@zupee.in")</f>
        <v>nikita.gadal@zupee.in</v>
      </c>
      <c r="I1482" s="192" t="str">
        <f>IFERROR(__xludf.DUMMYFUNCTION("""COMPUTED_VALUE"""),"mohit.shandilya@zupee.in: - Vertical Tv")</f>
        <v>mohit.shandilya@zupee.in: - Vertical Tv</v>
      </c>
      <c r="J1482" s="19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92"/>
      <c r="B1483" s="192"/>
      <c r="C1483" s="192"/>
      <c r="D1483" s="192"/>
      <c r="E1483" s="192"/>
      <c r="F1483" s="192"/>
      <c r="G1483" s="192" t="str">
        <f>IFERROR(__xludf.DUMMYFUNCTION("""COMPUTED_VALUE"""),"Saiprasanna Srinivasan")</f>
        <v>Saiprasanna Srinivasan</v>
      </c>
      <c r="H1483" s="192" t="str">
        <f>IFERROR(__xludf.DUMMYFUNCTION("""COMPUTED_VALUE"""),"saiprasanna.srinivasan@zupee.in")</f>
        <v>saiprasanna.srinivasan@zupee.in</v>
      </c>
      <c r="I1483" s="192" t="str">
        <f>IFERROR(__xludf.DUMMYFUNCTION("""COMPUTED_VALUE"""),"mohit.shandilya@zupee.in: - Vertical Tv")</f>
        <v>mohit.shandilya@zupee.in: - Vertical Tv</v>
      </c>
      <c r="J1483" s="19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92"/>
      <c r="B1484" s="192"/>
      <c r="C1484" s="192"/>
      <c r="D1484" s="192"/>
      <c r="E1484" s="192"/>
      <c r="F1484" s="192"/>
      <c r="G1484" s="192" t="str">
        <f>IFERROR(__xludf.DUMMYFUNCTION("""COMPUTED_VALUE"""),"Danish Uday Shinde")</f>
        <v>Danish Uday Shinde</v>
      </c>
      <c r="H1484" s="192" t="str">
        <f>IFERROR(__xludf.DUMMYFUNCTION("""COMPUTED_VALUE"""),"danish.shinde@zupee.in")</f>
        <v>danish.shinde@zupee.in</v>
      </c>
      <c r="I1484" s="192" t="str">
        <f>IFERROR(__xludf.DUMMYFUNCTION("""COMPUTED_VALUE"""),"mohit.shandilya@zupee.in: - Vertical Tv")</f>
        <v>mohit.shandilya@zupee.in: - Vertical Tv</v>
      </c>
      <c r="J1484" s="19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92"/>
      <c r="B1485" s="192"/>
      <c r="C1485" s="192"/>
      <c r="D1485" s="192"/>
      <c r="E1485" s="192"/>
      <c r="F1485" s="192"/>
      <c r="G1485" s="192" t="str">
        <f>IFERROR(__xludf.DUMMYFUNCTION("""COMPUTED_VALUE"""),"Hardik Yogesh Maniar")</f>
        <v>Hardik Yogesh Maniar</v>
      </c>
      <c r="H1485" s="192" t="str">
        <f>IFERROR(__xludf.DUMMYFUNCTION("""COMPUTED_VALUE"""),"hardik.maniar@zupee.in")</f>
        <v>hardik.maniar@zupee.in</v>
      </c>
      <c r="I1485" s="192" t="str">
        <f>IFERROR(__xludf.DUMMYFUNCTION("""COMPUTED_VALUE"""),"anup.thanvi@zupee.in: - Vertical Tv")</f>
        <v>anup.thanvi@zupee.in: - Vertical Tv</v>
      </c>
      <c r="J1485" s="19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92"/>
      <c r="B1486" s="192"/>
      <c r="C1486" s="192"/>
      <c r="D1486" s="192"/>
      <c r="E1486" s="192"/>
      <c r="F1486" s="192"/>
      <c r="G1486" s="192" t="str">
        <f>IFERROR(__xludf.DUMMYFUNCTION("""COMPUTED_VALUE"""),"Vanshika Bansal")</f>
        <v>Vanshika Bansal</v>
      </c>
      <c r="H1486" s="192" t="str">
        <f>IFERROR(__xludf.DUMMYFUNCTION("""COMPUTED_VALUE"""),"vanshika.bansal@zupee.in")</f>
        <v>vanshika.bansal@zupee.in</v>
      </c>
      <c r="I1486" s="192" t="str">
        <f>IFERROR(__xludf.DUMMYFUNCTION("""COMPUTED_VALUE"""),"nandeshwar.gupta@zupee.in: - Data")</f>
        <v>nandeshwar.gupta@zupee.in: - Data</v>
      </c>
      <c r="J1486" s="19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92"/>
      <c r="B1487" s="192"/>
      <c r="C1487" s="192"/>
      <c r="D1487" s="192"/>
      <c r="E1487" s="192"/>
      <c r="F1487" s="192"/>
      <c r="G1487" s="192" t="str">
        <f>IFERROR(__xludf.DUMMYFUNCTION("""COMPUTED_VALUE"""),"Deepika Goyal")</f>
        <v>Deepika Goyal</v>
      </c>
      <c r="H1487" s="192" t="str">
        <f>IFERROR(__xludf.DUMMYFUNCTION("""COMPUTED_VALUE"""),"deepika.goyal@zupee.in")</f>
        <v>deepika.goyal@zupee.in</v>
      </c>
      <c r="I1487" s="192" t="str">
        <f>IFERROR(__xludf.DUMMYFUNCTION("""COMPUTED_VALUE"""),"sagarika.sarin@zupee.in: - Finance")</f>
        <v>sagarika.sarin@zupee.in: - Finance</v>
      </c>
      <c r="J1487" s="19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92"/>
      <c r="B1488" s="192"/>
      <c r="C1488" s="192"/>
      <c r="D1488" s="192"/>
      <c r="E1488" s="192"/>
      <c r="F1488" s="192"/>
      <c r="G1488" s="192" t="str">
        <f>IFERROR(__xludf.DUMMYFUNCTION("""COMPUTED_VALUE"""),"Sarwat Niazi")</f>
        <v>Sarwat Niazi</v>
      </c>
      <c r="H1488" s="192" t="str">
        <f>IFERROR(__xludf.DUMMYFUNCTION("""COMPUTED_VALUE"""),"sarwat.niazi@zupee.in")</f>
        <v>sarwat.niazi@zupee.in</v>
      </c>
      <c r="I1488" s="192" t="str">
        <f>IFERROR(__xludf.DUMMYFUNCTION("""COMPUTED_VALUE"""),"mohit.shandilya@zupee.in: - Vertical Tv")</f>
        <v>mohit.shandilya@zupee.in: - Vertical Tv</v>
      </c>
      <c r="J1488" s="19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92"/>
      <c r="B1489" s="192"/>
      <c r="C1489" s="192"/>
      <c r="D1489" s="192"/>
      <c r="E1489" s="192"/>
      <c r="F1489" s="192"/>
      <c r="G1489" s="192" t="str">
        <f>IFERROR(__xludf.DUMMYFUNCTION("""COMPUTED_VALUE"""),"Adarsh Choudhary")</f>
        <v>Adarsh Choudhary</v>
      </c>
      <c r="H1489" s="192" t="str">
        <f>IFERROR(__xludf.DUMMYFUNCTION("""COMPUTED_VALUE"""),"adarsh.choudhary@zupee.in")</f>
        <v>adarsh.choudhary@zupee.in</v>
      </c>
      <c r="I1489" s="192" t="str">
        <f>IFERROR(__xludf.DUMMYFUNCTION("""COMPUTED_VALUE"""),"aastha.shah@zupee.in: - Vertical Tv")</f>
        <v>aastha.shah@zupee.in: - Vertical Tv</v>
      </c>
      <c r="J1489" s="19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92"/>
      <c r="B1490" s="192"/>
      <c r="C1490" s="192"/>
      <c r="D1490" s="192"/>
      <c r="E1490" s="192"/>
      <c r="F1490" s="192"/>
      <c r="G1490" s="192" t="str">
        <f>IFERROR(__xludf.DUMMYFUNCTION("""COMPUTED_VALUE"""),"Prashant Kashinath Malve")</f>
        <v>Prashant Kashinath Malve</v>
      </c>
      <c r="H1490" s="192" t="str">
        <f>IFERROR(__xludf.DUMMYFUNCTION("""COMPUTED_VALUE"""),"prashant.malve@zupee.in")</f>
        <v>prashant.malve@zupee.in</v>
      </c>
      <c r="I1490" s="192" t="str">
        <f>IFERROR(__xludf.DUMMYFUNCTION("""COMPUTED_VALUE"""),"mohit.shandilya@zupee.in: - Vertical Tv")</f>
        <v>mohit.shandilya@zupee.in: - Vertical Tv</v>
      </c>
      <c r="J1490" s="19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92"/>
      <c r="B1491" s="192"/>
      <c r="C1491" s="192"/>
      <c r="D1491" s="192"/>
      <c r="E1491" s="192"/>
      <c r="F1491" s="192"/>
      <c r="G1491" s="192" t="str">
        <f>IFERROR(__xludf.DUMMYFUNCTION("""COMPUTED_VALUE"""),"Yatharth Sharma")</f>
        <v>Yatharth Sharma</v>
      </c>
      <c r="H1491" s="192" t="str">
        <f>IFERROR(__xludf.DUMMYFUNCTION("""COMPUTED_VALUE"""),"yatharth.sharma@zupee.in")</f>
        <v>yatharth.sharma@zupee.in</v>
      </c>
      <c r="I1491" s="192" t="str">
        <f>IFERROR(__xludf.DUMMYFUNCTION("""COMPUTED_VALUE"""),"mohit.shandilya@zupee.in: - Vertical Tv")</f>
        <v>mohit.shandilya@zupee.in: - Vertical Tv</v>
      </c>
      <c r="J1491" s="19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92"/>
      <c r="B1492" s="192"/>
      <c r="C1492" s="192"/>
      <c r="D1492" s="192"/>
      <c r="E1492" s="192"/>
      <c r="F1492" s="192"/>
      <c r="G1492" s="192" t="str">
        <f>IFERROR(__xludf.DUMMYFUNCTION("""COMPUTED_VALUE"""),"Zaid Anwar")</f>
        <v>Zaid Anwar</v>
      </c>
      <c r="H1492" s="192" t="str">
        <f>IFERROR(__xludf.DUMMYFUNCTION("""COMPUTED_VALUE"""),"zaid.anwar1@zupee.in")</f>
        <v>zaid.anwar1@zupee.in</v>
      </c>
      <c r="I1492" s="192" t="str">
        <f>IFERROR(__xludf.DUMMYFUNCTION("""COMPUTED_VALUE"""),"sanjeev.kumar@zupee.in: - Customer Experience")</f>
        <v>sanjeev.kumar@zupee.in: - Customer Experience</v>
      </c>
      <c r="J1492" s="19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92"/>
      <c r="B1493" s="192"/>
      <c r="C1493" s="192"/>
      <c r="D1493" s="192"/>
      <c r="E1493" s="192"/>
      <c r="F1493" s="192"/>
      <c r="G1493" s="192" t="str">
        <f>IFERROR(__xludf.DUMMYFUNCTION("""COMPUTED_VALUE"""),"Lucky Singh")</f>
        <v>Lucky Singh</v>
      </c>
      <c r="H1493" s="192" t="str">
        <f>IFERROR(__xludf.DUMMYFUNCTION("""COMPUTED_VALUE"""),"lucky.singh2@zupee.in")</f>
        <v>lucky.singh2@zupee.in</v>
      </c>
      <c r="I1493" s="192" t="str">
        <f>IFERROR(__xludf.DUMMYFUNCTION("""COMPUTED_VALUE"""),"mrityunjay.k@zupee.in: - Customer Experience")</f>
        <v>mrityunjay.k@zupee.in: - Customer Experience</v>
      </c>
      <c r="J1493" s="19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92"/>
      <c r="B1494" s="192"/>
      <c r="C1494" s="192"/>
      <c r="D1494" s="192"/>
      <c r="E1494" s="192"/>
      <c r="F1494" s="192"/>
      <c r="G1494" s="192" t="str">
        <f>IFERROR(__xludf.DUMMYFUNCTION("""COMPUTED_VALUE"""),"Postprod2 Verticaltv")</f>
        <v>Postprod2 Verticaltv</v>
      </c>
      <c r="H1494" s="192" t="str">
        <f>IFERROR(__xludf.DUMMYFUNCTION("""COMPUTED_VALUE"""),"postprod2.verticaltv@zupee.in")</f>
        <v>postprod2.verticaltv@zupee.in</v>
      </c>
      <c r="I1494" s="192" t="str">
        <f>IFERROR(__xludf.DUMMYFUNCTION("""COMPUTED_VALUE"""),"mohit.shandilya@zupee.in: - Vertical Tv")</f>
        <v>mohit.shandilya@zupee.in: - Vertical Tv</v>
      </c>
      <c r="J1494" s="19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92"/>
      <c r="B1495" s="192"/>
      <c r="C1495" s="192"/>
      <c r="D1495" s="192"/>
      <c r="E1495" s="192"/>
      <c r="F1495" s="192"/>
      <c r="G1495" s="192" t="str">
        <f>IFERROR(__xludf.DUMMYFUNCTION("""COMPUTED_VALUE"""),"Postprod3 Verticaltv")</f>
        <v>Postprod3 Verticaltv</v>
      </c>
      <c r="H1495" s="192" t="str">
        <f>IFERROR(__xludf.DUMMYFUNCTION("""COMPUTED_VALUE"""),"postprod3.verticaltv@zupee.in")</f>
        <v>postprod3.verticaltv@zupee.in</v>
      </c>
      <c r="I1495" s="192" t="str">
        <f>IFERROR(__xludf.DUMMYFUNCTION("""COMPUTED_VALUE"""),"mohit.shandilya@zupee.in: - Vertical Tv")</f>
        <v>mohit.shandilya@zupee.in: - Vertical Tv</v>
      </c>
      <c r="J1495" s="19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92"/>
      <c r="B1496" s="192"/>
      <c r="C1496" s="192"/>
      <c r="D1496" s="192"/>
      <c r="E1496" s="192"/>
      <c r="F1496" s="192"/>
      <c r="G1496" s="192" t="str">
        <f>IFERROR(__xludf.DUMMYFUNCTION("""COMPUTED_VALUE"""),"Sarthak Chawla")</f>
        <v>Sarthak Chawla</v>
      </c>
      <c r="H1496" s="192" t="str">
        <f>IFERROR(__xludf.DUMMYFUNCTION("""COMPUTED_VALUE"""),"sarthak.chawla@zupee.in")</f>
        <v>sarthak.chawla@zupee.in</v>
      </c>
      <c r="I1496" s="192" t="str">
        <f>IFERROR(__xludf.DUMMYFUNCTION("""COMPUTED_VALUE"""),"nandan.sharma@zupee.in: - Strategy")</f>
        <v>nandan.sharma@zupee.in: - Strategy</v>
      </c>
      <c r="J1496" s="19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92"/>
      <c r="B1497" s="192"/>
      <c r="C1497" s="192"/>
      <c r="D1497" s="192"/>
      <c r="E1497" s="192"/>
      <c r="F1497" s="192"/>
      <c r="G1497" s="192" t="str">
        <f>IFERROR(__xludf.DUMMYFUNCTION("""COMPUTED_VALUE"""),"Som Nath Jayaswal")</f>
        <v>Som Nath Jayaswal</v>
      </c>
      <c r="H1497" s="192" t="str">
        <f>IFERROR(__xludf.DUMMYFUNCTION("""COMPUTED_VALUE"""),"som.jayaswal@zupee.in")</f>
        <v>som.jayaswal@zupee.in</v>
      </c>
      <c r="I1497" s="192" t="str">
        <f>IFERROR(__xludf.DUMMYFUNCTION("""COMPUTED_VALUE"""),"mohit@zupee.in: - Vertical Tv")</f>
        <v>mohit@zupee.in: - Vertical Tv</v>
      </c>
      <c r="J1497" s="19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92"/>
      <c r="B1498" s="192"/>
      <c r="C1498" s="192"/>
      <c r="D1498" s="192"/>
      <c r="E1498" s="192"/>
      <c r="F1498" s="192"/>
      <c r="G1498" s="192" t="str">
        <f>IFERROR(__xludf.DUMMYFUNCTION("""COMPUTED_VALUE"""),"Sarthak Ahuja")</f>
        <v>Sarthak Ahuja</v>
      </c>
      <c r="H1498" s="192" t="str">
        <f>IFERROR(__xludf.DUMMYFUNCTION("""COMPUTED_VALUE"""),"sarthak.ahuja@zupee.in")</f>
        <v>sarthak.ahuja@zupee.in</v>
      </c>
      <c r="I1498" s="192" t="str">
        <f>IFERROR(__xludf.DUMMYFUNCTION("""COMPUTED_VALUE"""),"nandan.sharma@zupee.in: - Strategy")</f>
        <v>nandan.sharma@zupee.in: - Strategy</v>
      </c>
      <c r="J1498" s="19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92"/>
      <c r="B1499" s="192"/>
      <c r="C1499" s="192"/>
      <c r="D1499" s="192"/>
      <c r="E1499" s="192"/>
      <c r="F1499" s="192"/>
      <c r="G1499" s="192" t="str">
        <f>IFERROR(__xludf.DUMMYFUNCTION("""COMPUTED_VALUE"""),"Anuj Dagar")</f>
        <v>Anuj Dagar</v>
      </c>
      <c r="H1499" s="192" t="str">
        <f>IFERROR(__xludf.DUMMYFUNCTION("""COMPUTED_VALUE"""),"anuj.dagar@zupee.in")</f>
        <v>anuj.dagar@zupee.in</v>
      </c>
      <c r="I1499" s="192" t="str">
        <f>IFERROR(__xludf.DUMMYFUNCTION("""COMPUTED_VALUE"""),"hitesh.vats@zupee.in: - Finance")</f>
        <v>hitesh.vats@zupee.in: - Finance</v>
      </c>
      <c r="J1499" s="19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92"/>
      <c r="B1500" s="192"/>
      <c r="C1500" s="192"/>
      <c r="D1500" s="192"/>
      <c r="E1500" s="192"/>
      <c r="F1500" s="192"/>
      <c r="G1500" s="192" t="str">
        <f>IFERROR(__xludf.DUMMYFUNCTION("""COMPUTED_VALUE"""),"Richa Sanwal")</f>
        <v>Richa Sanwal</v>
      </c>
      <c r="H1500" s="192" t="str">
        <f>IFERROR(__xludf.DUMMYFUNCTION("""COMPUTED_VALUE"""),"richa.sanwal@zupee.in")</f>
        <v>richa.sanwal@zupee.in</v>
      </c>
      <c r="I1500" s="192" t="str">
        <f>IFERROR(__xludf.DUMMYFUNCTION("""COMPUTED_VALUE"""),"anup.thanvi@zupee.in: - Vertical Tv")</f>
        <v>anup.thanvi@zupee.in: - Vertical Tv</v>
      </c>
      <c r="J1500" s="19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92"/>
      <c r="B1501" s="192"/>
      <c r="C1501" s="192"/>
      <c r="D1501" s="192"/>
      <c r="E1501" s="192"/>
      <c r="F1501" s="192"/>
      <c r="G1501" s="192" t="str">
        <f>IFERROR(__xludf.DUMMYFUNCTION("""COMPUTED_VALUE"""),"Dhruv Singh")</f>
        <v>Dhruv Singh</v>
      </c>
      <c r="H1501" s="192" t="str">
        <f>IFERROR(__xludf.DUMMYFUNCTION("""COMPUTED_VALUE"""),"dhruv.singh@zupee.in")</f>
        <v>dhruv.singh@zupee.in</v>
      </c>
      <c r="I1501" s="192" t="str">
        <f>IFERROR(__xludf.DUMMYFUNCTION("""COMPUTED_VALUE"""),"hitesh.vats@zupee.in: - Finance")</f>
        <v>hitesh.vats@zupee.in: - Finance</v>
      </c>
      <c r="J1501" s="19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92"/>
      <c r="B1502" s="192"/>
      <c r="C1502" s="192"/>
      <c r="D1502" s="192"/>
      <c r="E1502" s="192"/>
      <c r="F1502" s="192"/>
      <c r="G1502" s="192" t="str">
        <f>IFERROR(__xludf.DUMMYFUNCTION("""COMPUTED_VALUE"""),"Noreply Octopus")</f>
        <v>Noreply Octopus</v>
      </c>
      <c r="H1502" s="192" t="str">
        <f>IFERROR(__xludf.DUMMYFUNCTION("""COMPUTED_VALUE"""),"noreply.octopus@zupeestudio.com")</f>
        <v>noreply.octopus@zupeestudio.com</v>
      </c>
      <c r="I1502" s="192" t="str">
        <f>IFERROR(__xludf.DUMMYFUNCTION("""COMPUTED_VALUE"""),"gokul.verma@zupee.in: - ")</f>
        <v>gokul.verma@zupee.in: - </v>
      </c>
      <c r="J1502" s="19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92"/>
      <c r="B1503" s="192"/>
      <c r="C1503" s="192"/>
      <c r="D1503" s="192"/>
      <c r="E1503" s="192"/>
      <c r="F1503" s="192"/>
      <c r="G1503" s="192" t="str">
        <f>IFERROR(__xludf.DUMMYFUNCTION("""COMPUTED_VALUE"""),"Promo Verticaltv")</f>
        <v>Promo Verticaltv</v>
      </c>
      <c r="H1503" s="192" t="str">
        <f>IFERROR(__xludf.DUMMYFUNCTION("""COMPUTED_VALUE"""),"promo.verticaltv1@zupee.in")</f>
        <v>promo.verticaltv1@zupee.in</v>
      </c>
      <c r="I1503" s="192" t="str">
        <f>IFERROR(__xludf.DUMMYFUNCTION("""COMPUTED_VALUE"""),"mohit.shandilya@zupee.in: - Vertical Tv")</f>
        <v>mohit.shandilya@zupee.in: - Vertical Tv</v>
      </c>
      <c r="J1503" s="19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92"/>
      <c r="B1504" s="192"/>
      <c r="C1504" s="192"/>
      <c r="D1504" s="192"/>
      <c r="E1504" s="192"/>
      <c r="F1504" s="192"/>
      <c r="G1504" s="192" t="str">
        <f>IFERROR(__xludf.DUMMYFUNCTION("""COMPUTED_VALUE"""),"Aditya Deepak Salgaonkar")</f>
        <v>Aditya Deepak Salgaonkar</v>
      </c>
      <c r="H1504" s="192" t="str">
        <f>IFERROR(__xludf.DUMMYFUNCTION("""COMPUTED_VALUE"""),"aditya.salgaonkar@zupee.in")</f>
        <v>aditya.salgaonkar@zupee.in</v>
      </c>
      <c r="I1504" s="192" t="str">
        <f>IFERROR(__xludf.DUMMYFUNCTION("""COMPUTED_VALUE"""),"vengadesan.devagourou@zupee.in: - Vertical Tv")</f>
        <v>vengadesan.devagourou@zupee.in: - Vertical Tv</v>
      </c>
      <c r="J1504" s="19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92"/>
      <c r="B1505" s="192"/>
      <c r="C1505" s="192"/>
      <c r="D1505" s="192"/>
      <c r="E1505" s="192"/>
      <c r="F1505" s="192"/>
      <c r="G1505" s="192" t="str">
        <f>IFERROR(__xludf.DUMMYFUNCTION("""COMPUTED_VALUE"""),"Ryan Dsouza")</f>
        <v>Ryan Dsouza</v>
      </c>
      <c r="H1505" s="192" t="str">
        <f>IFERROR(__xludf.DUMMYFUNCTION("""COMPUTED_VALUE"""),"ryan.dsouza@zupee.in")</f>
        <v>ryan.dsouza@zupee.in</v>
      </c>
      <c r="I1505" s="192" t="str">
        <f>IFERROR(__xludf.DUMMYFUNCTION("""COMPUTED_VALUE"""),"mohit.shandilya@zupee.in: - Vertical Tv")</f>
        <v>mohit.shandilya@zupee.in: - Vertical Tv</v>
      </c>
      <c r="J1505" s="19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92"/>
      <c r="B1506" s="192"/>
      <c r="C1506" s="192"/>
      <c r="D1506" s="192"/>
      <c r="E1506" s="192"/>
      <c r="F1506" s="192"/>
      <c r="G1506" s="192" t="str">
        <f>IFERROR(__xludf.DUMMYFUNCTION("""COMPUTED_VALUE"""),"Tableau Viewonly")</f>
        <v>Tableau Viewonly</v>
      </c>
      <c r="H1506" s="192" t="str">
        <f>IFERROR(__xludf.DUMMYFUNCTION("""COMPUTED_VALUE"""),"tableau_viewonly@zupee.in")</f>
        <v>tableau_viewonly@zupee.in</v>
      </c>
      <c r="I1506" s="192" t="str">
        <f>IFERROR(__xludf.DUMMYFUNCTION("""COMPUTED_VALUE"""),"rahul.sharma1@zupee.in: - ")</f>
        <v>rahul.sharma1@zupee.in: - </v>
      </c>
      <c r="J1506" s="19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92"/>
      <c r="B1507" s="192"/>
      <c r="C1507" s="192"/>
      <c r="D1507" s="192"/>
      <c r="E1507" s="192"/>
      <c r="F1507" s="192"/>
      <c r="G1507" s="192" t="str">
        <f>IFERROR(__xludf.DUMMYFUNCTION("""COMPUTED_VALUE"""),"Prakash Sudhakar Bhatle")</f>
        <v>Prakash Sudhakar Bhatle</v>
      </c>
      <c r="H1507" s="192" t="str">
        <f>IFERROR(__xludf.DUMMYFUNCTION("""COMPUTED_VALUE"""),"prakash.bhatle@zupee.in")</f>
        <v>prakash.bhatle@zupee.in</v>
      </c>
      <c r="I1507" s="192" t="str">
        <f>IFERROR(__xludf.DUMMYFUNCTION("""COMPUTED_VALUE"""),"mohit.shandilya@zupee.in: - Vertical Tv")</f>
        <v>mohit.shandilya@zupee.in: - Vertical Tv</v>
      </c>
      <c r="J1507" s="19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92"/>
      <c r="B1508" s="192"/>
      <c r="C1508" s="192"/>
      <c r="D1508" s="192"/>
      <c r="E1508" s="192"/>
      <c r="F1508" s="192"/>
      <c r="G1508" s="192" t="str">
        <f>IFERROR(__xludf.DUMMYFUNCTION("""COMPUTED_VALUE"""),"Shekhar Sambhaji Shelar")</f>
        <v>Shekhar Sambhaji Shelar</v>
      </c>
      <c r="H1508" s="192" t="str">
        <f>IFERROR(__xludf.DUMMYFUNCTION("""COMPUTED_VALUE"""),"shekhar.shelar@zupee.in")</f>
        <v>shekhar.shelar@zupee.in</v>
      </c>
      <c r="I1508" s="192" t="str">
        <f>IFERROR(__xludf.DUMMYFUNCTION("""COMPUTED_VALUE"""),"mohit.shandilya@zupee.in: - Vertical Tv")</f>
        <v>mohit.shandilya@zupee.in: - Vertical Tv</v>
      </c>
      <c r="J1508" s="19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92"/>
      <c r="B1509" s="192"/>
      <c r="C1509" s="192"/>
      <c r="D1509" s="192"/>
      <c r="E1509" s="192"/>
      <c r="F1509" s="192"/>
      <c r="G1509" s="192" t="str">
        <f>IFERROR(__xludf.DUMMYFUNCTION("""COMPUTED_VALUE"""),"Tanvi Kaur")</f>
        <v>Tanvi Kaur</v>
      </c>
      <c r="H1509" s="192" t="str">
        <f>IFERROR(__xludf.DUMMYFUNCTION("""COMPUTED_VALUE"""),"tanvi.kaur@zupee.in")</f>
        <v>tanvi.kaur@zupee.in</v>
      </c>
      <c r="I1509" s="192" t="str">
        <f>IFERROR(__xludf.DUMMYFUNCTION("""COMPUTED_VALUE"""),"nishant.jaiswal@zupee.in: - Digital Marketing")</f>
        <v>nishant.jaiswal@zupee.in: - Digital Marketing</v>
      </c>
      <c r="J1509" s="19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92"/>
      <c r="B1510" s="192"/>
      <c r="C1510" s="192"/>
      <c r="D1510" s="192"/>
      <c r="E1510" s="192"/>
      <c r="F1510" s="192"/>
      <c r="G1510" s="192" t="str">
        <f>IFERROR(__xludf.DUMMYFUNCTION("""COMPUTED_VALUE"""),"Yash Naresh Tatkare")</f>
        <v>Yash Naresh Tatkare</v>
      </c>
      <c r="H1510" s="192" t="str">
        <f>IFERROR(__xludf.DUMMYFUNCTION("""COMPUTED_VALUE"""),"yash.tatkare@zupee.in")</f>
        <v>yash.tatkare@zupee.in</v>
      </c>
      <c r="I1510" s="192" t="str">
        <f>IFERROR(__xludf.DUMMYFUNCTION("""COMPUTED_VALUE"""),"mohit.shandilya@zupee.in: - Vertical Tv")</f>
        <v>mohit.shandilya@zupee.in: - Vertical Tv</v>
      </c>
      <c r="J1510" s="19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92"/>
      <c r="B1511" s="192"/>
      <c r="C1511" s="192"/>
      <c r="D1511" s="192"/>
      <c r="E1511" s="192"/>
      <c r="F1511" s="192"/>
      <c r="G1511" s="192" t="str">
        <f>IFERROR(__xludf.DUMMYFUNCTION("""COMPUTED_VALUE"""),"Escalations")</f>
        <v>Escalations</v>
      </c>
      <c r="H1511" s="192" t="str">
        <f>IFERROR(__xludf.DUMMYFUNCTION("""COMPUTED_VALUE"""),"escalations@zupee.in")</f>
        <v>escalations@zupee.in</v>
      </c>
      <c r="I1511" s="192" t="str">
        <f>IFERROR(__xludf.DUMMYFUNCTION("""COMPUTED_VALUE"""),"mrityunjay.k@zupee.in: - Customer Experience")</f>
        <v>mrityunjay.k@zupee.in: - Customer Experience</v>
      </c>
      <c r="J1511" s="19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92"/>
      <c r="B1512" s="192"/>
      <c r="C1512" s="192"/>
      <c r="D1512" s="192"/>
      <c r="E1512" s="192"/>
      <c r="F1512" s="192"/>
      <c r="G1512" s="192" t="str">
        <f>IFERROR(__xludf.DUMMYFUNCTION("""COMPUTED_VALUE"""),"Vivek Nana Vairal")</f>
        <v>Vivek Nana Vairal</v>
      </c>
      <c r="H1512" s="192" t="str">
        <f>IFERROR(__xludf.DUMMYFUNCTION("""COMPUTED_VALUE"""),"vivek.vairal@zupee.in")</f>
        <v>vivek.vairal@zupee.in</v>
      </c>
      <c r="I1512" s="192" t="str">
        <f>IFERROR(__xludf.DUMMYFUNCTION("""COMPUTED_VALUE"""),"mohit.shandilya@zupee.in: - Vertical Tv")</f>
        <v>mohit.shandilya@zupee.in: - Vertical Tv</v>
      </c>
      <c r="J1512" s="19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92"/>
      <c r="B1513" s="192"/>
      <c r="C1513" s="192"/>
      <c r="D1513" s="192"/>
      <c r="E1513" s="192"/>
      <c r="F1513" s="192"/>
      <c r="G1513" s="192" t="str">
        <f>IFERROR(__xludf.DUMMYFUNCTION("""COMPUTED_VALUE"""),"Mohit Singh")</f>
        <v>Mohit Singh</v>
      </c>
      <c r="H1513" s="192" t="str">
        <f>IFERROR(__xludf.DUMMYFUNCTION("""COMPUTED_VALUE"""),"mohit.singh@zupee.in")</f>
        <v>mohit.singh@zupee.in</v>
      </c>
      <c r="I1513" s="192" t="str">
        <f>IFERROR(__xludf.DUMMYFUNCTION("""COMPUTED_VALUE"""),"lekhika.dhariyal@zupee.in: - Digital Marketing")</f>
        <v>lekhika.dhariyal@zupee.in: - Digital Marketing</v>
      </c>
      <c r="J1513" s="19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92"/>
      <c r="B1514" s="192"/>
      <c r="C1514" s="192"/>
      <c r="D1514" s="192"/>
      <c r="E1514" s="192"/>
      <c r="F1514" s="192"/>
      <c r="G1514" s="192" t="str">
        <f>IFERROR(__xludf.DUMMYFUNCTION("""COMPUTED_VALUE"""),"Samir Halder")</f>
        <v>Samir Halder</v>
      </c>
      <c r="H1514" s="192" t="str">
        <f>IFERROR(__xludf.DUMMYFUNCTION("""COMPUTED_VALUE"""),"samir.h@zupee.in")</f>
        <v>samir.h@zupee.in</v>
      </c>
      <c r="I1514" s="192" t="str">
        <f>IFERROR(__xludf.DUMMYFUNCTION("""COMPUTED_VALUE"""),"rijul.sehgal@zupee.in: - Digital Marketing")</f>
        <v>rijul.sehgal@zupee.in: - Digital Marketing</v>
      </c>
      <c r="J1514" s="19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92"/>
      <c r="B1515" s="192"/>
      <c r="C1515" s="192"/>
      <c r="D1515" s="192"/>
      <c r="E1515" s="192"/>
      <c r="F1515" s="192"/>
      <c r="G1515" s="192" t="str">
        <f>IFERROR(__xludf.DUMMYFUNCTION("""COMPUTED_VALUE"""),"Tanya Vishal")</f>
        <v>Tanya Vishal</v>
      </c>
      <c r="H1515" s="192" t="str">
        <f>IFERROR(__xludf.DUMMYFUNCTION("""COMPUTED_VALUE"""),"tanya.vishal@zupee.in")</f>
        <v>tanya.vishal@zupee.in</v>
      </c>
      <c r="I1515" s="192" t="str">
        <f>IFERROR(__xludf.DUMMYFUNCTION("""COMPUTED_VALUE"""),"mohit@zupee.in: - Vertical Tv")</f>
        <v>mohit@zupee.in: - Vertical Tv</v>
      </c>
      <c r="J1515" s="19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92"/>
      <c r="B1516" s="192"/>
      <c r="C1516" s="192"/>
      <c r="D1516" s="192"/>
      <c r="E1516" s="192"/>
      <c r="F1516" s="192"/>
      <c r="G1516" s="192" t="str">
        <f>IFERROR(__xludf.DUMMYFUNCTION("""COMPUTED_VALUE"""),"Shreya Chhabra")</f>
        <v>Shreya Chhabra</v>
      </c>
      <c r="H1516" s="192" t="str">
        <f>IFERROR(__xludf.DUMMYFUNCTION("""COMPUTED_VALUE"""),"shreya.chhabra@zupee.in")</f>
        <v>shreya.chhabra@zupee.in</v>
      </c>
      <c r="I1516" s="192" t="str">
        <f>IFERROR(__xludf.DUMMYFUNCTION("""COMPUTED_VALUE"""),"anmol.rawlani@zupee.in: - Brand Marketing")</f>
        <v>anmol.rawlani@zupee.in: - Brand Marketing</v>
      </c>
      <c r="J1516" s="19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92"/>
      <c r="B1517" s="192"/>
      <c r="C1517" s="192"/>
      <c r="D1517" s="192"/>
      <c r="E1517" s="192"/>
      <c r="F1517" s="192"/>
      <c r="G1517" s="192" t="str">
        <f>IFERROR(__xludf.DUMMYFUNCTION("""COMPUTED_VALUE"""),"Yash Sinha")</f>
        <v>Yash Sinha</v>
      </c>
      <c r="H1517" s="192" t="str">
        <f>IFERROR(__xludf.DUMMYFUNCTION("""COMPUTED_VALUE"""),"yash.sinha@zupee.in")</f>
        <v>yash.sinha@zupee.in</v>
      </c>
      <c r="I1517" s="192" t="str">
        <f>IFERROR(__xludf.DUMMYFUNCTION("""COMPUTED_VALUE"""),"piyush.shukla@zupee.in: - Technology")</f>
        <v>piyush.shukla@zupee.in: - Technology</v>
      </c>
      <c r="J1517" s="19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92"/>
      <c r="B1518" s="192"/>
      <c r="C1518" s="192"/>
      <c r="D1518" s="192"/>
      <c r="E1518" s="192"/>
      <c r="F1518" s="192"/>
      <c r="G1518" s="192" t="str">
        <f>IFERROR(__xludf.DUMMYFUNCTION("""COMPUTED_VALUE"""),"Lakshay sharma ")</f>
        <v>Lakshay sharma </v>
      </c>
      <c r="H1518" s="192" t="str">
        <f>IFERROR(__xludf.DUMMYFUNCTION("""COMPUTED_VALUE"""),"lakshay.sharma@zupee.in")</f>
        <v>lakshay.sharma@zupee.in</v>
      </c>
      <c r="I1518" s="192" t="str">
        <f>IFERROR(__xludf.DUMMYFUNCTION("""COMPUTED_VALUE"""),"piyush.shukla@zupee.in: - Technology")</f>
        <v>piyush.shukla@zupee.in: - Technology</v>
      </c>
      <c r="J1518" s="19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92"/>
      <c r="B1519" s="192"/>
      <c r="C1519" s="192"/>
      <c r="D1519" s="192"/>
      <c r="E1519" s="192"/>
      <c r="F1519" s="192"/>
      <c r="G1519" s="192" t="str">
        <f>IFERROR(__xludf.DUMMYFUNCTION("""COMPUTED_VALUE"""),"Navin Kumar")</f>
        <v>Navin Kumar</v>
      </c>
      <c r="H1519" s="192" t="str">
        <f>IFERROR(__xludf.DUMMYFUNCTION("""COMPUTED_VALUE"""),"navin.kumar@zupee.in")</f>
        <v>navin.kumar@zupee.in</v>
      </c>
      <c r="I1519" s="192" t="str">
        <f>IFERROR(__xludf.DUMMYFUNCTION("""COMPUTED_VALUE"""),"Piyush Shukla: - Technology")</f>
        <v>Piyush Shukla: - Technology</v>
      </c>
      <c r="J1519" s="19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92"/>
      <c r="B1520" s="192"/>
      <c r="C1520" s="192"/>
      <c r="D1520" s="192"/>
      <c r="E1520" s="192"/>
      <c r="F1520" s="192"/>
      <c r="G1520" s="192" t="str">
        <f>IFERROR(__xludf.DUMMYFUNCTION("""COMPUTED_VALUE"""),"Astro Gurupad")</f>
        <v>Astro Gurupad</v>
      </c>
      <c r="H1520" s="192" t="str">
        <f>IFERROR(__xludf.DUMMYFUNCTION("""COMPUTED_VALUE"""),"astro.gurupad@neoastro.com")</f>
        <v>astro.gurupad@neoastro.com</v>
      </c>
      <c r="I1520" s="192" t="str">
        <f>IFERROR(__xludf.DUMMYFUNCTION("""COMPUTED_VALUE"""),"raman.malik@zupee.in: - Data")</f>
        <v>raman.malik@zupee.in: - Data</v>
      </c>
      <c r="J1520" s="19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92"/>
      <c r="B1521" s="192"/>
      <c r="C1521" s="192"/>
      <c r="D1521" s="192"/>
      <c r="E1521" s="192"/>
      <c r="F1521" s="192"/>
      <c r="G1521" s="192" t="str">
        <f>IFERROR(__xludf.DUMMYFUNCTION("""COMPUTED_VALUE"""),"Astro Radhika")</f>
        <v>Astro Radhika</v>
      </c>
      <c r="H1521" s="192" t="str">
        <f>IFERROR(__xludf.DUMMYFUNCTION("""COMPUTED_VALUE"""),"astro.radhika@neoastro.com")</f>
        <v>astro.radhika@neoastro.com</v>
      </c>
      <c r="I1521" s="192" t="str">
        <f>IFERROR(__xludf.DUMMYFUNCTION("""COMPUTED_VALUE"""),"raman.malik@zupee.in: - Data")</f>
        <v>raman.malik@zupee.in: - Data</v>
      </c>
      <c r="J1521" s="19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92"/>
      <c r="B1522" s="192"/>
      <c r="C1522" s="192"/>
      <c r="D1522" s="192"/>
      <c r="E1522" s="192"/>
      <c r="F1522" s="192"/>
      <c r="G1522" s="192" t="str">
        <f>IFERROR(__xludf.DUMMYFUNCTION("""COMPUTED_VALUE"""),"")</f>
        <v/>
      </c>
      <c r="H1522" s="192"/>
      <c r="I1522" s="192" t="str">
        <f>IFERROR(__xludf.DUMMYFUNCTION("""COMPUTED_VALUE"""),"")</f>
        <v/>
      </c>
      <c r="J1522" s="19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92"/>
      <c r="B1523" s="192"/>
      <c r="C1523" s="192"/>
      <c r="D1523" s="192"/>
      <c r="E1523" s="192"/>
      <c r="F1523" s="192"/>
      <c r="G1523" s="192" t="str">
        <f>IFERROR(__xludf.DUMMYFUNCTION("""COMPUTED_VALUE"""),"")</f>
        <v/>
      </c>
      <c r="H1523" s="192"/>
      <c r="I1523" s="192" t="str">
        <f>IFERROR(__xludf.DUMMYFUNCTION("""COMPUTED_VALUE"""),"")</f>
        <v/>
      </c>
      <c r="J1523" s="19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92"/>
      <c r="B1524" s="192"/>
      <c r="C1524" s="192"/>
      <c r="D1524" s="192"/>
      <c r="E1524" s="192"/>
      <c r="F1524" s="192"/>
      <c r="G1524" s="192" t="str">
        <f>IFERROR(__xludf.DUMMYFUNCTION("""COMPUTED_VALUE"""),"")</f>
        <v/>
      </c>
      <c r="H1524" s="192"/>
      <c r="I1524" s="192" t="str">
        <f>IFERROR(__xludf.DUMMYFUNCTION("""COMPUTED_VALUE"""),"")</f>
        <v/>
      </c>
      <c r="J1524" s="19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92"/>
      <c r="B1525" s="192"/>
      <c r="C1525" s="192"/>
      <c r="D1525" s="192"/>
      <c r="E1525" s="192"/>
      <c r="F1525" s="192"/>
      <c r="G1525" s="192" t="str">
        <f>IFERROR(__xludf.DUMMYFUNCTION("""COMPUTED_VALUE"""),"")</f>
        <v/>
      </c>
      <c r="H1525" s="192"/>
      <c r="I1525" s="192" t="str">
        <f>IFERROR(__xludf.DUMMYFUNCTION("""COMPUTED_VALUE"""),"")</f>
        <v/>
      </c>
      <c r="J1525" s="19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92"/>
      <c r="B1526" s="192"/>
      <c r="C1526" s="192"/>
      <c r="D1526" s="192"/>
      <c r="E1526" s="192"/>
      <c r="F1526" s="192"/>
      <c r="G1526" s="192" t="str">
        <f>IFERROR(__xludf.DUMMYFUNCTION("""COMPUTED_VALUE"""),"")</f>
        <v/>
      </c>
      <c r="H1526" s="192"/>
      <c r="I1526" s="192" t="str">
        <f>IFERROR(__xludf.DUMMYFUNCTION("""COMPUTED_VALUE"""),"")</f>
        <v/>
      </c>
      <c r="J1526" s="19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92"/>
      <c r="B1527" s="192"/>
      <c r="C1527" s="192"/>
      <c r="D1527" s="192"/>
      <c r="E1527" s="192"/>
      <c r="F1527" s="192"/>
      <c r="G1527" s="192" t="str">
        <f>IFERROR(__xludf.DUMMYFUNCTION("""COMPUTED_VALUE"""),"")</f>
        <v/>
      </c>
      <c r="H1527" s="192"/>
      <c r="I1527" s="192" t="str">
        <f>IFERROR(__xludf.DUMMYFUNCTION("""COMPUTED_VALUE"""),"")</f>
        <v/>
      </c>
      <c r="J1527" s="19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92"/>
      <c r="B1528" s="192"/>
      <c r="C1528" s="192"/>
      <c r="D1528" s="192"/>
      <c r="E1528" s="192"/>
      <c r="F1528" s="192"/>
      <c r="G1528" s="192" t="str">
        <f>IFERROR(__xludf.DUMMYFUNCTION("""COMPUTED_VALUE"""),"")</f>
        <v/>
      </c>
      <c r="H1528" s="192"/>
      <c r="I1528" s="192" t="str">
        <f>IFERROR(__xludf.DUMMYFUNCTION("""COMPUTED_VALUE"""),"")</f>
        <v/>
      </c>
      <c r="J1528" s="19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92"/>
      <c r="B1529" s="192"/>
      <c r="C1529" s="192"/>
      <c r="D1529" s="192"/>
      <c r="E1529" s="192"/>
      <c r="F1529" s="192"/>
      <c r="G1529" s="192" t="str">
        <f>IFERROR(__xludf.DUMMYFUNCTION("""COMPUTED_VALUE"""),"")</f>
        <v/>
      </c>
      <c r="H1529" s="192"/>
      <c r="I1529" s="192" t="str">
        <f>IFERROR(__xludf.DUMMYFUNCTION("""COMPUTED_VALUE"""),"")</f>
        <v/>
      </c>
      <c r="J1529" s="19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92"/>
      <c r="B1530" s="192"/>
      <c r="C1530" s="192"/>
      <c r="D1530" s="192"/>
      <c r="E1530" s="192"/>
      <c r="F1530" s="192"/>
      <c r="G1530" s="192" t="str">
        <f>IFERROR(__xludf.DUMMYFUNCTION("""COMPUTED_VALUE"""),"")</f>
        <v/>
      </c>
      <c r="H1530" s="192"/>
      <c r="I1530" s="192" t="str">
        <f>IFERROR(__xludf.DUMMYFUNCTION("""COMPUTED_VALUE"""),"")</f>
        <v/>
      </c>
      <c r="J1530" s="19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92"/>
      <c r="B1531" s="192"/>
      <c r="C1531" s="192"/>
      <c r="D1531" s="192"/>
      <c r="E1531" s="192"/>
      <c r="F1531" s="192"/>
      <c r="G1531" s="192" t="str">
        <f>IFERROR(__xludf.DUMMYFUNCTION("""COMPUTED_VALUE"""),"")</f>
        <v/>
      </c>
      <c r="H1531" s="192"/>
      <c r="I1531" s="192" t="str">
        <f>IFERROR(__xludf.DUMMYFUNCTION("""COMPUTED_VALUE"""),"")</f>
        <v/>
      </c>
      <c r="J1531" s="19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92"/>
      <c r="B1532" s="192"/>
      <c r="C1532" s="192"/>
      <c r="D1532" s="192"/>
      <c r="E1532" s="192"/>
      <c r="F1532" s="192"/>
      <c r="G1532" s="192" t="str">
        <f>IFERROR(__xludf.DUMMYFUNCTION("""COMPUTED_VALUE"""),"")</f>
        <v/>
      </c>
      <c r="H1532" s="192"/>
      <c r="I1532" s="192" t="str">
        <f>IFERROR(__xludf.DUMMYFUNCTION("""COMPUTED_VALUE"""),"")</f>
        <v/>
      </c>
      <c r="J1532" s="19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92"/>
      <c r="B1533" s="192"/>
      <c r="C1533" s="192"/>
      <c r="D1533" s="192"/>
      <c r="E1533" s="192"/>
      <c r="F1533" s="192"/>
      <c r="G1533" s="192" t="str">
        <f>IFERROR(__xludf.DUMMYFUNCTION("""COMPUTED_VALUE"""),"")</f>
        <v/>
      </c>
      <c r="H1533" s="192"/>
      <c r="I1533" s="192" t="str">
        <f>IFERROR(__xludf.DUMMYFUNCTION("""COMPUTED_VALUE"""),"")</f>
        <v/>
      </c>
      <c r="J1533" s="19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92"/>
      <c r="B1534" s="192"/>
      <c r="C1534" s="192"/>
      <c r="D1534" s="192"/>
      <c r="E1534" s="192"/>
      <c r="F1534" s="192"/>
      <c r="G1534" s="192" t="str">
        <f>IFERROR(__xludf.DUMMYFUNCTION("""COMPUTED_VALUE"""),"")</f>
        <v/>
      </c>
      <c r="H1534" s="192"/>
      <c r="I1534" s="192" t="str">
        <f>IFERROR(__xludf.DUMMYFUNCTION("""COMPUTED_VALUE"""),"")</f>
        <v/>
      </c>
      <c r="J1534" s="19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92"/>
      <c r="B1535" s="192"/>
      <c r="C1535" s="192"/>
      <c r="D1535" s="192"/>
      <c r="E1535" s="192"/>
      <c r="F1535" s="192"/>
      <c r="G1535" s="192" t="str">
        <f>IFERROR(__xludf.DUMMYFUNCTION("""COMPUTED_VALUE"""),"")</f>
        <v/>
      </c>
      <c r="H1535" s="192"/>
      <c r="I1535" s="192" t="str">
        <f>IFERROR(__xludf.DUMMYFUNCTION("""COMPUTED_VALUE"""),"")</f>
        <v/>
      </c>
      <c r="J1535" s="19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92"/>
      <c r="B1536" s="192"/>
      <c r="C1536" s="192"/>
      <c r="D1536" s="192"/>
      <c r="E1536" s="192"/>
      <c r="F1536" s="192"/>
      <c r="G1536" s="192" t="str">
        <f>IFERROR(__xludf.DUMMYFUNCTION("""COMPUTED_VALUE"""),"")</f>
        <v/>
      </c>
      <c r="H1536" s="192"/>
      <c r="I1536" s="192" t="str">
        <f>IFERROR(__xludf.DUMMYFUNCTION("""COMPUTED_VALUE"""),"")</f>
        <v/>
      </c>
      <c r="J1536" s="19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92"/>
      <c r="B1537" s="192"/>
      <c r="C1537" s="192"/>
      <c r="D1537" s="192"/>
      <c r="E1537" s="192"/>
      <c r="F1537" s="192"/>
      <c r="G1537" s="192" t="str">
        <f>IFERROR(__xludf.DUMMYFUNCTION("""COMPUTED_VALUE"""),"")</f>
        <v/>
      </c>
      <c r="H1537" s="192"/>
      <c r="I1537" s="192" t="str">
        <f>IFERROR(__xludf.DUMMYFUNCTION("""COMPUTED_VALUE"""),"")</f>
        <v/>
      </c>
      <c r="J1537" s="19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92"/>
      <c r="B1538" s="192"/>
      <c r="C1538" s="192"/>
      <c r="D1538" s="192"/>
      <c r="E1538" s="192"/>
      <c r="F1538" s="192"/>
      <c r="G1538" s="192" t="str">
        <f>IFERROR(__xludf.DUMMYFUNCTION("""COMPUTED_VALUE"""),"")</f>
        <v/>
      </c>
      <c r="H1538" s="192"/>
      <c r="I1538" s="192" t="str">
        <f>IFERROR(__xludf.DUMMYFUNCTION("""COMPUTED_VALUE"""),"")</f>
        <v/>
      </c>
      <c r="J1538" s="19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92"/>
      <c r="B1539" s="192"/>
      <c r="C1539" s="192"/>
      <c r="D1539" s="192"/>
      <c r="E1539" s="192"/>
      <c r="F1539" s="192"/>
      <c r="G1539" s="192" t="str">
        <f>IFERROR(__xludf.DUMMYFUNCTION("""COMPUTED_VALUE"""),"")</f>
        <v/>
      </c>
      <c r="H1539" s="192"/>
      <c r="I1539" s="192" t="str">
        <f>IFERROR(__xludf.DUMMYFUNCTION("""COMPUTED_VALUE"""),"")</f>
        <v/>
      </c>
      <c r="J1539" s="19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92"/>
      <c r="B1540" s="192"/>
      <c r="C1540" s="192"/>
      <c r="D1540" s="192"/>
      <c r="E1540" s="192"/>
      <c r="F1540" s="192"/>
      <c r="G1540" s="192" t="str">
        <f>IFERROR(__xludf.DUMMYFUNCTION("""COMPUTED_VALUE"""),"")</f>
        <v/>
      </c>
      <c r="H1540" s="192"/>
      <c r="I1540" s="192" t="str">
        <f>IFERROR(__xludf.DUMMYFUNCTION("""COMPUTED_VALUE"""),"")</f>
        <v/>
      </c>
      <c r="J1540" s="19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92"/>
      <c r="B1541" s="192"/>
      <c r="C1541" s="192"/>
      <c r="D1541" s="192"/>
      <c r="E1541" s="192"/>
      <c r="F1541" s="192"/>
      <c r="G1541" s="192" t="str">
        <f>IFERROR(__xludf.DUMMYFUNCTION("""COMPUTED_VALUE"""),"")</f>
        <v/>
      </c>
      <c r="H1541" s="192"/>
      <c r="I1541" s="192" t="str">
        <f>IFERROR(__xludf.DUMMYFUNCTION("""COMPUTED_VALUE"""),"")</f>
        <v/>
      </c>
      <c r="J1541" s="19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92"/>
      <c r="B1542" s="192"/>
      <c r="C1542" s="192"/>
      <c r="D1542" s="192"/>
      <c r="E1542" s="192"/>
      <c r="F1542" s="192"/>
      <c r="G1542" s="192" t="str">
        <f>IFERROR(__xludf.DUMMYFUNCTION("""COMPUTED_VALUE"""),"")</f>
        <v/>
      </c>
      <c r="H1542" s="192"/>
      <c r="I1542" s="192" t="str">
        <f>IFERROR(__xludf.DUMMYFUNCTION("""COMPUTED_VALUE"""),"")</f>
        <v/>
      </c>
      <c r="J1542" s="19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92"/>
      <c r="B1543" s="192"/>
      <c r="C1543" s="192"/>
      <c r="D1543" s="192"/>
      <c r="E1543" s="192"/>
      <c r="F1543" s="192"/>
      <c r="G1543" s="192" t="str">
        <f>IFERROR(__xludf.DUMMYFUNCTION("""COMPUTED_VALUE"""),"")</f>
        <v/>
      </c>
      <c r="H1543" s="192"/>
      <c r="I1543" s="192" t="str">
        <f>IFERROR(__xludf.DUMMYFUNCTION("""COMPUTED_VALUE"""),"")</f>
        <v/>
      </c>
      <c r="J1543" s="19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92"/>
      <c r="B1544" s="192"/>
      <c r="C1544" s="192"/>
      <c r="D1544" s="192"/>
      <c r="E1544" s="192"/>
      <c r="F1544" s="192"/>
      <c r="G1544" s="192" t="str">
        <f>IFERROR(__xludf.DUMMYFUNCTION("""COMPUTED_VALUE"""),"")</f>
        <v/>
      </c>
      <c r="H1544" s="192"/>
      <c r="I1544" s="192" t="str">
        <f>IFERROR(__xludf.DUMMYFUNCTION("""COMPUTED_VALUE"""),"")</f>
        <v/>
      </c>
      <c r="J1544" s="19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92"/>
      <c r="B1545" s="192"/>
      <c r="C1545" s="192"/>
      <c r="D1545" s="192"/>
      <c r="E1545" s="192"/>
      <c r="F1545" s="192"/>
      <c r="G1545" s="192" t="str">
        <f>IFERROR(__xludf.DUMMYFUNCTION("""COMPUTED_VALUE"""),"")</f>
        <v/>
      </c>
      <c r="H1545" s="192"/>
      <c r="I1545" s="192" t="str">
        <f>IFERROR(__xludf.DUMMYFUNCTION("""COMPUTED_VALUE"""),"")</f>
        <v/>
      </c>
      <c r="J1545" s="19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92"/>
      <c r="B1546" s="192"/>
      <c r="C1546" s="192"/>
      <c r="D1546" s="192"/>
      <c r="E1546" s="192"/>
      <c r="F1546" s="192"/>
      <c r="G1546" s="192" t="str">
        <f>IFERROR(__xludf.DUMMYFUNCTION("""COMPUTED_VALUE"""),"")</f>
        <v/>
      </c>
      <c r="H1546" s="192"/>
      <c r="I1546" s="192" t="str">
        <f>IFERROR(__xludf.DUMMYFUNCTION("""COMPUTED_VALUE"""),"")</f>
        <v/>
      </c>
      <c r="J1546" s="19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92"/>
      <c r="B1547" s="192"/>
      <c r="C1547" s="192"/>
      <c r="D1547" s="192"/>
      <c r="E1547" s="192"/>
      <c r="F1547" s="192"/>
      <c r="G1547" s="192" t="str">
        <f>IFERROR(__xludf.DUMMYFUNCTION("""COMPUTED_VALUE"""),"")</f>
        <v/>
      </c>
      <c r="H1547" s="192"/>
      <c r="I1547" s="192" t="str">
        <f>IFERROR(__xludf.DUMMYFUNCTION("""COMPUTED_VALUE"""),"")</f>
        <v/>
      </c>
      <c r="J1547" s="19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92"/>
      <c r="B1548" s="192"/>
      <c r="C1548" s="192"/>
      <c r="D1548" s="192"/>
      <c r="E1548" s="192"/>
      <c r="F1548" s="192"/>
      <c r="G1548" s="192" t="str">
        <f>IFERROR(__xludf.DUMMYFUNCTION("""COMPUTED_VALUE"""),"")</f>
        <v/>
      </c>
      <c r="H1548" s="192"/>
      <c r="I1548" s="192" t="str">
        <f>IFERROR(__xludf.DUMMYFUNCTION("""COMPUTED_VALUE"""),"")</f>
        <v/>
      </c>
      <c r="J1548" s="19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92"/>
      <c r="B1549" s="192"/>
      <c r="C1549" s="192"/>
      <c r="D1549" s="192"/>
      <c r="E1549" s="192"/>
      <c r="F1549" s="192"/>
      <c r="G1549" s="192" t="str">
        <f>IFERROR(__xludf.DUMMYFUNCTION("""COMPUTED_VALUE"""),"")</f>
        <v/>
      </c>
      <c r="H1549" s="192"/>
      <c r="I1549" s="192" t="str">
        <f>IFERROR(__xludf.DUMMYFUNCTION("""COMPUTED_VALUE"""),"")</f>
        <v/>
      </c>
      <c r="J1549" s="19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92"/>
      <c r="B1550" s="192"/>
      <c r="C1550" s="192"/>
      <c r="D1550" s="192"/>
      <c r="E1550" s="192"/>
      <c r="F1550" s="192"/>
      <c r="G1550" s="192" t="str">
        <f>IFERROR(__xludf.DUMMYFUNCTION("""COMPUTED_VALUE"""),"")</f>
        <v/>
      </c>
      <c r="H1550" s="192"/>
      <c r="I1550" s="192" t="str">
        <f>IFERROR(__xludf.DUMMYFUNCTION("""COMPUTED_VALUE"""),"")</f>
        <v/>
      </c>
      <c r="J1550" s="19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92"/>
      <c r="B1551" s="192"/>
      <c r="C1551" s="192"/>
      <c r="D1551" s="192"/>
      <c r="E1551" s="192"/>
      <c r="F1551" s="192"/>
      <c r="G1551" s="192" t="str">
        <f>IFERROR(__xludf.DUMMYFUNCTION("""COMPUTED_VALUE"""),"")</f>
        <v/>
      </c>
      <c r="H1551" s="192"/>
      <c r="I1551" s="192" t="str">
        <f>IFERROR(__xludf.DUMMYFUNCTION("""COMPUTED_VALUE"""),"")</f>
        <v/>
      </c>
      <c r="J1551" s="19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92"/>
      <c r="B1552" s="192"/>
      <c r="C1552" s="192"/>
      <c r="D1552" s="192"/>
      <c r="E1552" s="192"/>
      <c r="F1552" s="192"/>
      <c r="G1552" s="192" t="str">
        <f>IFERROR(__xludf.DUMMYFUNCTION("""COMPUTED_VALUE"""),"")</f>
        <v/>
      </c>
      <c r="H1552" s="192"/>
      <c r="I1552" s="192" t="str">
        <f>IFERROR(__xludf.DUMMYFUNCTION("""COMPUTED_VALUE"""),"")</f>
        <v/>
      </c>
      <c r="J1552" s="19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92"/>
      <c r="B1553" s="192"/>
      <c r="C1553" s="192"/>
      <c r="D1553" s="192"/>
      <c r="E1553" s="192"/>
      <c r="F1553" s="192"/>
      <c r="G1553" s="192" t="str">
        <f>IFERROR(__xludf.DUMMYFUNCTION("""COMPUTED_VALUE"""),"")</f>
        <v/>
      </c>
      <c r="H1553" s="192"/>
      <c r="I1553" s="192" t="str">
        <f>IFERROR(__xludf.DUMMYFUNCTION("""COMPUTED_VALUE"""),"")</f>
        <v/>
      </c>
      <c r="J1553" s="19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92"/>
      <c r="B1554" s="192"/>
      <c r="C1554" s="192"/>
      <c r="D1554" s="192"/>
      <c r="E1554" s="192"/>
      <c r="F1554" s="192"/>
      <c r="G1554" s="192" t="str">
        <f>IFERROR(__xludf.DUMMYFUNCTION("""COMPUTED_VALUE"""),"")</f>
        <v/>
      </c>
      <c r="H1554" s="192"/>
      <c r="I1554" s="192" t="str">
        <f>IFERROR(__xludf.DUMMYFUNCTION("""COMPUTED_VALUE"""),"")</f>
        <v/>
      </c>
      <c r="J1554" s="19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92"/>
      <c r="B1555" s="192"/>
      <c r="C1555" s="192"/>
      <c r="D1555" s="192"/>
      <c r="E1555" s="192"/>
      <c r="F1555" s="192"/>
      <c r="G1555" s="192" t="str">
        <f>IFERROR(__xludf.DUMMYFUNCTION("""COMPUTED_VALUE"""),"")</f>
        <v/>
      </c>
      <c r="H1555" s="192"/>
      <c r="I1555" s="192" t="str">
        <f>IFERROR(__xludf.DUMMYFUNCTION("""COMPUTED_VALUE"""),"")</f>
        <v/>
      </c>
      <c r="J1555" s="19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92"/>
      <c r="B1556" s="192"/>
      <c r="C1556" s="192"/>
      <c r="D1556" s="192"/>
      <c r="E1556" s="192"/>
      <c r="F1556" s="192"/>
      <c r="G1556" s="192" t="str">
        <f>IFERROR(__xludf.DUMMYFUNCTION("""COMPUTED_VALUE"""),"")</f>
        <v/>
      </c>
      <c r="H1556" s="192"/>
      <c r="I1556" s="192" t="str">
        <f>IFERROR(__xludf.DUMMYFUNCTION("""COMPUTED_VALUE"""),"")</f>
        <v/>
      </c>
      <c r="J1556" s="19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92"/>
      <c r="B1557" s="192"/>
      <c r="C1557" s="192"/>
      <c r="D1557" s="192"/>
      <c r="E1557" s="192"/>
      <c r="F1557" s="192"/>
      <c r="G1557" s="192" t="str">
        <f>IFERROR(__xludf.DUMMYFUNCTION("""COMPUTED_VALUE"""),"")</f>
        <v/>
      </c>
      <c r="H1557" s="192"/>
      <c r="I1557" s="192" t="str">
        <f>IFERROR(__xludf.DUMMYFUNCTION("""COMPUTED_VALUE"""),"")</f>
        <v/>
      </c>
      <c r="J1557" s="19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92"/>
      <c r="B1558" s="192"/>
      <c r="C1558" s="192"/>
      <c r="D1558" s="192"/>
      <c r="E1558" s="192"/>
      <c r="F1558" s="192"/>
      <c r="G1558" s="192" t="str">
        <f>IFERROR(__xludf.DUMMYFUNCTION("""COMPUTED_VALUE"""),"")</f>
        <v/>
      </c>
      <c r="H1558" s="192"/>
      <c r="I1558" s="192" t="str">
        <f>IFERROR(__xludf.DUMMYFUNCTION("""COMPUTED_VALUE"""),"")</f>
        <v/>
      </c>
      <c r="J1558" s="19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92"/>
      <c r="B1559" s="192"/>
      <c r="C1559" s="192"/>
      <c r="D1559" s="192"/>
      <c r="E1559" s="192"/>
      <c r="F1559" s="192"/>
      <c r="G1559" s="192" t="str">
        <f>IFERROR(__xludf.DUMMYFUNCTION("""COMPUTED_VALUE"""),"")</f>
        <v/>
      </c>
      <c r="H1559" s="192"/>
      <c r="I1559" s="192" t="str">
        <f>IFERROR(__xludf.DUMMYFUNCTION("""COMPUTED_VALUE"""),"")</f>
        <v/>
      </c>
      <c r="J1559" s="19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92"/>
      <c r="B1560" s="192"/>
      <c r="C1560" s="192"/>
      <c r="D1560" s="192"/>
      <c r="E1560" s="192"/>
      <c r="F1560" s="192"/>
      <c r="G1560" s="192" t="str">
        <f>IFERROR(__xludf.DUMMYFUNCTION("""COMPUTED_VALUE"""),"")</f>
        <v/>
      </c>
      <c r="H1560" s="192"/>
      <c r="I1560" s="192" t="str">
        <f>IFERROR(__xludf.DUMMYFUNCTION("""COMPUTED_VALUE"""),"")</f>
        <v/>
      </c>
      <c r="J1560" s="19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92"/>
      <c r="B1561" s="192"/>
      <c r="C1561" s="192"/>
      <c r="D1561" s="192"/>
      <c r="E1561" s="192"/>
      <c r="F1561" s="192"/>
      <c r="G1561" s="192" t="str">
        <f>IFERROR(__xludf.DUMMYFUNCTION("""COMPUTED_VALUE"""),"")</f>
        <v/>
      </c>
      <c r="H1561" s="192"/>
      <c r="I1561" s="192" t="str">
        <f>IFERROR(__xludf.DUMMYFUNCTION("""COMPUTED_VALUE"""),"")</f>
        <v/>
      </c>
      <c r="J1561" s="19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92"/>
      <c r="B1562" s="192"/>
      <c r="C1562" s="192"/>
      <c r="D1562" s="192"/>
      <c r="E1562" s="192"/>
      <c r="F1562" s="192"/>
      <c r="G1562" s="192" t="str">
        <f>IFERROR(__xludf.DUMMYFUNCTION("""COMPUTED_VALUE"""),"")</f>
        <v/>
      </c>
      <c r="H1562" s="192"/>
      <c r="I1562" s="192" t="str">
        <f>IFERROR(__xludf.DUMMYFUNCTION("""COMPUTED_VALUE"""),"")</f>
        <v/>
      </c>
      <c r="J1562" s="19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92"/>
      <c r="B1563" s="192"/>
      <c r="C1563" s="192"/>
      <c r="D1563" s="192"/>
      <c r="E1563" s="192"/>
      <c r="F1563" s="192"/>
      <c r="G1563" s="192" t="str">
        <f>IFERROR(__xludf.DUMMYFUNCTION("""COMPUTED_VALUE"""),"")</f>
        <v/>
      </c>
      <c r="H1563" s="192"/>
      <c r="I1563" s="192" t="str">
        <f>IFERROR(__xludf.DUMMYFUNCTION("""COMPUTED_VALUE"""),"")</f>
        <v/>
      </c>
      <c r="J1563" s="19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92"/>
      <c r="B1564" s="192"/>
      <c r="C1564" s="192"/>
      <c r="D1564" s="192"/>
      <c r="E1564" s="192"/>
      <c r="F1564" s="192"/>
      <c r="G1564" s="192" t="str">
        <f>IFERROR(__xludf.DUMMYFUNCTION("""COMPUTED_VALUE"""),"")</f>
        <v/>
      </c>
      <c r="H1564" s="192"/>
      <c r="I1564" s="192" t="str">
        <f>IFERROR(__xludf.DUMMYFUNCTION("""COMPUTED_VALUE"""),"")</f>
        <v/>
      </c>
      <c r="J1564" s="19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92"/>
      <c r="B1565" s="192"/>
      <c r="C1565" s="192"/>
      <c r="D1565" s="192"/>
      <c r="E1565" s="192"/>
      <c r="F1565" s="192"/>
      <c r="G1565" s="192" t="str">
        <f>IFERROR(__xludf.DUMMYFUNCTION("""COMPUTED_VALUE"""),"")</f>
        <v/>
      </c>
      <c r="H1565" s="192"/>
      <c r="I1565" s="192" t="str">
        <f>IFERROR(__xludf.DUMMYFUNCTION("""COMPUTED_VALUE"""),"")</f>
        <v/>
      </c>
      <c r="J1565" s="19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92"/>
      <c r="B1566" s="192"/>
      <c r="C1566" s="192"/>
      <c r="D1566" s="192"/>
      <c r="E1566" s="192"/>
      <c r="F1566" s="192"/>
      <c r="G1566" s="192" t="str">
        <f>IFERROR(__xludf.DUMMYFUNCTION("""COMPUTED_VALUE"""),"")</f>
        <v/>
      </c>
      <c r="H1566" s="192"/>
      <c r="I1566" s="192" t="str">
        <f>IFERROR(__xludf.DUMMYFUNCTION("""COMPUTED_VALUE"""),"")</f>
        <v/>
      </c>
      <c r="J1566" s="19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92"/>
      <c r="B1567" s="192"/>
      <c r="C1567" s="192"/>
      <c r="D1567" s="192"/>
      <c r="E1567" s="192"/>
      <c r="F1567" s="192"/>
      <c r="G1567" s="192" t="str">
        <f>IFERROR(__xludf.DUMMYFUNCTION("""COMPUTED_VALUE"""),"")</f>
        <v/>
      </c>
      <c r="H1567" s="192"/>
      <c r="I1567" s="192" t="str">
        <f>IFERROR(__xludf.DUMMYFUNCTION("""COMPUTED_VALUE"""),"")</f>
        <v/>
      </c>
      <c r="J1567" s="19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92"/>
      <c r="B1568" s="192"/>
      <c r="C1568" s="192"/>
      <c r="D1568" s="192"/>
      <c r="E1568" s="192"/>
      <c r="F1568" s="192"/>
      <c r="G1568" s="192" t="str">
        <f>IFERROR(__xludf.DUMMYFUNCTION("""COMPUTED_VALUE"""),"")</f>
        <v/>
      </c>
      <c r="H1568" s="192"/>
      <c r="I1568" s="192" t="str">
        <f>IFERROR(__xludf.DUMMYFUNCTION("""COMPUTED_VALUE"""),"")</f>
        <v/>
      </c>
      <c r="J1568" s="19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92"/>
      <c r="B1569" s="192"/>
      <c r="C1569" s="192"/>
      <c r="D1569" s="192"/>
      <c r="E1569" s="192"/>
      <c r="F1569" s="192"/>
      <c r="G1569" s="192" t="str">
        <f>IFERROR(__xludf.DUMMYFUNCTION("""COMPUTED_VALUE"""),"")</f>
        <v/>
      </c>
      <c r="H1569" s="192"/>
      <c r="I1569" s="192" t="str">
        <f>IFERROR(__xludf.DUMMYFUNCTION("""COMPUTED_VALUE"""),"")</f>
        <v/>
      </c>
      <c r="J1569" s="19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92"/>
      <c r="B1570" s="192"/>
      <c r="C1570" s="192"/>
      <c r="D1570" s="192"/>
      <c r="E1570" s="192"/>
      <c r="F1570" s="192"/>
      <c r="G1570" s="192" t="str">
        <f>IFERROR(__xludf.DUMMYFUNCTION("""COMPUTED_VALUE"""),"")</f>
        <v/>
      </c>
      <c r="H1570" s="192"/>
      <c r="I1570" s="192" t="str">
        <f>IFERROR(__xludf.DUMMYFUNCTION("""COMPUTED_VALUE"""),"")</f>
        <v/>
      </c>
      <c r="J1570" s="19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92"/>
      <c r="B1571" s="192"/>
      <c r="C1571" s="192"/>
      <c r="D1571" s="192"/>
      <c r="E1571" s="192"/>
      <c r="F1571" s="192"/>
      <c r="G1571" s="192" t="str">
        <f>IFERROR(__xludf.DUMMYFUNCTION("""COMPUTED_VALUE"""),"")</f>
        <v/>
      </c>
      <c r="H1571" s="192"/>
      <c r="I1571" s="192" t="str">
        <f>IFERROR(__xludf.DUMMYFUNCTION("""COMPUTED_VALUE"""),"")</f>
        <v/>
      </c>
      <c r="J1571" s="19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92"/>
      <c r="B1572" s="192"/>
      <c r="C1572" s="192"/>
      <c r="D1572" s="192"/>
      <c r="E1572" s="192"/>
      <c r="F1572" s="192"/>
      <c r="G1572" s="192" t="str">
        <f>IFERROR(__xludf.DUMMYFUNCTION("""COMPUTED_VALUE"""),"")</f>
        <v/>
      </c>
      <c r="H1572" s="192"/>
      <c r="I1572" s="192" t="str">
        <f>IFERROR(__xludf.DUMMYFUNCTION("""COMPUTED_VALUE"""),"")</f>
        <v/>
      </c>
      <c r="J1572" s="19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92"/>
      <c r="B1573" s="192"/>
      <c r="C1573" s="192"/>
      <c r="D1573" s="192"/>
      <c r="E1573" s="192"/>
      <c r="F1573" s="192"/>
      <c r="G1573" s="192" t="str">
        <f>IFERROR(__xludf.DUMMYFUNCTION("""COMPUTED_VALUE"""),"")</f>
        <v/>
      </c>
      <c r="H1573" s="192"/>
      <c r="I1573" s="192" t="str">
        <f>IFERROR(__xludf.DUMMYFUNCTION("""COMPUTED_VALUE"""),"")</f>
        <v/>
      </c>
      <c r="J1573" s="19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92"/>
      <c r="B1574" s="192"/>
      <c r="C1574" s="192"/>
      <c r="D1574" s="192"/>
      <c r="E1574" s="192"/>
      <c r="F1574" s="192"/>
      <c r="G1574" s="192" t="str">
        <f>IFERROR(__xludf.DUMMYFUNCTION("""COMPUTED_VALUE"""),"")</f>
        <v/>
      </c>
      <c r="H1574" s="192"/>
      <c r="I1574" s="192" t="str">
        <f>IFERROR(__xludf.DUMMYFUNCTION("""COMPUTED_VALUE"""),"")</f>
        <v/>
      </c>
      <c r="J1574" s="19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92"/>
      <c r="B1575" s="192"/>
      <c r="C1575" s="192"/>
      <c r="D1575" s="192"/>
      <c r="E1575" s="192"/>
      <c r="F1575" s="192"/>
      <c r="G1575" s="192" t="str">
        <f>IFERROR(__xludf.DUMMYFUNCTION("""COMPUTED_VALUE"""),"")</f>
        <v/>
      </c>
      <c r="H1575" s="192"/>
      <c r="I1575" s="192" t="str">
        <f>IFERROR(__xludf.DUMMYFUNCTION("""COMPUTED_VALUE"""),"")</f>
        <v/>
      </c>
      <c r="J1575" s="19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92"/>
      <c r="B1576" s="192"/>
      <c r="C1576" s="192"/>
      <c r="D1576" s="192"/>
      <c r="E1576" s="192"/>
      <c r="F1576" s="192"/>
      <c r="G1576" s="192" t="str">
        <f>IFERROR(__xludf.DUMMYFUNCTION("""COMPUTED_VALUE"""),"")</f>
        <v/>
      </c>
      <c r="H1576" s="192"/>
      <c r="I1576" s="192" t="str">
        <f>IFERROR(__xludf.DUMMYFUNCTION("""COMPUTED_VALUE"""),"")</f>
        <v/>
      </c>
      <c r="J1576" s="19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92"/>
      <c r="B1577" s="192"/>
      <c r="C1577" s="192"/>
      <c r="D1577" s="192"/>
      <c r="E1577" s="192"/>
      <c r="F1577" s="192"/>
      <c r="G1577" s="192" t="str">
        <f>IFERROR(__xludf.DUMMYFUNCTION("""COMPUTED_VALUE"""),"")</f>
        <v/>
      </c>
      <c r="H1577" s="192"/>
      <c r="I1577" s="192" t="str">
        <f>IFERROR(__xludf.DUMMYFUNCTION("""COMPUTED_VALUE"""),"")</f>
        <v/>
      </c>
      <c r="J1577" s="19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92"/>
      <c r="B1578" s="192"/>
      <c r="C1578" s="192"/>
      <c r="D1578" s="192"/>
      <c r="E1578" s="192"/>
      <c r="F1578" s="192"/>
      <c r="G1578" s="192" t="str">
        <f>IFERROR(__xludf.DUMMYFUNCTION("""COMPUTED_VALUE"""),"")</f>
        <v/>
      </c>
      <c r="H1578" s="192"/>
      <c r="I1578" s="192" t="str">
        <f>IFERROR(__xludf.DUMMYFUNCTION("""COMPUTED_VALUE"""),"")</f>
        <v/>
      </c>
      <c r="J1578" s="19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92"/>
      <c r="B1579" s="192"/>
      <c r="C1579" s="192"/>
      <c r="D1579" s="192"/>
      <c r="E1579" s="192"/>
      <c r="F1579" s="192"/>
      <c r="G1579" s="192" t="str">
        <f>IFERROR(__xludf.DUMMYFUNCTION("""COMPUTED_VALUE"""),"")</f>
        <v/>
      </c>
      <c r="H1579" s="192"/>
      <c r="I1579" s="192" t="str">
        <f>IFERROR(__xludf.DUMMYFUNCTION("""COMPUTED_VALUE"""),"")</f>
        <v/>
      </c>
      <c r="J1579" s="19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92"/>
      <c r="B1580" s="192"/>
      <c r="C1580" s="192"/>
      <c r="D1580" s="192"/>
      <c r="E1580" s="192"/>
      <c r="F1580" s="192"/>
      <c r="G1580" s="192" t="str">
        <f>IFERROR(__xludf.DUMMYFUNCTION("""COMPUTED_VALUE"""),"")</f>
        <v/>
      </c>
      <c r="H1580" s="192"/>
      <c r="I1580" s="192" t="str">
        <f>IFERROR(__xludf.DUMMYFUNCTION("""COMPUTED_VALUE"""),"")</f>
        <v/>
      </c>
      <c r="J1580" s="19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92"/>
      <c r="B1581" s="192"/>
      <c r="C1581" s="192"/>
      <c r="D1581" s="192"/>
      <c r="E1581" s="192"/>
      <c r="F1581" s="192"/>
      <c r="G1581" s="192" t="str">
        <f>IFERROR(__xludf.DUMMYFUNCTION("""COMPUTED_VALUE"""),"")</f>
        <v/>
      </c>
      <c r="H1581" s="192"/>
      <c r="I1581" s="192" t="str">
        <f>IFERROR(__xludf.DUMMYFUNCTION("""COMPUTED_VALUE"""),"")</f>
        <v/>
      </c>
      <c r="J1581" s="19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92"/>
      <c r="B1582" s="192"/>
      <c r="C1582" s="192"/>
      <c r="D1582" s="192"/>
      <c r="E1582" s="192"/>
      <c r="F1582" s="192"/>
      <c r="G1582" s="192" t="str">
        <f>IFERROR(__xludf.DUMMYFUNCTION("""COMPUTED_VALUE"""),"")</f>
        <v/>
      </c>
      <c r="H1582" s="192"/>
      <c r="I1582" s="192" t="str">
        <f>IFERROR(__xludf.DUMMYFUNCTION("""COMPUTED_VALUE"""),"")</f>
        <v/>
      </c>
      <c r="J1582" s="19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92"/>
      <c r="B1583" s="192"/>
      <c r="C1583" s="192"/>
      <c r="D1583" s="192"/>
      <c r="E1583" s="192"/>
      <c r="F1583" s="192"/>
      <c r="G1583" s="192" t="str">
        <f>IFERROR(__xludf.DUMMYFUNCTION("""COMPUTED_VALUE"""),"")</f>
        <v/>
      </c>
      <c r="H1583" s="192"/>
      <c r="I1583" s="192" t="str">
        <f>IFERROR(__xludf.DUMMYFUNCTION("""COMPUTED_VALUE"""),"")</f>
        <v/>
      </c>
      <c r="J1583" s="19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92"/>
      <c r="B1584" s="192"/>
      <c r="C1584" s="192"/>
      <c r="D1584" s="192"/>
      <c r="E1584" s="192"/>
      <c r="F1584" s="192"/>
      <c r="G1584" s="192" t="str">
        <f>IFERROR(__xludf.DUMMYFUNCTION("""COMPUTED_VALUE"""),"")</f>
        <v/>
      </c>
      <c r="H1584" s="192"/>
      <c r="I1584" s="192" t="str">
        <f>IFERROR(__xludf.DUMMYFUNCTION("""COMPUTED_VALUE"""),"")</f>
        <v/>
      </c>
      <c r="J1584" s="19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92"/>
      <c r="B1585" s="192"/>
      <c r="C1585" s="192"/>
      <c r="D1585" s="192"/>
      <c r="E1585" s="192"/>
      <c r="F1585" s="192"/>
      <c r="G1585" s="192" t="str">
        <f>IFERROR(__xludf.DUMMYFUNCTION("""COMPUTED_VALUE"""),"")</f>
        <v/>
      </c>
      <c r="H1585" s="192"/>
      <c r="I1585" s="192" t="str">
        <f>IFERROR(__xludf.DUMMYFUNCTION("""COMPUTED_VALUE"""),"")</f>
        <v/>
      </c>
      <c r="J1585" s="19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92"/>
      <c r="B1586" s="192"/>
      <c r="C1586" s="192"/>
      <c r="D1586" s="192"/>
      <c r="E1586" s="192"/>
      <c r="F1586" s="192"/>
      <c r="G1586" s="192" t="str">
        <f>IFERROR(__xludf.DUMMYFUNCTION("""COMPUTED_VALUE"""),"")</f>
        <v/>
      </c>
      <c r="H1586" s="192"/>
      <c r="I1586" s="192" t="str">
        <f>IFERROR(__xludf.DUMMYFUNCTION("""COMPUTED_VALUE"""),"")</f>
        <v/>
      </c>
      <c r="J1586" s="19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92"/>
      <c r="B1587" s="192"/>
      <c r="C1587" s="192"/>
      <c r="D1587" s="192"/>
      <c r="E1587" s="192"/>
      <c r="F1587" s="192"/>
      <c r="G1587" s="192" t="str">
        <f>IFERROR(__xludf.DUMMYFUNCTION("""COMPUTED_VALUE"""),"")</f>
        <v/>
      </c>
      <c r="H1587" s="192"/>
      <c r="I1587" s="192" t="str">
        <f>IFERROR(__xludf.DUMMYFUNCTION("""COMPUTED_VALUE"""),"")</f>
        <v/>
      </c>
      <c r="J1587" s="19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92"/>
      <c r="B1588" s="192"/>
      <c r="C1588" s="192"/>
      <c r="D1588" s="192"/>
      <c r="E1588" s="192"/>
      <c r="F1588" s="192"/>
      <c r="G1588" s="192" t="str">
        <f>IFERROR(__xludf.DUMMYFUNCTION("""COMPUTED_VALUE"""),"")</f>
        <v/>
      </c>
      <c r="H1588" s="192"/>
      <c r="I1588" s="192" t="str">
        <f>IFERROR(__xludf.DUMMYFUNCTION("""COMPUTED_VALUE"""),"")</f>
        <v/>
      </c>
      <c r="J1588" s="19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92"/>
      <c r="B1589" s="192"/>
      <c r="C1589" s="192"/>
      <c r="D1589" s="192"/>
      <c r="E1589" s="192"/>
      <c r="F1589" s="192"/>
      <c r="G1589" s="192" t="str">
        <f>IFERROR(__xludf.DUMMYFUNCTION("""COMPUTED_VALUE"""),"")</f>
        <v/>
      </c>
      <c r="H1589" s="192"/>
      <c r="I1589" s="192" t="str">
        <f>IFERROR(__xludf.DUMMYFUNCTION("""COMPUTED_VALUE"""),"")</f>
        <v/>
      </c>
      <c r="J1589" s="19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92"/>
      <c r="B1590" s="192"/>
      <c r="C1590" s="192"/>
      <c r="D1590" s="192"/>
      <c r="E1590" s="192"/>
      <c r="F1590" s="192"/>
      <c r="G1590" s="192" t="str">
        <f>IFERROR(__xludf.DUMMYFUNCTION("""COMPUTED_VALUE"""),"")</f>
        <v/>
      </c>
      <c r="H1590" s="192"/>
      <c r="I1590" s="192" t="str">
        <f>IFERROR(__xludf.DUMMYFUNCTION("""COMPUTED_VALUE"""),"")</f>
        <v/>
      </c>
      <c r="J1590" s="19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92"/>
      <c r="B1591" s="192"/>
      <c r="C1591" s="192"/>
      <c r="D1591" s="192"/>
      <c r="E1591" s="192"/>
      <c r="F1591" s="192"/>
      <c r="G1591" s="192" t="str">
        <f>IFERROR(__xludf.DUMMYFUNCTION("""COMPUTED_VALUE"""),"")</f>
        <v/>
      </c>
      <c r="H1591" s="192"/>
      <c r="I1591" s="192" t="str">
        <f>IFERROR(__xludf.DUMMYFUNCTION("""COMPUTED_VALUE"""),"")</f>
        <v/>
      </c>
      <c r="J1591" s="19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92"/>
      <c r="B1592" s="192"/>
      <c r="C1592" s="192"/>
      <c r="D1592" s="192"/>
      <c r="E1592" s="192"/>
      <c r="F1592" s="192"/>
      <c r="G1592" s="192" t="str">
        <f>IFERROR(__xludf.DUMMYFUNCTION("""COMPUTED_VALUE"""),"")</f>
        <v/>
      </c>
      <c r="H1592" s="192"/>
      <c r="I1592" s="192" t="str">
        <f>IFERROR(__xludf.DUMMYFUNCTION("""COMPUTED_VALUE"""),"")</f>
        <v/>
      </c>
      <c r="J1592" s="19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92"/>
      <c r="B1593" s="192"/>
      <c r="C1593" s="192"/>
      <c r="D1593" s="192"/>
      <c r="E1593" s="192"/>
      <c r="F1593" s="192"/>
      <c r="G1593" s="192" t="str">
        <f>IFERROR(__xludf.DUMMYFUNCTION("""COMPUTED_VALUE"""),"")</f>
        <v/>
      </c>
      <c r="H1593" s="192"/>
      <c r="I1593" s="192" t="str">
        <f>IFERROR(__xludf.DUMMYFUNCTION("""COMPUTED_VALUE"""),"")</f>
        <v/>
      </c>
      <c r="J1593" s="19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92"/>
      <c r="B1594" s="192"/>
      <c r="C1594" s="192"/>
      <c r="D1594" s="192"/>
      <c r="E1594" s="192"/>
      <c r="F1594" s="192"/>
      <c r="G1594" s="192" t="str">
        <f>IFERROR(__xludf.DUMMYFUNCTION("""COMPUTED_VALUE"""),"")</f>
        <v/>
      </c>
      <c r="H1594" s="192"/>
      <c r="I1594" s="192" t="str">
        <f>IFERROR(__xludf.DUMMYFUNCTION("""COMPUTED_VALUE"""),"")</f>
        <v/>
      </c>
      <c r="J1594" s="19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92"/>
      <c r="B1595" s="192"/>
      <c r="C1595" s="192"/>
      <c r="D1595" s="192"/>
      <c r="E1595" s="192"/>
      <c r="F1595" s="192"/>
      <c r="G1595" s="192" t="str">
        <f>IFERROR(__xludf.DUMMYFUNCTION("""COMPUTED_VALUE"""),"")</f>
        <v/>
      </c>
      <c r="H1595" s="192"/>
      <c r="I1595" s="192" t="str">
        <f>IFERROR(__xludf.DUMMYFUNCTION("""COMPUTED_VALUE"""),"")</f>
        <v/>
      </c>
      <c r="J1595" s="19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92"/>
      <c r="B1596" s="192"/>
      <c r="C1596" s="192"/>
      <c r="D1596" s="192"/>
      <c r="E1596" s="192"/>
      <c r="F1596" s="192"/>
      <c r="G1596" s="192" t="str">
        <f>IFERROR(__xludf.DUMMYFUNCTION("""COMPUTED_VALUE"""),"")</f>
        <v/>
      </c>
      <c r="H1596" s="192"/>
      <c r="I1596" s="192" t="str">
        <f>IFERROR(__xludf.DUMMYFUNCTION("""COMPUTED_VALUE"""),"")</f>
        <v/>
      </c>
      <c r="J1596" s="19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92"/>
      <c r="B1597" s="192"/>
      <c r="C1597" s="192"/>
      <c r="D1597" s="192"/>
      <c r="E1597" s="192"/>
      <c r="F1597" s="192"/>
      <c r="G1597" s="192" t="str">
        <f>IFERROR(__xludf.DUMMYFUNCTION("""COMPUTED_VALUE"""),"")</f>
        <v/>
      </c>
      <c r="H1597" s="192"/>
      <c r="I1597" s="192" t="str">
        <f>IFERROR(__xludf.DUMMYFUNCTION("""COMPUTED_VALUE"""),"")</f>
        <v/>
      </c>
      <c r="J1597" s="19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92"/>
      <c r="B1598" s="192"/>
      <c r="C1598" s="192"/>
      <c r="D1598" s="192"/>
      <c r="E1598" s="192"/>
      <c r="F1598" s="192"/>
      <c r="G1598" s="192" t="str">
        <f>IFERROR(__xludf.DUMMYFUNCTION("""COMPUTED_VALUE"""),"")</f>
        <v/>
      </c>
      <c r="H1598" s="192"/>
      <c r="I1598" s="192" t="str">
        <f>IFERROR(__xludf.DUMMYFUNCTION("""COMPUTED_VALUE"""),"")</f>
        <v/>
      </c>
      <c r="J1598" s="19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92"/>
      <c r="B1599" s="192"/>
      <c r="C1599" s="192"/>
      <c r="D1599" s="192"/>
      <c r="E1599" s="192"/>
      <c r="F1599" s="192"/>
      <c r="G1599" s="192" t="str">
        <f>IFERROR(__xludf.DUMMYFUNCTION("""COMPUTED_VALUE"""),"")</f>
        <v/>
      </c>
      <c r="H1599" s="192"/>
      <c r="I1599" s="192" t="str">
        <f>IFERROR(__xludf.DUMMYFUNCTION("""COMPUTED_VALUE"""),"")</f>
        <v/>
      </c>
      <c r="J1599" s="19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92"/>
      <c r="B1600" s="192"/>
      <c r="C1600" s="192"/>
      <c r="D1600" s="192"/>
      <c r="E1600" s="192"/>
      <c r="F1600" s="192"/>
      <c r="G1600" s="192" t="str">
        <f>IFERROR(__xludf.DUMMYFUNCTION("""COMPUTED_VALUE"""),"")</f>
        <v/>
      </c>
      <c r="H1600" s="192"/>
      <c r="I1600" s="192" t="str">
        <f>IFERROR(__xludf.DUMMYFUNCTION("""COMPUTED_VALUE"""),"")</f>
        <v/>
      </c>
      <c r="J1600" s="19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92"/>
      <c r="B1601" s="192"/>
      <c r="C1601" s="192"/>
      <c r="D1601" s="192"/>
      <c r="E1601" s="192"/>
      <c r="F1601" s="192"/>
      <c r="G1601" s="192" t="str">
        <f>IFERROR(__xludf.DUMMYFUNCTION("""COMPUTED_VALUE"""),"")</f>
        <v/>
      </c>
      <c r="H1601" s="192"/>
      <c r="I1601" s="192" t="str">
        <f>IFERROR(__xludf.DUMMYFUNCTION("""COMPUTED_VALUE"""),"")</f>
        <v/>
      </c>
      <c r="J1601" s="19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92"/>
      <c r="B1602" s="192"/>
      <c r="C1602" s="192"/>
      <c r="D1602" s="192"/>
      <c r="E1602" s="192"/>
      <c r="F1602" s="192"/>
      <c r="G1602" s="192" t="str">
        <f>IFERROR(__xludf.DUMMYFUNCTION("""COMPUTED_VALUE"""),"")</f>
        <v/>
      </c>
      <c r="H1602" s="192"/>
      <c r="I1602" s="192" t="str">
        <f>IFERROR(__xludf.DUMMYFUNCTION("""COMPUTED_VALUE"""),"")</f>
        <v/>
      </c>
      <c r="J1602" s="19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92"/>
      <c r="B1603" s="192"/>
      <c r="C1603" s="192"/>
      <c r="D1603" s="192"/>
      <c r="E1603" s="192"/>
      <c r="F1603" s="192"/>
      <c r="G1603" s="192" t="str">
        <f>IFERROR(__xludf.DUMMYFUNCTION("""COMPUTED_VALUE"""),"")</f>
        <v/>
      </c>
      <c r="H1603" s="192"/>
      <c r="I1603" s="192" t="str">
        <f>IFERROR(__xludf.DUMMYFUNCTION("""COMPUTED_VALUE"""),"")</f>
        <v/>
      </c>
      <c r="J1603" s="19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92"/>
      <c r="B1604" s="192"/>
      <c r="C1604" s="192"/>
      <c r="D1604" s="192"/>
      <c r="E1604" s="192"/>
      <c r="F1604" s="192"/>
      <c r="G1604" s="192" t="str">
        <f>IFERROR(__xludf.DUMMYFUNCTION("""COMPUTED_VALUE"""),"")</f>
        <v/>
      </c>
      <c r="H1604" s="192"/>
      <c r="I1604" s="192" t="str">
        <f>IFERROR(__xludf.DUMMYFUNCTION("""COMPUTED_VALUE"""),"")</f>
        <v/>
      </c>
      <c r="J1604" s="19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92"/>
      <c r="B1605" s="192"/>
      <c r="C1605" s="192"/>
      <c r="D1605" s="192"/>
      <c r="E1605" s="192"/>
      <c r="F1605" s="192"/>
      <c r="G1605" s="192" t="str">
        <f>IFERROR(__xludf.DUMMYFUNCTION("""COMPUTED_VALUE"""),"")</f>
        <v/>
      </c>
      <c r="H1605" s="192"/>
      <c r="I1605" s="192" t="str">
        <f>IFERROR(__xludf.DUMMYFUNCTION("""COMPUTED_VALUE"""),"")</f>
        <v/>
      </c>
      <c r="J1605" s="19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92"/>
      <c r="B1606" s="192"/>
      <c r="C1606" s="192"/>
      <c r="D1606" s="192"/>
      <c r="E1606" s="192"/>
      <c r="F1606" s="192"/>
      <c r="G1606" s="192" t="str">
        <f>IFERROR(__xludf.DUMMYFUNCTION("""COMPUTED_VALUE"""),"")</f>
        <v/>
      </c>
      <c r="H1606" s="192"/>
      <c r="I1606" s="192" t="str">
        <f>IFERROR(__xludf.DUMMYFUNCTION("""COMPUTED_VALUE"""),"")</f>
        <v/>
      </c>
      <c r="J1606" s="19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92"/>
      <c r="B1607" s="192"/>
      <c r="C1607" s="192"/>
      <c r="D1607" s="192"/>
      <c r="E1607" s="192"/>
      <c r="F1607" s="192"/>
      <c r="G1607" s="192" t="str">
        <f>IFERROR(__xludf.DUMMYFUNCTION("""COMPUTED_VALUE"""),"")</f>
        <v/>
      </c>
      <c r="H1607" s="192"/>
      <c r="I1607" s="192" t="str">
        <f>IFERROR(__xludf.DUMMYFUNCTION("""COMPUTED_VALUE"""),"")</f>
        <v/>
      </c>
      <c r="J1607" s="19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92"/>
      <c r="B1608" s="192"/>
      <c r="C1608" s="192"/>
      <c r="D1608" s="192"/>
      <c r="E1608" s="192"/>
      <c r="F1608" s="192"/>
      <c r="G1608" s="192" t="str">
        <f>IFERROR(__xludf.DUMMYFUNCTION("""COMPUTED_VALUE"""),"")</f>
        <v/>
      </c>
      <c r="H1608" s="192"/>
      <c r="I1608" s="192" t="str">
        <f>IFERROR(__xludf.DUMMYFUNCTION("""COMPUTED_VALUE"""),"")</f>
        <v/>
      </c>
      <c r="J1608" s="19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92"/>
      <c r="B1609" s="192"/>
      <c r="C1609" s="192"/>
      <c r="D1609" s="192"/>
      <c r="E1609" s="192"/>
      <c r="F1609" s="192"/>
      <c r="G1609" s="192" t="str">
        <f>IFERROR(__xludf.DUMMYFUNCTION("""COMPUTED_VALUE"""),"")</f>
        <v/>
      </c>
      <c r="H1609" s="192"/>
      <c r="I1609" s="192" t="str">
        <f>IFERROR(__xludf.DUMMYFUNCTION("""COMPUTED_VALUE"""),"")</f>
        <v/>
      </c>
      <c r="J1609" s="19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92"/>
      <c r="B1610" s="192"/>
      <c r="C1610" s="192"/>
      <c r="D1610" s="192"/>
      <c r="E1610" s="192"/>
      <c r="F1610" s="192"/>
      <c r="G1610" s="192" t="str">
        <f>IFERROR(__xludf.DUMMYFUNCTION("""COMPUTED_VALUE"""),"")</f>
        <v/>
      </c>
      <c r="H1610" s="192"/>
      <c r="I1610" s="192" t="str">
        <f>IFERROR(__xludf.DUMMYFUNCTION("""COMPUTED_VALUE"""),"")</f>
        <v/>
      </c>
      <c r="J1610" s="19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92"/>
      <c r="B1611" s="192"/>
      <c r="C1611" s="192"/>
      <c r="D1611" s="192"/>
      <c r="E1611" s="192"/>
      <c r="F1611" s="192"/>
      <c r="G1611" s="192" t="str">
        <f>IFERROR(__xludf.DUMMYFUNCTION("""COMPUTED_VALUE"""),"")</f>
        <v/>
      </c>
      <c r="H1611" s="192"/>
      <c r="I1611" s="192" t="str">
        <f>IFERROR(__xludf.DUMMYFUNCTION("""COMPUTED_VALUE"""),"")</f>
        <v/>
      </c>
      <c r="J1611" s="19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92"/>
      <c r="B1612" s="192"/>
      <c r="C1612" s="192"/>
      <c r="D1612" s="192"/>
      <c r="E1612" s="192"/>
      <c r="F1612" s="192"/>
      <c r="G1612" s="192" t="str">
        <f>IFERROR(__xludf.DUMMYFUNCTION("""COMPUTED_VALUE"""),"")</f>
        <v/>
      </c>
      <c r="H1612" s="192"/>
      <c r="I1612" s="192" t="str">
        <f>IFERROR(__xludf.DUMMYFUNCTION("""COMPUTED_VALUE"""),"")</f>
        <v/>
      </c>
      <c r="J1612" s="19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92"/>
      <c r="B1613" s="192"/>
      <c r="C1613" s="192"/>
      <c r="D1613" s="192"/>
      <c r="E1613" s="192"/>
      <c r="F1613" s="192"/>
      <c r="G1613" s="192" t="str">
        <f>IFERROR(__xludf.DUMMYFUNCTION("""COMPUTED_VALUE"""),"")</f>
        <v/>
      </c>
      <c r="H1613" s="192"/>
      <c r="I1613" s="192" t="str">
        <f>IFERROR(__xludf.DUMMYFUNCTION("""COMPUTED_VALUE"""),"")</f>
        <v/>
      </c>
      <c r="J1613" s="19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92"/>
      <c r="B1614" s="192"/>
      <c r="C1614" s="192"/>
      <c r="D1614" s="192"/>
      <c r="E1614" s="192"/>
      <c r="F1614" s="192"/>
      <c r="G1614" s="192" t="str">
        <f>IFERROR(__xludf.DUMMYFUNCTION("""COMPUTED_VALUE"""),"")</f>
        <v/>
      </c>
      <c r="H1614" s="192"/>
      <c r="I1614" s="192" t="str">
        <f>IFERROR(__xludf.DUMMYFUNCTION("""COMPUTED_VALUE"""),"")</f>
        <v/>
      </c>
      <c r="J1614" s="19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92"/>
      <c r="B1615" s="192"/>
      <c r="C1615" s="192"/>
      <c r="D1615" s="192"/>
      <c r="E1615" s="192"/>
      <c r="F1615" s="192"/>
      <c r="G1615" s="192" t="str">
        <f>IFERROR(__xludf.DUMMYFUNCTION("""COMPUTED_VALUE"""),"")</f>
        <v/>
      </c>
      <c r="H1615" s="192"/>
      <c r="I1615" s="192" t="str">
        <f>IFERROR(__xludf.DUMMYFUNCTION("""COMPUTED_VALUE"""),"")</f>
        <v/>
      </c>
      <c r="J1615" s="19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92"/>
      <c r="B1616" s="192"/>
      <c r="C1616" s="192"/>
      <c r="D1616" s="192"/>
      <c r="E1616" s="192"/>
      <c r="F1616" s="192"/>
      <c r="G1616" s="192" t="str">
        <f>IFERROR(__xludf.DUMMYFUNCTION("""COMPUTED_VALUE"""),"")</f>
        <v/>
      </c>
      <c r="H1616" s="192"/>
      <c r="I1616" s="192" t="str">
        <f>IFERROR(__xludf.DUMMYFUNCTION("""COMPUTED_VALUE"""),"")</f>
        <v/>
      </c>
      <c r="J1616" s="19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92"/>
      <c r="B1617" s="192"/>
      <c r="C1617" s="192"/>
      <c r="D1617" s="192"/>
      <c r="E1617" s="192"/>
      <c r="F1617" s="192"/>
      <c r="G1617" s="192" t="str">
        <f>IFERROR(__xludf.DUMMYFUNCTION("""COMPUTED_VALUE"""),"")</f>
        <v/>
      </c>
      <c r="H1617" s="192"/>
      <c r="I1617" s="192" t="str">
        <f>IFERROR(__xludf.DUMMYFUNCTION("""COMPUTED_VALUE"""),"")</f>
        <v/>
      </c>
      <c r="J1617" s="19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92"/>
      <c r="B1618" s="192"/>
      <c r="C1618" s="192"/>
      <c r="D1618" s="192"/>
      <c r="E1618" s="192"/>
      <c r="F1618" s="192"/>
      <c r="G1618" s="192" t="str">
        <f>IFERROR(__xludf.DUMMYFUNCTION("""COMPUTED_VALUE"""),"")</f>
        <v/>
      </c>
      <c r="H1618" s="192"/>
      <c r="I1618" s="192" t="str">
        <f>IFERROR(__xludf.DUMMYFUNCTION("""COMPUTED_VALUE"""),"")</f>
        <v/>
      </c>
      <c r="J1618" s="19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92"/>
      <c r="B1619" s="192"/>
      <c r="C1619" s="192"/>
      <c r="D1619" s="192"/>
      <c r="E1619" s="192"/>
      <c r="F1619" s="192"/>
      <c r="G1619" s="192" t="str">
        <f>IFERROR(__xludf.DUMMYFUNCTION("""COMPUTED_VALUE"""),"")</f>
        <v/>
      </c>
      <c r="H1619" s="192"/>
      <c r="I1619" s="192" t="str">
        <f>IFERROR(__xludf.DUMMYFUNCTION("""COMPUTED_VALUE"""),"")</f>
        <v/>
      </c>
      <c r="J1619" s="19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92"/>
      <c r="B1620" s="192"/>
      <c r="C1620" s="192"/>
      <c r="D1620" s="192"/>
      <c r="E1620" s="192"/>
      <c r="F1620" s="192"/>
      <c r="G1620" s="192" t="str">
        <f>IFERROR(__xludf.DUMMYFUNCTION("""COMPUTED_VALUE"""),"")</f>
        <v/>
      </c>
      <c r="H1620" s="192"/>
      <c r="I1620" s="192" t="str">
        <f>IFERROR(__xludf.DUMMYFUNCTION("""COMPUTED_VALUE"""),"")</f>
        <v/>
      </c>
      <c r="J1620" s="19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92"/>
      <c r="B1621" s="192"/>
      <c r="C1621" s="192"/>
      <c r="D1621" s="192"/>
      <c r="E1621" s="192"/>
      <c r="F1621" s="192"/>
      <c r="G1621" s="192" t="str">
        <f>IFERROR(__xludf.DUMMYFUNCTION("""COMPUTED_VALUE"""),"")</f>
        <v/>
      </c>
      <c r="H1621" s="192"/>
      <c r="I1621" s="192" t="str">
        <f>IFERROR(__xludf.DUMMYFUNCTION("""COMPUTED_VALUE"""),"")</f>
        <v/>
      </c>
      <c r="J1621" s="19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92"/>
      <c r="B1622" s="192"/>
      <c r="C1622" s="192"/>
      <c r="D1622" s="192"/>
      <c r="E1622" s="192"/>
      <c r="F1622" s="192"/>
      <c r="G1622" s="192" t="str">
        <f>IFERROR(__xludf.DUMMYFUNCTION("""COMPUTED_VALUE"""),"")</f>
        <v/>
      </c>
      <c r="H1622" s="192"/>
      <c r="I1622" s="192" t="str">
        <f>IFERROR(__xludf.DUMMYFUNCTION("""COMPUTED_VALUE"""),"")</f>
        <v/>
      </c>
      <c r="J1622" s="19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92"/>
      <c r="B1623" s="192"/>
      <c r="C1623" s="192"/>
      <c r="D1623" s="192"/>
      <c r="E1623" s="192"/>
      <c r="F1623" s="192"/>
      <c r="G1623" s="192" t="str">
        <f>IFERROR(__xludf.DUMMYFUNCTION("""COMPUTED_VALUE"""),"")</f>
        <v/>
      </c>
      <c r="H1623" s="192"/>
      <c r="I1623" s="192" t="str">
        <f>IFERROR(__xludf.DUMMYFUNCTION("""COMPUTED_VALUE"""),"")</f>
        <v/>
      </c>
      <c r="J1623" s="19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92"/>
      <c r="B1624" s="192"/>
      <c r="C1624" s="192"/>
      <c r="D1624" s="192"/>
      <c r="E1624" s="192"/>
      <c r="F1624" s="192"/>
      <c r="G1624" s="192" t="str">
        <f>IFERROR(__xludf.DUMMYFUNCTION("""COMPUTED_VALUE"""),"")</f>
        <v/>
      </c>
      <c r="H1624" s="192"/>
      <c r="I1624" s="192" t="str">
        <f>IFERROR(__xludf.DUMMYFUNCTION("""COMPUTED_VALUE"""),"")</f>
        <v/>
      </c>
      <c r="J1624" s="19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92"/>
      <c r="B1625" s="192"/>
      <c r="C1625" s="192"/>
      <c r="D1625" s="192"/>
      <c r="E1625" s="192"/>
      <c r="F1625" s="192"/>
      <c r="G1625" s="192" t="str">
        <f>IFERROR(__xludf.DUMMYFUNCTION("""COMPUTED_VALUE"""),"")</f>
        <v/>
      </c>
      <c r="H1625" s="192"/>
      <c r="I1625" s="192" t="str">
        <f>IFERROR(__xludf.DUMMYFUNCTION("""COMPUTED_VALUE"""),"")</f>
        <v/>
      </c>
      <c r="J1625" s="19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92"/>
      <c r="B1626" s="192"/>
      <c r="C1626" s="192"/>
      <c r="D1626" s="192"/>
      <c r="E1626" s="192"/>
      <c r="F1626" s="192"/>
      <c r="G1626" s="192" t="str">
        <f>IFERROR(__xludf.DUMMYFUNCTION("""COMPUTED_VALUE"""),"")</f>
        <v/>
      </c>
      <c r="H1626" s="192"/>
      <c r="I1626" s="192" t="str">
        <f>IFERROR(__xludf.DUMMYFUNCTION("""COMPUTED_VALUE"""),"")</f>
        <v/>
      </c>
      <c r="J1626" s="19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92"/>
      <c r="B1627" s="192"/>
      <c r="C1627" s="192"/>
      <c r="D1627" s="192"/>
      <c r="E1627" s="192"/>
      <c r="F1627" s="192"/>
      <c r="G1627" s="192" t="str">
        <f>IFERROR(__xludf.DUMMYFUNCTION("""COMPUTED_VALUE"""),"")</f>
        <v/>
      </c>
      <c r="H1627" s="192"/>
      <c r="I1627" s="192" t="str">
        <f>IFERROR(__xludf.DUMMYFUNCTION("""COMPUTED_VALUE"""),"")</f>
        <v/>
      </c>
      <c r="J1627" s="19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92"/>
      <c r="B1628" s="192"/>
      <c r="C1628" s="192"/>
      <c r="D1628" s="192"/>
      <c r="E1628" s="192"/>
      <c r="F1628" s="192"/>
      <c r="G1628" s="192" t="str">
        <f>IFERROR(__xludf.DUMMYFUNCTION("""COMPUTED_VALUE"""),"")</f>
        <v/>
      </c>
      <c r="H1628" s="192"/>
      <c r="I1628" s="192" t="str">
        <f>IFERROR(__xludf.DUMMYFUNCTION("""COMPUTED_VALUE"""),"")</f>
        <v/>
      </c>
      <c r="J1628" s="19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92"/>
      <c r="B1629" s="192"/>
      <c r="C1629" s="192"/>
      <c r="D1629" s="192"/>
      <c r="E1629" s="192"/>
      <c r="F1629" s="192"/>
      <c r="G1629" s="192" t="str">
        <f>IFERROR(__xludf.DUMMYFUNCTION("""COMPUTED_VALUE"""),"")</f>
        <v/>
      </c>
      <c r="H1629" s="192"/>
      <c r="I1629" s="192" t="str">
        <f>IFERROR(__xludf.DUMMYFUNCTION("""COMPUTED_VALUE"""),"")</f>
        <v/>
      </c>
      <c r="J1629" s="19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92"/>
      <c r="B1630" s="192"/>
      <c r="C1630" s="192"/>
      <c r="D1630" s="192"/>
      <c r="E1630" s="192"/>
      <c r="F1630" s="192"/>
      <c r="G1630" s="192" t="str">
        <f>IFERROR(__xludf.DUMMYFUNCTION("""COMPUTED_VALUE"""),"")</f>
        <v/>
      </c>
      <c r="H1630" s="192"/>
      <c r="I1630" s="192" t="str">
        <f>IFERROR(__xludf.DUMMYFUNCTION("""COMPUTED_VALUE"""),"")</f>
        <v/>
      </c>
      <c r="J1630" s="19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92"/>
      <c r="B1631" s="192"/>
      <c r="C1631" s="192"/>
      <c r="D1631" s="192"/>
      <c r="E1631" s="192"/>
      <c r="F1631" s="192"/>
      <c r="G1631" s="192" t="str">
        <f>IFERROR(__xludf.DUMMYFUNCTION("""COMPUTED_VALUE"""),"")</f>
        <v/>
      </c>
      <c r="H1631" s="192"/>
      <c r="I1631" s="192" t="str">
        <f>IFERROR(__xludf.DUMMYFUNCTION("""COMPUTED_VALUE"""),"")</f>
        <v/>
      </c>
      <c r="J1631" s="19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92"/>
      <c r="B1632" s="192"/>
      <c r="C1632" s="192"/>
      <c r="D1632" s="192"/>
      <c r="E1632" s="192"/>
      <c r="F1632" s="192"/>
      <c r="G1632" s="192" t="str">
        <f>IFERROR(__xludf.DUMMYFUNCTION("""COMPUTED_VALUE"""),"")</f>
        <v/>
      </c>
      <c r="H1632" s="192"/>
      <c r="I1632" s="192" t="str">
        <f>IFERROR(__xludf.DUMMYFUNCTION("""COMPUTED_VALUE"""),"")</f>
        <v/>
      </c>
      <c r="J1632" s="19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92"/>
      <c r="B1633" s="192"/>
      <c r="C1633" s="192"/>
      <c r="D1633" s="192"/>
      <c r="E1633" s="192"/>
      <c r="F1633" s="192"/>
      <c r="G1633" s="192" t="str">
        <f>IFERROR(__xludf.DUMMYFUNCTION("""COMPUTED_VALUE"""),"")</f>
        <v/>
      </c>
      <c r="H1633" s="192"/>
      <c r="I1633" s="192" t="str">
        <f>IFERROR(__xludf.DUMMYFUNCTION("""COMPUTED_VALUE"""),"")</f>
        <v/>
      </c>
      <c r="J1633" s="19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92"/>
      <c r="B1634" s="192"/>
      <c r="C1634" s="192"/>
      <c r="D1634" s="192"/>
      <c r="E1634" s="192"/>
      <c r="F1634" s="192"/>
      <c r="G1634" s="192" t="str">
        <f>IFERROR(__xludf.DUMMYFUNCTION("""COMPUTED_VALUE"""),"")</f>
        <v/>
      </c>
      <c r="H1634" s="192"/>
      <c r="I1634" s="192" t="str">
        <f>IFERROR(__xludf.DUMMYFUNCTION("""COMPUTED_VALUE"""),"")</f>
        <v/>
      </c>
      <c r="J1634" s="19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92"/>
      <c r="B1635" s="192"/>
      <c r="C1635" s="192"/>
      <c r="D1635" s="192"/>
      <c r="E1635" s="192"/>
      <c r="F1635" s="192"/>
      <c r="G1635" s="192" t="str">
        <f>IFERROR(__xludf.DUMMYFUNCTION("""COMPUTED_VALUE"""),"")</f>
        <v/>
      </c>
      <c r="H1635" s="192"/>
      <c r="I1635" s="192" t="str">
        <f>IFERROR(__xludf.DUMMYFUNCTION("""COMPUTED_VALUE"""),"")</f>
        <v/>
      </c>
      <c r="J1635" s="19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92"/>
      <c r="B1636" s="192"/>
      <c r="C1636" s="192"/>
      <c r="D1636" s="192"/>
      <c r="E1636" s="192"/>
      <c r="F1636" s="192"/>
      <c r="G1636" s="192" t="str">
        <f>IFERROR(__xludf.DUMMYFUNCTION("""COMPUTED_VALUE"""),"")</f>
        <v/>
      </c>
      <c r="H1636" s="192"/>
      <c r="I1636" s="192" t="str">
        <f>IFERROR(__xludf.DUMMYFUNCTION("""COMPUTED_VALUE"""),"")</f>
        <v/>
      </c>
      <c r="J1636" s="19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92"/>
      <c r="B1637" s="192"/>
      <c r="C1637" s="192"/>
      <c r="D1637" s="192"/>
      <c r="E1637" s="192"/>
      <c r="F1637" s="192"/>
      <c r="G1637" s="192" t="str">
        <f>IFERROR(__xludf.DUMMYFUNCTION("""COMPUTED_VALUE"""),"")</f>
        <v/>
      </c>
      <c r="H1637" s="192"/>
      <c r="I1637" s="192" t="str">
        <f>IFERROR(__xludf.DUMMYFUNCTION("""COMPUTED_VALUE"""),"")</f>
        <v/>
      </c>
      <c r="J1637" s="19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92"/>
      <c r="B1638" s="192"/>
      <c r="C1638" s="192"/>
      <c r="D1638" s="192"/>
      <c r="E1638" s="192"/>
      <c r="F1638" s="192"/>
      <c r="G1638" s="192" t="str">
        <f>IFERROR(__xludf.DUMMYFUNCTION("""COMPUTED_VALUE"""),"")</f>
        <v/>
      </c>
      <c r="H1638" s="192"/>
      <c r="I1638" s="192" t="str">
        <f>IFERROR(__xludf.DUMMYFUNCTION("""COMPUTED_VALUE"""),"")</f>
        <v/>
      </c>
      <c r="J1638" s="19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92"/>
      <c r="B1639" s="192"/>
      <c r="C1639" s="192"/>
      <c r="D1639" s="192"/>
      <c r="E1639" s="192"/>
      <c r="F1639" s="192"/>
      <c r="G1639" s="192" t="str">
        <f>IFERROR(__xludf.DUMMYFUNCTION("""COMPUTED_VALUE"""),"")</f>
        <v/>
      </c>
      <c r="H1639" s="192"/>
      <c r="I1639" s="192" t="str">
        <f>IFERROR(__xludf.DUMMYFUNCTION("""COMPUTED_VALUE"""),"")</f>
        <v/>
      </c>
      <c r="J1639" s="19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92"/>
      <c r="B1640" s="192"/>
      <c r="C1640" s="192"/>
      <c r="D1640" s="192"/>
      <c r="E1640" s="192"/>
      <c r="F1640" s="192"/>
      <c r="G1640" s="192" t="str">
        <f>IFERROR(__xludf.DUMMYFUNCTION("""COMPUTED_VALUE"""),"")</f>
        <v/>
      </c>
      <c r="H1640" s="192"/>
      <c r="I1640" s="192" t="str">
        <f>IFERROR(__xludf.DUMMYFUNCTION("""COMPUTED_VALUE"""),"")</f>
        <v/>
      </c>
      <c r="J1640" s="19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92"/>
      <c r="B1641" s="192"/>
      <c r="C1641" s="192"/>
      <c r="D1641" s="192"/>
      <c r="E1641" s="192"/>
      <c r="F1641" s="192"/>
      <c r="G1641" s="192" t="str">
        <f>IFERROR(__xludf.DUMMYFUNCTION("""COMPUTED_VALUE"""),"")</f>
        <v/>
      </c>
      <c r="H1641" s="192"/>
      <c r="I1641" s="192" t="str">
        <f>IFERROR(__xludf.DUMMYFUNCTION("""COMPUTED_VALUE"""),"")</f>
        <v/>
      </c>
      <c r="J1641" s="19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92"/>
      <c r="B1642" s="192"/>
      <c r="C1642" s="192"/>
      <c r="D1642" s="192"/>
      <c r="E1642" s="192"/>
      <c r="F1642" s="192"/>
      <c r="G1642" s="192" t="str">
        <f>IFERROR(__xludf.DUMMYFUNCTION("""COMPUTED_VALUE"""),"")</f>
        <v/>
      </c>
      <c r="H1642" s="192"/>
      <c r="I1642" s="192" t="str">
        <f>IFERROR(__xludf.DUMMYFUNCTION("""COMPUTED_VALUE"""),"")</f>
        <v/>
      </c>
      <c r="J1642" s="19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92"/>
      <c r="B1643" s="192"/>
      <c r="C1643" s="192"/>
      <c r="D1643" s="192"/>
      <c r="E1643" s="192"/>
      <c r="F1643" s="192"/>
      <c r="G1643" s="192" t="str">
        <f>IFERROR(__xludf.DUMMYFUNCTION("""COMPUTED_VALUE"""),"")</f>
        <v/>
      </c>
      <c r="H1643" s="192"/>
      <c r="I1643" s="192" t="str">
        <f>IFERROR(__xludf.DUMMYFUNCTION("""COMPUTED_VALUE"""),"")</f>
        <v/>
      </c>
      <c r="J1643" s="19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92"/>
      <c r="B1644" s="192"/>
      <c r="C1644" s="192"/>
      <c r="D1644" s="192"/>
      <c r="E1644" s="192"/>
      <c r="F1644" s="192"/>
      <c r="G1644" s="192" t="str">
        <f>IFERROR(__xludf.DUMMYFUNCTION("""COMPUTED_VALUE"""),"")</f>
        <v/>
      </c>
      <c r="H1644" s="192"/>
      <c r="I1644" s="192" t="str">
        <f>IFERROR(__xludf.DUMMYFUNCTION("""COMPUTED_VALUE"""),"")</f>
        <v/>
      </c>
      <c r="J1644" s="19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92"/>
      <c r="B1645" s="192"/>
      <c r="C1645" s="192"/>
      <c r="D1645" s="192"/>
      <c r="E1645" s="192"/>
      <c r="F1645" s="192"/>
      <c r="G1645" s="192" t="str">
        <f>IFERROR(__xludf.DUMMYFUNCTION("""COMPUTED_VALUE"""),"")</f>
        <v/>
      </c>
      <c r="H1645" s="192"/>
      <c r="I1645" s="192" t="str">
        <f>IFERROR(__xludf.DUMMYFUNCTION("""COMPUTED_VALUE"""),"")</f>
        <v/>
      </c>
      <c r="J1645" s="19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92"/>
      <c r="B1646" s="192"/>
      <c r="C1646" s="192"/>
      <c r="D1646" s="192"/>
      <c r="E1646" s="192"/>
      <c r="F1646" s="192"/>
      <c r="G1646" s="192" t="str">
        <f>IFERROR(__xludf.DUMMYFUNCTION("""COMPUTED_VALUE"""),"")</f>
        <v/>
      </c>
      <c r="H1646" s="192"/>
      <c r="I1646" s="192" t="str">
        <f>IFERROR(__xludf.DUMMYFUNCTION("""COMPUTED_VALUE"""),"")</f>
        <v/>
      </c>
      <c r="J1646" s="19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92"/>
      <c r="B1647" s="192"/>
      <c r="C1647" s="192"/>
      <c r="D1647" s="192"/>
      <c r="E1647" s="192"/>
      <c r="F1647" s="192"/>
      <c r="G1647" s="192" t="str">
        <f>IFERROR(__xludf.DUMMYFUNCTION("""COMPUTED_VALUE"""),"")</f>
        <v/>
      </c>
      <c r="H1647" s="192"/>
      <c r="I1647" s="192" t="str">
        <f>IFERROR(__xludf.DUMMYFUNCTION("""COMPUTED_VALUE"""),"")</f>
        <v/>
      </c>
      <c r="J1647" s="19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92"/>
      <c r="B1648" s="192"/>
      <c r="C1648" s="192"/>
      <c r="D1648" s="192"/>
      <c r="E1648" s="192"/>
      <c r="F1648" s="192"/>
      <c r="G1648" s="192" t="str">
        <f>IFERROR(__xludf.DUMMYFUNCTION("""COMPUTED_VALUE"""),"")</f>
        <v/>
      </c>
      <c r="H1648" s="192"/>
      <c r="I1648" s="192" t="str">
        <f>IFERROR(__xludf.DUMMYFUNCTION("""COMPUTED_VALUE"""),"")</f>
        <v/>
      </c>
      <c r="J1648" s="19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92"/>
      <c r="B1649" s="192"/>
      <c r="C1649" s="192"/>
      <c r="D1649" s="192"/>
      <c r="E1649" s="192"/>
      <c r="F1649" s="192"/>
      <c r="G1649" s="192" t="str">
        <f>IFERROR(__xludf.DUMMYFUNCTION("""COMPUTED_VALUE"""),"")</f>
        <v/>
      </c>
      <c r="H1649" s="192"/>
      <c r="I1649" s="192" t="str">
        <f>IFERROR(__xludf.DUMMYFUNCTION("""COMPUTED_VALUE"""),"")</f>
        <v/>
      </c>
      <c r="J1649" s="19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92"/>
      <c r="B1650" s="192"/>
      <c r="C1650" s="192"/>
      <c r="D1650" s="192"/>
      <c r="E1650" s="192"/>
      <c r="F1650" s="192"/>
      <c r="G1650" s="192" t="str">
        <f>IFERROR(__xludf.DUMMYFUNCTION("""COMPUTED_VALUE"""),"")</f>
        <v/>
      </c>
      <c r="H1650" s="192"/>
      <c r="I1650" s="192" t="str">
        <f>IFERROR(__xludf.DUMMYFUNCTION("""COMPUTED_VALUE"""),"")</f>
        <v/>
      </c>
      <c r="J1650" s="19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92"/>
      <c r="B1651" s="192"/>
      <c r="C1651" s="192"/>
      <c r="D1651" s="192"/>
      <c r="E1651" s="192"/>
      <c r="F1651" s="192"/>
      <c r="G1651" s="192" t="str">
        <f>IFERROR(__xludf.DUMMYFUNCTION("""COMPUTED_VALUE"""),"")</f>
        <v/>
      </c>
      <c r="H1651" s="192"/>
      <c r="I1651" s="192" t="str">
        <f>IFERROR(__xludf.DUMMYFUNCTION("""COMPUTED_VALUE"""),"")</f>
        <v/>
      </c>
      <c r="J1651" s="19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92"/>
      <c r="B1652" s="192"/>
      <c r="C1652" s="192"/>
      <c r="D1652" s="192"/>
      <c r="E1652" s="192"/>
      <c r="F1652" s="192"/>
      <c r="G1652" s="192" t="str">
        <f>IFERROR(__xludf.DUMMYFUNCTION("""COMPUTED_VALUE"""),"")</f>
        <v/>
      </c>
      <c r="H1652" s="192"/>
      <c r="I1652" s="192" t="str">
        <f>IFERROR(__xludf.DUMMYFUNCTION("""COMPUTED_VALUE"""),"")</f>
        <v/>
      </c>
      <c r="J1652" s="19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92"/>
      <c r="B1653" s="192"/>
      <c r="C1653" s="192"/>
      <c r="D1653" s="192"/>
      <c r="E1653" s="192"/>
      <c r="F1653" s="192"/>
      <c r="G1653" s="192" t="str">
        <f>IFERROR(__xludf.DUMMYFUNCTION("""COMPUTED_VALUE"""),"")</f>
        <v/>
      </c>
      <c r="H1653" s="192"/>
      <c r="I1653" s="192" t="str">
        <f>IFERROR(__xludf.DUMMYFUNCTION("""COMPUTED_VALUE"""),"")</f>
        <v/>
      </c>
      <c r="J1653" s="19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92"/>
      <c r="B1654" s="192"/>
      <c r="C1654" s="192"/>
      <c r="D1654" s="192"/>
      <c r="E1654" s="192"/>
      <c r="F1654" s="192"/>
      <c r="G1654" s="192" t="str">
        <f>IFERROR(__xludf.DUMMYFUNCTION("""COMPUTED_VALUE"""),"")</f>
        <v/>
      </c>
      <c r="H1654" s="192"/>
      <c r="I1654" s="192" t="str">
        <f>IFERROR(__xludf.DUMMYFUNCTION("""COMPUTED_VALUE"""),"")</f>
        <v/>
      </c>
      <c r="J1654" s="19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92"/>
      <c r="B1655" s="192"/>
      <c r="C1655" s="192"/>
      <c r="D1655" s="192"/>
      <c r="E1655" s="192"/>
      <c r="F1655" s="192"/>
      <c r="G1655" s="192" t="str">
        <f>IFERROR(__xludf.DUMMYFUNCTION("""COMPUTED_VALUE"""),"")</f>
        <v/>
      </c>
      <c r="H1655" s="192"/>
      <c r="I1655" s="192" t="str">
        <f>IFERROR(__xludf.DUMMYFUNCTION("""COMPUTED_VALUE"""),"")</f>
        <v/>
      </c>
      <c r="J1655" s="19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92"/>
      <c r="B1656" s="192"/>
      <c r="C1656" s="192"/>
      <c r="D1656" s="192"/>
      <c r="E1656" s="192"/>
      <c r="F1656" s="192"/>
      <c r="G1656" s="192" t="str">
        <f>IFERROR(__xludf.DUMMYFUNCTION("""COMPUTED_VALUE"""),"")</f>
        <v/>
      </c>
      <c r="H1656" s="192"/>
      <c r="I1656" s="192" t="str">
        <f>IFERROR(__xludf.DUMMYFUNCTION("""COMPUTED_VALUE"""),"")</f>
        <v/>
      </c>
      <c r="J1656" s="19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92"/>
      <c r="B1657" s="192"/>
      <c r="C1657" s="192"/>
      <c r="D1657" s="192"/>
      <c r="E1657" s="192"/>
      <c r="F1657" s="192"/>
      <c r="G1657" s="192" t="str">
        <f>IFERROR(__xludf.DUMMYFUNCTION("""COMPUTED_VALUE"""),"")</f>
        <v/>
      </c>
      <c r="H1657" s="192"/>
      <c r="I1657" s="192" t="str">
        <f>IFERROR(__xludf.DUMMYFUNCTION("""COMPUTED_VALUE"""),"")</f>
        <v/>
      </c>
      <c r="J1657" s="19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92"/>
      <c r="B1658" s="192"/>
      <c r="C1658" s="192"/>
      <c r="D1658" s="192"/>
      <c r="E1658" s="192"/>
      <c r="F1658" s="192"/>
      <c r="G1658" s="192" t="str">
        <f>IFERROR(__xludf.DUMMYFUNCTION("""COMPUTED_VALUE"""),"")</f>
        <v/>
      </c>
      <c r="H1658" s="192"/>
      <c r="I1658" s="192" t="str">
        <f>IFERROR(__xludf.DUMMYFUNCTION("""COMPUTED_VALUE"""),"")</f>
        <v/>
      </c>
      <c r="J1658" s="19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92"/>
      <c r="B1659" s="192"/>
      <c r="C1659" s="192"/>
      <c r="D1659" s="192"/>
      <c r="E1659" s="192"/>
      <c r="F1659" s="192"/>
      <c r="G1659" s="192" t="str">
        <f>IFERROR(__xludf.DUMMYFUNCTION("""COMPUTED_VALUE"""),"")</f>
        <v/>
      </c>
      <c r="H1659" s="192"/>
      <c r="I1659" s="192" t="str">
        <f>IFERROR(__xludf.DUMMYFUNCTION("""COMPUTED_VALUE"""),"")</f>
        <v/>
      </c>
      <c r="J1659" s="19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92"/>
      <c r="B1660" s="192"/>
      <c r="C1660" s="192"/>
      <c r="D1660" s="192"/>
      <c r="E1660" s="192"/>
      <c r="F1660" s="192"/>
      <c r="G1660" s="192" t="str">
        <f>IFERROR(__xludf.DUMMYFUNCTION("""COMPUTED_VALUE"""),"")</f>
        <v/>
      </c>
      <c r="H1660" s="192"/>
      <c r="I1660" s="192" t="str">
        <f>IFERROR(__xludf.DUMMYFUNCTION("""COMPUTED_VALUE"""),"")</f>
        <v/>
      </c>
      <c r="J1660" s="19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92"/>
      <c r="B1661" s="192"/>
      <c r="C1661" s="192"/>
      <c r="D1661" s="192"/>
      <c r="E1661" s="192"/>
      <c r="F1661" s="192"/>
      <c r="G1661" s="192" t="str">
        <f>IFERROR(__xludf.DUMMYFUNCTION("""COMPUTED_VALUE"""),"")</f>
        <v/>
      </c>
      <c r="H1661" s="192"/>
      <c r="I1661" s="192" t="str">
        <f>IFERROR(__xludf.DUMMYFUNCTION("""COMPUTED_VALUE"""),"")</f>
        <v/>
      </c>
      <c r="J1661" s="19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92"/>
      <c r="B1662" s="192"/>
      <c r="C1662" s="192"/>
      <c r="D1662" s="192"/>
      <c r="E1662" s="192"/>
      <c r="F1662" s="192"/>
      <c r="G1662" s="192" t="str">
        <f>IFERROR(__xludf.DUMMYFUNCTION("""COMPUTED_VALUE"""),"")</f>
        <v/>
      </c>
      <c r="H1662" s="192"/>
      <c r="I1662" s="192" t="str">
        <f>IFERROR(__xludf.DUMMYFUNCTION("""COMPUTED_VALUE"""),"")</f>
        <v/>
      </c>
      <c r="J1662" s="19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92"/>
      <c r="B1663" s="192"/>
      <c r="C1663" s="192"/>
      <c r="D1663" s="192"/>
      <c r="E1663" s="192"/>
      <c r="F1663" s="192"/>
      <c r="G1663" s="192" t="str">
        <f>IFERROR(__xludf.DUMMYFUNCTION("""COMPUTED_VALUE"""),"")</f>
        <v/>
      </c>
      <c r="H1663" s="192"/>
      <c r="I1663" s="192" t="str">
        <f>IFERROR(__xludf.DUMMYFUNCTION("""COMPUTED_VALUE"""),"")</f>
        <v/>
      </c>
      <c r="J1663" s="19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92"/>
      <c r="B1664" s="192"/>
      <c r="C1664" s="192"/>
      <c r="D1664" s="192"/>
      <c r="E1664" s="192"/>
      <c r="F1664" s="192"/>
      <c r="G1664" s="192" t="str">
        <f>IFERROR(__xludf.DUMMYFUNCTION("""COMPUTED_VALUE"""),"")</f>
        <v/>
      </c>
      <c r="H1664" s="192"/>
      <c r="I1664" s="192" t="str">
        <f>IFERROR(__xludf.DUMMYFUNCTION("""COMPUTED_VALUE"""),"")</f>
        <v/>
      </c>
      <c r="J1664" s="19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92"/>
      <c r="B1665" s="192"/>
      <c r="C1665" s="192"/>
      <c r="D1665" s="192"/>
      <c r="E1665" s="192"/>
      <c r="F1665" s="192"/>
      <c r="G1665" s="192" t="str">
        <f>IFERROR(__xludf.DUMMYFUNCTION("""COMPUTED_VALUE"""),"")</f>
        <v/>
      </c>
      <c r="H1665" s="192"/>
      <c r="I1665" s="192" t="str">
        <f>IFERROR(__xludf.DUMMYFUNCTION("""COMPUTED_VALUE"""),"")</f>
        <v/>
      </c>
      <c r="J1665" s="19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92"/>
      <c r="B1666" s="192"/>
      <c r="C1666" s="192"/>
      <c r="D1666" s="192"/>
      <c r="E1666" s="192"/>
      <c r="F1666" s="192"/>
      <c r="G1666" s="192" t="str">
        <f>IFERROR(__xludf.DUMMYFUNCTION("""COMPUTED_VALUE"""),"")</f>
        <v/>
      </c>
      <c r="H1666" s="192"/>
      <c r="I1666" s="192" t="str">
        <f>IFERROR(__xludf.DUMMYFUNCTION("""COMPUTED_VALUE"""),"")</f>
        <v/>
      </c>
      <c r="J1666" s="19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92"/>
      <c r="B1667" s="192"/>
      <c r="C1667" s="192"/>
      <c r="D1667" s="192"/>
      <c r="E1667" s="192"/>
      <c r="F1667" s="192"/>
      <c r="G1667" s="192" t="str">
        <f>IFERROR(__xludf.DUMMYFUNCTION("""COMPUTED_VALUE"""),"")</f>
        <v/>
      </c>
      <c r="H1667" s="192"/>
      <c r="I1667" s="192" t="str">
        <f>IFERROR(__xludf.DUMMYFUNCTION("""COMPUTED_VALUE"""),"")</f>
        <v/>
      </c>
      <c r="J1667" s="19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92"/>
      <c r="B1668" s="192"/>
      <c r="C1668" s="192"/>
      <c r="D1668" s="192"/>
      <c r="E1668" s="192"/>
      <c r="F1668" s="192"/>
      <c r="G1668" s="192" t="str">
        <f>IFERROR(__xludf.DUMMYFUNCTION("""COMPUTED_VALUE"""),"")</f>
        <v/>
      </c>
      <c r="H1668" s="192"/>
      <c r="I1668" s="192" t="str">
        <f>IFERROR(__xludf.DUMMYFUNCTION("""COMPUTED_VALUE"""),"")</f>
        <v/>
      </c>
      <c r="J1668" s="19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92"/>
      <c r="B1669" s="192"/>
      <c r="C1669" s="192"/>
      <c r="D1669" s="192"/>
      <c r="E1669" s="192"/>
      <c r="F1669" s="192"/>
      <c r="G1669" s="192" t="str">
        <f>IFERROR(__xludf.DUMMYFUNCTION("""COMPUTED_VALUE"""),"")</f>
        <v/>
      </c>
      <c r="H1669" s="192"/>
      <c r="I1669" s="192" t="str">
        <f>IFERROR(__xludf.DUMMYFUNCTION("""COMPUTED_VALUE"""),"")</f>
        <v/>
      </c>
      <c r="J1669" s="19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92"/>
      <c r="B1670" s="192"/>
      <c r="C1670" s="192"/>
      <c r="D1670" s="192"/>
      <c r="E1670" s="192"/>
      <c r="F1670" s="192"/>
      <c r="G1670" s="192" t="str">
        <f>IFERROR(__xludf.DUMMYFUNCTION("""COMPUTED_VALUE"""),"")</f>
        <v/>
      </c>
      <c r="H1670" s="192"/>
      <c r="I1670" s="192" t="str">
        <f>IFERROR(__xludf.DUMMYFUNCTION("""COMPUTED_VALUE"""),"")</f>
        <v/>
      </c>
      <c r="J1670" s="19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92"/>
      <c r="B1671" s="192"/>
      <c r="C1671" s="192"/>
      <c r="D1671" s="192"/>
      <c r="E1671" s="192"/>
      <c r="F1671" s="192"/>
      <c r="G1671" s="192" t="str">
        <f>IFERROR(__xludf.DUMMYFUNCTION("""COMPUTED_VALUE"""),"")</f>
        <v/>
      </c>
      <c r="H1671" s="192"/>
      <c r="I1671" s="192" t="str">
        <f>IFERROR(__xludf.DUMMYFUNCTION("""COMPUTED_VALUE"""),"")</f>
        <v/>
      </c>
      <c r="J1671" s="19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92"/>
      <c r="B1672" s="192"/>
      <c r="C1672" s="192"/>
      <c r="D1672" s="192"/>
      <c r="E1672" s="192"/>
      <c r="F1672" s="192"/>
      <c r="G1672" s="192" t="str">
        <f>IFERROR(__xludf.DUMMYFUNCTION("""COMPUTED_VALUE"""),"")</f>
        <v/>
      </c>
      <c r="H1672" s="192"/>
      <c r="I1672" s="192" t="str">
        <f>IFERROR(__xludf.DUMMYFUNCTION("""COMPUTED_VALUE"""),"")</f>
        <v/>
      </c>
      <c r="J1672" s="19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92"/>
      <c r="B1673" s="192"/>
      <c r="C1673" s="192"/>
      <c r="D1673" s="192"/>
      <c r="E1673" s="192"/>
      <c r="F1673" s="192"/>
      <c r="G1673" s="192" t="str">
        <f>IFERROR(__xludf.DUMMYFUNCTION("""COMPUTED_VALUE"""),"")</f>
        <v/>
      </c>
      <c r="H1673" s="192"/>
      <c r="I1673" s="192" t="str">
        <f>IFERROR(__xludf.DUMMYFUNCTION("""COMPUTED_VALUE"""),"")</f>
        <v/>
      </c>
      <c r="J1673" s="19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92"/>
      <c r="B1674" s="192"/>
      <c r="C1674" s="192"/>
      <c r="D1674" s="192"/>
      <c r="E1674" s="192"/>
      <c r="F1674" s="192"/>
      <c r="G1674" s="192" t="str">
        <f>IFERROR(__xludf.DUMMYFUNCTION("""COMPUTED_VALUE"""),"")</f>
        <v/>
      </c>
      <c r="H1674" s="192"/>
      <c r="I1674" s="192" t="str">
        <f>IFERROR(__xludf.DUMMYFUNCTION("""COMPUTED_VALUE"""),"")</f>
        <v/>
      </c>
      <c r="J1674" s="19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92"/>
      <c r="B1675" s="192"/>
      <c r="C1675" s="192"/>
      <c r="D1675" s="192"/>
      <c r="E1675" s="192"/>
      <c r="F1675" s="192"/>
      <c r="G1675" s="192" t="str">
        <f>IFERROR(__xludf.DUMMYFUNCTION("""COMPUTED_VALUE"""),"")</f>
        <v/>
      </c>
      <c r="H1675" s="192"/>
      <c r="I1675" s="192" t="str">
        <f>IFERROR(__xludf.DUMMYFUNCTION("""COMPUTED_VALUE"""),"")</f>
        <v/>
      </c>
      <c r="J1675" s="19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92"/>
      <c r="B1676" s="192"/>
      <c r="C1676" s="192"/>
      <c r="D1676" s="192"/>
      <c r="E1676" s="192"/>
      <c r="F1676" s="192"/>
      <c r="G1676" s="192" t="str">
        <f>IFERROR(__xludf.DUMMYFUNCTION("""COMPUTED_VALUE"""),"")</f>
        <v/>
      </c>
      <c r="H1676" s="192"/>
      <c r="I1676" s="192" t="str">
        <f>IFERROR(__xludf.DUMMYFUNCTION("""COMPUTED_VALUE"""),"")</f>
        <v/>
      </c>
      <c r="J1676" s="19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92"/>
      <c r="B1677" s="192"/>
      <c r="C1677" s="192"/>
      <c r="D1677" s="192"/>
      <c r="E1677" s="192"/>
      <c r="F1677" s="192"/>
      <c r="G1677" s="192" t="str">
        <f>IFERROR(__xludf.DUMMYFUNCTION("""COMPUTED_VALUE"""),"")</f>
        <v/>
      </c>
      <c r="H1677" s="192"/>
      <c r="I1677" s="192" t="str">
        <f>IFERROR(__xludf.DUMMYFUNCTION("""COMPUTED_VALUE"""),"")</f>
        <v/>
      </c>
      <c r="J1677" s="19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92"/>
      <c r="B1678" s="192"/>
      <c r="C1678" s="192"/>
      <c r="D1678" s="192"/>
      <c r="E1678" s="192"/>
      <c r="F1678" s="192"/>
      <c r="G1678" s="192" t="str">
        <f>IFERROR(__xludf.DUMMYFUNCTION("""COMPUTED_VALUE"""),"")</f>
        <v/>
      </c>
      <c r="H1678" s="192"/>
      <c r="I1678" s="192" t="str">
        <f>IFERROR(__xludf.DUMMYFUNCTION("""COMPUTED_VALUE"""),"")</f>
        <v/>
      </c>
      <c r="J1678" s="19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92"/>
      <c r="B1679" s="192"/>
      <c r="C1679" s="192"/>
      <c r="D1679" s="192"/>
      <c r="E1679" s="192"/>
      <c r="F1679" s="192"/>
      <c r="G1679" s="192" t="str">
        <f>IFERROR(__xludf.DUMMYFUNCTION("""COMPUTED_VALUE"""),"")</f>
        <v/>
      </c>
      <c r="H1679" s="192"/>
      <c r="I1679" s="192" t="str">
        <f>IFERROR(__xludf.DUMMYFUNCTION("""COMPUTED_VALUE"""),"")</f>
        <v/>
      </c>
      <c r="J1679" s="19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92"/>
      <c r="B1680" s="192"/>
      <c r="C1680" s="192"/>
      <c r="D1680" s="192"/>
      <c r="E1680" s="192"/>
      <c r="F1680" s="192"/>
      <c r="G1680" s="192" t="str">
        <f>IFERROR(__xludf.DUMMYFUNCTION("""COMPUTED_VALUE"""),"")</f>
        <v/>
      </c>
      <c r="H1680" s="192"/>
      <c r="I1680" s="192" t="str">
        <f>IFERROR(__xludf.DUMMYFUNCTION("""COMPUTED_VALUE"""),"")</f>
        <v/>
      </c>
      <c r="J1680" s="19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92"/>
      <c r="B1681" s="192"/>
      <c r="C1681" s="192"/>
      <c r="D1681" s="192"/>
      <c r="E1681" s="192"/>
      <c r="F1681" s="192"/>
      <c r="G1681" s="192" t="str">
        <f>IFERROR(__xludf.DUMMYFUNCTION("""COMPUTED_VALUE"""),"")</f>
        <v/>
      </c>
      <c r="H1681" s="192"/>
      <c r="I1681" s="192" t="str">
        <f>IFERROR(__xludf.DUMMYFUNCTION("""COMPUTED_VALUE"""),"")</f>
        <v/>
      </c>
      <c r="J1681" s="19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92"/>
      <c r="B1682" s="192"/>
      <c r="C1682" s="192"/>
      <c r="D1682" s="192"/>
      <c r="E1682" s="192"/>
      <c r="F1682" s="192"/>
      <c r="G1682" s="192" t="str">
        <f>IFERROR(__xludf.DUMMYFUNCTION("""COMPUTED_VALUE"""),"")</f>
        <v/>
      </c>
      <c r="H1682" s="192"/>
      <c r="I1682" s="192" t="str">
        <f>IFERROR(__xludf.DUMMYFUNCTION("""COMPUTED_VALUE"""),"")</f>
        <v/>
      </c>
      <c r="J1682" s="19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92"/>
      <c r="B1683" s="192"/>
      <c r="C1683" s="192"/>
      <c r="D1683" s="192"/>
      <c r="E1683" s="192"/>
      <c r="F1683" s="192"/>
      <c r="G1683" s="192" t="str">
        <f>IFERROR(__xludf.DUMMYFUNCTION("""COMPUTED_VALUE"""),"")</f>
        <v/>
      </c>
      <c r="H1683" s="192"/>
      <c r="I1683" s="192" t="str">
        <f>IFERROR(__xludf.DUMMYFUNCTION("""COMPUTED_VALUE"""),"")</f>
        <v/>
      </c>
      <c r="J1683" s="19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92"/>
      <c r="B1684" s="192"/>
      <c r="C1684" s="192"/>
      <c r="D1684" s="192"/>
      <c r="E1684" s="192"/>
      <c r="F1684" s="192"/>
      <c r="G1684" s="192" t="str">
        <f>IFERROR(__xludf.DUMMYFUNCTION("""COMPUTED_VALUE"""),"")</f>
        <v/>
      </c>
      <c r="H1684" s="192"/>
      <c r="I1684" s="192" t="str">
        <f>IFERROR(__xludf.DUMMYFUNCTION("""COMPUTED_VALUE"""),"")</f>
        <v/>
      </c>
      <c r="J1684" s="19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92"/>
      <c r="B1685" s="192"/>
      <c r="C1685" s="192"/>
      <c r="D1685" s="192"/>
      <c r="E1685" s="192"/>
      <c r="F1685" s="192"/>
      <c r="G1685" s="192" t="str">
        <f>IFERROR(__xludf.DUMMYFUNCTION("""COMPUTED_VALUE"""),"")</f>
        <v/>
      </c>
      <c r="H1685" s="192"/>
      <c r="I1685" s="192" t="str">
        <f>IFERROR(__xludf.DUMMYFUNCTION("""COMPUTED_VALUE"""),"")</f>
        <v/>
      </c>
      <c r="J1685" s="19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92"/>
      <c r="B1686" s="192"/>
      <c r="C1686" s="192"/>
      <c r="D1686" s="192"/>
      <c r="E1686" s="192"/>
      <c r="F1686" s="192"/>
      <c r="G1686" s="192" t="str">
        <f>IFERROR(__xludf.DUMMYFUNCTION("""COMPUTED_VALUE"""),"")</f>
        <v/>
      </c>
      <c r="H1686" s="192"/>
      <c r="I1686" s="192" t="str">
        <f>IFERROR(__xludf.DUMMYFUNCTION("""COMPUTED_VALUE"""),"")</f>
        <v/>
      </c>
      <c r="J1686" s="19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92"/>
      <c r="B1687" s="192"/>
      <c r="C1687" s="192"/>
      <c r="D1687" s="192"/>
      <c r="E1687" s="192"/>
      <c r="F1687" s="192"/>
      <c r="G1687" s="192" t="str">
        <f>IFERROR(__xludf.DUMMYFUNCTION("""COMPUTED_VALUE"""),"")</f>
        <v/>
      </c>
      <c r="H1687" s="192"/>
      <c r="I1687" s="192" t="str">
        <f>IFERROR(__xludf.DUMMYFUNCTION("""COMPUTED_VALUE"""),"")</f>
        <v/>
      </c>
      <c r="J1687" s="19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92"/>
      <c r="B1688" s="192"/>
      <c r="C1688" s="192"/>
      <c r="D1688" s="192"/>
      <c r="E1688" s="192"/>
      <c r="F1688" s="192"/>
      <c r="G1688" s="192" t="str">
        <f>IFERROR(__xludf.DUMMYFUNCTION("""COMPUTED_VALUE"""),"")</f>
        <v/>
      </c>
      <c r="H1688" s="192"/>
      <c r="I1688" s="192" t="str">
        <f>IFERROR(__xludf.DUMMYFUNCTION("""COMPUTED_VALUE"""),"")</f>
        <v/>
      </c>
      <c r="J1688" s="19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92"/>
      <c r="B1689" s="192"/>
      <c r="C1689" s="192"/>
      <c r="D1689" s="192"/>
      <c r="E1689" s="192"/>
      <c r="F1689" s="192"/>
      <c r="G1689" s="192" t="str">
        <f>IFERROR(__xludf.DUMMYFUNCTION("""COMPUTED_VALUE"""),"")</f>
        <v/>
      </c>
      <c r="H1689" s="192"/>
      <c r="I1689" s="192" t="str">
        <f>IFERROR(__xludf.DUMMYFUNCTION("""COMPUTED_VALUE"""),"")</f>
        <v/>
      </c>
      <c r="J1689" s="19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92"/>
      <c r="B1690" s="192"/>
      <c r="C1690" s="192"/>
      <c r="D1690" s="192"/>
      <c r="E1690" s="192"/>
      <c r="F1690" s="192"/>
      <c r="G1690" s="192" t="str">
        <f>IFERROR(__xludf.DUMMYFUNCTION("""COMPUTED_VALUE"""),"")</f>
        <v/>
      </c>
      <c r="H1690" s="192"/>
      <c r="I1690" s="192" t="str">
        <f>IFERROR(__xludf.DUMMYFUNCTION("""COMPUTED_VALUE"""),"")</f>
        <v/>
      </c>
      <c r="J1690" s="19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92"/>
      <c r="B1691" s="192"/>
      <c r="C1691" s="192"/>
      <c r="D1691" s="192"/>
      <c r="E1691" s="192"/>
      <c r="F1691" s="192"/>
      <c r="G1691" s="192" t="str">
        <f>IFERROR(__xludf.DUMMYFUNCTION("""COMPUTED_VALUE"""),"")</f>
        <v/>
      </c>
      <c r="H1691" s="192"/>
      <c r="I1691" s="192" t="str">
        <f>IFERROR(__xludf.DUMMYFUNCTION("""COMPUTED_VALUE"""),"")</f>
        <v/>
      </c>
      <c r="J1691" s="19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92"/>
      <c r="B1692" s="192"/>
      <c r="C1692" s="192"/>
      <c r="D1692" s="192"/>
      <c r="E1692" s="192"/>
      <c r="F1692" s="192"/>
      <c r="G1692" s="192" t="str">
        <f>IFERROR(__xludf.DUMMYFUNCTION("""COMPUTED_VALUE"""),"")</f>
        <v/>
      </c>
      <c r="H1692" s="192"/>
      <c r="I1692" s="192" t="str">
        <f>IFERROR(__xludf.DUMMYFUNCTION("""COMPUTED_VALUE"""),"")</f>
        <v/>
      </c>
      <c r="J1692" s="19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92"/>
      <c r="B1693" s="192"/>
      <c r="C1693" s="192"/>
      <c r="D1693" s="192"/>
      <c r="E1693" s="192"/>
      <c r="F1693" s="192"/>
      <c r="G1693" s="192" t="str">
        <f>IFERROR(__xludf.DUMMYFUNCTION("""COMPUTED_VALUE"""),"")</f>
        <v/>
      </c>
      <c r="H1693" s="192"/>
      <c r="I1693" s="192" t="str">
        <f>IFERROR(__xludf.DUMMYFUNCTION("""COMPUTED_VALUE"""),"")</f>
        <v/>
      </c>
      <c r="J1693" s="19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92"/>
      <c r="B1694" s="192"/>
      <c r="C1694" s="192"/>
      <c r="D1694" s="192"/>
      <c r="E1694" s="192"/>
      <c r="F1694" s="192"/>
      <c r="G1694" s="192" t="str">
        <f>IFERROR(__xludf.DUMMYFUNCTION("""COMPUTED_VALUE"""),"")</f>
        <v/>
      </c>
      <c r="H1694" s="192"/>
      <c r="I1694" s="192" t="str">
        <f>IFERROR(__xludf.DUMMYFUNCTION("""COMPUTED_VALUE"""),"")</f>
        <v/>
      </c>
      <c r="J1694" s="19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92"/>
      <c r="B1695" s="192"/>
      <c r="C1695" s="192"/>
      <c r="D1695" s="192"/>
      <c r="E1695" s="192"/>
      <c r="F1695" s="192"/>
      <c r="G1695" s="192" t="str">
        <f>IFERROR(__xludf.DUMMYFUNCTION("""COMPUTED_VALUE"""),"")</f>
        <v/>
      </c>
      <c r="H1695" s="192"/>
      <c r="I1695" s="192" t="str">
        <f>IFERROR(__xludf.DUMMYFUNCTION("""COMPUTED_VALUE"""),"")</f>
        <v/>
      </c>
      <c r="J1695" s="19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92"/>
      <c r="B1696" s="192"/>
      <c r="C1696" s="192"/>
      <c r="D1696" s="192"/>
      <c r="E1696" s="192"/>
      <c r="F1696" s="192"/>
      <c r="G1696" s="192" t="str">
        <f>IFERROR(__xludf.DUMMYFUNCTION("""COMPUTED_VALUE"""),"")</f>
        <v/>
      </c>
      <c r="H1696" s="192"/>
      <c r="I1696" s="192" t="str">
        <f>IFERROR(__xludf.DUMMYFUNCTION("""COMPUTED_VALUE"""),"")</f>
        <v/>
      </c>
      <c r="J1696" s="19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92"/>
      <c r="B1697" s="192"/>
      <c r="C1697" s="192"/>
      <c r="D1697" s="192"/>
      <c r="E1697" s="192"/>
      <c r="F1697" s="192"/>
      <c r="G1697" s="192" t="str">
        <f>IFERROR(__xludf.DUMMYFUNCTION("""COMPUTED_VALUE"""),"")</f>
        <v/>
      </c>
      <c r="H1697" s="192"/>
      <c r="I1697" s="192" t="str">
        <f>IFERROR(__xludf.DUMMYFUNCTION("""COMPUTED_VALUE"""),"")</f>
        <v/>
      </c>
      <c r="J1697" s="19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92"/>
      <c r="B1698" s="192"/>
      <c r="C1698" s="192"/>
      <c r="D1698" s="192"/>
      <c r="E1698" s="192"/>
      <c r="F1698" s="192"/>
      <c r="G1698" s="192" t="str">
        <f>IFERROR(__xludf.DUMMYFUNCTION("""COMPUTED_VALUE"""),"")</f>
        <v/>
      </c>
      <c r="H1698" s="192"/>
      <c r="I1698" s="192" t="str">
        <f>IFERROR(__xludf.DUMMYFUNCTION("""COMPUTED_VALUE"""),"")</f>
        <v/>
      </c>
      <c r="J1698" s="19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92"/>
      <c r="B1699" s="192"/>
      <c r="C1699" s="192"/>
      <c r="D1699" s="192"/>
      <c r="E1699" s="192"/>
      <c r="F1699" s="192"/>
      <c r="G1699" s="192" t="str">
        <f>IFERROR(__xludf.DUMMYFUNCTION("""COMPUTED_VALUE"""),"")</f>
        <v/>
      </c>
      <c r="H1699" s="192"/>
      <c r="I1699" s="192" t="str">
        <f>IFERROR(__xludf.DUMMYFUNCTION("""COMPUTED_VALUE"""),"")</f>
        <v/>
      </c>
      <c r="J1699" s="19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92"/>
      <c r="B1700" s="192"/>
      <c r="C1700" s="192"/>
      <c r="D1700" s="192"/>
      <c r="E1700" s="192"/>
      <c r="F1700" s="192"/>
      <c r="G1700" s="192" t="str">
        <f>IFERROR(__xludf.DUMMYFUNCTION("""COMPUTED_VALUE"""),"")</f>
        <v/>
      </c>
      <c r="H1700" s="192"/>
      <c r="I1700" s="192" t="str">
        <f>IFERROR(__xludf.DUMMYFUNCTION("""COMPUTED_VALUE"""),"")</f>
        <v/>
      </c>
      <c r="J1700" s="19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92"/>
      <c r="B1701" s="192"/>
      <c r="C1701" s="192"/>
      <c r="D1701" s="192"/>
      <c r="E1701" s="192"/>
      <c r="F1701" s="192"/>
      <c r="G1701" s="192" t="str">
        <f>IFERROR(__xludf.DUMMYFUNCTION("""COMPUTED_VALUE"""),"")</f>
        <v/>
      </c>
      <c r="H1701" s="192"/>
      <c r="I1701" s="192" t="str">
        <f>IFERROR(__xludf.DUMMYFUNCTION("""COMPUTED_VALUE"""),"")</f>
        <v/>
      </c>
      <c r="J1701" s="19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92"/>
      <c r="B1702" s="192"/>
      <c r="C1702" s="192"/>
      <c r="D1702" s="192"/>
      <c r="E1702" s="192"/>
      <c r="F1702" s="192"/>
      <c r="G1702" s="192" t="str">
        <f>IFERROR(__xludf.DUMMYFUNCTION("""COMPUTED_VALUE"""),"")</f>
        <v/>
      </c>
      <c r="H1702" s="192"/>
      <c r="I1702" s="192" t="str">
        <f>IFERROR(__xludf.DUMMYFUNCTION("""COMPUTED_VALUE"""),"")</f>
        <v/>
      </c>
      <c r="J1702" s="19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92"/>
      <c r="B1703" s="192"/>
      <c r="C1703" s="192"/>
      <c r="D1703" s="192"/>
      <c r="E1703" s="192"/>
      <c r="F1703" s="192"/>
      <c r="G1703" s="192" t="str">
        <f>IFERROR(__xludf.DUMMYFUNCTION("""COMPUTED_VALUE"""),"")</f>
        <v/>
      </c>
      <c r="H1703" s="192"/>
      <c r="I1703" s="192" t="str">
        <f>IFERROR(__xludf.DUMMYFUNCTION("""COMPUTED_VALUE"""),"")</f>
        <v/>
      </c>
      <c r="J1703" s="19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92"/>
      <c r="B1704" s="192"/>
      <c r="C1704" s="192"/>
      <c r="D1704" s="192"/>
      <c r="E1704" s="192"/>
      <c r="F1704" s="192"/>
      <c r="G1704" s="192" t="str">
        <f>IFERROR(__xludf.DUMMYFUNCTION("""COMPUTED_VALUE"""),"")</f>
        <v/>
      </c>
      <c r="H1704" s="192"/>
      <c r="I1704" s="192" t="str">
        <f>IFERROR(__xludf.DUMMYFUNCTION("""COMPUTED_VALUE"""),"")</f>
        <v/>
      </c>
      <c r="J1704" s="19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92"/>
      <c r="B1705" s="192"/>
      <c r="C1705" s="192"/>
      <c r="D1705" s="192"/>
      <c r="E1705" s="192"/>
      <c r="F1705" s="192"/>
      <c r="G1705" s="192" t="str">
        <f>IFERROR(__xludf.DUMMYFUNCTION("""COMPUTED_VALUE"""),"")</f>
        <v/>
      </c>
      <c r="H1705" s="192"/>
      <c r="I1705" s="192" t="str">
        <f>IFERROR(__xludf.DUMMYFUNCTION("""COMPUTED_VALUE"""),"")</f>
        <v/>
      </c>
      <c r="J1705" s="19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92"/>
      <c r="B1706" s="192"/>
      <c r="C1706" s="192"/>
      <c r="D1706" s="192"/>
      <c r="E1706" s="192"/>
      <c r="F1706" s="192"/>
      <c r="G1706" s="192" t="str">
        <f>IFERROR(__xludf.DUMMYFUNCTION("""COMPUTED_VALUE"""),"")</f>
        <v/>
      </c>
      <c r="H1706" s="192"/>
      <c r="I1706" s="192" t="str">
        <f>IFERROR(__xludf.DUMMYFUNCTION("""COMPUTED_VALUE"""),"")</f>
        <v/>
      </c>
      <c r="J1706" s="19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92"/>
      <c r="B1707" s="192"/>
      <c r="C1707" s="192"/>
      <c r="D1707" s="192"/>
      <c r="E1707" s="192"/>
      <c r="F1707" s="192"/>
      <c r="G1707" s="192" t="str">
        <f>IFERROR(__xludf.DUMMYFUNCTION("""COMPUTED_VALUE"""),"")</f>
        <v/>
      </c>
      <c r="H1707" s="192"/>
      <c r="I1707" s="192" t="str">
        <f>IFERROR(__xludf.DUMMYFUNCTION("""COMPUTED_VALUE"""),"")</f>
        <v/>
      </c>
      <c r="J1707" s="19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92"/>
      <c r="B1708" s="192"/>
      <c r="C1708" s="192"/>
      <c r="D1708" s="192"/>
      <c r="E1708" s="192"/>
      <c r="F1708" s="192"/>
      <c r="G1708" s="192" t="str">
        <f>IFERROR(__xludf.DUMMYFUNCTION("""COMPUTED_VALUE"""),"")</f>
        <v/>
      </c>
      <c r="H1708" s="192"/>
      <c r="I1708" s="192" t="str">
        <f>IFERROR(__xludf.DUMMYFUNCTION("""COMPUTED_VALUE"""),"")</f>
        <v/>
      </c>
      <c r="J1708" s="19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92"/>
      <c r="B1709" s="192"/>
      <c r="C1709" s="192"/>
      <c r="D1709" s="192"/>
      <c r="E1709" s="192"/>
      <c r="F1709" s="192"/>
      <c r="G1709" s="192" t="str">
        <f>IFERROR(__xludf.DUMMYFUNCTION("""COMPUTED_VALUE"""),"")</f>
        <v/>
      </c>
      <c r="H1709" s="192"/>
      <c r="I1709" s="192" t="str">
        <f>IFERROR(__xludf.DUMMYFUNCTION("""COMPUTED_VALUE"""),"")</f>
        <v/>
      </c>
      <c r="J1709" s="19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92"/>
      <c r="B1710" s="192"/>
      <c r="C1710" s="192"/>
      <c r="D1710" s="192"/>
      <c r="E1710" s="192"/>
      <c r="F1710" s="192"/>
      <c r="G1710" s="192" t="str">
        <f>IFERROR(__xludf.DUMMYFUNCTION("""COMPUTED_VALUE"""),"")</f>
        <v/>
      </c>
      <c r="H1710" s="192"/>
      <c r="I1710" s="192" t="str">
        <f>IFERROR(__xludf.DUMMYFUNCTION("""COMPUTED_VALUE"""),"")</f>
        <v/>
      </c>
      <c r="J1710" s="19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92"/>
      <c r="B1711" s="192"/>
      <c r="C1711" s="192"/>
      <c r="D1711" s="192"/>
      <c r="E1711" s="192"/>
      <c r="F1711" s="192"/>
      <c r="G1711" s="192" t="str">
        <f>IFERROR(__xludf.DUMMYFUNCTION("""COMPUTED_VALUE"""),"")</f>
        <v/>
      </c>
      <c r="H1711" s="192"/>
      <c r="I1711" s="192" t="str">
        <f>IFERROR(__xludf.DUMMYFUNCTION("""COMPUTED_VALUE"""),"")</f>
        <v/>
      </c>
      <c r="J1711" s="19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92"/>
      <c r="B1712" s="192"/>
      <c r="C1712" s="192"/>
      <c r="D1712" s="192"/>
      <c r="E1712" s="192"/>
      <c r="F1712" s="192"/>
      <c r="G1712" s="192" t="str">
        <f>IFERROR(__xludf.DUMMYFUNCTION("""COMPUTED_VALUE"""),"")</f>
        <v/>
      </c>
      <c r="H1712" s="192"/>
      <c r="I1712" s="192" t="str">
        <f>IFERROR(__xludf.DUMMYFUNCTION("""COMPUTED_VALUE"""),"")</f>
        <v/>
      </c>
      <c r="J1712" s="19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92"/>
      <c r="B1713" s="192"/>
      <c r="C1713" s="192"/>
      <c r="D1713" s="192"/>
      <c r="E1713" s="192"/>
      <c r="F1713" s="192"/>
      <c r="G1713" s="192" t="str">
        <f>IFERROR(__xludf.DUMMYFUNCTION("""COMPUTED_VALUE"""),"")</f>
        <v/>
      </c>
      <c r="H1713" s="192"/>
      <c r="I1713" s="192" t="str">
        <f>IFERROR(__xludf.DUMMYFUNCTION("""COMPUTED_VALUE"""),"")</f>
        <v/>
      </c>
      <c r="J1713" s="19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92"/>
      <c r="B1714" s="192"/>
      <c r="C1714" s="192"/>
      <c r="D1714" s="192"/>
      <c r="E1714" s="192"/>
      <c r="F1714" s="192"/>
      <c r="G1714" s="192" t="str">
        <f>IFERROR(__xludf.DUMMYFUNCTION("""COMPUTED_VALUE"""),"")</f>
        <v/>
      </c>
      <c r="H1714" s="192"/>
      <c r="I1714" s="192" t="str">
        <f>IFERROR(__xludf.DUMMYFUNCTION("""COMPUTED_VALUE"""),"")</f>
        <v/>
      </c>
      <c r="J1714" s="19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92"/>
      <c r="B1715" s="192"/>
      <c r="C1715" s="192"/>
      <c r="D1715" s="192"/>
      <c r="E1715" s="192"/>
      <c r="F1715" s="192"/>
      <c r="G1715" s="192" t="str">
        <f>IFERROR(__xludf.DUMMYFUNCTION("""COMPUTED_VALUE"""),"")</f>
        <v/>
      </c>
      <c r="H1715" s="192"/>
      <c r="I1715" s="192" t="str">
        <f>IFERROR(__xludf.DUMMYFUNCTION("""COMPUTED_VALUE"""),"")</f>
        <v/>
      </c>
      <c r="J1715" s="19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92"/>
      <c r="B1716" s="192"/>
      <c r="C1716" s="192"/>
      <c r="D1716" s="192"/>
      <c r="E1716" s="192"/>
      <c r="F1716" s="192"/>
      <c r="G1716" s="192" t="str">
        <f>IFERROR(__xludf.DUMMYFUNCTION("""COMPUTED_VALUE"""),"")</f>
        <v/>
      </c>
      <c r="H1716" s="192"/>
      <c r="I1716" s="192" t="str">
        <f>IFERROR(__xludf.DUMMYFUNCTION("""COMPUTED_VALUE"""),"")</f>
        <v/>
      </c>
      <c r="J1716" s="19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92"/>
      <c r="B1717" s="192"/>
      <c r="C1717" s="192"/>
      <c r="D1717" s="192"/>
      <c r="E1717" s="192"/>
      <c r="F1717" s="192"/>
      <c r="G1717" s="192" t="str">
        <f>IFERROR(__xludf.DUMMYFUNCTION("""COMPUTED_VALUE"""),"")</f>
        <v/>
      </c>
      <c r="H1717" s="192"/>
      <c r="I1717" s="192" t="str">
        <f>IFERROR(__xludf.DUMMYFUNCTION("""COMPUTED_VALUE"""),"")</f>
        <v/>
      </c>
      <c r="J1717" s="19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92"/>
      <c r="B1718" s="192"/>
      <c r="C1718" s="192"/>
      <c r="D1718" s="192"/>
      <c r="E1718" s="192"/>
      <c r="F1718" s="192"/>
      <c r="G1718" s="192" t="str">
        <f>IFERROR(__xludf.DUMMYFUNCTION("""COMPUTED_VALUE"""),"")</f>
        <v/>
      </c>
      <c r="H1718" s="192"/>
      <c r="I1718" s="192" t="str">
        <f>IFERROR(__xludf.DUMMYFUNCTION("""COMPUTED_VALUE"""),"")</f>
        <v/>
      </c>
      <c r="J1718" s="19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92"/>
      <c r="B1719" s="192"/>
      <c r="C1719" s="192"/>
      <c r="D1719" s="192"/>
      <c r="E1719" s="192"/>
      <c r="F1719" s="192"/>
      <c r="G1719" s="192" t="str">
        <f>IFERROR(__xludf.DUMMYFUNCTION("""COMPUTED_VALUE"""),"")</f>
        <v/>
      </c>
      <c r="H1719" s="192"/>
      <c r="I1719" s="192" t="str">
        <f>IFERROR(__xludf.DUMMYFUNCTION("""COMPUTED_VALUE"""),"")</f>
        <v/>
      </c>
      <c r="J1719" s="19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92"/>
      <c r="B1720" s="192"/>
      <c r="C1720" s="192"/>
      <c r="D1720" s="192"/>
      <c r="E1720" s="192"/>
      <c r="F1720" s="192"/>
      <c r="G1720" s="192" t="str">
        <f>IFERROR(__xludf.DUMMYFUNCTION("""COMPUTED_VALUE"""),"")</f>
        <v/>
      </c>
      <c r="H1720" s="192"/>
      <c r="I1720" s="192" t="str">
        <f>IFERROR(__xludf.DUMMYFUNCTION("""COMPUTED_VALUE"""),"")</f>
        <v/>
      </c>
      <c r="J1720" s="19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92"/>
      <c r="B1721" s="192"/>
      <c r="C1721" s="192"/>
      <c r="D1721" s="192"/>
      <c r="E1721" s="192"/>
      <c r="F1721" s="192"/>
      <c r="G1721" s="192" t="str">
        <f>IFERROR(__xludf.DUMMYFUNCTION("""COMPUTED_VALUE"""),"")</f>
        <v/>
      </c>
      <c r="H1721" s="192"/>
      <c r="I1721" s="192" t="str">
        <f>IFERROR(__xludf.DUMMYFUNCTION("""COMPUTED_VALUE"""),"")</f>
        <v/>
      </c>
      <c r="J1721" s="19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92"/>
      <c r="B1722" s="192"/>
      <c r="C1722" s="192"/>
      <c r="D1722" s="192"/>
      <c r="E1722" s="192"/>
      <c r="F1722" s="192"/>
      <c r="G1722" s="192" t="str">
        <f>IFERROR(__xludf.DUMMYFUNCTION("""COMPUTED_VALUE"""),"")</f>
        <v/>
      </c>
      <c r="H1722" s="192"/>
      <c r="I1722" s="192" t="str">
        <f>IFERROR(__xludf.DUMMYFUNCTION("""COMPUTED_VALUE"""),"")</f>
        <v/>
      </c>
      <c r="J1722" s="19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92"/>
      <c r="B1723" s="192"/>
      <c r="C1723" s="192"/>
      <c r="D1723" s="192"/>
      <c r="E1723" s="192"/>
      <c r="F1723" s="192"/>
      <c r="G1723" s="192" t="str">
        <f>IFERROR(__xludf.DUMMYFUNCTION("""COMPUTED_VALUE"""),"")</f>
        <v/>
      </c>
      <c r="H1723" s="192"/>
      <c r="I1723" s="192" t="str">
        <f>IFERROR(__xludf.DUMMYFUNCTION("""COMPUTED_VALUE"""),"")</f>
        <v/>
      </c>
      <c r="J1723" s="19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92"/>
      <c r="B1724" s="192"/>
      <c r="C1724" s="192"/>
      <c r="D1724" s="192"/>
      <c r="E1724" s="192"/>
      <c r="F1724" s="192"/>
      <c r="G1724" s="192" t="str">
        <f>IFERROR(__xludf.DUMMYFUNCTION("""COMPUTED_VALUE"""),"")</f>
        <v/>
      </c>
      <c r="H1724" s="192"/>
      <c r="I1724" s="192" t="str">
        <f>IFERROR(__xludf.DUMMYFUNCTION("""COMPUTED_VALUE"""),"")</f>
        <v/>
      </c>
      <c r="J1724" s="19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92"/>
      <c r="B1725" s="192"/>
      <c r="C1725" s="192"/>
      <c r="D1725" s="192"/>
      <c r="E1725" s="192"/>
      <c r="F1725" s="192"/>
      <c r="G1725" s="192" t="str">
        <f>IFERROR(__xludf.DUMMYFUNCTION("""COMPUTED_VALUE"""),"")</f>
        <v/>
      </c>
      <c r="H1725" s="192"/>
      <c r="I1725" s="192" t="str">
        <f>IFERROR(__xludf.DUMMYFUNCTION("""COMPUTED_VALUE"""),"")</f>
        <v/>
      </c>
      <c r="J1725" s="19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92"/>
      <c r="B1726" s="192"/>
      <c r="C1726" s="192"/>
      <c r="D1726" s="192"/>
      <c r="E1726" s="192"/>
      <c r="F1726" s="192"/>
      <c r="G1726" s="192" t="str">
        <f>IFERROR(__xludf.DUMMYFUNCTION("""COMPUTED_VALUE"""),"")</f>
        <v/>
      </c>
      <c r="H1726" s="192"/>
      <c r="I1726" s="192" t="str">
        <f>IFERROR(__xludf.DUMMYFUNCTION("""COMPUTED_VALUE"""),"")</f>
        <v/>
      </c>
      <c r="J1726" s="19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92"/>
      <c r="B1727" s="192"/>
      <c r="C1727" s="192"/>
      <c r="D1727" s="192"/>
      <c r="E1727" s="192"/>
      <c r="F1727" s="192"/>
      <c r="G1727" s="192" t="str">
        <f>IFERROR(__xludf.DUMMYFUNCTION("""COMPUTED_VALUE"""),"")</f>
        <v/>
      </c>
      <c r="H1727" s="192"/>
      <c r="I1727" s="192" t="str">
        <f>IFERROR(__xludf.DUMMYFUNCTION("""COMPUTED_VALUE"""),"")</f>
        <v/>
      </c>
      <c r="J1727" s="19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92"/>
      <c r="B1728" s="192"/>
      <c r="C1728" s="192"/>
      <c r="D1728" s="192"/>
      <c r="E1728" s="192"/>
      <c r="F1728" s="192"/>
      <c r="G1728" s="192" t="str">
        <f>IFERROR(__xludf.DUMMYFUNCTION("""COMPUTED_VALUE"""),"")</f>
        <v/>
      </c>
      <c r="H1728" s="192"/>
      <c r="I1728" s="192" t="str">
        <f>IFERROR(__xludf.DUMMYFUNCTION("""COMPUTED_VALUE"""),"")</f>
        <v/>
      </c>
      <c r="J1728" s="19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92"/>
      <c r="B1729" s="192"/>
      <c r="C1729" s="192"/>
      <c r="D1729" s="192"/>
      <c r="E1729" s="192"/>
      <c r="F1729" s="192"/>
      <c r="G1729" s="192" t="str">
        <f>IFERROR(__xludf.DUMMYFUNCTION("""COMPUTED_VALUE"""),"")</f>
        <v/>
      </c>
      <c r="H1729" s="192"/>
      <c r="I1729" s="192" t="str">
        <f>IFERROR(__xludf.DUMMYFUNCTION("""COMPUTED_VALUE"""),"")</f>
        <v/>
      </c>
      <c r="J1729" s="19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92"/>
      <c r="B1730" s="192"/>
      <c r="C1730" s="192"/>
      <c r="D1730" s="192"/>
      <c r="E1730" s="192"/>
      <c r="F1730" s="192"/>
      <c r="G1730" s="192" t="str">
        <f>IFERROR(__xludf.DUMMYFUNCTION("""COMPUTED_VALUE"""),"")</f>
        <v/>
      </c>
      <c r="H1730" s="192"/>
      <c r="I1730" s="192" t="str">
        <f>IFERROR(__xludf.DUMMYFUNCTION("""COMPUTED_VALUE"""),"")</f>
        <v/>
      </c>
      <c r="J1730" s="19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92"/>
      <c r="B1731" s="192"/>
      <c r="C1731" s="192"/>
      <c r="D1731" s="192"/>
      <c r="E1731" s="192"/>
      <c r="F1731" s="192"/>
      <c r="G1731" s="192" t="str">
        <f>IFERROR(__xludf.DUMMYFUNCTION("""COMPUTED_VALUE"""),"")</f>
        <v/>
      </c>
      <c r="H1731" s="192"/>
      <c r="I1731" s="192" t="str">
        <f>IFERROR(__xludf.DUMMYFUNCTION("""COMPUTED_VALUE"""),"")</f>
        <v/>
      </c>
      <c r="J1731" s="19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92"/>
      <c r="B1732" s="192"/>
      <c r="C1732" s="192"/>
      <c r="D1732" s="192"/>
      <c r="E1732" s="192"/>
      <c r="F1732" s="192"/>
      <c r="G1732" s="192" t="str">
        <f>IFERROR(__xludf.DUMMYFUNCTION("""COMPUTED_VALUE"""),"")</f>
        <v/>
      </c>
      <c r="H1732" s="192"/>
      <c r="I1732" s="192" t="str">
        <f>IFERROR(__xludf.DUMMYFUNCTION("""COMPUTED_VALUE"""),"")</f>
        <v/>
      </c>
      <c r="J1732" s="19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92"/>
      <c r="B1733" s="192"/>
      <c r="C1733" s="192"/>
      <c r="D1733" s="192"/>
      <c r="E1733" s="192"/>
      <c r="F1733" s="192"/>
      <c r="G1733" s="192" t="str">
        <f>IFERROR(__xludf.DUMMYFUNCTION("""COMPUTED_VALUE"""),"")</f>
        <v/>
      </c>
      <c r="H1733" s="192"/>
      <c r="I1733" s="192" t="str">
        <f>IFERROR(__xludf.DUMMYFUNCTION("""COMPUTED_VALUE"""),"")</f>
        <v/>
      </c>
      <c r="J1733" s="19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92"/>
      <c r="B1734" s="192"/>
      <c r="C1734" s="192"/>
      <c r="D1734" s="192"/>
      <c r="E1734" s="192"/>
      <c r="F1734" s="192"/>
      <c r="G1734" s="192" t="str">
        <f>IFERROR(__xludf.DUMMYFUNCTION("""COMPUTED_VALUE"""),"")</f>
        <v/>
      </c>
      <c r="H1734" s="192"/>
      <c r="I1734" s="192" t="str">
        <f>IFERROR(__xludf.DUMMYFUNCTION("""COMPUTED_VALUE"""),"")</f>
        <v/>
      </c>
      <c r="J1734" s="19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92"/>
      <c r="B1735" s="192"/>
      <c r="C1735" s="192"/>
      <c r="D1735" s="192"/>
      <c r="E1735" s="192"/>
      <c r="F1735" s="192"/>
      <c r="G1735" s="192" t="str">
        <f>IFERROR(__xludf.DUMMYFUNCTION("""COMPUTED_VALUE"""),"")</f>
        <v/>
      </c>
      <c r="H1735" s="192"/>
      <c r="I1735" s="192" t="str">
        <f>IFERROR(__xludf.DUMMYFUNCTION("""COMPUTED_VALUE"""),"")</f>
        <v/>
      </c>
      <c r="J1735" s="19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92"/>
      <c r="B1736" s="192"/>
      <c r="C1736" s="192"/>
      <c r="D1736" s="192"/>
      <c r="E1736" s="192"/>
      <c r="F1736" s="192"/>
      <c r="G1736" s="192" t="str">
        <f>IFERROR(__xludf.DUMMYFUNCTION("""COMPUTED_VALUE"""),"")</f>
        <v/>
      </c>
      <c r="H1736" s="192"/>
      <c r="I1736" s="192" t="str">
        <f>IFERROR(__xludf.DUMMYFUNCTION("""COMPUTED_VALUE"""),"")</f>
        <v/>
      </c>
      <c r="J1736" s="19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92"/>
      <c r="B1737" s="192"/>
      <c r="C1737" s="192"/>
      <c r="D1737" s="192"/>
      <c r="E1737" s="192"/>
      <c r="F1737" s="192"/>
      <c r="G1737" s="192" t="str">
        <f>IFERROR(__xludf.DUMMYFUNCTION("""COMPUTED_VALUE"""),"")</f>
        <v/>
      </c>
      <c r="H1737" s="192"/>
      <c r="I1737" s="192" t="str">
        <f>IFERROR(__xludf.DUMMYFUNCTION("""COMPUTED_VALUE"""),"")</f>
        <v/>
      </c>
      <c r="J1737" s="19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92"/>
      <c r="B1738" s="192"/>
      <c r="C1738" s="192"/>
      <c r="D1738" s="192"/>
      <c r="E1738" s="192"/>
      <c r="F1738" s="192"/>
      <c r="G1738" s="192" t="str">
        <f>IFERROR(__xludf.DUMMYFUNCTION("""COMPUTED_VALUE"""),"")</f>
        <v/>
      </c>
      <c r="H1738" s="192"/>
      <c r="I1738" s="192" t="str">
        <f>IFERROR(__xludf.DUMMYFUNCTION("""COMPUTED_VALUE"""),"")</f>
        <v/>
      </c>
      <c r="J1738" s="19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92"/>
      <c r="B1739" s="192"/>
      <c r="C1739" s="192"/>
      <c r="D1739" s="192"/>
      <c r="E1739" s="192"/>
      <c r="F1739" s="192"/>
      <c r="G1739" s="192" t="str">
        <f>IFERROR(__xludf.DUMMYFUNCTION("""COMPUTED_VALUE"""),"")</f>
        <v/>
      </c>
      <c r="H1739" s="192"/>
      <c r="I1739" s="192" t="str">
        <f>IFERROR(__xludf.DUMMYFUNCTION("""COMPUTED_VALUE"""),"")</f>
        <v/>
      </c>
      <c r="J1739" s="19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92"/>
      <c r="B1740" s="192"/>
      <c r="C1740" s="192"/>
      <c r="D1740" s="192"/>
      <c r="E1740" s="192"/>
      <c r="F1740" s="192"/>
      <c r="G1740" s="192" t="str">
        <f>IFERROR(__xludf.DUMMYFUNCTION("""COMPUTED_VALUE"""),"")</f>
        <v/>
      </c>
      <c r="H1740" s="192"/>
      <c r="I1740" s="192" t="str">
        <f>IFERROR(__xludf.DUMMYFUNCTION("""COMPUTED_VALUE"""),"")</f>
        <v/>
      </c>
      <c r="J1740" s="19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92"/>
      <c r="B1741" s="192"/>
      <c r="C1741" s="192"/>
      <c r="D1741" s="192"/>
      <c r="E1741" s="192"/>
      <c r="F1741" s="192"/>
      <c r="G1741" s="192" t="str">
        <f>IFERROR(__xludf.DUMMYFUNCTION("""COMPUTED_VALUE"""),"")</f>
        <v/>
      </c>
      <c r="H1741" s="192"/>
      <c r="I1741" s="192" t="str">
        <f>IFERROR(__xludf.DUMMYFUNCTION("""COMPUTED_VALUE"""),"")</f>
        <v/>
      </c>
      <c r="J1741" s="19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92"/>
      <c r="B1742" s="192"/>
      <c r="C1742" s="192"/>
      <c r="D1742" s="192"/>
      <c r="E1742" s="192"/>
      <c r="F1742" s="192"/>
      <c r="G1742" s="192" t="str">
        <f>IFERROR(__xludf.DUMMYFUNCTION("""COMPUTED_VALUE"""),"")</f>
        <v/>
      </c>
      <c r="H1742" s="192"/>
      <c r="I1742" s="192" t="str">
        <f>IFERROR(__xludf.DUMMYFUNCTION("""COMPUTED_VALUE"""),"")</f>
        <v/>
      </c>
      <c r="J1742" s="19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92"/>
      <c r="B1743" s="192"/>
      <c r="C1743" s="192"/>
      <c r="D1743" s="192"/>
      <c r="E1743" s="192"/>
      <c r="F1743" s="192"/>
      <c r="G1743" s="192" t="str">
        <f>IFERROR(__xludf.DUMMYFUNCTION("""COMPUTED_VALUE"""),"")</f>
        <v/>
      </c>
      <c r="H1743" s="192"/>
      <c r="I1743" s="192" t="str">
        <f>IFERROR(__xludf.DUMMYFUNCTION("""COMPUTED_VALUE"""),"")</f>
        <v/>
      </c>
      <c r="J1743" s="19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92"/>
      <c r="B1744" s="192"/>
      <c r="C1744" s="192"/>
      <c r="D1744" s="192"/>
      <c r="E1744" s="192"/>
      <c r="F1744" s="192"/>
      <c r="G1744" s="192" t="str">
        <f>IFERROR(__xludf.DUMMYFUNCTION("""COMPUTED_VALUE"""),"")</f>
        <v/>
      </c>
      <c r="H1744" s="192"/>
      <c r="I1744" s="192" t="str">
        <f>IFERROR(__xludf.DUMMYFUNCTION("""COMPUTED_VALUE"""),"")</f>
        <v/>
      </c>
      <c r="J1744" s="19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92"/>
      <c r="B1745" s="192"/>
      <c r="C1745" s="192"/>
      <c r="D1745" s="192"/>
      <c r="E1745" s="192"/>
      <c r="F1745" s="192"/>
      <c r="G1745" s="192" t="str">
        <f>IFERROR(__xludf.DUMMYFUNCTION("""COMPUTED_VALUE"""),"")</f>
        <v/>
      </c>
      <c r="H1745" s="192"/>
      <c r="I1745" s="192" t="str">
        <f>IFERROR(__xludf.DUMMYFUNCTION("""COMPUTED_VALUE"""),"")</f>
        <v/>
      </c>
      <c r="J1745" s="19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92"/>
      <c r="B1746" s="192"/>
      <c r="C1746" s="192"/>
      <c r="D1746" s="192"/>
      <c r="E1746" s="192"/>
      <c r="F1746" s="192"/>
      <c r="G1746" s="192" t="str">
        <f>IFERROR(__xludf.DUMMYFUNCTION("""COMPUTED_VALUE"""),"")</f>
        <v/>
      </c>
      <c r="H1746" s="192"/>
      <c r="I1746" s="192" t="str">
        <f>IFERROR(__xludf.DUMMYFUNCTION("""COMPUTED_VALUE"""),"")</f>
        <v/>
      </c>
      <c r="J1746" s="19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92"/>
      <c r="B1747" s="192"/>
      <c r="C1747" s="192"/>
      <c r="D1747" s="192"/>
      <c r="E1747" s="192"/>
      <c r="F1747" s="192"/>
      <c r="G1747" s="192" t="str">
        <f>IFERROR(__xludf.DUMMYFUNCTION("""COMPUTED_VALUE"""),"")</f>
        <v/>
      </c>
      <c r="H1747" s="192"/>
      <c r="I1747" s="192" t="str">
        <f>IFERROR(__xludf.DUMMYFUNCTION("""COMPUTED_VALUE"""),"")</f>
        <v/>
      </c>
      <c r="J1747" s="19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92"/>
      <c r="B1748" s="192"/>
      <c r="C1748" s="192"/>
      <c r="D1748" s="192"/>
      <c r="E1748" s="192"/>
      <c r="F1748" s="192"/>
      <c r="G1748" s="192" t="str">
        <f>IFERROR(__xludf.DUMMYFUNCTION("""COMPUTED_VALUE"""),"")</f>
        <v/>
      </c>
      <c r="H1748" s="192"/>
      <c r="I1748" s="192" t="str">
        <f>IFERROR(__xludf.DUMMYFUNCTION("""COMPUTED_VALUE"""),"")</f>
        <v/>
      </c>
      <c r="J1748" s="19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92"/>
      <c r="B1749" s="192"/>
      <c r="C1749" s="192"/>
      <c r="D1749" s="192"/>
      <c r="E1749" s="192"/>
      <c r="F1749" s="192"/>
      <c r="G1749" s="192" t="str">
        <f>IFERROR(__xludf.DUMMYFUNCTION("""COMPUTED_VALUE"""),"")</f>
        <v/>
      </c>
      <c r="H1749" s="192"/>
      <c r="I1749" s="192" t="str">
        <f>IFERROR(__xludf.DUMMYFUNCTION("""COMPUTED_VALUE"""),"")</f>
        <v/>
      </c>
      <c r="J1749" s="19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92"/>
      <c r="B1750" s="192"/>
      <c r="C1750" s="192"/>
      <c r="D1750" s="192"/>
      <c r="E1750" s="192"/>
      <c r="F1750" s="192"/>
      <c r="G1750" s="192" t="str">
        <f>IFERROR(__xludf.DUMMYFUNCTION("""COMPUTED_VALUE"""),"")</f>
        <v/>
      </c>
      <c r="H1750" s="192"/>
      <c r="I1750" s="192" t="str">
        <f>IFERROR(__xludf.DUMMYFUNCTION("""COMPUTED_VALUE"""),"")</f>
        <v/>
      </c>
      <c r="J1750" s="19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92"/>
      <c r="B1751" s="192"/>
      <c r="C1751" s="192"/>
      <c r="D1751" s="192"/>
      <c r="E1751" s="192"/>
      <c r="F1751" s="192"/>
      <c r="G1751" s="192" t="str">
        <f>IFERROR(__xludf.DUMMYFUNCTION("""COMPUTED_VALUE"""),"")</f>
        <v/>
      </c>
      <c r="H1751" s="192"/>
      <c r="I1751" s="192" t="str">
        <f>IFERROR(__xludf.DUMMYFUNCTION("""COMPUTED_VALUE"""),"")</f>
        <v/>
      </c>
      <c r="J1751" s="19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92"/>
      <c r="B1752" s="192"/>
      <c r="C1752" s="192"/>
      <c r="D1752" s="192"/>
      <c r="E1752" s="192"/>
      <c r="F1752" s="192"/>
      <c r="G1752" s="192" t="str">
        <f>IFERROR(__xludf.DUMMYFUNCTION("""COMPUTED_VALUE"""),"")</f>
        <v/>
      </c>
      <c r="H1752" s="192"/>
      <c r="I1752" s="192" t="str">
        <f>IFERROR(__xludf.DUMMYFUNCTION("""COMPUTED_VALUE"""),"")</f>
        <v/>
      </c>
      <c r="J1752" s="19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92"/>
      <c r="B1753" s="192"/>
      <c r="C1753" s="192"/>
      <c r="D1753" s="192"/>
      <c r="E1753" s="192"/>
      <c r="F1753" s="192"/>
      <c r="G1753" s="192" t="str">
        <f>IFERROR(__xludf.DUMMYFUNCTION("""COMPUTED_VALUE"""),"")</f>
        <v/>
      </c>
      <c r="H1753" s="192"/>
      <c r="I1753" s="192" t="str">
        <f>IFERROR(__xludf.DUMMYFUNCTION("""COMPUTED_VALUE"""),"")</f>
        <v/>
      </c>
      <c r="J1753" s="19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92"/>
      <c r="B1754" s="192"/>
      <c r="C1754" s="192"/>
      <c r="D1754" s="192"/>
      <c r="E1754" s="192"/>
      <c r="F1754" s="192"/>
      <c r="G1754" s="192" t="str">
        <f>IFERROR(__xludf.DUMMYFUNCTION("""COMPUTED_VALUE"""),"")</f>
        <v/>
      </c>
      <c r="H1754" s="192"/>
      <c r="I1754" s="192" t="str">
        <f>IFERROR(__xludf.DUMMYFUNCTION("""COMPUTED_VALUE"""),"")</f>
        <v/>
      </c>
      <c r="J1754" s="19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92"/>
      <c r="B1755" s="192"/>
      <c r="C1755" s="192"/>
      <c r="D1755" s="192"/>
      <c r="E1755" s="192"/>
      <c r="F1755" s="192"/>
      <c r="G1755" s="192" t="str">
        <f>IFERROR(__xludf.DUMMYFUNCTION("""COMPUTED_VALUE"""),"")</f>
        <v/>
      </c>
      <c r="H1755" s="192"/>
      <c r="I1755" s="192" t="str">
        <f>IFERROR(__xludf.DUMMYFUNCTION("""COMPUTED_VALUE"""),"")</f>
        <v/>
      </c>
      <c r="J1755" s="19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92"/>
      <c r="B1756" s="192"/>
      <c r="C1756" s="192"/>
      <c r="D1756" s="192"/>
      <c r="E1756" s="192"/>
      <c r="F1756" s="192"/>
      <c r="G1756" s="192" t="str">
        <f>IFERROR(__xludf.DUMMYFUNCTION("""COMPUTED_VALUE"""),"")</f>
        <v/>
      </c>
      <c r="H1756" s="192"/>
      <c r="I1756" s="192" t="str">
        <f>IFERROR(__xludf.DUMMYFUNCTION("""COMPUTED_VALUE"""),"")</f>
        <v/>
      </c>
      <c r="J1756" s="19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92"/>
      <c r="B1757" s="192"/>
      <c r="C1757" s="192"/>
      <c r="D1757" s="192"/>
      <c r="E1757" s="192"/>
      <c r="F1757" s="192"/>
      <c r="G1757" s="192" t="str">
        <f>IFERROR(__xludf.DUMMYFUNCTION("""COMPUTED_VALUE"""),"")</f>
        <v/>
      </c>
      <c r="H1757" s="192"/>
      <c r="I1757" s="192" t="str">
        <f>IFERROR(__xludf.DUMMYFUNCTION("""COMPUTED_VALUE"""),"")</f>
        <v/>
      </c>
      <c r="J1757" s="19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92"/>
      <c r="B1758" s="192"/>
      <c r="C1758" s="192"/>
      <c r="D1758" s="192"/>
      <c r="E1758" s="192"/>
      <c r="F1758" s="192"/>
      <c r="G1758" s="192" t="str">
        <f>IFERROR(__xludf.DUMMYFUNCTION("""COMPUTED_VALUE"""),"")</f>
        <v/>
      </c>
      <c r="H1758" s="192"/>
      <c r="I1758" s="192" t="str">
        <f>IFERROR(__xludf.DUMMYFUNCTION("""COMPUTED_VALUE"""),"")</f>
        <v/>
      </c>
      <c r="J1758" s="19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92"/>
      <c r="B1759" s="192"/>
      <c r="C1759" s="192"/>
      <c r="D1759" s="192"/>
      <c r="E1759" s="192"/>
      <c r="F1759" s="192"/>
      <c r="G1759" s="192" t="str">
        <f>IFERROR(__xludf.DUMMYFUNCTION("""COMPUTED_VALUE"""),"")</f>
        <v/>
      </c>
      <c r="H1759" s="192"/>
      <c r="I1759" s="192" t="str">
        <f>IFERROR(__xludf.DUMMYFUNCTION("""COMPUTED_VALUE"""),"")</f>
        <v/>
      </c>
      <c r="J1759" s="19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92"/>
      <c r="B1760" s="192"/>
      <c r="C1760" s="192"/>
      <c r="D1760" s="192"/>
      <c r="E1760" s="192"/>
      <c r="F1760" s="192"/>
      <c r="G1760" s="192" t="str">
        <f>IFERROR(__xludf.DUMMYFUNCTION("""COMPUTED_VALUE"""),"")</f>
        <v/>
      </c>
      <c r="H1760" s="192"/>
      <c r="I1760" s="192" t="str">
        <f>IFERROR(__xludf.DUMMYFUNCTION("""COMPUTED_VALUE"""),"")</f>
        <v/>
      </c>
      <c r="J1760" s="19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92"/>
      <c r="B1761" s="192"/>
      <c r="C1761" s="192"/>
      <c r="D1761" s="192"/>
      <c r="E1761" s="192"/>
      <c r="F1761" s="192"/>
      <c r="G1761" s="192" t="str">
        <f>IFERROR(__xludf.DUMMYFUNCTION("""COMPUTED_VALUE"""),"")</f>
        <v/>
      </c>
      <c r="H1761" s="192"/>
      <c r="I1761" s="192" t="str">
        <f>IFERROR(__xludf.DUMMYFUNCTION("""COMPUTED_VALUE"""),"")</f>
        <v/>
      </c>
      <c r="J1761" s="19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92"/>
      <c r="B1762" s="192"/>
      <c r="C1762" s="192"/>
      <c r="D1762" s="192"/>
      <c r="E1762" s="192"/>
      <c r="F1762" s="192"/>
      <c r="G1762" s="192" t="str">
        <f>IFERROR(__xludf.DUMMYFUNCTION("""COMPUTED_VALUE"""),"")</f>
        <v/>
      </c>
      <c r="H1762" s="192"/>
      <c r="I1762" s="192" t="str">
        <f>IFERROR(__xludf.DUMMYFUNCTION("""COMPUTED_VALUE"""),"")</f>
        <v/>
      </c>
      <c r="J1762" s="19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92"/>
      <c r="B1763" s="192"/>
      <c r="C1763" s="192"/>
      <c r="D1763" s="192"/>
      <c r="E1763" s="192"/>
      <c r="F1763" s="192"/>
      <c r="G1763" s="192" t="str">
        <f>IFERROR(__xludf.DUMMYFUNCTION("""COMPUTED_VALUE"""),"")</f>
        <v/>
      </c>
      <c r="H1763" s="192"/>
      <c r="I1763" s="192" t="str">
        <f>IFERROR(__xludf.DUMMYFUNCTION("""COMPUTED_VALUE"""),"")</f>
        <v/>
      </c>
      <c r="J1763" s="19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92"/>
      <c r="B1764" s="192"/>
      <c r="C1764" s="192"/>
      <c r="D1764" s="192"/>
      <c r="E1764" s="192"/>
      <c r="F1764" s="192"/>
      <c r="G1764" s="192" t="str">
        <f>IFERROR(__xludf.DUMMYFUNCTION("""COMPUTED_VALUE"""),"")</f>
        <v/>
      </c>
      <c r="H1764" s="192"/>
      <c r="I1764" s="192" t="str">
        <f>IFERROR(__xludf.DUMMYFUNCTION("""COMPUTED_VALUE"""),"")</f>
        <v/>
      </c>
      <c r="J1764" s="19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92"/>
      <c r="B1765" s="192"/>
      <c r="C1765" s="192"/>
      <c r="D1765" s="192"/>
      <c r="E1765" s="192"/>
      <c r="F1765" s="192"/>
      <c r="G1765" s="192" t="str">
        <f>IFERROR(__xludf.DUMMYFUNCTION("""COMPUTED_VALUE"""),"")</f>
        <v/>
      </c>
      <c r="H1765" s="192"/>
      <c r="I1765" s="192" t="str">
        <f>IFERROR(__xludf.DUMMYFUNCTION("""COMPUTED_VALUE"""),"")</f>
        <v/>
      </c>
      <c r="J1765" s="19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92"/>
      <c r="B1766" s="192"/>
      <c r="C1766" s="192"/>
      <c r="D1766" s="192"/>
      <c r="E1766" s="192"/>
      <c r="F1766" s="192"/>
      <c r="G1766" s="192" t="str">
        <f>IFERROR(__xludf.DUMMYFUNCTION("""COMPUTED_VALUE"""),"")</f>
        <v/>
      </c>
      <c r="H1766" s="192"/>
      <c r="I1766" s="192" t="str">
        <f>IFERROR(__xludf.DUMMYFUNCTION("""COMPUTED_VALUE"""),"")</f>
        <v/>
      </c>
      <c r="J1766" s="19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92"/>
      <c r="B1767" s="192"/>
      <c r="C1767" s="192"/>
      <c r="D1767" s="192"/>
      <c r="E1767" s="192"/>
      <c r="F1767" s="192"/>
      <c r="G1767" s="192" t="str">
        <f>IFERROR(__xludf.DUMMYFUNCTION("""COMPUTED_VALUE"""),"")</f>
        <v/>
      </c>
      <c r="H1767" s="192"/>
      <c r="I1767" s="192" t="str">
        <f>IFERROR(__xludf.DUMMYFUNCTION("""COMPUTED_VALUE"""),"")</f>
        <v/>
      </c>
      <c r="J1767" s="19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92"/>
      <c r="B1768" s="192"/>
      <c r="C1768" s="192"/>
      <c r="D1768" s="192"/>
      <c r="E1768" s="192"/>
      <c r="F1768" s="192"/>
      <c r="G1768" s="192" t="str">
        <f>IFERROR(__xludf.DUMMYFUNCTION("""COMPUTED_VALUE"""),"")</f>
        <v/>
      </c>
      <c r="H1768" s="192"/>
      <c r="I1768" s="192" t="str">
        <f>IFERROR(__xludf.DUMMYFUNCTION("""COMPUTED_VALUE"""),"")</f>
        <v/>
      </c>
      <c r="J1768" s="19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92"/>
      <c r="B1769" s="192"/>
      <c r="C1769" s="192"/>
      <c r="D1769" s="192"/>
      <c r="E1769" s="192"/>
      <c r="F1769" s="192"/>
      <c r="G1769" s="192" t="str">
        <f>IFERROR(__xludf.DUMMYFUNCTION("""COMPUTED_VALUE"""),"")</f>
        <v/>
      </c>
      <c r="H1769" s="192"/>
      <c r="I1769" s="192" t="str">
        <f>IFERROR(__xludf.DUMMYFUNCTION("""COMPUTED_VALUE"""),"")</f>
        <v/>
      </c>
      <c r="J1769" s="19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92"/>
      <c r="B1770" s="192"/>
      <c r="C1770" s="192"/>
      <c r="D1770" s="192"/>
      <c r="E1770" s="192"/>
      <c r="F1770" s="192"/>
      <c r="G1770" s="192" t="str">
        <f>IFERROR(__xludf.DUMMYFUNCTION("""COMPUTED_VALUE"""),"")</f>
        <v/>
      </c>
      <c r="H1770" s="192"/>
      <c r="I1770" s="192" t="str">
        <f>IFERROR(__xludf.DUMMYFUNCTION("""COMPUTED_VALUE"""),"")</f>
        <v/>
      </c>
      <c r="J1770" s="19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92"/>
      <c r="B1771" s="192"/>
      <c r="C1771" s="192"/>
      <c r="D1771" s="192"/>
      <c r="E1771" s="192"/>
      <c r="F1771" s="192"/>
      <c r="G1771" s="192" t="str">
        <f>IFERROR(__xludf.DUMMYFUNCTION("""COMPUTED_VALUE"""),"")</f>
        <v/>
      </c>
      <c r="H1771" s="192"/>
      <c r="I1771" s="192" t="str">
        <f>IFERROR(__xludf.DUMMYFUNCTION("""COMPUTED_VALUE"""),"")</f>
        <v/>
      </c>
      <c r="J1771" s="19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92"/>
      <c r="B1772" s="192"/>
      <c r="C1772" s="192"/>
      <c r="D1772" s="192"/>
      <c r="E1772" s="192"/>
      <c r="F1772" s="192"/>
      <c r="G1772" s="192" t="str">
        <f>IFERROR(__xludf.DUMMYFUNCTION("""COMPUTED_VALUE"""),"")</f>
        <v/>
      </c>
      <c r="H1772" s="192"/>
      <c r="I1772" s="192" t="str">
        <f>IFERROR(__xludf.DUMMYFUNCTION("""COMPUTED_VALUE"""),"")</f>
        <v/>
      </c>
      <c r="J1772" s="19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92"/>
      <c r="B1773" s="192"/>
      <c r="C1773" s="192"/>
      <c r="D1773" s="192"/>
      <c r="E1773" s="192"/>
      <c r="F1773" s="192"/>
      <c r="G1773" s="192" t="str">
        <f>IFERROR(__xludf.DUMMYFUNCTION("""COMPUTED_VALUE"""),"")</f>
        <v/>
      </c>
      <c r="H1773" s="192"/>
      <c r="I1773" s="192" t="str">
        <f>IFERROR(__xludf.DUMMYFUNCTION("""COMPUTED_VALUE"""),"")</f>
        <v/>
      </c>
      <c r="J1773" s="19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92"/>
      <c r="B1774" s="192"/>
      <c r="C1774" s="192"/>
      <c r="D1774" s="192"/>
      <c r="E1774" s="192"/>
      <c r="F1774" s="192"/>
      <c r="G1774" s="192" t="str">
        <f>IFERROR(__xludf.DUMMYFUNCTION("""COMPUTED_VALUE"""),"")</f>
        <v/>
      </c>
      <c r="H1774" s="192"/>
      <c r="I1774" s="192" t="str">
        <f>IFERROR(__xludf.DUMMYFUNCTION("""COMPUTED_VALUE"""),"")</f>
        <v/>
      </c>
      <c r="J1774" s="19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92"/>
      <c r="B1775" s="192"/>
      <c r="C1775" s="192"/>
      <c r="D1775" s="192"/>
      <c r="E1775" s="192"/>
      <c r="F1775" s="192"/>
      <c r="G1775" s="192" t="str">
        <f>IFERROR(__xludf.DUMMYFUNCTION("""COMPUTED_VALUE"""),"")</f>
        <v/>
      </c>
      <c r="H1775" s="192"/>
      <c r="I1775" s="192" t="str">
        <f>IFERROR(__xludf.DUMMYFUNCTION("""COMPUTED_VALUE"""),"")</f>
        <v/>
      </c>
      <c r="J1775" s="19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92"/>
      <c r="B1776" s="192"/>
      <c r="C1776" s="192"/>
      <c r="D1776" s="192"/>
      <c r="E1776" s="192"/>
      <c r="F1776" s="192"/>
      <c r="G1776" s="192" t="str">
        <f>IFERROR(__xludf.DUMMYFUNCTION("""COMPUTED_VALUE"""),"")</f>
        <v/>
      </c>
      <c r="H1776" s="192"/>
      <c r="I1776" s="192" t="str">
        <f>IFERROR(__xludf.DUMMYFUNCTION("""COMPUTED_VALUE"""),"")</f>
        <v/>
      </c>
      <c r="J1776" s="19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92"/>
      <c r="B1777" s="192"/>
      <c r="C1777" s="192"/>
      <c r="D1777" s="192"/>
      <c r="E1777" s="192"/>
      <c r="F1777" s="192"/>
      <c r="G1777" s="192" t="str">
        <f>IFERROR(__xludf.DUMMYFUNCTION("""COMPUTED_VALUE"""),"")</f>
        <v/>
      </c>
      <c r="H1777" s="192"/>
      <c r="I1777" s="192" t="str">
        <f>IFERROR(__xludf.DUMMYFUNCTION("""COMPUTED_VALUE"""),"")</f>
        <v/>
      </c>
      <c r="J1777" s="19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92"/>
      <c r="B1778" s="192"/>
      <c r="C1778" s="192"/>
      <c r="D1778" s="192"/>
      <c r="E1778" s="192"/>
      <c r="F1778" s="192"/>
      <c r="G1778" s="192" t="str">
        <f>IFERROR(__xludf.DUMMYFUNCTION("""COMPUTED_VALUE"""),"")</f>
        <v/>
      </c>
      <c r="H1778" s="192"/>
      <c r="I1778" s="192" t="str">
        <f>IFERROR(__xludf.DUMMYFUNCTION("""COMPUTED_VALUE"""),"")</f>
        <v/>
      </c>
      <c r="J1778" s="19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92"/>
      <c r="B1779" s="192"/>
      <c r="C1779" s="192"/>
      <c r="D1779" s="192"/>
      <c r="E1779" s="192"/>
      <c r="F1779" s="192"/>
      <c r="G1779" s="192" t="str">
        <f>IFERROR(__xludf.DUMMYFUNCTION("""COMPUTED_VALUE"""),"")</f>
        <v/>
      </c>
      <c r="H1779" s="192"/>
      <c r="I1779" s="192" t="str">
        <f>IFERROR(__xludf.DUMMYFUNCTION("""COMPUTED_VALUE"""),"")</f>
        <v/>
      </c>
      <c r="J1779" s="19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92"/>
      <c r="B1780" s="192"/>
      <c r="C1780" s="192"/>
      <c r="D1780" s="192"/>
      <c r="E1780" s="192"/>
      <c r="F1780" s="192"/>
      <c r="G1780" s="192" t="str">
        <f>IFERROR(__xludf.DUMMYFUNCTION("""COMPUTED_VALUE"""),"")</f>
        <v/>
      </c>
      <c r="H1780" s="192"/>
      <c r="I1780" s="192" t="str">
        <f>IFERROR(__xludf.DUMMYFUNCTION("""COMPUTED_VALUE"""),"")</f>
        <v/>
      </c>
      <c r="J1780" s="19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92"/>
      <c r="B1781" s="192"/>
      <c r="C1781" s="192"/>
      <c r="D1781" s="192"/>
      <c r="E1781" s="192"/>
      <c r="F1781" s="192"/>
      <c r="G1781" s="192" t="str">
        <f>IFERROR(__xludf.DUMMYFUNCTION("""COMPUTED_VALUE"""),"")</f>
        <v/>
      </c>
      <c r="H1781" s="192"/>
      <c r="I1781" s="192" t="str">
        <f>IFERROR(__xludf.DUMMYFUNCTION("""COMPUTED_VALUE"""),"")</f>
        <v/>
      </c>
      <c r="J1781" s="19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92"/>
      <c r="B1782" s="192"/>
      <c r="C1782" s="192"/>
      <c r="D1782" s="192"/>
      <c r="E1782" s="192"/>
      <c r="F1782" s="192"/>
      <c r="G1782" s="192" t="str">
        <f>IFERROR(__xludf.DUMMYFUNCTION("""COMPUTED_VALUE"""),"")</f>
        <v/>
      </c>
      <c r="H1782" s="192"/>
      <c r="I1782" s="192" t="str">
        <f>IFERROR(__xludf.DUMMYFUNCTION("""COMPUTED_VALUE"""),"")</f>
        <v/>
      </c>
      <c r="J1782" s="19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92"/>
      <c r="B1783" s="192"/>
      <c r="C1783" s="192"/>
      <c r="D1783" s="192"/>
      <c r="E1783" s="192"/>
      <c r="F1783" s="192"/>
      <c r="G1783" s="192" t="str">
        <f>IFERROR(__xludf.DUMMYFUNCTION("""COMPUTED_VALUE"""),"")</f>
        <v/>
      </c>
      <c r="H1783" s="192"/>
      <c r="I1783" s="192" t="str">
        <f>IFERROR(__xludf.DUMMYFUNCTION("""COMPUTED_VALUE"""),"")</f>
        <v/>
      </c>
      <c r="J1783" s="19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92"/>
      <c r="B1784" s="192"/>
      <c r="C1784" s="192"/>
      <c r="D1784" s="192"/>
      <c r="E1784" s="192"/>
      <c r="F1784" s="192"/>
      <c r="G1784" s="192" t="str">
        <f>IFERROR(__xludf.DUMMYFUNCTION("""COMPUTED_VALUE"""),"")</f>
        <v/>
      </c>
      <c r="H1784" s="192"/>
      <c r="I1784" s="192" t="str">
        <f>IFERROR(__xludf.DUMMYFUNCTION("""COMPUTED_VALUE"""),"")</f>
        <v/>
      </c>
      <c r="J1784" s="19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92"/>
      <c r="B1785" s="192"/>
      <c r="C1785" s="192"/>
      <c r="D1785" s="192"/>
      <c r="E1785" s="192"/>
      <c r="F1785" s="192"/>
      <c r="G1785" s="192" t="str">
        <f>IFERROR(__xludf.DUMMYFUNCTION("""COMPUTED_VALUE"""),"")</f>
        <v/>
      </c>
      <c r="H1785" s="192"/>
      <c r="I1785" s="192" t="str">
        <f>IFERROR(__xludf.DUMMYFUNCTION("""COMPUTED_VALUE"""),"")</f>
        <v/>
      </c>
      <c r="J1785" s="19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92"/>
      <c r="B1786" s="192"/>
      <c r="C1786" s="192"/>
      <c r="D1786" s="192"/>
      <c r="E1786" s="192"/>
      <c r="F1786" s="192"/>
      <c r="G1786" s="192" t="str">
        <f>IFERROR(__xludf.DUMMYFUNCTION("""COMPUTED_VALUE"""),"")</f>
        <v/>
      </c>
      <c r="H1786" s="192"/>
      <c r="I1786" s="192" t="str">
        <f>IFERROR(__xludf.DUMMYFUNCTION("""COMPUTED_VALUE"""),"")</f>
        <v/>
      </c>
      <c r="J1786" s="19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92"/>
      <c r="B1787" s="192"/>
      <c r="C1787" s="192"/>
      <c r="D1787" s="192"/>
      <c r="E1787" s="192"/>
      <c r="F1787" s="192"/>
      <c r="G1787" s="192" t="str">
        <f>IFERROR(__xludf.DUMMYFUNCTION("""COMPUTED_VALUE"""),"")</f>
        <v/>
      </c>
      <c r="H1787" s="192"/>
      <c r="I1787" s="192" t="str">
        <f>IFERROR(__xludf.DUMMYFUNCTION("""COMPUTED_VALUE"""),"")</f>
        <v/>
      </c>
      <c r="J1787" s="19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92"/>
      <c r="B1788" s="192"/>
      <c r="C1788" s="192"/>
      <c r="D1788" s="192"/>
      <c r="E1788" s="192"/>
      <c r="F1788" s="192"/>
      <c r="G1788" s="192" t="str">
        <f>IFERROR(__xludf.DUMMYFUNCTION("""COMPUTED_VALUE"""),"")</f>
        <v/>
      </c>
      <c r="H1788" s="192"/>
      <c r="I1788" s="192" t="str">
        <f>IFERROR(__xludf.DUMMYFUNCTION("""COMPUTED_VALUE"""),"")</f>
        <v/>
      </c>
      <c r="J1788" s="19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92"/>
      <c r="B1789" s="192"/>
      <c r="C1789" s="192"/>
      <c r="D1789" s="192"/>
      <c r="E1789" s="192"/>
      <c r="F1789" s="192"/>
      <c r="G1789" s="192" t="str">
        <f>IFERROR(__xludf.DUMMYFUNCTION("""COMPUTED_VALUE"""),"")</f>
        <v/>
      </c>
      <c r="H1789" s="192"/>
      <c r="I1789" s="192" t="str">
        <f>IFERROR(__xludf.DUMMYFUNCTION("""COMPUTED_VALUE"""),"")</f>
        <v/>
      </c>
      <c r="J1789" s="19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92"/>
      <c r="B1790" s="192"/>
      <c r="C1790" s="192"/>
      <c r="D1790" s="192"/>
      <c r="E1790" s="192"/>
      <c r="F1790" s="192"/>
      <c r="G1790" s="192" t="str">
        <f>IFERROR(__xludf.DUMMYFUNCTION("""COMPUTED_VALUE"""),"")</f>
        <v/>
      </c>
      <c r="H1790" s="192"/>
      <c r="I1790" s="192" t="str">
        <f>IFERROR(__xludf.DUMMYFUNCTION("""COMPUTED_VALUE"""),"")</f>
        <v/>
      </c>
      <c r="J1790" s="19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92"/>
      <c r="B1791" s="192"/>
      <c r="C1791" s="192"/>
      <c r="D1791" s="192"/>
      <c r="E1791" s="192"/>
      <c r="F1791" s="192"/>
      <c r="G1791" s="192" t="str">
        <f>IFERROR(__xludf.DUMMYFUNCTION("""COMPUTED_VALUE"""),"")</f>
        <v/>
      </c>
      <c r="H1791" s="192"/>
      <c r="I1791" s="192" t="str">
        <f>IFERROR(__xludf.DUMMYFUNCTION("""COMPUTED_VALUE"""),"")</f>
        <v/>
      </c>
      <c r="J1791" s="19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92"/>
      <c r="B1792" s="192"/>
      <c r="C1792" s="192"/>
      <c r="D1792" s="192"/>
      <c r="E1792" s="192"/>
      <c r="F1792" s="192"/>
      <c r="G1792" s="192" t="str">
        <f>IFERROR(__xludf.DUMMYFUNCTION("""COMPUTED_VALUE"""),"")</f>
        <v/>
      </c>
      <c r="H1792" s="192"/>
      <c r="I1792" s="192" t="str">
        <f>IFERROR(__xludf.DUMMYFUNCTION("""COMPUTED_VALUE"""),"")</f>
        <v/>
      </c>
      <c r="J1792" s="19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92"/>
      <c r="B1793" s="192"/>
      <c r="C1793" s="192"/>
      <c r="D1793" s="192"/>
      <c r="E1793" s="192"/>
      <c r="F1793" s="192"/>
      <c r="G1793" s="192" t="str">
        <f>IFERROR(__xludf.DUMMYFUNCTION("""COMPUTED_VALUE"""),"")</f>
        <v/>
      </c>
      <c r="H1793" s="192"/>
      <c r="I1793" s="192" t="str">
        <f>IFERROR(__xludf.DUMMYFUNCTION("""COMPUTED_VALUE"""),"")</f>
        <v/>
      </c>
      <c r="J1793" s="19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92"/>
      <c r="B1794" s="192"/>
      <c r="C1794" s="192"/>
      <c r="D1794" s="192"/>
      <c r="E1794" s="192"/>
      <c r="F1794" s="192"/>
      <c r="G1794" s="192" t="str">
        <f>IFERROR(__xludf.DUMMYFUNCTION("""COMPUTED_VALUE"""),"")</f>
        <v/>
      </c>
      <c r="H1794" s="192"/>
      <c r="I1794" s="192" t="str">
        <f>IFERROR(__xludf.DUMMYFUNCTION("""COMPUTED_VALUE"""),"")</f>
        <v/>
      </c>
      <c r="J1794" s="19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92"/>
      <c r="B1795" s="192"/>
      <c r="C1795" s="192"/>
      <c r="D1795" s="192"/>
      <c r="E1795" s="192"/>
      <c r="F1795" s="192"/>
      <c r="G1795" s="192" t="str">
        <f>IFERROR(__xludf.DUMMYFUNCTION("""COMPUTED_VALUE"""),"")</f>
        <v/>
      </c>
      <c r="H1795" s="192"/>
      <c r="I1795" s="192" t="str">
        <f>IFERROR(__xludf.DUMMYFUNCTION("""COMPUTED_VALUE"""),"")</f>
        <v/>
      </c>
      <c r="J1795" s="19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92"/>
      <c r="B1796" s="192"/>
      <c r="C1796" s="192"/>
      <c r="D1796" s="192"/>
      <c r="E1796" s="192"/>
      <c r="F1796" s="192"/>
      <c r="G1796" s="192" t="str">
        <f>IFERROR(__xludf.DUMMYFUNCTION("""COMPUTED_VALUE"""),"")</f>
        <v/>
      </c>
      <c r="H1796" s="192"/>
      <c r="I1796" s="192" t="str">
        <f>IFERROR(__xludf.DUMMYFUNCTION("""COMPUTED_VALUE"""),"")</f>
        <v/>
      </c>
      <c r="J1796" s="19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92"/>
      <c r="B1797" s="192"/>
      <c r="C1797" s="192"/>
      <c r="D1797" s="192"/>
      <c r="E1797" s="192"/>
      <c r="F1797" s="192"/>
      <c r="G1797" s="192" t="str">
        <f>IFERROR(__xludf.DUMMYFUNCTION("""COMPUTED_VALUE"""),"")</f>
        <v/>
      </c>
      <c r="H1797" s="192"/>
      <c r="I1797" s="192" t="str">
        <f>IFERROR(__xludf.DUMMYFUNCTION("""COMPUTED_VALUE"""),"")</f>
        <v/>
      </c>
      <c r="J1797" s="19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92"/>
      <c r="B1798" s="192"/>
      <c r="C1798" s="192"/>
      <c r="D1798" s="192"/>
      <c r="E1798" s="192"/>
      <c r="F1798" s="192"/>
      <c r="G1798" s="192" t="str">
        <f>IFERROR(__xludf.DUMMYFUNCTION("""COMPUTED_VALUE"""),"")</f>
        <v/>
      </c>
      <c r="H1798" s="192"/>
      <c r="I1798" s="192" t="str">
        <f>IFERROR(__xludf.DUMMYFUNCTION("""COMPUTED_VALUE"""),"")</f>
        <v/>
      </c>
      <c r="J1798" s="19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92"/>
      <c r="B1799" s="192"/>
      <c r="C1799" s="192"/>
      <c r="D1799" s="192"/>
      <c r="E1799" s="192"/>
      <c r="F1799" s="192"/>
      <c r="G1799" s="192" t="str">
        <f>IFERROR(__xludf.DUMMYFUNCTION("""COMPUTED_VALUE"""),"")</f>
        <v/>
      </c>
      <c r="H1799" s="192"/>
      <c r="I1799" s="192" t="str">
        <f>IFERROR(__xludf.DUMMYFUNCTION("""COMPUTED_VALUE"""),"")</f>
        <v/>
      </c>
      <c r="J1799" s="19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92"/>
      <c r="B1800" s="192"/>
      <c r="C1800" s="192"/>
      <c r="D1800" s="192"/>
      <c r="E1800" s="192"/>
      <c r="F1800" s="192"/>
      <c r="G1800" s="192" t="str">
        <f>IFERROR(__xludf.DUMMYFUNCTION("""COMPUTED_VALUE"""),"")</f>
        <v/>
      </c>
      <c r="H1800" s="192"/>
      <c r="I1800" s="192" t="str">
        <f>IFERROR(__xludf.DUMMYFUNCTION("""COMPUTED_VALUE"""),"")</f>
        <v/>
      </c>
      <c r="J1800" s="19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92"/>
      <c r="B1801" s="192"/>
      <c r="C1801" s="192"/>
      <c r="D1801" s="192"/>
      <c r="E1801" s="192"/>
      <c r="F1801" s="192"/>
      <c r="G1801" s="192" t="str">
        <f>IFERROR(__xludf.DUMMYFUNCTION("""COMPUTED_VALUE"""),"")</f>
        <v/>
      </c>
      <c r="H1801" s="192"/>
      <c r="I1801" s="192" t="str">
        <f>IFERROR(__xludf.DUMMYFUNCTION("""COMPUTED_VALUE"""),"")</f>
        <v/>
      </c>
      <c r="J1801" s="19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92"/>
      <c r="B1802" s="192"/>
      <c r="C1802" s="192"/>
      <c r="D1802" s="192"/>
      <c r="E1802" s="192"/>
      <c r="F1802" s="192"/>
      <c r="G1802" s="192" t="str">
        <f>IFERROR(__xludf.DUMMYFUNCTION("""COMPUTED_VALUE"""),"")</f>
        <v/>
      </c>
      <c r="H1802" s="192"/>
      <c r="I1802" s="192" t="str">
        <f>IFERROR(__xludf.DUMMYFUNCTION("""COMPUTED_VALUE"""),"")</f>
        <v/>
      </c>
      <c r="J1802" s="19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92"/>
      <c r="B1803" s="192"/>
      <c r="C1803" s="192"/>
      <c r="D1803" s="192"/>
      <c r="E1803" s="192"/>
      <c r="F1803" s="192"/>
      <c r="G1803" s="192" t="str">
        <f>IFERROR(__xludf.DUMMYFUNCTION("""COMPUTED_VALUE"""),"")</f>
        <v/>
      </c>
      <c r="H1803" s="192"/>
      <c r="I1803" s="192" t="str">
        <f>IFERROR(__xludf.DUMMYFUNCTION("""COMPUTED_VALUE"""),"")</f>
        <v/>
      </c>
      <c r="J1803" s="19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92"/>
      <c r="B1804" s="192"/>
      <c r="C1804" s="192"/>
      <c r="D1804" s="192"/>
      <c r="E1804" s="192"/>
      <c r="F1804" s="192"/>
      <c r="G1804" s="192" t="str">
        <f>IFERROR(__xludf.DUMMYFUNCTION("""COMPUTED_VALUE"""),"")</f>
        <v/>
      </c>
      <c r="H1804" s="192"/>
      <c r="I1804" s="192" t="str">
        <f>IFERROR(__xludf.DUMMYFUNCTION("""COMPUTED_VALUE"""),"")</f>
        <v/>
      </c>
      <c r="J1804" s="19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92"/>
      <c r="B1805" s="192"/>
      <c r="C1805" s="192"/>
      <c r="D1805" s="192"/>
      <c r="E1805" s="192"/>
      <c r="F1805" s="192"/>
      <c r="G1805" s="192" t="str">
        <f>IFERROR(__xludf.DUMMYFUNCTION("""COMPUTED_VALUE"""),"")</f>
        <v/>
      </c>
      <c r="H1805" s="192"/>
      <c r="I1805" s="192" t="str">
        <f>IFERROR(__xludf.DUMMYFUNCTION("""COMPUTED_VALUE"""),"")</f>
        <v/>
      </c>
      <c r="J1805" s="19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92"/>
      <c r="B1806" s="192"/>
      <c r="C1806" s="192"/>
      <c r="D1806" s="192"/>
      <c r="E1806" s="192"/>
      <c r="F1806" s="192"/>
      <c r="G1806" s="192" t="str">
        <f>IFERROR(__xludf.DUMMYFUNCTION("""COMPUTED_VALUE"""),"")</f>
        <v/>
      </c>
      <c r="H1806" s="192"/>
      <c r="I1806" s="192" t="str">
        <f>IFERROR(__xludf.DUMMYFUNCTION("""COMPUTED_VALUE"""),"")</f>
        <v/>
      </c>
      <c r="J1806" s="19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92"/>
      <c r="B1807" s="192"/>
      <c r="C1807" s="192"/>
      <c r="D1807" s="192"/>
      <c r="E1807" s="192"/>
      <c r="F1807" s="192"/>
      <c r="G1807" s="192" t="str">
        <f>IFERROR(__xludf.DUMMYFUNCTION("""COMPUTED_VALUE"""),"")</f>
        <v/>
      </c>
      <c r="H1807" s="192"/>
      <c r="I1807" s="192" t="str">
        <f>IFERROR(__xludf.DUMMYFUNCTION("""COMPUTED_VALUE"""),"")</f>
        <v/>
      </c>
      <c r="J1807" s="19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92"/>
      <c r="B1808" s="192"/>
      <c r="C1808" s="192"/>
      <c r="D1808" s="192"/>
      <c r="E1808" s="192"/>
      <c r="F1808" s="192"/>
      <c r="G1808" s="192" t="str">
        <f>IFERROR(__xludf.DUMMYFUNCTION("""COMPUTED_VALUE"""),"")</f>
        <v/>
      </c>
      <c r="H1808" s="192"/>
      <c r="I1808" s="192" t="str">
        <f>IFERROR(__xludf.DUMMYFUNCTION("""COMPUTED_VALUE"""),"")</f>
        <v/>
      </c>
      <c r="J1808" s="19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92"/>
      <c r="B1809" s="192"/>
      <c r="C1809" s="192"/>
      <c r="D1809" s="192"/>
      <c r="E1809" s="192"/>
      <c r="F1809" s="192"/>
      <c r="G1809" s="192" t="str">
        <f>IFERROR(__xludf.DUMMYFUNCTION("""COMPUTED_VALUE"""),"")</f>
        <v/>
      </c>
      <c r="H1809" s="192"/>
      <c r="I1809" s="192" t="str">
        <f>IFERROR(__xludf.DUMMYFUNCTION("""COMPUTED_VALUE"""),"")</f>
        <v/>
      </c>
      <c r="J1809" s="19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92"/>
      <c r="B1810" s="192"/>
      <c r="C1810" s="192"/>
      <c r="D1810" s="192"/>
      <c r="E1810" s="192"/>
      <c r="F1810" s="192"/>
      <c r="G1810" s="192" t="str">
        <f>IFERROR(__xludf.DUMMYFUNCTION("""COMPUTED_VALUE"""),"")</f>
        <v/>
      </c>
      <c r="H1810" s="192"/>
      <c r="I1810" s="192" t="str">
        <f>IFERROR(__xludf.DUMMYFUNCTION("""COMPUTED_VALUE"""),"")</f>
        <v/>
      </c>
      <c r="J1810" s="19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92"/>
      <c r="B1811" s="192"/>
      <c r="C1811" s="192"/>
      <c r="D1811" s="192"/>
      <c r="E1811" s="192"/>
      <c r="F1811" s="192"/>
      <c r="G1811" s="192" t="str">
        <f>IFERROR(__xludf.DUMMYFUNCTION("""COMPUTED_VALUE"""),"")</f>
        <v/>
      </c>
      <c r="H1811" s="192"/>
      <c r="I1811" s="192" t="str">
        <f>IFERROR(__xludf.DUMMYFUNCTION("""COMPUTED_VALUE"""),"")</f>
        <v/>
      </c>
      <c r="J1811" s="19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92"/>
      <c r="B1812" s="192"/>
      <c r="C1812" s="192"/>
      <c r="D1812" s="192"/>
      <c r="E1812" s="192"/>
      <c r="F1812" s="192"/>
      <c r="G1812" s="192" t="str">
        <f>IFERROR(__xludf.DUMMYFUNCTION("""COMPUTED_VALUE"""),"")</f>
        <v/>
      </c>
      <c r="H1812" s="192"/>
      <c r="I1812" s="192" t="str">
        <f>IFERROR(__xludf.DUMMYFUNCTION("""COMPUTED_VALUE"""),"")</f>
        <v/>
      </c>
      <c r="J1812" s="19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92"/>
      <c r="B1813" s="192"/>
      <c r="C1813" s="192"/>
      <c r="D1813" s="192"/>
      <c r="E1813" s="192"/>
      <c r="F1813" s="192"/>
      <c r="G1813" s="192" t="str">
        <f>IFERROR(__xludf.DUMMYFUNCTION("""COMPUTED_VALUE"""),"")</f>
        <v/>
      </c>
      <c r="H1813" s="192"/>
      <c r="I1813" s="192" t="str">
        <f>IFERROR(__xludf.DUMMYFUNCTION("""COMPUTED_VALUE"""),"")</f>
        <v/>
      </c>
      <c r="J1813" s="19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92"/>
      <c r="B1814" s="192"/>
      <c r="C1814" s="192"/>
      <c r="D1814" s="192"/>
      <c r="E1814" s="192"/>
      <c r="F1814" s="192"/>
      <c r="G1814" s="192" t="str">
        <f>IFERROR(__xludf.DUMMYFUNCTION("""COMPUTED_VALUE"""),"")</f>
        <v/>
      </c>
      <c r="H1814" s="192"/>
      <c r="I1814" s="192" t="str">
        <f>IFERROR(__xludf.DUMMYFUNCTION("""COMPUTED_VALUE"""),"")</f>
        <v/>
      </c>
      <c r="J1814" s="19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92"/>
      <c r="B1815" s="192"/>
      <c r="C1815" s="192"/>
      <c r="D1815" s="192"/>
      <c r="E1815" s="192"/>
      <c r="F1815" s="192"/>
      <c r="G1815" s="192" t="str">
        <f>IFERROR(__xludf.DUMMYFUNCTION("""COMPUTED_VALUE"""),"")</f>
        <v/>
      </c>
      <c r="H1815" s="192"/>
      <c r="I1815" s="192" t="str">
        <f>IFERROR(__xludf.DUMMYFUNCTION("""COMPUTED_VALUE"""),"")</f>
        <v/>
      </c>
      <c r="J1815" s="19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92"/>
      <c r="B1816" s="192"/>
      <c r="C1816" s="192"/>
      <c r="D1816" s="192"/>
      <c r="E1816" s="192"/>
      <c r="F1816" s="192"/>
      <c r="G1816" s="192" t="str">
        <f>IFERROR(__xludf.DUMMYFUNCTION("""COMPUTED_VALUE"""),"")</f>
        <v/>
      </c>
      <c r="H1816" s="192"/>
      <c r="I1816" s="192" t="str">
        <f>IFERROR(__xludf.DUMMYFUNCTION("""COMPUTED_VALUE"""),"")</f>
        <v/>
      </c>
      <c r="J1816" s="19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92"/>
      <c r="B1817" s="192"/>
      <c r="C1817" s="192"/>
      <c r="D1817" s="192"/>
      <c r="E1817" s="192"/>
      <c r="F1817" s="192"/>
      <c r="G1817" s="192" t="str">
        <f>IFERROR(__xludf.DUMMYFUNCTION("""COMPUTED_VALUE"""),"")</f>
        <v/>
      </c>
      <c r="H1817" s="192"/>
      <c r="I1817" s="192" t="str">
        <f>IFERROR(__xludf.DUMMYFUNCTION("""COMPUTED_VALUE"""),"")</f>
        <v/>
      </c>
      <c r="J1817" s="19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92"/>
      <c r="B1818" s="192"/>
      <c r="C1818" s="192"/>
      <c r="D1818" s="192"/>
      <c r="E1818" s="192"/>
      <c r="F1818" s="192"/>
      <c r="G1818" s="192" t="str">
        <f>IFERROR(__xludf.DUMMYFUNCTION("""COMPUTED_VALUE"""),"")</f>
        <v/>
      </c>
      <c r="H1818" s="192"/>
      <c r="I1818" s="192" t="str">
        <f>IFERROR(__xludf.DUMMYFUNCTION("""COMPUTED_VALUE"""),"")</f>
        <v/>
      </c>
      <c r="J1818" s="19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92"/>
      <c r="B1819" s="192"/>
      <c r="C1819" s="192"/>
      <c r="D1819" s="192"/>
      <c r="E1819" s="192"/>
      <c r="F1819" s="192"/>
      <c r="G1819" s="192" t="str">
        <f>IFERROR(__xludf.DUMMYFUNCTION("""COMPUTED_VALUE"""),"")</f>
        <v/>
      </c>
      <c r="H1819" s="192"/>
      <c r="I1819" s="192" t="str">
        <f>IFERROR(__xludf.DUMMYFUNCTION("""COMPUTED_VALUE"""),"")</f>
        <v/>
      </c>
      <c r="J1819" s="19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92"/>
      <c r="B1820" s="192"/>
      <c r="C1820" s="192"/>
      <c r="D1820" s="192"/>
      <c r="E1820" s="192"/>
      <c r="F1820" s="192"/>
      <c r="G1820" s="192" t="str">
        <f>IFERROR(__xludf.DUMMYFUNCTION("""COMPUTED_VALUE"""),"")</f>
        <v/>
      </c>
      <c r="H1820" s="192"/>
      <c r="I1820" s="192" t="str">
        <f>IFERROR(__xludf.DUMMYFUNCTION("""COMPUTED_VALUE"""),"")</f>
        <v/>
      </c>
      <c r="J1820" s="19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92"/>
      <c r="B1821" s="192"/>
      <c r="C1821" s="192"/>
      <c r="D1821" s="192"/>
      <c r="E1821" s="192"/>
      <c r="F1821" s="192"/>
      <c r="G1821" s="192" t="str">
        <f>IFERROR(__xludf.DUMMYFUNCTION("""COMPUTED_VALUE"""),"")</f>
        <v/>
      </c>
      <c r="H1821" s="192"/>
      <c r="I1821" s="192" t="str">
        <f>IFERROR(__xludf.DUMMYFUNCTION("""COMPUTED_VALUE"""),"")</f>
        <v/>
      </c>
      <c r="J1821" s="19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92"/>
      <c r="B1822" s="192"/>
      <c r="C1822" s="192"/>
      <c r="D1822" s="192"/>
      <c r="E1822" s="192"/>
      <c r="F1822" s="192"/>
      <c r="G1822" s="192" t="str">
        <f>IFERROR(__xludf.DUMMYFUNCTION("""COMPUTED_VALUE"""),"")</f>
        <v/>
      </c>
      <c r="H1822" s="192"/>
      <c r="I1822" s="192" t="str">
        <f>IFERROR(__xludf.DUMMYFUNCTION("""COMPUTED_VALUE"""),"")</f>
        <v/>
      </c>
      <c r="J1822" s="19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92"/>
      <c r="B1823" s="192"/>
      <c r="C1823" s="192"/>
      <c r="D1823" s="192"/>
      <c r="E1823" s="192"/>
      <c r="F1823" s="192"/>
      <c r="G1823" s="192" t="str">
        <f>IFERROR(__xludf.DUMMYFUNCTION("""COMPUTED_VALUE"""),"")</f>
        <v/>
      </c>
      <c r="H1823" s="192"/>
      <c r="I1823" s="192" t="str">
        <f>IFERROR(__xludf.DUMMYFUNCTION("""COMPUTED_VALUE"""),"")</f>
        <v/>
      </c>
      <c r="J1823" s="19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92"/>
      <c r="B1824" s="192"/>
      <c r="C1824" s="192"/>
      <c r="D1824" s="192"/>
      <c r="E1824" s="192"/>
      <c r="F1824" s="192"/>
      <c r="G1824" s="192" t="str">
        <f>IFERROR(__xludf.DUMMYFUNCTION("""COMPUTED_VALUE"""),"")</f>
        <v/>
      </c>
      <c r="H1824" s="192"/>
      <c r="I1824" s="192" t="str">
        <f>IFERROR(__xludf.DUMMYFUNCTION("""COMPUTED_VALUE"""),"")</f>
        <v/>
      </c>
      <c r="J1824" s="19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92"/>
      <c r="B1825" s="192"/>
      <c r="C1825" s="192"/>
      <c r="D1825" s="192"/>
      <c r="E1825" s="192"/>
      <c r="F1825" s="192"/>
      <c r="G1825" s="192" t="str">
        <f>IFERROR(__xludf.DUMMYFUNCTION("""COMPUTED_VALUE"""),"")</f>
        <v/>
      </c>
      <c r="H1825" s="192"/>
      <c r="I1825" s="192" t="str">
        <f>IFERROR(__xludf.DUMMYFUNCTION("""COMPUTED_VALUE"""),"")</f>
        <v/>
      </c>
      <c r="J1825" s="19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92"/>
      <c r="B1826" s="192"/>
      <c r="C1826" s="192"/>
      <c r="D1826" s="192"/>
      <c r="E1826" s="192"/>
      <c r="F1826" s="192"/>
      <c r="G1826" s="192" t="str">
        <f>IFERROR(__xludf.DUMMYFUNCTION("""COMPUTED_VALUE"""),"")</f>
        <v/>
      </c>
      <c r="H1826" s="192"/>
      <c r="I1826" s="192" t="str">
        <f>IFERROR(__xludf.DUMMYFUNCTION("""COMPUTED_VALUE"""),"")</f>
        <v/>
      </c>
      <c r="J1826" s="19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92"/>
      <c r="B1827" s="192"/>
      <c r="C1827" s="192"/>
      <c r="D1827" s="192"/>
      <c r="E1827" s="192"/>
      <c r="F1827" s="192"/>
      <c r="G1827" s="192" t="str">
        <f>IFERROR(__xludf.DUMMYFUNCTION("""COMPUTED_VALUE"""),"")</f>
        <v/>
      </c>
      <c r="H1827" s="192"/>
      <c r="I1827" s="192" t="str">
        <f>IFERROR(__xludf.DUMMYFUNCTION("""COMPUTED_VALUE"""),"")</f>
        <v/>
      </c>
      <c r="J1827" s="19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92"/>
      <c r="B1828" s="192"/>
      <c r="C1828" s="192"/>
      <c r="D1828" s="192"/>
      <c r="E1828" s="192"/>
      <c r="F1828" s="192"/>
      <c r="G1828" s="192" t="str">
        <f>IFERROR(__xludf.DUMMYFUNCTION("""COMPUTED_VALUE"""),"")</f>
        <v/>
      </c>
      <c r="H1828" s="192"/>
      <c r="I1828" s="192" t="str">
        <f>IFERROR(__xludf.DUMMYFUNCTION("""COMPUTED_VALUE"""),"")</f>
        <v/>
      </c>
      <c r="J1828" s="19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92"/>
      <c r="B1829" s="192"/>
      <c r="C1829" s="192"/>
      <c r="D1829" s="192"/>
      <c r="E1829" s="192"/>
      <c r="F1829" s="192"/>
      <c r="G1829" s="192" t="str">
        <f>IFERROR(__xludf.DUMMYFUNCTION("""COMPUTED_VALUE"""),"")</f>
        <v/>
      </c>
      <c r="H1829" s="192"/>
      <c r="I1829" s="192" t="str">
        <f>IFERROR(__xludf.DUMMYFUNCTION("""COMPUTED_VALUE"""),"")</f>
        <v/>
      </c>
      <c r="J1829" s="19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92"/>
      <c r="B1830" s="192"/>
      <c r="C1830" s="192"/>
      <c r="D1830" s="192"/>
      <c r="E1830" s="192"/>
      <c r="F1830" s="192"/>
      <c r="G1830" s="192" t="str">
        <f>IFERROR(__xludf.DUMMYFUNCTION("""COMPUTED_VALUE"""),"")</f>
        <v/>
      </c>
      <c r="H1830" s="192"/>
      <c r="I1830" s="192" t="str">
        <f>IFERROR(__xludf.DUMMYFUNCTION("""COMPUTED_VALUE"""),"")</f>
        <v/>
      </c>
      <c r="J1830" s="19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92"/>
      <c r="B1831" s="192"/>
      <c r="C1831" s="192"/>
      <c r="D1831" s="192"/>
      <c r="E1831" s="192"/>
      <c r="F1831" s="192"/>
      <c r="G1831" s="192" t="str">
        <f>IFERROR(__xludf.DUMMYFUNCTION("""COMPUTED_VALUE"""),"")</f>
        <v/>
      </c>
      <c r="H1831" s="192"/>
      <c r="I1831" s="192" t="str">
        <f>IFERROR(__xludf.DUMMYFUNCTION("""COMPUTED_VALUE"""),"")</f>
        <v/>
      </c>
      <c r="J1831" s="19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92"/>
      <c r="B1832" s="192"/>
      <c r="C1832" s="192"/>
      <c r="D1832" s="192"/>
      <c r="E1832" s="192"/>
      <c r="F1832" s="192"/>
      <c r="G1832" s="192" t="str">
        <f>IFERROR(__xludf.DUMMYFUNCTION("""COMPUTED_VALUE"""),"")</f>
        <v/>
      </c>
      <c r="H1832" s="192"/>
      <c r="I1832" s="192" t="str">
        <f>IFERROR(__xludf.DUMMYFUNCTION("""COMPUTED_VALUE"""),"")</f>
        <v/>
      </c>
      <c r="J1832" s="19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92"/>
      <c r="B1833" s="192"/>
      <c r="C1833" s="192"/>
      <c r="D1833" s="192"/>
      <c r="E1833" s="192"/>
      <c r="F1833" s="192"/>
      <c r="G1833" s="192" t="str">
        <f>IFERROR(__xludf.DUMMYFUNCTION("""COMPUTED_VALUE"""),"")</f>
        <v/>
      </c>
      <c r="H1833" s="192"/>
      <c r="I1833" s="192" t="str">
        <f>IFERROR(__xludf.DUMMYFUNCTION("""COMPUTED_VALUE"""),"")</f>
        <v/>
      </c>
      <c r="J1833" s="19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92"/>
      <c r="B1834" s="192"/>
      <c r="C1834" s="192"/>
      <c r="D1834" s="192"/>
      <c r="E1834" s="192"/>
      <c r="F1834" s="192"/>
      <c r="G1834" s="192" t="str">
        <f>IFERROR(__xludf.DUMMYFUNCTION("""COMPUTED_VALUE"""),"")</f>
        <v/>
      </c>
      <c r="H1834" s="192"/>
      <c r="I1834" s="192" t="str">
        <f>IFERROR(__xludf.DUMMYFUNCTION("""COMPUTED_VALUE"""),"")</f>
        <v/>
      </c>
      <c r="J1834" s="19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92"/>
      <c r="B1835" s="192"/>
      <c r="C1835" s="192"/>
      <c r="D1835" s="192"/>
      <c r="E1835" s="192"/>
      <c r="F1835" s="192"/>
      <c r="G1835" s="192" t="str">
        <f>IFERROR(__xludf.DUMMYFUNCTION("""COMPUTED_VALUE"""),"")</f>
        <v/>
      </c>
      <c r="H1835" s="192"/>
      <c r="I1835" s="192" t="str">
        <f>IFERROR(__xludf.DUMMYFUNCTION("""COMPUTED_VALUE"""),"")</f>
        <v/>
      </c>
      <c r="J1835" s="19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92"/>
      <c r="B1836" s="192"/>
      <c r="C1836" s="192"/>
      <c r="D1836" s="192"/>
      <c r="E1836" s="192"/>
      <c r="F1836" s="192"/>
      <c r="G1836" s="192" t="str">
        <f>IFERROR(__xludf.DUMMYFUNCTION("""COMPUTED_VALUE"""),"")</f>
        <v/>
      </c>
      <c r="H1836" s="192"/>
      <c r="I1836" s="192" t="str">
        <f>IFERROR(__xludf.DUMMYFUNCTION("""COMPUTED_VALUE"""),"")</f>
        <v/>
      </c>
      <c r="J1836" s="19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92"/>
      <c r="B1837" s="192"/>
      <c r="C1837" s="192"/>
      <c r="D1837" s="192"/>
      <c r="E1837" s="192"/>
      <c r="F1837" s="192"/>
      <c r="G1837" s="192" t="str">
        <f>IFERROR(__xludf.DUMMYFUNCTION("""COMPUTED_VALUE"""),"")</f>
        <v/>
      </c>
      <c r="H1837" s="192"/>
      <c r="I1837" s="192" t="str">
        <f>IFERROR(__xludf.DUMMYFUNCTION("""COMPUTED_VALUE"""),"")</f>
        <v/>
      </c>
      <c r="J1837" s="19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92"/>
      <c r="B1838" s="192"/>
      <c r="C1838" s="192"/>
      <c r="D1838" s="192"/>
      <c r="E1838" s="192"/>
      <c r="F1838" s="192"/>
      <c r="G1838" s="192" t="str">
        <f>IFERROR(__xludf.DUMMYFUNCTION("""COMPUTED_VALUE"""),"")</f>
        <v/>
      </c>
      <c r="H1838" s="192"/>
      <c r="I1838" s="192" t="str">
        <f>IFERROR(__xludf.DUMMYFUNCTION("""COMPUTED_VALUE"""),"")</f>
        <v/>
      </c>
      <c r="J1838" s="19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92"/>
      <c r="B1839" s="192"/>
      <c r="C1839" s="192"/>
      <c r="D1839" s="192"/>
      <c r="E1839" s="192"/>
      <c r="F1839" s="192"/>
      <c r="G1839" s="192" t="str">
        <f>IFERROR(__xludf.DUMMYFUNCTION("""COMPUTED_VALUE"""),"")</f>
        <v/>
      </c>
      <c r="H1839" s="192"/>
      <c r="I1839" s="192" t="str">
        <f>IFERROR(__xludf.DUMMYFUNCTION("""COMPUTED_VALUE"""),"")</f>
        <v/>
      </c>
      <c r="J1839" s="19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92"/>
      <c r="B1840" s="192"/>
      <c r="C1840" s="192"/>
      <c r="D1840" s="192"/>
      <c r="E1840" s="192"/>
      <c r="F1840" s="192"/>
      <c r="G1840" s="192" t="str">
        <f>IFERROR(__xludf.DUMMYFUNCTION("""COMPUTED_VALUE"""),"")</f>
        <v/>
      </c>
      <c r="H1840" s="192"/>
      <c r="I1840" s="192" t="str">
        <f>IFERROR(__xludf.DUMMYFUNCTION("""COMPUTED_VALUE"""),"")</f>
        <v/>
      </c>
      <c r="J1840" s="19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92"/>
      <c r="B1841" s="192"/>
      <c r="C1841" s="192"/>
      <c r="D1841" s="192"/>
      <c r="E1841" s="192"/>
      <c r="F1841" s="192"/>
      <c r="G1841" s="192" t="str">
        <f>IFERROR(__xludf.DUMMYFUNCTION("""COMPUTED_VALUE"""),"")</f>
        <v/>
      </c>
      <c r="H1841" s="192"/>
      <c r="I1841" s="192" t="str">
        <f>IFERROR(__xludf.DUMMYFUNCTION("""COMPUTED_VALUE"""),"")</f>
        <v/>
      </c>
      <c r="J1841" s="19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92"/>
      <c r="B1842" s="192"/>
      <c r="C1842" s="192"/>
      <c r="D1842" s="192"/>
      <c r="E1842" s="192"/>
      <c r="F1842" s="192"/>
      <c r="G1842" s="192" t="str">
        <f>IFERROR(__xludf.DUMMYFUNCTION("""COMPUTED_VALUE"""),"")</f>
        <v/>
      </c>
      <c r="H1842" s="192"/>
      <c r="I1842" s="192" t="str">
        <f>IFERROR(__xludf.DUMMYFUNCTION("""COMPUTED_VALUE"""),"")</f>
        <v/>
      </c>
      <c r="J1842" s="19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92"/>
      <c r="B1843" s="192"/>
      <c r="C1843" s="192"/>
      <c r="D1843" s="192"/>
      <c r="E1843" s="192"/>
      <c r="F1843" s="192"/>
      <c r="G1843" s="192" t="str">
        <f>IFERROR(__xludf.DUMMYFUNCTION("""COMPUTED_VALUE"""),"")</f>
        <v/>
      </c>
      <c r="H1843" s="192"/>
      <c r="I1843" s="192" t="str">
        <f>IFERROR(__xludf.DUMMYFUNCTION("""COMPUTED_VALUE"""),"")</f>
        <v/>
      </c>
      <c r="J1843" s="19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92"/>
      <c r="B1844" s="192"/>
      <c r="C1844" s="192"/>
      <c r="D1844" s="192"/>
      <c r="E1844" s="192"/>
      <c r="F1844" s="192"/>
      <c r="G1844" s="192" t="str">
        <f>IFERROR(__xludf.DUMMYFUNCTION("""COMPUTED_VALUE"""),"")</f>
        <v/>
      </c>
      <c r="H1844" s="192"/>
      <c r="I1844" s="192" t="str">
        <f>IFERROR(__xludf.DUMMYFUNCTION("""COMPUTED_VALUE"""),"")</f>
        <v/>
      </c>
      <c r="J1844" s="19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92"/>
      <c r="B1845" s="192"/>
      <c r="C1845" s="192"/>
      <c r="D1845" s="192"/>
      <c r="E1845" s="192"/>
      <c r="F1845" s="192"/>
      <c r="G1845" s="192" t="str">
        <f>IFERROR(__xludf.DUMMYFUNCTION("""COMPUTED_VALUE"""),"")</f>
        <v/>
      </c>
      <c r="H1845" s="192"/>
      <c r="I1845" s="192" t="str">
        <f>IFERROR(__xludf.DUMMYFUNCTION("""COMPUTED_VALUE"""),"")</f>
        <v/>
      </c>
      <c r="J1845" s="19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92"/>
      <c r="B1846" s="192"/>
      <c r="C1846" s="192"/>
      <c r="D1846" s="192"/>
      <c r="E1846" s="192"/>
      <c r="F1846" s="192"/>
      <c r="G1846" s="192" t="str">
        <f>IFERROR(__xludf.DUMMYFUNCTION("""COMPUTED_VALUE"""),"")</f>
        <v/>
      </c>
      <c r="H1846" s="192"/>
      <c r="I1846" s="192" t="str">
        <f>IFERROR(__xludf.DUMMYFUNCTION("""COMPUTED_VALUE"""),"")</f>
        <v/>
      </c>
      <c r="J1846" s="19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92"/>
      <c r="B1847" s="192"/>
      <c r="C1847" s="192"/>
      <c r="D1847" s="192"/>
      <c r="E1847" s="192"/>
      <c r="F1847" s="192"/>
      <c r="G1847" s="192" t="str">
        <f>IFERROR(__xludf.DUMMYFUNCTION("""COMPUTED_VALUE"""),"")</f>
        <v/>
      </c>
      <c r="H1847" s="192"/>
      <c r="I1847" s="192" t="str">
        <f>IFERROR(__xludf.DUMMYFUNCTION("""COMPUTED_VALUE"""),"")</f>
        <v/>
      </c>
      <c r="J1847" s="19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92"/>
      <c r="B1848" s="192"/>
      <c r="C1848" s="192"/>
      <c r="D1848" s="192"/>
      <c r="E1848" s="192"/>
      <c r="F1848" s="192"/>
      <c r="G1848" s="192" t="str">
        <f>IFERROR(__xludf.DUMMYFUNCTION("""COMPUTED_VALUE"""),"")</f>
        <v/>
      </c>
      <c r="H1848" s="192"/>
      <c r="I1848" s="192" t="str">
        <f>IFERROR(__xludf.DUMMYFUNCTION("""COMPUTED_VALUE"""),"")</f>
        <v/>
      </c>
      <c r="J1848" s="19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92"/>
      <c r="B1849" s="192"/>
      <c r="C1849" s="192"/>
      <c r="D1849" s="192"/>
      <c r="E1849" s="192"/>
      <c r="F1849" s="192"/>
      <c r="G1849" s="192" t="str">
        <f>IFERROR(__xludf.DUMMYFUNCTION("""COMPUTED_VALUE"""),"")</f>
        <v/>
      </c>
      <c r="H1849" s="192"/>
      <c r="I1849" s="192" t="str">
        <f>IFERROR(__xludf.DUMMYFUNCTION("""COMPUTED_VALUE"""),"")</f>
        <v/>
      </c>
      <c r="J1849" s="19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92"/>
      <c r="B1850" s="192"/>
      <c r="C1850" s="192"/>
      <c r="D1850" s="192"/>
      <c r="E1850" s="192"/>
      <c r="F1850" s="192"/>
      <c r="G1850" s="192" t="str">
        <f>IFERROR(__xludf.DUMMYFUNCTION("""COMPUTED_VALUE"""),"")</f>
        <v/>
      </c>
      <c r="H1850" s="192"/>
      <c r="I1850" s="192" t="str">
        <f>IFERROR(__xludf.DUMMYFUNCTION("""COMPUTED_VALUE"""),"")</f>
        <v/>
      </c>
      <c r="J1850" s="19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92"/>
      <c r="B1851" s="192"/>
      <c r="C1851" s="192"/>
      <c r="D1851" s="192"/>
      <c r="E1851" s="192"/>
      <c r="F1851" s="192"/>
      <c r="G1851" s="192" t="str">
        <f>IFERROR(__xludf.DUMMYFUNCTION("""COMPUTED_VALUE"""),"")</f>
        <v/>
      </c>
      <c r="H1851" s="192"/>
      <c r="I1851" s="192" t="str">
        <f>IFERROR(__xludf.DUMMYFUNCTION("""COMPUTED_VALUE"""),"")</f>
        <v/>
      </c>
      <c r="J1851" s="19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92"/>
      <c r="B1852" s="192"/>
      <c r="C1852" s="192"/>
      <c r="D1852" s="192"/>
      <c r="E1852" s="192"/>
      <c r="F1852" s="192"/>
      <c r="G1852" s="192" t="str">
        <f>IFERROR(__xludf.DUMMYFUNCTION("""COMPUTED_VALUE"""),"")</f>
        <v/>
      </c>
      <c r="H1852" s="192"/>
      <c r="I1852" s="192" t="str">
        <f>IFERROR(__xludf.DUMMYFUNCTION("""COMPUTED_VALUE"""),"")</f>
        <v/>
      </c>
      <c r="J1852" s="19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92"/>
      <c r="B1853" s="192"/>
      <c r="C1853" s="192"/>
      <c r="D1853" s="192"/>
      <c r="E1853" s="192"/>
      <c r="F1853" s="192"/>
      <c r="G1853" s="192" t="str">
        <f>IFERROR(__xludf.DUMMYFUNCTION("""COMPUTED_VALUE"""),"")</f>
        <v/>
      </c>
      <c r="H1853" s="192"/>
      <c r="I1853" s="192" t="str">
        <f>IFERROR(__xludf.DUMMYFUNCTION("""COMPUTED_VALUE"""),"")</f>
        <v/>
      </c>
      <c r="J1853" s="19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92"/>
      <c r="B1854" s="192"/>
      <c r="C1854" s="192"/>
      <c r="D1854" s="192"/>
      <c r="E1854" s="192"/>
      <c r="F1854" s="192"/>
      <c r="G1854" s="192" t="str">
        <f>IFERROR(__xludf.DUMMYFUNCTION("""COMPUTED_VALUE"""),"")</f>
        <v/>
      </c>
      <c r="H1854" s="192"/>
      <c r="I1854" s="192" t="str">
        <f>IFERROR(__xludf.DUMMYFUNCTION("""COMPUTED_VALUE"""),"")</f>
        <v/>
      </c>
      <c r="J1854" s="19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92"/>
      <c r="B1855" s="192"/>
      <c r="C1855" s="192"/>
      <c r="D1855" s="192"/>
      <c r="E1855" s="192"/>
      <c r="F1855" s="192"/>
      <c r="G1855" s="192" t="str">
        <f>IFERROR(__xludf.DUMMYFUNCTION("""COMPUTED_VALUE"""),"")</f>
        <v/>
      </c>
      <c r="H1855" s="192"/>
      <c r="I1855" s="192" t="str">
        <f>IFERROR(__xludf.DUMMYFUNCTION("""COMPUTED_VALUE"""),"")</f>
        <v/>
      </c>
      <c r="J1855" s="19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92"/>
      <c r="B1856" s="192"/>
      <c r="C1856" s="192"/>
      <c r="D1856" s="192"/>
      <c r="E1856" s="192"/>
      <c r="F1856" s="192"/>
      <c r="G1856" s="192" t="str">
        <f>IFERROR(__xludf.DUMMYFUNCTION("""COMPUTED_VALUE"""),"")</f>
        <v/>
      </c>
      <c r="H1856" s="192"/>
      <c r="I1856" s="192" t="str">
        <f>IFERROR(__xludf.DUMMYFUNCTION("""COMPUTED_VALUE"""),"")</f>
        <v/>
      </c>
      <c r="J1856" s="19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92"/>
      <c r="B1857" s="192"/>
      <c r="C1857" s="192"/>
      <c r="D1857" s="192"/>
      <c r="E1857" s="192"/>
      <c r="F1857" s="192"/>
      <c r="G1857" s="192" t="str">
        <f>IFERROR(__xludf.DUMMYFUNCTION("""COMPUTED_VALUE"""),"")</f>
        <v/>
      </c>
      <c r="H1857" s="192"/>
      <c r="I1857" s="192" t="str">
        <f>IFERROR(__xludf.DUMMYFUNCTION("""COMPUTED_VALUE"""),"")</f>
        <v/>
      </c>
      <c r="J1857" s="19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92"/>
      <c r="B1858" s="192"/>
      <c r="C1858" s="192"/>
      <c r="D1858" s="192"/>
      <c r="E1858" s="192"/>
      <c r="F1858" s="192"/>
      <c r="G1858" s="192" t="str">
        <f>IFERROR(__xludf.DUMMYFUNCTION("""COMPUTED_VALUE"""),"")</f>
        <v/>
      </c>
      <c r="H1858" s="192"/>
      <c r="I1858" s="192" t="str">
        <f>IFERROR(__xludf.DUMMYFUNCTION("""COMPUTED_VALUE"""),"")</f>
        <v/>
      </c>
      <c r="J1858" s="19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92"/>
      <c r="B1859" s="192"/>
      <c r="C1859" s="192"/>
      <c r="D1859" s="192"/>
      <c r="E1859" s="192"/>
      <c r="F1859" s="192"/>
      <c r="G1859" s="192" t="str">
        <f>IFERROR(__xludf.DUMMYFUNCTION("""COMPUTED_VALUE"""),"")</f>
        <v/>
      </c>
      <c r="H1859" s="192"/>
      <c r="I1859" s="192" t="str">
        <f>IFERROR(__xludf.DUMMYFUNCTION("""COMPUTED_VALUE"""),"")</f>
        <v/>
      </c>
      <c r="J1859" s="19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92"/>
      <c r="B1860" s="192"/>
      <c r="C1860" s="192"/>
      <c r="D1860" s="192"/>
      <c r="E1860" s="192"/>
      <c r="F1860" s="192"/>
      <c r="G1860" s="192" t="str">
        <f>IFERROR(__xludf.DUMMYFUNCTION("""COMPUTED_VALUE"""),"")</f>
        <v/>
      </c>
      <c r="H1860" s="192"/>
      <c r="I1860" s="192" t="str">
        <f>IFERROR(__xludf.DUMMYFUNCTION("""COMPUTED_VALUE"""),"")</f>
        <v/>
      </c>
      <c r="J1860" s="19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92"/>
      <c r="B1861" s="192"/>
      <c r="C1861" s="192"/>
      <c r="D1861" s="192"/>
      <c r="E1861" s="192"/>
      <c r="F1861" s="192"/>
      <c r="G1861" s="192" t="str">
        <f>IFERROR(__xludf.DUMMYFUNCTION("""COMPUTED_VALUE"""),"")</f>
        <v/>
      </c>
      <c r="H1861" s="192"/>
      <c r="I1861" s="192" t="str">
        <f>IFERROR(__xludf.DUMMYFUNCTION("""COMPUTED_VALUE"""),"")</f>
        <v/>
      </c>
      <c r="J1861" s="19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92"/>
      <c r="B1862" s="192"/>
      <c r="C1862" s="192"/>
      <c r="D1862" s="192"/>
      <c r="E1862" s="192"/>
      <c r="F1862" s="192"/>
      <c r="G1862" s="192" t="str">
        <f>IFERROR(__xludf.DUMMYFUNCTION("""COMPUTED_VALUE"""),"")</f>
        <v/>
      </c>
      <c r="H1862" s="192"/>
      <c r="I1862" s="192" t="str">
        <f>IFERROR(__xludf.DUMMYFUNCTION("""COMPUTED_VALUE"""),"")</f>
        <v/>
      </c>
      <c r="J1862" s="19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92"/>
      <c r="B1863" s="192"/>
      <c r="C1863" s="192"/>
      <c r="D1863" s="192"/>
      <c r="E1863" s="192"/>
      <c r="F1863" s="192"/>
      <c r="G1863" s="192" t="str">
        <f>IFERROR(__xludf.DUMMYFUNCTION("""COMPUTED_VALUE"""),"")</f>
        <v/>
      </c>
      <c r="H1863" s="192"/>
      <c r="I1863" s="192" t="str">
        <f>IFERROR(__xludf.DUMMYFUNCTION("""COMPUTED_VALUE"""),"")</f>
        <v/>
      </c>
      <c r="J1863" s="19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92"/>
      <c r="B1864" s="192"/>
      <c r="C1864" s="192"/>
      <c r="D1864" s="192"/>
      <c r="E1864" s="192"/>
      <c r="F1864" s="192"/>
      <c r="G1864" s="192" t="str">
        <f>IFERROR(__xludf.DUMMYFUNCTION("""COMPUTED_VALUE"""),"")</f>
        <v/>
      </c>
      <c r="H1864" s="192"/>
      <c r="I1864" s="192" t="str">
        <f>IFERROR(__xludf.DUMMYFUNCTION("""COMPUTED_VALUE"""),"")</f>
        <v/>
      </c>
      <c r="J1864" s="19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92"/>
      <c r="B1865" s="192"/>
      <c r="C1865" s="192"/>
      <c r="D1865" s="192"/>
      <c r="E1865" s="192"/>
      <c r="F1865" s="192"/>
      <c r="G1865" s="192" t="str">
        <f>IFERROR(__xludf.DUMMYFUNCTION("""COMPUTED_VALUE"""),"")</f>
        <v/>
      </c>
      <c r="H1865" s="192"/>
      <c r="I1865" s="192" t="str">
        <f>IFERROR(__xludf.DUMMYFUNCTION("""COMPUTED_VALUE"""),"")</f>
        <v/>
      </c>
      <c r="J1865" s="19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92"/>
      <c r="B1866" s="192"/>
      <c r="C1866" s="192"/>
      <c r="D1866" s="192"/>
      <c r="E1866" s="192"/>
      <c r="F1866" s="192"/>
      <c r="G1866" s="192" t="str">
        <f>IFERROR(__xludf.DUMMYFUNCTION("""COMPUTED_VALUE"""),"")</f>
        <v/>
      </c>
      <c r="H1866" s="192"/>
      <c r="I1866" s="192" t="str">
        <f>IFERROR(__xludf.DUMMYFUNCTION("""COMPUTED_VALUE"""),"")</f>
        <v/>
      </c>
      <c r="J1866" s="19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92"/>
      <c r="B1867" s="192"/>
      <c r="C1867" s="192"/>
      <c r="D1867" s="192"/>
      <c r="E1867" s="192"/>
      <c r="F1867" s="192"/>
      <c r="G1867" s="192" t="str">
        <f>IFERROR(__xludf.DUMMYFUNCTION("""COMPUTED_VALUE"""),"")</f>
        <v/>
      </c>
      <c r="H1867" s="192"/>
      <c r="I1867" s="192" t="str">
        <f>IFERROR(__xludf.DUMMYFUNCTION("""COMPUTED_VALUE"""),"")</f>
        <v/>
      </c>
      <c r="J1867" s="19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92"/>
      <c r="B1868" s="192"/>
      <c r="C1868" s="192"/>
      <c r="D1868" s="192"/>
      <c r="E1868" s="192"/>
      <c r="F1868" s="192"/>
      <c r="G1868" s="192" t="str">
        <f>IFERROR(__xludf.DUMMYFUNCTION("""COMPUTED_VALUE"""),"")</f>
        <v/>
      </c>
      <c r="H1868" s="192"/>
      <c r="I1868" s="192" t="str">
        <f>IFERROR(__xludf.DUMMYFUNCTION("""COMPUTED_VALUE"""),"")</f>
        <v/>
      </c>
      <c r="J1868" s="19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92"/>
      <c r="B1869" s="192"/>
      <c r="C1869" s="192"/>
      <c r="D1869" s="192"/>
      <c r="E1869" s="192"/>
      <c r="F1869" s="192"/>
      <c r="G1869" s="192" t="str">
        <f>IFERROR(__xludf.DUMMYFUNCTION("""COMPUTED_VALUE"""),"")</f>
        <v/>
      </c>
      <c r="H1869" s="192"/>
      <c r="I1869" s="192" t="str">
        <f>IFERROR(__xludf.DUMMYFUNCTION("""COMPUTED_VALUE"""),"")</f>
        <v/>
      </c>
      <c r="J1869" s="19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92"/>
      <c r="B1870" s="192"/>
      <c r="C1870" s="192"/>
      <c r="D1870" s="192"/>
      <c r="E1870" s="192"/>
      <c r="F1870" s="192"/>
      <c r="G1870" s="192" t="str">
        <f>IFERROR(__xludf.DUMMYFUNCTION("""COMPUTED_VALUE"""),"")</f>
        <v/>
      </c>
      <c r="H1870" s="192"/>
      <c r="I1870" s="192" t="str">
        <f>IFERROR(__xludf.DUMMYFUNCTION("""COMPUTED_VALUE"""),"")</f>
        <v/>
      </c>
      <c r="J1870" s="19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92"/>
      <c r="B1871" s="192"/>
      <c r="C1871" s="192"/>
      <c r="D1871" s="192"/>
      <c r="E1871" s="192"/>
      <c r="F1871" s="192"/>
      <c r="G1871" s="192" t="str">
        <f>IFERROR(__xludf.DUMMYFUNCTION("""COMPUTED_VALUE"""),"")</f>
        <v/>
      </c>
      <c r="H1871" s="192"/>
      <c r="I1871" s="192" t="str">
        <f>IFERROR(__xludf.DUMMYFUNCTION("""COMPUTED_VALUE"""),"")</f>
        <v/>
      </c>
      <c r="J1871" s="19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92"/>
      <c r="B1872" s="192"/>
      <c r="C1872" s="192"/>
      <c r="D1872" s="192"/>
      <c r="E1872" s="192"/>
      <c r="F1872" s="192"/>
      <c r="G1872" s="192" t="str">
        <f>IFERROR(__xludf.DUMMYFUNCTION("""COMPUTED_VALUE"""),"")</f>
        <v/>
      </c>
      <c r="H1872" s="192"/>
      <c r="I1872" s="192" t="str">
        <f>IFERROR(__xludf.DUMMYFUNCTION("""COMPUTED_VALUE"""),"")</f>
        <v/>
      </c>
      <c r="J1872" s="19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92"/>
      <c r="B1873" s="192"/>
      <c r="C1873" s="192"/>
      <c r="D1873" s="192"/>
      <c r="E1873" s="192"/>
      <c r="F1873" s="192"/>
      <c r="G1873" s="192" t="str">
        <f>IFERROR(__xludf.DUMMYFUNCTION("""COMPUTED_VALUE"""),"")</f>
        <v/>
      </c>
      <c r="H1873" s="192"/>
      <c r="I1873" s="192" t="str">
        <f>IFERROR(__xludf.DUMMYFUNCTION("""COMPUTED_VALUE"""),"")</f>
        <v/>
      </c>
      <c r="J1873" s="19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92"/>
      <c r="B1874" s="192"/>
      <c r="C1874" s="192"/>
      <c r="D1874" s="192"/>
      <c r="E1874" s="192"/>
      <c r="F1874" s="192"/>
      <c r="G1874" s="192" t="str">
        <f>IFERROR(__xludf.DUMMYFUNCTION("""COMPUTED_VALUE"""),"")</f>
        <v/>
      </c>
      <c r="H1874" s="192"/>
      <c r="I1874" s="192" t="str">
        <f>IFERROR(__xludf.DUMMYFUNCTION("""COMPUTED_VALUE"""),"")</f>
        <v/>
      </c>
      <c r="J1874" s="19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92"/>
      <c r="B1875" s="192"/>
      <c r="C1875" s="192"/>
      <c r="D1875" s="192"/>
      <c r="E1875" s="192"/>
      <c r="F1875" s="192"/>
      <c r="G1875" s="192" t="str">
        <f>IFERROR(__xludf.DUMMYFUNCTION("""COMPUTED_VALUE"""),"")</f>
        <v/>
      </c>
      <c r="H1875" s="192"/>
      <c r="I1875" s="192" t="str">
        <f>IFERROR(__xludf.DUMMYFUNCTION("""COMPUTED_VALUE"""),"")</f>
        <v/>
      </c>
      <c r="J1875" s="19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92"/>
      <c r="B1876" s="192"/>
      <c r="C1876" s="192"/>
      <c r="D1876" s="192"/>
      <c r="E1876" s="192"/>
      <c r="F1876" s="192"/>
      <c r="G1876" s="192" t="str">
        <f>IFERROR(__xludf.DUMMYFUNCTION("""COMPUTED_VALUE"""),"")</f>
        <v/>
      </c>
      <c r="H1876" s="192"/>
      <c r="I1876" s="192" t="str">
        <f>IFERROR(__xludf.DUMMYFUNCTION("""COMPUTED_VALUE"""),"")</f>
        <v/>
      </c>
      <c r="J1876" s="19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92"/>
      <c r="B1877" s="192"/>
      <c r="C1877" s="192"/>
      <c r="D1877" s="192"/>
      <c r="E1877" s="192"/>
      <c r="F1877" s="192"/>
      <c r="G1877" s="192" t="str">
        <f>IFERROR(__xludf.DUMMYFUNCTION("""COMPUTED_VALUE"""),"")</f>
        <v/>
      </c>
      <c r="H1877" s="192"/>
      <c r="I1877" s="192" t="str">
        <f>IFERROR(__xludf.DUMMYFUNCTION("""COMPUTED_VALUE"""),"")</f>
        <v/>
      </c>
      <c r="J1877" s="19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92"/>
      <c r="B1878" s="192"/>
      <c r="C1878" s="192"/>
      <c r="D1878" s="192"/>
      <c r="E1878" s="192"/>
      <c r="F1878" s="192"/>
      <c r="G1878" s="192" t="str">
        <f>IFERROR(__xludf.DUMMYFUNCTION("""COMPUTED_VALUE"""),"")</f>
        <v/>
      </c>
      <c r="H1878" s="192"/>
      <c r="I1878" s="192" t="str">
        <f>IFERROR(__xludf.DUMMYFUNCTION("""COMPUTED_VALUE"""),"")</f>
        <v/>
      </c>
      <c r="J1878" s="19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92"/>
      <c r="B1879" s="192"/>
      <c r="C1879" s="192"/>
      <c r="D1879" s="192"/>
      <c r="E1879" s="192"/>
      <c r="F1879" s="192"/>
      <c r="G1879" s="192" t="str">
        <f>IFERROR(__xludf.DUMMYFUNCTION("""COMPUTED_VALUE"""),"")</f>
        <v/>
      </c>
      <c r="H1879" s="192"/>
      <c r="I1879" s="192" t="str">
        <f>IFERROR(__xludf.DUMMYFUNCTION("""COMPUTED_VALUE"""),"")</f>
        <v/>
      </c>
      <c r="J1879" s="19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92"/>
      <c r="B1880" s="192"/>
      <c r="C1880" s="192"/>
      <c r="D1880" s="192"/>
      <c r="E1880" s="192"/>
      <c r="F1880" s="192"/>
      <c r="G1880" s="192" t="str">
        <f>IFERROR(__xludf.DUMMYFUNCTION("""COMPUTED_VALUE"""),"")</f>
        <v/>
      </c>
      <c r="H1880" s="192"/>
      <c r="I1880" s="192" t="str">
        <f>IFERROR(__xludf.DUMMYFUNCTION("""COMPUTED_VALUE"""),"")</f>
        <v/>
      </c>
      <c r="J1880" s="19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92"/>
      <c r="B1881" s="192"/>
      <c r="C1881" s="192"/>
      <c r="D1881" s="192"/>
      <c r="E1881" s="192"/>
      <c r="F1881" s="192"/>
      <c r="G1881" s="192" t="str">
        <f>IFERROR(__xludf.DUMMYFUNCTION("""COMPUTED_VALUE"""),"")</f>
        <v/>
      </c>
      <c r="H1881" s="192"/>
      <c r="I1881" s="192" t="str">
        <f>IFERROR(__xludf.DUMMYFUNCTION("""COMPUTED_VALUE"""),"")</f>
        <v/>
      </c>
      <c r="J1881" s="19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92"/>
      <c r="B1882" s="192"/>
      <c r="C1882" s="192"/>
      <c r="D1882" s="192"/>
      <c r="E1882" s="192"/>
      <c r="F1882" s="192"/>
      <c r="G1882" s="192" t="str">
        <f>IFERROR(__xludf.DUMMYFUNCTION("""COMPUTED_VALUE"""),"")</f>
        <v/>
      </c>
      <c r="H1882" s="192"/>
      <c r="I1882" s="192" t="str">
        <f>IFERROR(__xludf.DUMMYFUNCTION("""COMPUTED_VALUE"""),"")</f>
        <v/>
      </c>
      <c r="J1882" s="19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92"/>
      <c r="B1883" s="192"/>
      <c r="C1883" s="192"/>
      <c r="D1883" s="192"/>
      <c r="E1883" s="192"/>
      <c r="F1883" s="192"/>
      <c r="G1883" s="192" t="str">
        <f>IFERROR(__xludf.DUMMYFUNCTION("""COMPUTED_VALUE"""),"")</f>
        <v/>
      </c>
      <c r="H1883" s="192"/>
      <c r="I1883" s="192" t="str">
        <f>IFERROR(__xludf.DUMMYFUNCTION("""COMPUTED_VALUE"""),"")</f>
        <v/>
      </c>
      <c r="J1883" s="19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92"/>
      <c r="B1884" s="192"/>
      <c r="C1884" s="192"/>
      <c r="D1884" s="192"/>
      <c r="E1884" s="192"/>
      <c r="F1884" s="192"/>
      <c r="G1884" s="192" t="str">
        <f>IFERROR(__xludf.DUMMYFUNCTION("""COMPUTED_VALUE"""),"")</f>
        <v/>
      </c>
      <c r="H1884" s="192"/>
      <c r="I1884" s="192" t="str">
        <f>IFERROR(__xludf.DUMMYFUNCTION("""COMPUTED_VALUE"""),"")</f>
        <v/>
      </c>
      <c r="J1884" s="19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92"/>
      <c r="B1885" s="192"/>
      <c r="C1885" s="192"/>
      <c r="D1885" s="192"/>
      <c r="E1885" s="192"/>
      <c r="F1885" s="192"/>
      <c r="G1885" s="192" t="str">
        <f>IFERROR(__xludf.DUMMYFUNCTION("""COMPUTED_VALUE"""),"")</f>
        <v/>
      </c>
      <c r="H1885" s="192"/>
      <c r="I1885" s="192" t="str">
        <f>IFERROR(__xludf.DUMMYFUNCTION("""COMPUTED_VALUE"""),"")</f>
        <v/>
      </c>
      <c r="J1885" s="19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92"/>
      <c r="B1886" s="192"/>
      <c r="C1886" s="192"/>
      <c r="D1886" s="192"/>
      <c r="E1886" s="192"/>
      <c r="F1886" s="192"/>
      <c r="G1886" s="192" t="str">
        <f>IFERROR(__xludf.DUMMYFUNCTION("""COMPUTED_VALUE"""),"")</f>
        <v/>
      </c>
      <c r="H1886" s="192"/>
      <c r="I1886" s="192" t="str">
        <f>IFERROR(__xludf.DUMMYFUNCTION("""COMPUTED_VALUE"""),"")</f>
        <v/>
      </c>
      <c r="J1886" s="19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92"/>
      <c r="B1887" s="192"/>
      <c r="C1887" s="192"/>
      <c r="D1887" s="192"/>
      <c r="E1887" s="192"/>
      <c r="F1887" s="192"/>
      <c r="G1887" s="192" t="str">
        <f>IFERROR(__xludf.DUMMYFUNCTION("""COMPUTED_VALUE"""),"")</f>
        <v/>
      </c>
      <c r="H1887" s="192"/>
      <c r="I1887" s="192" t="str">
        <f>IFERROR(__xludf.DUMMYFUNCTION("""COMPUTED_VALUE"""),"")</f>
        <v/>
      </c>
      <c r="J1887" s="19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92"/>
      <c r="B1888" s="192"/>
      <c r="C1888" s="192"/>
      <c r="D1888" s="192"/>
      <c r="E1888" s="192"/>
      <c r="F1888" s="192"/>
      <c r="G1888" s="192" t="str">
        <f>IFERROR(__xludf.DUMMYFUNCTION("""COMPUTED_VALUE"""),"")</f>
        <v/>
      </c>
      <c r="H1888" s="192"/>
      <c r="I1888" s="192" t="str">
        <f>IFERROR(__xludf.DUMMYFUNCTION("""COMPUTED_VALUE"""),"")</f>
        <v/>
      </c>
      <c r="J1888" s="19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92"/>
      <c r="B1889" s="192"/>
      <c r="C1889" s="192"/>
      <c r="D1889" s="192"/>
      <c r="E1889" s="192"/>
      <c r="F1889" s="192"/>
      <c r="G1889" s="192" t="str">
        <f>IFERROR(__xludf.DUMMYFUNCTION("""COMPUTED_VALUE"""),"")</f>
        <v/>
      </c>
      <c r="H1889" s="192"/>
      <c r="I1889" s="192" t="str">
        <f>IFERROR(__xludf.DUMMYFUNCTION("""COMPUTED_VALUE"""),"")</f>
        <v/>
      </c>
      <c r="J1889" s="19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92"/>
      <c r="B1890" s="192"/>
      <c r="C1890" s="192"/>
      <c r="D1890" s="192"/>
      <c r="E1890" s="192"/>
      <c r="F1890" s="192"/>
      <c r="G1890" s="192" t="str">
        <f>IFERROR(__xludf.DUMMYFUNCTION("""COMPUTED_VALUE"""),"")</f>
        <v/>
      </c>
      <c r="H1890" s="192"/>
      <c r="I1890" s="192" t="str">
        <f>IFERROR(__xludf.DUMMYFUNCTION("""COMPUTED_VALUE"""),"")</f>
        <v/>
      </c>
      <c r="J1890" s="19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92"/>
      <c r="B1891" s="192"/>
      <c r="C1891" s="192"/>
      <c r="D1891" s="192"/>
      <c r="E1891" s="192"/>
      <c r="F1891" s="192"/>
      <c r="G1891" s="192" t="str">
        <f>IFERROR(__xludf.DUMMYFUNCTION("""COMPUTED_VALUE"""),"")</f>
        <v/>
      </c>
      <c r="H1891" s="192"/>
      <c r="I1891" s="192" t="str">
        <f>IFERROR(__xludf.DUMMYFUNCTION("""COMPUTED_VALUE"""),"")</f>
        <v/>
      </c>
      <c r="J1891" s="19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92"/>
      <c r="B1892" s="192"/>
      <c r="C1892" s="192"/>
      <c r="D1892" s="192"/>
      <c r="E1892" s="192"/>
      <c r="F1892" s="192"/>
      <c r="G1892" s="192" t="str">
        <f>IFERROR(__xludf.DUMMYFUNCTION("""COMPUTED_VALUE"""),"")</f>
        <v/>
      </c>
      <c r="H1892" s="192"/>
      <c r="I1892" s="192" t="str">
        <f>IFERROR(__xludf.DUMMYFUNCTION("""COMPUTED_VALUE"""),"")</f>
        <v/>
      </c>
      <c r="J1892" s="19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92"/>
      <c r="B1893" s="192"/>
      <c r="C1893" s="192"/>
      <c r="D1893" s="192"/>
      <c r="E1893" s="192"/>
      <c r="F1893" s="192"/>
      <c r="G1893" s="192" t="str">
        <f>IFERROR(__xludf.DUMMYFUNCTION("""COMPUTED_VALUE"""),"")</f>
        <v/>
      </c>
      <c r="H1893" s="192"/>
      <c r="I1893" s="192" t="str">
        <f>IFERROR(__xludf.DUMMYFUNCTION("""COMPUTED_VALUE"""),"")</f>
        <v/>
      </c>
      <c r="J1893" s="19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92"/>
      <c r="B1894" s="192"/>
      <c r="C1894" s="192"/>
      <c r="D1894" s="192"/>
      <c r="E1894" s="192"/>
      <c r="F1894" s="192"/>
      <c r="G1894" s="192" t="str">
        <f>IFERROR(__xludf.DUMMYFUNCTION("""COMPUTED_VALUE"""),"")</f>
        <v/>
      </c>
      <c r="H1894" s="192"/>
      <c r="I1894" s="192" t="str">
        <f>IFERROR(__xludf.DUMMYFUNCTION("""COMPUTED_VALUE"""),"")</f>
        <v/>
      </c>
      <c r="J1894" s="19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92"/>
      <c r="B1895" s="192"/>
      <c r="C1895" s="192"/>
      <c r="D1895" s="192"/>
      <c r="E1895" s="192"/>
      <c r="F1895" s="192"/>
      <c r="G1895" s="192" t="str">
        <f>IFERROR(__xludf.DUMMYFUNCTION("""COMPUTED_VALUE"""),"")</f>
        <v/>
      </c>
      <c r="H1895" s="192"/>
      <c r="I1895" s="192" t="str">
        <f>IFERROR(__xludf.DUMMYFUNCTION("""COMPUTED_VALUE"""),"")</f>
        <v/>
      </c>
      <c r="J1895" s="19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92"/>
      <c r="B1896" s="192"/>
      <c r="C1896" s="192"/>
      <c r="D1896" s="192"/>
      <c r="E1896" s="192"/>
      <c r="F1896" s="192"/>
      <c r="G1896" s="192" t="str">
        <f>IFERROR(__xludf.DUMMYFUNCTION("""COMPUTED_VALUE"""),"")</f>
        <v/>
      </c>
      <c r="H1896" s="192"/>
      <c r="I1896" s="192" t="str">
        <f>IFERROR(__xludf.DUMMYFUNCTION("""COMPUTED_VALUE"""),"")</f>
        <v/>
      </c>
      <c r="J1896" s="19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92"/>
      <c r="B1897" s="192"/>
      <c r="C1897" s="192"/>
      <c r="D1897" s="192"/>
      <c r="E1897" s="192"/>
      <c r="F1897" s="192"/>
      <c r="G1897" s="192" t="str">
        <f>IFERROR(__xludf.DUMMYFUNCTION("""COMPUTED_VALUE"""),"")</f>
        <v/>
      </c>
      <c r="H1897" s="192"/>
      <c r="I1897" s="192" t="str">
        <f>IFERROR(__xludf.DUMMYFUNCTION("""COMPUTED_VALUE"""),"")</f>
        <v/>
      </c>
      <c r="J1897" s="19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92"/>
      <c r="B1898" s="192"/>
      <c r="C1898" s="192"/>
      <c r="D1898" s="192"/>
      <c r="E1898" s="192"/>
      <c r="F1898" s="192"/>
      <c r="G1898" s="192" t="str">
        <f>IFERROR(__xludf.DUMMYFUNCTION("""COMPUTED_VALUE"""),"")</f>
        <v/>
      </c>
      <c r="H1898" s="192"/>
      <c r="I1898" s="192" t="str">
        <f>IFERROR(__xludf.DUMMYFUNCTION("""COMPUTED_VALUE"""),"")</f>
        <v/>
      </c>
      <c r="J1898" s="19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92"/>
      <c r="B1899" s="192"/>
      <c r="C1899" s="192"/>
      <c r="D1899" s="192"/>
      <c r="E1899" s="192"/>
      <c r="F1899" s="192"/>
      <c r="G1899" s="192" t="str">
        <f>IFERROR(__xludf.DUMMYFUNCTION("""COMPUTED_VALUE"""),"")</f>
        <v/>
      </c>
      <c r="H1899" s="192"/>
      <c r="I1899" s="192" t="str">
        <f>IFERROR(__xludf.DUMMYFUNCTION("""COMPUTED_VALUE"""),"")</f>
        <v/>
      </c>
      <c r="J1899" s="19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92"/>
      <c r="B1900" s="192"/>
      <c r="C1900" s="192"/>
      <c r="D1900" s="192"/>
      <c r="E1900" s="192"/>
      <c r="F1900" s="192"/>
      <c r="G1900" s="192" t="str">
        <f>IFERROR(__xludf.DUMMYFUNCTION("""COMPUTED_VALUE"""),"")</f>
        <v/>
      </c>
      <c r="H1900" s="192"/>
      <c r="I1900" s="192" t="str">
        <f>IFERROR(__xludf.DUMMYFUNCTION("""COMPUTED_VALUE"""),"")</f>
        <v/>
      </c>
      <c r="J1900" s="19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92"/>
      <c r="B1901" s="192"/>
      <c r="C1901" s="192"/>
      <c r="D1901" s="192"/>
      <c r="E1901" s="192"/>
      <c r="F1901" s="192"/>
      <c r="G1901" s="192"/>
      <c r="H1901" s="192"/>
      <c r="I1901" s="192"/>
      <c r="J1901" s="19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92"/>
      <c r="B1902" s="192"/>
      <c r="C1902" s="192"/>
      <c r="D1902" s="192"/>
      <c r="E1902" s="192"/>
      <c r="F1902" s="192"/>
      <c r="G1902" s="192"/>
      <c r="H1902" s="192"/>
      <c r="I1902" s="192"/>
      <c r="J1902" s="19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92"/>
      <c r="B1903" s="192"/>
      <c r="C1903" s="192"/>
      <c r="D1903" s="192"/>
      <c r="E1903" s="192"/>
      <c r="F1903" s="192"/>
      <c r="G1903" s="192"/>
      <c r="H1903" s="192"/>
      <c r="I1903" s="192"/>
      <c r="J1903" s="19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92"/>
      <c r="B1904" s="192"/>
      <c r="C1904" s="192"/>
      <c r="D1904" s="192"/>
      <c r="E1904" s="192"/>
      <c r="F1904" s="192"/>
      <c r="G1904" s="192"/>
      <c r="H1904" s="192"/>
      <c r="I1904" s="192"/>
      <c r="J1904" s="19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92"/>
      <c r="B1905" s="192"/>
      <c r="C1905" s="192"/>
      <c r="D1905" s="192"/>
      <c r="E1905" s="192"/>
      <c r="F1905" s="192"/>
      <c r="G1905" s="192"/>
      <c r="H1905" s="192"/>
      <c r="I1905" s="192"/>
      <c r="J1905" s="19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92"/>
      <c r="B1906" s="192"/>
      <c r="C1906" s="192"/>
      <c r="D1906" s="192"/>
      <c r="E1906" s="192"/>
      <c r="F1906" s="192"/>
      <c r="G1906" s="192"/>
      <c r="H1906" s="192"/>
      <c r="I1906" s="192"/>
      <c r="J1906" s="19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92"/>
      <c r="B1907" s="192"/>
      <c r="C1907" s="192"/>
      <c r="D1907" s="192"/>
      <c r="E1907" s="192"/>
      <c r="F1907" s="192"/>
      <c r="G1907" s="192"/>
      <c r="H1907" s="192"/>
      <c r="I1907" s="192"/>
      <c r="J1907" s="19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92"/>
      <c r="B1908" s="192"/>
      <c r="C1908" s="192"/>
      <c r="D1908" s="192"/>
      <c r="E1908" s="192"/>
      <c r="F1908" s="192"/>
      <c r="G1908" s="192"/>
      <c r="H1908" s="192"/>
      <c r="I1908" s="192"/>
      <c r="J1908" s="19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92"/>
      <c r="B1909" s="192"/>
      <c r="C1909" s="192"/>
      <c r="D1909" s="192"/>
      <c r="E1909" s="192"/>
      <c r="F1909" s="192"/>
      <c r="G1909" s="192"/>
      <c r="H1909" s="192"/>
      <c r="I1909" s="192"/>
      <c r="J1909" s="19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92"/>
      <c r="B1910" s="192"/>
      <c r="C1910" s="192"/>
      <c r="D1910" s="192"/>
      <c r="E1910" s="192"/>
      <c r="F1910" s="192"/>
      <c r="G1910" s="192"/>
      <c r="H1910" s="192"/>
      <c r="I1910" s="192"/>
      <c r="J1910" s="19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92"/>
      <c r="B1911" s="192"/>
      <c r="C1911" s="192"/>
      <c r="D1911" s="192"/>
      <c r="E1911" s="192"/>
      <c r="F1911" s="192"/>
      <c r="G1911" s="192"/>
      <c r="H1911" s="192"/>
      <c r="I1911" s="192"/>
      <c r="J1911" s="19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92"/>
      <c r="B1912" s="192"/>
      <c r="C1912" s="192"/>
      <c r="D1912" s="192"/>
      <c r="E1912" s="192"/>
      <c r="F1912" s="192"/>
      <c r="G1912" s="192"/>
      <c r="H1912" s="192"/>
      <c r="I1912" s="192"/>
      <c r="J1912" s="19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92"/>
      <c r="B1913" s="192"/>
      <c r="C1913" s="192"/>
      <c r="D1913" s="192"/>
      <c r="E1913" s="192"/>
      <c r="F1913" s="192"/>
      <c r="G1913" s="192"/>
      <c r="H1913" s="192"/>
      <c r="I1913" s="192"/>
      <c r="J1913" s="19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92"/>
      <c r="B1914" s="192"/>
      <c r="C1914" s="192"/>
      <c r="D1914" s="192"/>
      <c r="E1914" s="192"/>
      <c r="F1914" s="192"/>
      <c r="G1914" s="192"/>
      <c r="H1914" s="192"/>
      <c r="I1914" s="192"/>
      <c r="J1914" s="19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92"/>
      <c r="B1915" s="192"/>
      <c r="C1915" s="192"/>
      <c r="D1915" s="192"/>
      <c r="E1915" s="192"/>
      <c r="F1915" s="192"/>
      <c r="G1915" s="192"/>
      <c r="H1915" s="192"/>
      <c r="I1915" s="192"/>
      <c r="J1915" s="19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92"/>
      <c r="B1916" s="192"/>
      <c r="C1916" s="192"/>
      <c r="D1916" s="192"/>
      <c r="E1916" s="192"/>
      <c r="F1916" s="192"/>
      <c r="G1916" s="192"/>
      <c r="H1916" s="192"/>
      <c r="I1916" s="192"/>
      <c r="J1916" s="19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92"/>
      <c r="B1917" s="192"/>
      <c r="C1917" s="192"/>
      <c r="D1917" s="192"/>
      <c r="E1917" s="192"/>
      <c r="F1917" s="192"/>
      <c r="G1917" s="192"/>
      <c r="H1917" s="192"/>
      <c r="I1917" s="192"/>
      <c r="J1917" s="19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92"/>
      <c r="B1918" s="192"/>
      <c r="C1918" s="192"/>
      <c r="D1918" s="192"/>
      <c r="E1918" s="192"/>
      <c r="F1918" s="192"/>
      <c r="G1918" s="192"/>
      <c r="H1918" s="192"/>
      <c r="I1918" s="192"/>
      <c r="J1918" s="19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92"/>
      <c r="B1919" s="192"/>
      <c r="C1919" s="192"/>
      <c r="D1919" s="192"/>
      <c r="E1919" s="192"/>
      <c r="F1919" s="192"/>
      <c r="G1919" s="192"/>
      <c r="H1919" s="192"/>
      <c r="I1919" s="192"/>
      <c r="J1919" s="19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92"/>
      <c r="B1920" s="192"/>
      <c r="C1920" s="192"/>
      <c r="D1920" s="192"/>
      <c r="E1920" s="192"/>
      <c r="F1920" s="192"/>
      <c r="G1920" s="192"/>
      <c r="H1920" s="192"/>
      <c r="I1920" s="192"/>
      <c r="J1920" s="19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92"/>
      <c r="B1921" s="192"/>
      <c r="C1921" s="192"/>
      <c r="D1921" s="192"/>
      <c r="E1921" s="192"/>
      <c r="F1921" s="192"/>
      <c r="G1921" s="192"/>
      <c r="H1921" s="192"/>
      <c r="I1921" s="192"/>
      <c r="J1921" s="19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92"/>
      <c r="B1922" s="192"/>
      <c r="C1922" s="192"/>
      <c r="D1922" s="192"/>
      <c r="E1922" s="192"/>
      <c r="F1922" s="192"/>
      <c r="G1922" s="192"/>
      <c r="H1922" s="192"/>
      <c r="I1922" s="192"/>
      <c r="J1922" s="19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92"/>
      <c r="B1923" s="192"/>
      <c r="C1923" s="192"/>
      <c r="D1923" s="192"/>
      <c r="E1923" s="192"/>
      <c r="F1923" s="192"/>
      <c r="G1923" s="192"/>
      <c r="H1923" s="192"/>
      <c r="I1923" s="192"/>
      <c r="J1923" s="19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92"/>
      <c r="B1924" s="192"/>
      <c r="C1924" s="192"/>
      <c r="D1924" s="192"/>
      <c r="E1924" s="192"/>
      <c r="F1924" s="192"/>
      <c r="G1924" s="192"/>
      <c r="H1924" s="192"/>
      <c r="I1924" s="192"/>
      <c r="J1924" s="19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92"/>
      <c r="B1925" s="192"/>
      <c r="C1925" s="192"/>
      <c r="D1925" s="192"/>
      <c r="E1925" s="192"/>
      <c r="F1925" s="192"/>
      <c r="G1925" s="192"/>
      <c r="H1925" s="192"/>
      <c r="I1925" s="192"/>
      <c r="J1925" s="19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92"/>
      <c r="B1926" s="192"/>
      <c r="C1926" s="192"/>
      <c r="D1926" s="192"/>
      <c r="E1926" s="192"/>
      <c r="F1926" s="192"/>
      <c r="G1926" s="192"/>
      <c r="H1926" s="192"/>
      <c r="I1926" s="192"/>
      <c r="J1926" s="19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92"/>
      <c r="B1927" s="192"/>
      <c r="C1927" s="192"/>
      <c r="D1927" s="192"/>
      <c r="E1927" s="192"/>
      <c r="F1927" s="192"/>
      <c r="G1927" s="192"/>
      <c r="H1927" s="192"/>
      <c r="I1927" s="192"/>
      <c r="J1927" s="19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92"/>
      <c r="B1928" s="192"/>
      <c r="C1928" s="192"/>
      <c r="D1928" s="192"/>
      <c r="E1928" s="192"/>
      <c r="F1928" s="192"/>
      <c r="G1928" s="192"/>
      <c r="H1928" s="192"/>
      <c r="I1928" s="192"/>
      <c r="J1928" s="19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92"/>
      <c r="B1929" s="192"/>
      <c r="C1929" s="192"/>
      <c r="D1929" s="192"/>
      <c r="E1929" s="192"/>
      <c r="F1929" s="192"/>
      <c r="G1929" s="192"/>
      <c r="H1929" s="192"/>
      <c r="I1929" s="192"/>
      <c r="J1929" s="19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92"/>
      <c r="B1930" s="192"/>
      <c r="C1930" s="192"/>
      <c r="D1930" s="192"/>
      <c r="E1930" s="192"/>
      <c r="F1930" s="192"/>
      <c r="G1930" s="192"/>
      <c r="H1930" s="192"/>
      <c r="I1930" s="192"/>
      <c r="J1930" s="19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92"/>
      <c r="B1931" s="192"/>
      <c r="C1931" s="192"/>
      <c r="D1931" s="192"/>
      <c r="E1931" s="192"/>
      <c r="F1931" s="192"/>
      <c r="G1931" s="192"/>
      <c r="H1931" s="192"/>
      <c r="I1931" s="192"/>
      <c r="J1931" s="19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92"/>
      <c r="B1932" s="192"/>
      <c r="C1932" s="192"/>
      <c r="D1932" s="192"/>
      <c r="E1932" s="192"/>
      <c r="F1932" s="192"/>
      <c r="G1932" s="192"/>
      <c r="H1932" s="192"/>
      <c r="I1932" s="192"/>
      <c r="J1932" s="19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92"/>
      <c r="B1933" s="192"/>
      <c r="C1933" s="192"/>
      <c r="D1933" s="192"/>
      <c r="E1933" s="192"/>
      <c r="F1933" s="192"/>
      <c r="G1933" s="192"/>
      <c r="H1933" s="192"/>
      <c r="I1933" s="192"/>
      <c r="J1933" s="19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92"/>
      <c r="B1934" s="192"/>
      <c r="C1934" s="192"/>
      <c r="D1934" s="192"/>
      <c r="E1934" s="192"/>
      <c r="F1934" s="192"/>
      <c r="G1934" s="192"/>
      <c r="H1934" s="192"/>
      <c r="I1934" s="192"/>
      <c r="J1934" s="19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92"/>
      <c r="B1935" s="192"/>
      <c r="C1935" s="192"/>
      <c r="D1935" s="192"/>
      <c r="E1935" s="192"/>
      <c r="F1935" s="192"/>
      <c r="G1935" s="192"/>
      <c r="H1935" s="192"/>
      <c r="I1935" s="192"/>
      <c r="J1935" s="19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92"/>
      <c r="B1936" s="192"/>
      <c r="C1936" s="192"/>
      <c r="D1936" s="192"/>
      <c r="E1936" s="192"/>
      <c r="F1936" s="192"/>
      <c r="G1936" s="192"/>
      <c r="H1936" s="192"/>
      <c r="I1936" s="192"/>
      <c r="J1936" s="19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92"/>
      <c r="B1937" s="192"/>
      <c r="C1937" s="192"/>
      <c r="D1937" s="192"/>
      <c r="E1937" s="192"/>
      <c r="F1937" s="192"/>
      <c r="G1937" s="192"/>
      <c r="H1937" s="192"/>
      <c r="I1937" s="192"/>
      <c r="J1937" s="19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92"/>
      <c r="B1938" s="192"/>
      <c r="C1938" s="192"/>
      <c r="D1938" s="192"/>
      <c r="E1938" s="192"/>
      <c r="F1938" s="192"/>
      <c r="G1938" s="192"/>
      <c r="H1938" s="192"/>
      <c r="I1938" s="192"/>
      <c r="J1938" s="19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92"/>
      <c r="B1939" s="192"/>
      <c r="C1939" s="192"/>
      <c r="D1939" s="192"/>
      <c r="E1939" s="192"/>
      <c r="F1939" s="192"/>
      <c r="G1939" s="192"/>
      <c r="H1939" s="192"/>
      <c r="I1939" s="192"/>
      <c r="J1939" s="19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92"/>
      <c r="B1940" s="192"/>
      <c r="C1940" s="192"/>
      <c r="D1940" s="192"/>
      <c r="E1940" s="192"/>
      <c r="F1940" s="192"/>
      <c r="G1940" s="192"/>
      <c r="H1940" s="192"/>
      <c r="I1940" s="192"/>
      <c r="J1940" s="19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92"/>
      <c r="B1941" s="192"/>
      <c r="C1941" s="192"/>
      <c r="D1941" s="192"/>
      <c r="E1941" s="192"/>
      <c r="F1941" s="192"/>
      <c r="G1941" s="192"/>
      <c r="H1941" s="192"/>
      <c r="I1941" s="192"/>
      <c r="J1941" s="19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92"/>
      <c r="B1942" s="192"/>
      <c r="C1942" s="192"/>
      <c r="D1942" s="192"/>
      <c r="E1942" s="192"/>
      <c r="F1942" s="192"/>
      <c r="G1942" s="192"/>
      <c r="H1942" s="192"/>
      <c r="I1942" s="192"/>
      <c r="J1942" s="19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92"/>
      <c r="B1943" s="192"/>
      <c r="C1943" s="192"/>
      <c r="D1943" s="192"/>
      <c r="E1943" s="192"/>
      <c r="F1943" s="192"/>
      <c r="G1943" s="192"/>
      <c r="H1943" s="192"/>
      <c r="I1943" s="192"/>
      <c r="J1943" s="19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92"/>
      <c r="B1944" s="192"/>
      <c r="C1944" s="192"/>
      <c r="D1944" s="192"/>
      <c r="E1944" s="192"/>
      <c r="F1944" s="192"/>
      <c r="G1944" s="192"/>
      <c r="H1944" s="192"/>
      <c r="I1944" s="192"/>
      <c r="J1944" s="19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92"/>
      <c r="B1945" s="192"/>
      <c r="C1945" s="192"/>
      <c r="D1945" s="192"/>
      <c r="E1945" s="192"/>
      <c r="F1945" s="192"/>
      <c r="G1945" s="192"/>
      <c r="H1945" s="192"/>
      <c r="I1945" s="192"/>
      <c r="J1945" s="19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92"/>
      <c r="B1946" s="192"/>
      <c r="C1946" s="192"/>
      <c r="D1946" s="192"/>
      <c r="E1946" s="192"/>
      <c r="F1946" s="192"/>
      <c r="G1946" s="192"/>
      <c r="H1946" s="192"/>
      <c r="I1946" s="192"/>
      <c r="J1946" s="19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92"/>
      <c r="B1947" s="192"/>
      <c r="C1947" s="192"/>
      <c r="D1947" s="192"/>
      <c r="E1947" s="192"/>
      <c r="F1947" s="192"/>
      <c r="G1947" s="192"/>
      <c r="H1947" s="192"/>
      <c r="I1947" s="192"/>
      <c r="J1947" s="19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92"/>
      <c r="B1948" s="192"/>
      <c r="C1948" s="192"/>
      <c r="D1948" s="192"/>
      <c r="E1948" s="192"/>
      <c r="F1948" s="192"/>
      <c r="G1948" s="192"/>
      <c r="H1948" s="192"/>
      <c r="I1948" s="192"/>
      <c r="J1948" s="19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92"/>
      <c r="B1949" s="192"/>
      <c r="C1949" s="192"/>
      <c r="D1949" s="192"/>
      <c r="E1949" s="192"/>
      <c r="F1949" s="192"/>
      <c r="G1949" s="192"/>
      <c r="H1949" s="192"/>
      <c r="I1949" s="192"/>
      <c r="J1949" s="19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92"/>
      <c r="B1950" s="192"/>
      <c r="C1950" s="192"/>
      <c r="D1950" s="192"/>
      <c r="E1950" s="192"/>
      <c r="F1950" s="192"/>
      <c r="G1950" s="192"/>
      <c r="H1950" s="192"/>
      <c r="I1950" s="192"/>
      <c r="J1950" s="19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92"/>
      <c r="B1951" s="192"/>
      <c r="C1951" s="192"/>
      <c r="D1951" s="192"/>
      <c r="E1951" s="192"/>
      <c r="F1951" s="192"/>
      <c r="G1951" s="192"/>
      <c r="H1951" s="192"/>
      <c r="I1951" s="192"/>
      <c r="J1951" s="19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92"/>
      <c r="B1952" s="192"/>
      <c r="C1952" s="192"/>
      <c r="D1952" s="192"/>
      <c r="E1952" s="192"/>
      <c r="F1952" s="192"/>
      <c r="G1952" s="192"/>
      <c r="H1952" s="192"/>
      <c r="I1952" s="192"/>
      <c r="J1952" s="19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92"/>
      <c r="B1953" s="192"/>
      <c r="C1953" s="192"/>
      <c r="D1953" s="192"/>
      <c r="E1953" s="192"/>
      <c r="F1953" s="192"/>
      <c r="G1953" s="192"/>
      <c r="H1953" s="192"/>
      <c r="I1953" s="192"/>
      <c r="J1953" s="19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92"/>
      <c r="B1954" s="192"/>
      <c r="C1954" s="192"/>
      <c r="D1954" s="192"/>
      <c r="E1954" s="192"/>
      <c r="F1954" s="192"/>
      <c r="G1954" s="192"/>
      <c r="H1954" s="192"/>
      <c r="I1954" s="192"/>
      <c r="J1954" s="19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92"/>
      <c r="B1955" s="192"/>
      <c r="C1955" s="192"/>
      <c r="D1955" s="192"/>
      <c r="E1955" s="192"/>
      <c r="F1955" s="192"/>
      <c r="G1955" s="192"/>
      <c r="H1955" s="192"/>
      <c r="I1955" s="192"/>
      <c r="J1955" s="19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92"/>
      <c r="B1956" s="192"/>
      <c r="C1956" s="192"/>
      <c r="D1956" s="192"/>
      <c r="E1956" s="192"/>
      <c r="F1956" s="192"/>
      <c r="G1956" s="192"/>
      <c r="H1956" s="192"/>
      <c r="I1956" s="192"/>
      <c r="J1956" s="19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92"/>
      <c r="B1957" s="192"/>
      <c r="C1957" s="192"/>
      <c r="D1957" s="192"/>
      <c r="E1957" s="192"/>
      <c r="F1957" s="192"/>
      <c r="G1957" s="192"/>
      <c r="H1957" s="192"/>
      <c r="I1957" s="192"/>
      <c r="J1957" s="19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92"/>
      <c r="B1958" s="192"/>
      <c r="C1958" s="192"/>
      <c r="D1958" s="192"/>
      <c r="E1958" s="192"/>
      <c r="F1958" s="192"/>
      <c r="G1958" s="192"/>
      <c r="H1958" s="192"/>
      <c r="I1958" s="192"/>
      <c r="J1958" s="19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92"/>
      <c r="B1959" s="192"/>
      <c r="C1959" s="192"/>
      <c r="D1959" s="192"/>
      <c r="E1959" s="192"/>
      <c r="F1959" s="192"/>
      <c r="G1959" s="192"/>
      <c r="H1959" s="192"/>
      <c r="I1959" s="192"/>
      <c r="J1959" s="19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92"/>
      <c r="B1960" s="192"/>
      <c r="C1960" s="192"/>
      <c r="D1960" s="192"/>
      <c r="E1960" s="192"/>
      <c r="F1960" s="192"/>
      <c r="G1960" s="192"/>
      <c r="H1960" s="192"/>
      <c r="I1960" s="192"/>
      <c r="J1960" s="19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92"/>
      <c r="B1961" s="192"/>
      <c r="C1961" s="192"/>
      <c r="D1961" s="192"/>
      <c r="E1961" s="192"/>
      <c r="F1961" s="192"/>
      <c r="G1961" s="192"/>
      <c r="H1961" s="192"/>
      <c r="I1961" s="192"/>
      <c r="J1961" s="19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92"/>
      <c r="B1962" s="192"/>
      <c r="C1962" s="192"/>
      <c r="D1962" s="192"/>
      <c r="E1962" s="192"/>
      <c r="F1962" s="192"/>
      <c r="G1962" s="192"/>
      <c r="H1962" s="192"/>
      <c r="I1962" s="192"/>
      <c r="J1962" s="19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92"/>
      <c r="B1963" s="192"/>
      <c r="C1963" s="192"/>
      <c r="D1963" s="192"/>
      <c r="E1963" s="192"/>
      <c r="F1963" s="192"/>
      <c r="G1963" s="192"/>
      <c r="H1963" s="192"/>
      <c r="I1963" s="192"/>
      <c r="J1963" s="19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92"/>
      <c r="B1964" s="192"/>
      <c r="C1964" s="192"/>
      <c r="D1964" s="192"/>
      <c r="E1964" s="192"/>
      <c r="F1964" s="192"/>
      <c r="G1964" s="192"/>
      <c r="H1964" s="192"/>
      <c r="I1964" s="192"/>
      <c r="J1964" s="19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92"/>
      <c r="B1965" s="192"/>
      <c r="C1965" s="192"/>
      <c r="D1965" s="192"/>
      <c r="E1965" s="192"/>
      <c r="F1965" s="192"/>
      <c r="G1965" s="192"/>
      <c r="H1965" s="192"/>
      <c r="I1965" s="192"/>
      <c r="J1965" s="19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92"/>
      <c r="B1966" s="192"/>
      <c r="C1966" s="192"/>
      <c r="D1966" s="192"/>
      <c r="E1966" s="192"/>
      <c r="F1966" s="192"/>
      <c r="G1966" s="192"/>
      <c r="H1966" s="192"/>
      <c r="I1966" s="192"/>
      <c r="J1966" s="19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92"/>
      <c r="B1967" s="192"/>
      <c r="C1967" s="192"/>
      <c r="D1967" s="192"/>
      <c r="E1967" s="192"/>
      <c r="F1967" s="192"/>
      <c r="G1967" s="192"/>
      <c r="H1967" s="192"/>
      <c r="I1967" s="192"/>
      <c r="J1967" s="19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92"/>
      <c r="B1968" s="192"/>
      <c r="C1968" s="192"/>
      <c r="D1968" s="192"/>
      <c r="E1968" s="192"/>
      <c r="F1968" s="192"/>
      <c r="G1968" s="192"/>
      <c r="H1968" s="192"/>
      <c r="I1968" s="192"/>
      <c r="J1968" s="19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92"/>
      <c r="B1969" s="192"/>
      <c r="C1969" s="192"/>
      <c r="D1969" s="192"/>
      <c r="E1969" s="192"/>
      <c r="F1969" s="192"/>
      <c r="G1969" s="192"/>
      <c r="H1969" s="192"/>
      <c r="I1969" s="192"/>
      <c r="J1969" s="19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92"/>
      <c r="B1970" s="192"/>
      <c r="C1970" s="192"/>
      <c r="D1970" s="192"/>
      <c r="E1970" s="192"/>
      <c r="F1970" s="192"/>
      <c r="G1970" s="192"/>
      <c r="H1970" s="192"/>
      <c r="I1970" s="192"/>
      <c r="J1970" s="19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92"/>
      <c r="B1971" s="192"/>
      <c r="C1971" s="192"/>
      <c r="D1971" s="192"/>
      <c r="E1971" s="192"/>
      <c r="F1971" s="192"/>
      <c r="G1971" s="192"/>
      <c r="H1971" s="192"/>
      <c r="I1971" s="192"/>
      <c r="J1971" s="19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92"/>
      <c r="B1972" s="192"/>
      <c r="C1972" s="192"/>
      <c r="D1972" s="192"/>
      <c r="E1972" s="192"/>
      <c r="F1972" s="192"/>
      <c r="G1972" s="192"/>
      <c r="H1972" s="192"/>
      <c r="I1972" s="192"/>
      <c r="J1972" s="19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92"/>
      <c r="B1973" s="192"/>
      <c r="C1973" s="192"/>
      <c r="D1973" s="192"/>
      <c r="E1973" s="192"/>
      <c r="F1973" s="192"/>
      <c r="G1973" s="192"/>
      <c r="H1973" s="192"/>
      <c r="I1973" s="192"/>
      <c r="J1973" s="19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92"/>
      <c r="B1974" s="192"/>
      <c r="C1974" s="192"/>
      <c r="D1974" s="192"/>
      <c r="E1974" s="192"/>
      <c r="F1974" s="192"/>
      <c r="G1974" s="192"/>
      <c r="H1974" s="192"/>
      <c r="I1974" s="192"/>
      <c r="J1974" s="19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92"/>
      <c r="B1975" s="192"/>
      <c r="C1975" s="192"/>
      <c r="D1975" s="192"/>
      <c r="E1975" s="192"/>
      <c r="F1975" s="192"/>
      <c r="G1975" s="192"/>
      <c r="H1975" s="192"/>
      <c r="I1975" s="192"/>
      <c r="J1975" s="19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92"/>
      <c r="B1976" s="192"/>
      <c r="C1976" s="192"/>
      <c r="D1976" s="192"/>
      <c r="E1976" s="192"/>
      <c r="F1976" s="192"/>
      <c r="G1976" s="192"/>
      <c r="H1976" s="192"/>
      <c r="I1976" s="192"/>
      <c r="J1976" s="19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92"/>
      <c r="B1977" s="192"/>
      <c r="C1977" s="192"/>
      <c r="D1977" s="192"/>
      <c r="E1977" s="192"/>
      <c r="F1977" s="192"/>
      <c r="G1977" s="192"/>
      <c r="H1977" s="192"/>
      <c r="I1977" s="192"/>
      <c r="J1977" s="19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92"/>
      <c r="B1978" s="192"/>
      <c r="C1978" s="192"/>
      <c r="D1978" s="192"/>
      <c r="E1978" s="192"/>
      <c r="F1978" s="192"/>
      <c r="G1978" s="192"/>
      <c r="H1978" s="192"/>
      <c r="I1978" s="192"/>
      <c r="J1978" s="19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92"/>
      <c r="B1979" s="192"/>
      <c r="C1979" s="192"/>
      <c r="D1979" s="192"/>
      <c r="E1979" s="192"/>
      <c r="F1979" s="192"/>
      <c r="G1979" s="192"/>
      <c r="H1979" s="192"/>
      <c r="I1979" s="192"/>
      <c r="J1979" s="19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92"/>
      <c r="B1980" s="192"/>
      <c r="C1980" s="192"/>
      <c r="D1980" s="192"/>
      <c r="E1980" s="192"/>
      <c r="F1980" s="192"/>
      <c r="G1980" s="192"/>
      <c r="H1980" s="192"/>
      <c r="I1980" s="192"/>
      <c r="J1980" s="19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92"/>
      <c r="B1981" s="192"/>
      <c r="C1981" s="192"/>
      <c r="D1981" s="192"/>
      <c r="E1981" s="192"/>
      <c r="F1981" s="192"/>
      <c r="G1981" s="192"/>
      <c r="H1981" s="192"/>
      <c r="I1981" s="192"/>
      <c r="J1981" s="19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92"/>
      <c r="B1982" s="192"/>
      <c r="C1982" s="192"/>
      <c r="D1982" s="192"/>
      <c r="E1982" s="192"/>
      <c r="F1982" s="192"/>
      <c r="G1982" s="192"/>
      <c r="H1982" s="192"/>
      <c r="I1982" s="192"/>
      <c r="J1982" s="19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92"/>
      <c r="B1983" s="192"/>
      <c r="C1983" s="192"/>
      <c r="D1983" s="192"/>
      <c r="E1983" s="192"/>
      <c r="F1983" s="192"/>
      <c r="G1983" s="192"/>
      <c r="H1983" s="192"/>
      <c r="I1983" s="192"/>
      <c r="J1983" s="19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92"/>
      <c r="B1984" s="192"/>
      <c r="C1984" s="192"/>
      <c r="D1984" s="192"/>
      <c r="E1984" s="192"/>
      <c r="F1984" s="192"/>
      <c r="G1984" s="192"/>
      <c r="H1984" s="192"/>
      <c r="I1984" s="192"/>
      <c r="J1984" s="19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92"/>
      <c r="B1985" s="192"/>
      <c r="C1985" s="192"/>
      <c r="D1985" s="192"/>
      <c r="E1985" s="192"/>
      <c r="F1985" s="192"/>
      <c r="G1985" s="192"/>
      <c r="H1985" s="192"/>
      <c r="I1985" s="192"/>
      <c r="J1985" s="19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92"/>
      <c r="B1986" s="192"/>
      <c r="C1986" s="192"/>
      <c r="D1986" s="192"/>
      <c r="E1986" s="192"/>
      <c r="F1986" s="192"/>
      <c r="G1986" s="192"/>
      <c r="H1986" s="192"/>
      <c r="I1986" s="192"/>
      <c r="J1986" s="19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92"/>
      <c r="B1987" s="192"/>
      <c r="C1987" s="192"/>
      <c r="D1987" s="192"/>
      <c r="E1987" s="192"/>
      <c r="F1987" s="192"/>
      <c r="G1987" s="192"/>
      <c r="H1987" s="192"/>
      <c r="I1987" s="192"/>
      <c r="J1987" s="19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92"/>
      <c r="B1988" s="192"/>
      <c r="C1988" s="192"/>
      <c r="D1988" s="192"/>
      <c r="E1988" s="192"/>
      <c r="F1988" s="192"/>
      <c r="G1988" s="192"/>
      <c r="H1988" s="192"/>
      <c r="I1988" s="192"/>
      <c r="J1988" s="19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92"/>
      <c r="B1989" s="192"/>
      <c r="C1989" s="192"/>
      <c r="D1989" s="192"/>
      <c r="E1989" s="192"/>
      <c r="F1989" s="192"/>
      <c r="G1989" s="192"/>
      <c r="H1989" s="192"/>
      <c r="I1989" s="192"/>
      <c r="J1989" s="19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92"/>
      <c r="B1990" s="192"/>
      <c r="C1990" s="192"/>
      <c r="D1990" s="192"/>
      <c r="E1990" s="192"/>
      <c r="F1990" s="192"/>
      <c r="G1990" s="192"/>
      <c r="H1990" s="192"/>
      <c r="I1990" s="192"/>
      <c r="J1990" s="19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92"/>
      <c r="B1991" s="192"/>
      <c r="C1991" s="192"/>
      <c r="D1991" s="192"/>
      <c r="E1991" s="192"/>
      <c r="F1991" s="192"/>
      <c r="G1991" s="192"/>
      <c r="H1991" s="192"/>
      <c r="I1991" s="192"/>
      <c r="J1991" s="19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92"/>
      <c r="B1992" s="192"/>
      <c r="C1992" s="192"/>
      <c r="D1992" s="192"/>
      <c r="E1992" s="192"/>
      <c r="F1992" s="192"/>
      <c r="G1992" s="192"/>
      <c r="H1992" s="192"/>
      <c r="I1992" s="192"/>
      <c r="J1992" s="19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92"/>
      <c r="B1993" s="192"/>
      <c r="C1993" s="192"/>
      <c r="D1993" s="192"/>
      <c r="E1993" s="192"/>
      <c r="F1993" s="192"/>
      <c r="G1993" s="192"/>
      <c r="H1993" s="192"/>
      <c r="I1993" s="192"/>
      <c r="J1993" s="19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92"/>
      <c r="B1994" s="192"/>
      <c r="C1994" s="192"/>
      <c r="D1994" s="192"/>
      <c r="E1994" s="192"/>
      <c r="F1994" s="192"/>
      <c r="G1994" s="192"/>
      <c r="H1994" s="192"/>
      <c r="I1994" s="192"/>
      <c r="J1994" s="19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92"/>
      <c r="B1995" s="192"/>
      <c r="C1995" s="192"/>
      <c r="D1995" s="192"/>
      <c r="E1995" s="192"/>
      <c r="F1995" s="192"/>
      <c r="G1995" s="192"/>
      <c r="H1995" s="192"/>
      <c r="I1995" s="192"/>
      <c r="J1995" s="19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92"/>
      <c r="B1996" s="192"/>
      <c r="C1996" s="192"/>
      <c r="D1996" s="192"/>
      <c r="E1996" s="192"/>
      <c r="F1996" s="192"/>
      <c r="G1996" s="192"/>
      <c r="H1996" s="192"/>
      <c r="I1996" s="192"/>
      <c r="J1996" s="19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92"/>
      <c r="B1997" s="192"/>
      <c r="C1997" s="192"/>
      <c r="D1997" s="192"/>
      <c r="E1997" s="192"/>
      <c r="F1997" s="192"/>
      <c r="G1997" s="192"/>
      <c r="H1997" s="192"/>
      <c r="I1997" s="192"/>
      <c r="J1997" s="19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92"/>
      <c r="B1998" s="192"/>
      <c r="C1998" s="192"/>
      <c r="D1998" s="192"/>
      <c r="E1998" s="192"/>
      <c r="F1998" s="192"/>
      <c r="G1998" s="192"/>
      <c r="H1998" s="192"/>
      <c r="I1998" s="192"/>
      <c r="J1998" s="19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92"/>
      <c r="B1999" s="192"/>
      <c r="C1999" s="192"/>
      <c r="D1999" s="192"/>
      <c r="E1999" s="192"/>
      <c r="F1999" s="192"/>
      <c r="G1999" s="192"/>
      <c r="H1999" s="192"/>
      <c r="I1999" s="192"/>
      <c r="J1999" s="192"/>
      <c r="K1999" s="19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92"/>
      <c r="B2000" s="192"/>
      <c r="C2000" s="192"/>
      <c r="D2000" s="192"/>
      <c r="E2000" s="192"/>
      <c r="F2000" s="192"/>
      <c r="G2000" s="192"/>
      <c r="H2000" s="192"/>
      <c r="I2000" s="192"/>
      <c r="J2000" s="192"/>
      <c r="K2000" s="19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92"/>
      <c r="B2001" s="192"/>
      <c r="C2001" s="192"/>
      <c r="D2001" s="192"/>
      <c r="E2001" s="192"/>
      <c r="F2001" s="192"/>
      <c r="G2001" s="192"/>
      <c r="H2001" s="192"/>
      <c r="I2001" s="192"/>
      <c r="J2001" s="192"/>
      <c r="K2001" s="19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92"/>
      <c r="B2002" s="192"/>
      <c r="C2002" s="192"/>
      <c r="D2002" s="192"/>
      <c r="E2002" s="192"/>
      <c r="F2002" s="192"/>
      <c r="G2002" s="192"/>
      <c r="H2002" s="192"/>
      <c r="I2002" s="192"/>
      <c r="J2002" s="192"/>
      <c r="K2002" s="19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92"/>
      <c r="B2003" s="192"/>
      <c r="C2003" s="192"/>
      <c r="D2003" s="192"/>
      <c r="E2003" s="192"/>
      <c r="F2003" s="192"/>
      <c r="G2003" s="192"/>
      <c r="H2003" s="192"/>
      <c r="I2003" s="192"/>
      <c r="J2003" s="192"/>
      <c r="K2003" s="19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92"/>
      <c r="B2004" s="192"/>
      <c r="C2004" s="192"/>
      <c r="D2004" s="192"/>
      <c r="E2004" s="192"/>
      <c r="F2004" s="192"/>
      <c r="G2004" s="192"/>
      <c r="H2004" s="192"/>
      <c r="I2004" s="192"/>
      <c r="J2004" s="192"/>
      <c r="K2004" s="19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92"/>
      <c r="B2005" s="192"/>
      <c r="C2005" s="192"/>
      <c r="D2005" s="192"/>
      <c r="E2005" s="192"/>
      <c r="F2005" s="192"/>
      <c r="G2005" s="192"/>
      <c r="H2005" s="192"/>
      <c r="I2005" s="192"/>
      <c r="J2005" s="192"/>
      <c r="K2005" s="19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92"/>
      <c r="B2006" s="192"/>
      <c r="C2006" s="192"/>
      <c r="D2006" s="192"/>
      <c r="E2006" s="192"/>
      <c r="F2006" s="192"/>
      <c r="G2006" s="192"/>
      <c r="H2006" s="192"/>
      <c r="I2006" s="192"/>
      <c r="J2006" s="192"/>
      <c r="K2006" s="19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92"/>
      <c r="B2007" s="192"/>
      <c r="C2007" s="192"/>
      <c r="D2007" s="192"/>
      <c r="E2007" s="192"/>
      <c r="F2007" s="192"/>
      <c r="G2007" s="192"/>
      <c r="H2007" s="192"/>
      <c r="I2007" s="192"/>
      <c r="J2007" s="192"/>
      <c r="K2007" s="19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92"/>
      <c r="B2008" s="192"/>
      <c r="C2008" s="192"/>
      <c r="D2008" s="192"/>
      <c r="E2008" s="192"/>
      <c r="F2008" s="192"/>
      <c r="G2008" s="192"/>
      <c r="H2008" s="192"/>
      <c r="I2008" s="192"/>
      <c r="J2008" s="192"/>
      <c r="K2008" s="19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92"/>
      <c r="B2009" s="192"/>
      <c r="C2009" s="192"/>
      <c r="D2009" s="192"/>
      <c r="E2009" s="192"/>
      <c r="F2009" s="192"/>
      <c r="G2009" s="192"/>
      <c r="H2009" s="192"/>
      <c r="I2009" s="192"/>
      <c r="J2009" s="192"/>
      <c r="K2009" s="19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92"/>
      <c r="B2010" s="192"/>
      <c r="C2010" s="192"/>
      <c r="D2010" s="192"/>
      <c r="E2010" s="192"/>
      <c r="F2010" s="192"/>
      <c r="G2010" s="192"/>
      <c r="H2010" s="192"/>
      <c r="I2010" s="192"/>
      <c r="J2010" s="192"/>
      <c r="K2010" s="19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92"/>
      <c r="B2011" s="192"/>
      <c r="C2011" s="192"/>
      <c r="D2011" s="192"/>
      <c r="E2011" s="192"/>
      <c r="F2011" s="192"/>
      <c r="G2011" s="192"/>
      <c r="H2011" s="192"/>
      <c r="I2011" s="192"/>
      <c r="J2011" s="192"/>
      <c r="K2011" s="19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92"/>
      <c r="B2012" s="192"/>
      <c r="C2012" s="192"/>
      <c r="D2012" s="192"/>
      <c r="E2012" s="192"/>
      <c r="F2012" s="192"/>
      <c r="G2012" s="192"/>
      <c r="H2012" s="192"/>
      <c r="I2012" s="192"/>
      <c r="J2012" s="192"/>
      <c r="K2012" s="19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92"/>
      <c r="B2013" s="192"/>
      <c r="C2013" s="192"/>
      <c r="D2013" s="192"/>
      <c r="E2013" s="192"/>
      <c r="F2013" s="192"/>
      <c r="G2013" s="192"/>
      <c r="H2013" s="192"/>
      <c r="I2013" s="192"/>
      <c r="J2013" s="192"/>
      <c r="K2013" s="19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92"/>
      <c r="B2014" s="192"/>
      <c r="C2014" s="192"/>
      <c r="D2014" s="192"/>
      <c r="E2014" s="192"/>
      <c r="F2014" s="192"/>
      <c r="G2014" s="192"/>
      <c r="H2014" s="192"/>
      <c r="I2014" s="192"/>
      <c r="J2014" s="192"/>
      <c r="K2014" s="19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92"/>
      <c r="B2015" s="192"/>
      <c r="C2015" s="192"/>
      <c r="D2015" s="192"/>
      <c r="E2015" s="192"/>
      <c r="F2015" s="192"/>
      <c r="G2015" s="192"/>
      <c r="H2015" s="192"/>
      <c r="I2015" s="192"/>
      <c r="J2015" s="192"/>
      <c r="K2015" s="19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92"/>
      <c r="B2016" s="192"/>
      <c r="C2016" s="192"/>
      <c r="D2016" s="192"/>
      <c r="E2016" s="192"/>
      <c r="F2016" s="192"/>
      <c r="G2016" s="192"/>
      <c r="H2016" s="192"/>
      <c r="I2016" s="192"/>
      <c r="J2016" s="192"/>
      <c r="K2016" s="19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92"/>
      <c r="B2017" s="192"/>
      <c r="C2017" s="192"/>
      <c r="D2017" s="192"/>
      <c r="E2017" s="192"/>
      <c r="F2017" s="192"/>
      <c r="G2017" s="192"/>
      <c r="H2017" s="192"/>
      <c r="I2017" s="192"/>
      <c r="J2017" s="192"/>
      <c r="K2017" s="19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92"/>
      <c r="B2018" s="192"/>
      <c r="C2018" s="192"/>
      <c r="D2018" s="192"/>
      <c r="E2018" s="192"/>
      <c r="F2018" s="192"/>
      <c r="G2018" s="192"/>
      <c r="H2018" s="192"/>
      <c r="I2018" s="192"/>
      <c r="J2018" s="192"/>
      <c r="K2018" s="19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92"/>
      <c r="B2019" s="192"/>
      <c r="C2019" s="192"/>
      <c r="D2019" s="192"/>
      <c r="E2019" s="192"/>
      <c r="F2019" s="192"/>
      <c r="G2019" s="192"/>
      <c r="H2019" s="192"/>
      <c r="I2019" s="192"/>
      <c r="J2019" s="192"/>
      <c r="K2019" s="19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92"/>
      <c r="B2020" s="192"/>
      <c r="C2020" s="192"/>
      <c r="D2020" s="192"/>
      <c r="E2020" s="192"/>
      <c r="F2020" s="192"/>
      <c r="G2020" s="192"/>
      <c r="H2020" s="192"/>
      <c r="I2020" s="192"/>
      <c r="J2020" s="192"/>
      <c r="K2020" s="19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92"/>
      <c r="B2021" s="192"/>
      <c r="C2021" s="192"/>
      <c r="D2021" s="192"/>
      <c r="E2021" s="192"/>
      <c r="F2021" s="192"/>
      <c r="G2021" s="192"/>
      <c r="H2021" s="192"/>
      <c r="I2021" s="192"/>
      <c r="J2021" s="192"/>
      <c r="K2021" s="19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92"/>
      <c r="B2022" s="192"/>
      <c r="C2022" s="192"/>
      <c r="D2022" s="192"/>
      <c r="E2022" s="192"/>
      <c r="F2022" s="192"/>
      <c r="G2022" s="192"/>
      <c r="H2022" s="192"/>
      <c r="I2022" s="192"/>
      <c r="J2022" s="192"/>
      <c r="K2022" s="19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92"/>
      <c r="B2023" s="192"/>
      <c r="C2023" s="192"/>
      <c r="D2023" s="192"/>
      <c r="E2023" s="192"/>
      <c r="F2023" s="192"/>
      <c r="G2023" s="192"/>
      <c r="H2023" s="192"/>
      <c r="I2023" s="192"/>
      <c r="J2023" s="192"/>
      <c r="K2023" s="19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92"/>
      <c r="B2024" s="192"/>
      <c r="C2024" s="192"/>
      <c r="D2024" s="192"/>
      <c r="E2024" s="192"/>
      <c r="F2024" s="192"/>
      <c r="G2024" s="192"/>
      <c r="H2024" s="192"/>
      <c r="I2024" s="192"/>
      <c r="J2024" s="192"/>
      <c r="K2024" s="19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92"/>
      <c r="B2025" s="192"/>
      <c r="C2025" s="192"/>
      <c r="D2025" s="192"/>
      <c r="E2025" s="192"/>
      <c r="F2025" s="192"/>
      <c r="G2025" s="192"/>
      <c r="H2025" s="192"/>
      <c r="I2025" s="192"/>
      <c r="J2025" s="192"/>
      <c r="K2025" s="19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92"/>
      <c r="B2026" s="192"/>
      <c r="C2026" s="192"/>
      <c r="D2026" s="192"/>
      <c r="E2026" s="192"/>
      <c r="F2026" s="192"/>
      <c r="G2026" s="192"/>
      <c r="H2026" s="192"/>
      <c r="I2026" s="192"/>
      <c r="J2026" s="192"/>
      <c r="K2026" s="19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92"/>
      <c r="B2027" s="192"/>
      <c r="C2027" s="192"/>
      <c r="D2027" s="192"/>
      <c r="E2027" s="192"/>
      <c r="F2027" s="192"/>
      <c r="G2027" s="192"/>
      <c r="H2027" s="192"/>
      <c r="I2027" s="192"/>
      <c r="J2027" s="192"/>
      <c r="K2027" s="19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92"/>
      <c r="B2028" s="192"/>
      <c r="C2028" s="192"/>
      <c r="D2028" s="192"/>
      <c r="E2028" s="192"/>
      <c r="F2028" s="192"/>
      <c r="G2028" s="192"/>
      <c r="H2028" s="192"/>
      <c r="I2028" s="192"/>
      <c r="J2028" s="192"/>
      <c r="K2028" s="19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92"/>
      <c r="B2029" s="192"/>
      <c r="C2029" s="192"/>
      <c r="D2029" s="192"/>
      <c r="E2029" s="192"/>
      <c r="F2029" s="192"/>
      <c r="G2029" s="192"/>
      <c r="H2029" s="192"/>
      <c r="I2029" s="192"/>
      <c r="J2029" s="192"/>
      <c r="K2029" s="19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92"/>
      <c r="B2030" s="192"/>
      <c r="C2030" s="192"/>
      <c r="D2030" s="192"/>
      <c r="E2030" s="192"/>
      <c r="F2030" s="192"/>
      <c r="G2030" s="192"/>
      <c r="H2030" s="192"/>
      <c r="I2030" s="192"/>
      <c r="J2030" s="192"/>
      <c r="K2030" s="19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92"/>
      <c r="B2031" s="192"/>
      <c r="C2031" s="192"/>
      <c r="D2031" s="192"/>
      <c r="E2031" s="192"/>
      <c r="F2031" s="192"/>
      <c r="G2031" s="192"/>
      <c r="H2031" s="192"/>
      <c r="I2031" s="192"/>
      <c r="J2031" s="192"/>
      <c r="K2031" s="19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92"/>
      <c r="B2032" s="192"/>
      <c r="C2032" s="192"/>
      <c r="D2032" s="192"/>
      <c r="E2032" s="192"/>
      <c r="F2032" s="192"/>
      <c r="G2032" s="192"/>
      <c r="H2032" s="192"/>
      <c r="I2032" s="192"/>
      <c r="J2032" s="192"/>
      <c r="K2032" s="19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92"/>
      <c r="B2033" s="192"/>
      <c r="C2033" s="192"/>
      <c r="D2033" s="192"/>
      <c r="E2033" s="192"/>
      <c r="F2033" s="192"/>
      <c r="G2033" s="192"/>
      <c r="H2033" s="192"/>
      <c r="I2033" s="192"/>
      <c r="J2033" s="192"/>
      <c r="K2033" s="19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92"/>
      <c r="B2034" s="192"/>
      <c r="C2034" s="192"/>
      <c r="D2034" s="192"/>
      <c r="E2034" s="192"/>
      <c r="F2034" s="192"/>
      <c r="G2034" s="192"/>
      <c r="H2034" s="192"/>
      <c r="I2034" s="192"/>
      <c r="J2034" s="192"/>
      <c r="K2034" s="19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92"/>
      <c r="B2035" s="192"/>
      <c r="C2035" s="192"/>
      <c r="D2035" s="192"/>
      <c r="E2035" s="192"/>
      <c r="F2035" s="192"/>
      <c r="G2035" s="192"/>
      <c r="H2035" s="192"/>
      <c r="I2035" s="192"/>
      <c r="J2035" s="192"/>
      <c r="K2035" s="19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92"/>
      <c r="B2036" s="192"/>
      <c r="C2036" s="192"/>
      <c r="D2036" s="192"/>
      <c r="E2036" s="192"/>
      <c r="F2036" s="192"/>
      <c r="G2036" s="192"/>
      <c r="H2036" s="192"/>
      <c r="I2036" s="192"/>
      <c r="J2036" s="192"/>
      <c r="K2036" s="19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92"/>
      <c r="B2037" s="192"/>
      <c r="C2037" s="192"/>
      <c r="D2037" s="192"/>
      <c r="E2037" s="192"/>
      <c r="F2037" s="192"/>
      <c r="G2037" s="192"/>
      <c r="H2037" s="192"/>
      <c r="I2037" s="192"/>
      <c r="J2037" s="192"/>
      <c r="K2037" s="19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92"/>
      <c r="B2038" s="192"/>
      <c r="C2038" s="192"/>
      <c r="D2038" s="192"/>
      <c r="E2038" s="192"/>
      <c r="F2038" s="192"/>
      <c r="G2038" s="192"/>
      <c r="H2038" s="192"/>
      <c r="I2038" s="192"/>
      <c r="J2038" s="192"/>
      <c r="K2038" s="19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92"/>
      <c r="B2039" s="192"/>
      <c r="C2039" s="192"/>
      <c r="D2039" s="192"/>
      <c r="E2039" s="192"/>
      <c r="F2039" s="192"/>
      <c r="G2039" s="192"/>
      <c r="H2039" s="192"/>
      <c r="I2039" s="192"/>
      <c r="J2039" s="192"/>
      <c r="K2039" s="19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92"/>
      <c r="B2040" s="192"/>
      <c r="C2040" s="192"/>
      <c r="D2040" s="192"/>
      <c r="E2040" s="192"/>
      <c r="F2040" s="192"/>
      <c r="G2040" s="192"/>
      <c r="H2040" s="192"/>
      <c r="I2040" s="192"/>
      <c r="J2040" s="192"/>
      <c r="K2040" s="19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92"/>
      <c r="B2041" s="192"/>
      <c r="C2041" s="192"/>
      <c r="D2041" s="192"/>
      <c r="E2041" s="192"/>
      <c r="F2041" s="192"/>
      <c r="G2041" s="192"/>
      <c r="H2041" s="192"/>
      <c r="I2041" s="192"/>
      <c r="J2041" s="192"/>
      <c r="K2041" s="19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92"/>
      <c r="B2042" s="192"/>
      <c r="C2042" s="192"/>
      <c r="D2042" s="192"/>
      <c r="E2042" s="192"/>
      <c r="F2042" s="192"/>
      <c r="G2042" s="192"/>
      <c r="H2042" s="192"/>
      <c r="I2042" s="192"/>
      <c r="J2042" s="192"/>
      <c r="K2042" s="19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92"/>
      <c r="B2043" s="192"/>
      <c r="C2043" s="192"/>
      <c r="D2043" s="192"/>
      <c r="E2043" s="192"/>
      <c r="F2043" s="192"/>
      <c r="G2043" s="192"/>
      <c r="H2043" s="192"/>
      <c r="I2043" s="192"/>
      <c r="J2043" s="192"/>
      <c r="K2043" s="19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92"/>
      <c r="B2044" s="192"/>
      <c r="C2044" s="192"/>
      <c r="D2044" s="192"/>
      <c r="E2044" s="192"/>
      <c r="F2044" s="192"/>
      <c r="G2044" s="192"/>
      <c r="H2044" s="192"/>
      <c r="I2044" s="192"/>
      <c r="J2044" s="192"/>
      <c r="K2044" s="19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92"/>
      <c r="B2045" s="192"/>
      <c r="C2045" s="192"/>
      <c r="D2045" s="192"/>
      <c r="E2045" s="192"/>
      <c r="F2045" s="192"/>
      <c r="G2045" s="192"/>
      <c r="H2045" s="192"/>
      <c r="I2045" s="192"/>
      <c r="J2045" s="192"/>
      <c r="K2045" s="19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92"/>
      <c r="B2046" s="192"/>
      <c r="C2046" s="192"/>
      <c r="D2046" s="192"/>
      <c r="E2046" s="192"/>
      <c r="F2046" s="192"/>
      <c r="G2046" s="192"/>
      <c r="H2046" s="192"/>
      <c r="I2046" s="192"/>
      <c r="J2046" s="192"/>
      <c r="K2046" s="19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92"/>
      <c r="B2047" s="192"/>
      <c r="C2047" s="192"/>
      <c r="D2047" s="192"/>
      <c r="E2047" s="192"/>
      <c r="F2047" s="192"/>
      <c r="G2047" s="192"/>
      <c r="H2047" s="192"/>
      <c r="I2047" s="192"/>
      <c r="J2047" s="192"/>
      <c r="K2047" s="19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92"/>
      <c r="B2048" s="192"/>
      <c r="C2048" s="192"/>
      <c r="D2048" s="192"/>
      <c r="E2048" s="192"/>
      <c r="F2048" s="192"/>
      <c r="G2048" s="192"/>
      <c r="H2048" s="192"/>
      <c r="I2048" s="192"/>
      <c r="J2048" s="192"/>
      <c r="K2048" s="19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92"/>
      <c r="B2049" s="192"/>
      <c r="C2049" s="192"/>
      <c r="D2049" s="192"/>
      <c r="E2049" s="192"/>
      <c r="F2049" s="192"/>
      <c r="G2049" s="192"/>
      <c r="H2049" s="192"/>
      <c r="I2049" s="192"/>
      <c r="J2049" s="192"/>
      <c r="K2049" s="19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92"/>
      <c r="B2050" s="192"/>
      <c r="C2050" s="192"/>
      <c r="D2050" s="192"/>
      <c r="E2050" s="192"/>
      <c r="F2050" s="192"/>
      <c r="G2050" s="192"/>
      <c r="H2050" s="192"/>
      <c r="I2050" s="192"/>
      <c r="J2050" s="192"/>
      <c r="K2050" s="19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92"/>
      <c r="B2051" s="192"/>
      <c r="C2051" s="192"/>
      <c r="D2051" s="192"/>
      <c r="E2051" s="192"/>
      <c r="F2051" s="192"/>
      <c r="G2051" s="192"/>
      <c r="H2051" s="192"/>
      <c r="I2051" s="192"/>
      <c r="J2051" s="192"/>
      <c r="K2051" s="19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92"/>
      <c r="B2052" s="192"/>
      <c r="C2052" s="192"/>
      <c r="D2052" s="192"/>
      <c r="E2052" s="192"/>
      <c r="F2052" s="192"/>
      <c r="G2052" s="192"/>
      <c r="H2052" s="192"/>
      <c r="I2052" s="192"/>
      <c r="J2052" s="192"/>
      <c r="K2052" s="19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92"/>
      <c r="B2053" s="192"/>
      <c r="C2053" s="192"/>
      <c r="D2053" s="192"/>
      <c r="E2053" s="192"/>
      <c r="F2053" s="192"/>
      <c r="G2053" s="192"/>
      <c r="H2053" s="192"/>
      <c r="I2053" s="192"/>
      <c r="J2053" s="192"/>
      <c r="K2053" s="19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92"/>
      <c r="B2054" s="192"/>
      <c r="C2054" s="192"/>
      <c r="D2054" s="192"/>
      <c r="E2054" s="192"/>
      <c r="F2054" s="192"/>
      <c r="G2054" s="192"/>
      <c r="H2054" s="192"/>
      <c r="I2054" s="192"/>
      <c r="J2054" s="192"/>
      <c r="K2054" s="19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92"/>
      <c r="B2055" s="192"/>
      <c r="C2055" s="192"/>
      <c r="D2055" s="192"/>
      <c r="E2055" s="192"/>
      <c r="F2055" s="192"/>
      <c r="G2055" s="192"/>
      <c r="H2055" s="192"/>
      <c r="I2055" s="192"/>
      <c r="J2055" s="192"/>
      <c r="K2055" s="19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92"/>
      <c r="B2056" s="192"/>
      <c r="C2056" s="192"/>
      <c r="D2056" s="192"/>
      <c r="E2056" s="192"/>
      <c r="F2056" s="192"/>
      <c r="G2056" s="192"/>
      <c r="H2056" s="192"/>
      <c r="I2056" s="192"/>
      <c r="J2056" s="192"/>
      <c r="K2056" s="19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92"/>
      <c r="B2057" s="192"/>
      <c r="C2057" s="192"/>
      <c r="D2057" s="192"/>
      <c r="E2057" s="192"/>
      <c r="F2057" s="192"/>
      <c r="G2057" s="192"/>
      <c r="H2057" s="192"/>
      <c r="I2057" s="192"/>
      <c r="J2057" s="192"/>
      <c r="K2057" s="19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92"/>
      <c r="B2058" s="192"/>
      <c r="C2058" s="192"/>
      <c r="D2058" s="192"/>
      <c r="E2058" s="192"/>
      <c r="F2058" s="192"/>
      <c r="G2058" s="192"/>
      <c r="H2058" s="192"/>
      <c r="I2058" s="192"/>
      <c r="J2058" s="192"/>
      <c r="K2058" s="19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92"/>
      <c r="B2059" s="192"/>
      <c r="C2059" s="192"/>
      <c r="D2059" s="192"/>
      <c r="E2059" s="192"/>
      <c r="F2059" s="192"/>
      <c r="G2059" s="192"/>
      <c r="H2059" s="192"/>
      <c r="I2059" s="192"/>
      <c r="J2059" s="192"/>
      <c r="K2059" s="19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92"/>
      <c r="B2060" s="192"/>
      <c r="C2060" s="192"/>
      <c r="D2060" s="192"/>
      <c r="E2060" s="192"/>
      <c r="F2060" s="192"/>
      <c r="G2060" s="192"/>
      <c r="H2060" s="192"/>
      <c r="I2060" s="192"/>
      <c r="J2060" s="192"/>
      <c r="K2060" s="19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92"/>
      <c r="B2061" s="192"/>
      <c r="C2061" s="192"/>
      <c r="D2061" s="192"/>
      <c r="E2061" s="192"/>
      <c r="F2061" s="192"/>
      <c r="G2061" s="192"/>
      <c r="H2061" s="192"/>
      <c r="I2061" s="192"/>
      <c r="J2061" s="192"/>
      <c r="K2061" s="19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92"/>
      <c r="B2062" s="192"/>
      <c r="C2062" s="192"/>
      <c r="D2062" s="192"/>
      <c r="E2062" s="192"/>
      <c r="F2062" s="192"/>
      <c r="G2062" s="192"/>
      <c r="H2062" s="192"/>
      <c r="I2062" s="192"/>
      <c r="J2062" s="192"/>
      <c r="K2062" s="19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92"/>
      <c r="B2063" s="192"/>
      <c r="C2063" s="192"/>
      <c r="D2063" s="192"/>
      <c r="E2063" s="192"/>
      <c r="F2063" s="192"/>
      <c r="G2063" s="192"/>
      <c r="H2063" s="192"/>
      <c r="I2063" s="192"/>
      <c r="J2063" s="192"/>
      <c r="K2063" s="19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92"/>
      <c r="B2064" s="192"/>
      <c r="C2064" s="192"/>
      <c r="D2064" s="192"/>
      <c r="E2064" s="192"/>
      <c r="F2064" s="192"/>
      <c r="G2064" s="192"/>
      <c r="H2064" s="192"/>
      <c r="I2064" s="192"/>
      <c r="J2064" s="192"/>
      <c r="K2064" s="19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92"/>
      <c r="B2065" s="192"/>
      <c r="C2065" s="192"/>
      <c r="D2065" s="192"/>
      <c r="E2065" s="192"/>
      <c r="F2065" s="192"/>
      <c r="G2065" s="192"/>
      <c r="H2065" s="192"/>
      <c r="I2065" s="192"/>
      <c r="J2065" s="192"/>
      <c r="K2065" s="19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92"/>
      <c r="B2066" s="192"/>
      <c r="C2066" s="192"/>
      <c r="D2066" s="192"/>
      <c r="E2066" s="192"/>
      <c r="F2066" s="192"/>
      <c r="G2066" s="192"/>
      <c r="H2066" s="192"/>
      <c r="I2066" s="192"/>
      <c r="J2066" s="192"/>
      <c r="K2066" s="19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92"/>
      <c r="B2067" s="192"/>
      <c r="C2067" s="192"/>
      <c r="D2067" s="192"/>
      <c r="E2067" s="192"/>
      <c r="F2067" s="192"/>
      <c r="G2067" s="192"/>
      <c r="H2067" s="192"/>
      <c r="I2067" s="192"/>
      <c r="J2067" s="192"/>
      <c r="K2067" s="19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92"/>
      <c r="B2068" s="192"/>
      <c r="C2068" s="192"/>
      <c r="D2068" s="192"/>
      <c r="E2068" s="192"/>
      <c r="F2068" s="192"/>
      <c r="G2068" s="192"/>
      <c r="H2068" s="192"/>
      <c r="I2068" s="192"/>
      <c r="J2068" s="192"/>
      <c r="K2068" s="19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92"/>
      <c r="B2069" s="192"/>
      <c r="C2069" s="192"/>
      <c r="D2069" s="192"/>
      <c r="E2069" s="192"/>
      <c r="F2069" s="192"/>
      <c r="G2069" s="192"/>
      <c r="H2069" s="192"/>
      <c r="I2069" s="192"/>
      <c r="J2069" s="192"/>
      <c r="K2069" s="19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92"/>
      <c r="B2070" s="192"/>
      <c r="C2070" s="192"/>
      <c r="D2070" s="192"/>
      <c r="E2070" s="192"/>
      <c r="F2070" s="192"/>
      <c r="G2070" s="192"/>
      <c r="H2070" s="192"/>
      <c r="I2070" s="192"/>
      <c r="J2070" s="192"/>
      <c r="K2070" s="19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92"/>
      <c r="B2071" s="192"/>
      <c r="C2071" s="192"/>
      <c r="D2071" s="192"/>
      <c r="E2071" s="192"/>
      <c r="F2071" s="192"/>
      <c r="G2071" s="192"/>
      <c r="H2071" s="192"/>
      <c r="I2071" s="192"/>
      <c r="J2071" s="192"/>
      <c r="K2071" s="19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92"/>
      <c r="B2072" s="192"/>
      <c r="C2072" s="192"/>
      <c r="D2072" s="192"/>
      <c r="E2072" s="192"/>
      <c r="F2072" s="192"/>
      <c r="G2072" s="192"/>
      <c r="H2072" s="192"/>
      <c r="I2072" s="192"/>
      <c r="J2072" s="192"/>
      <c r="K2072" s="19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92"/>
      <c r="B2073" s="192"/>
      <c r="C2073" s="192"/>
      <c r="D2073" s="192"/>
      <c r="E2073" s="192"/>
      <c r="F2073" s="192"/>
      <c r="G2073" s="192"/>
      <c r="H2073" s="192"/>
      <c r="I2073" s="192"/>
      <c r="J2073" s="192"/>
      <c r="K2073" s="19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92"/>
      <c r="B2074" s="192"/>
      <c r="C2074" s="192"/>
      <c r="D2074" s="192"/>
      <c r="E2074" s="192"/>
      <c r="F2074" s="192"/>
      <c r="G2074" s="192"/>
      <c r="H2074" s="192"/>
      <c r="I2074" s="192"/>
      <c r="J2074" s="192"/>
      <c r="K2074" s="19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92"/>
      <c r="B2075" s="192"/>
      <c r="C2075" s="192"/>
      <c r="D2075" s="192"/>
      <c r="E2075" s="192"/>
      <c r="F2075" s="192"/>
      <c r="G2075" s="192"/>
      <c r="H2075" s="192"/>
      <c r="I2075" s="192"/>
      <c r="J2075" s="192"/>
      <c r="K2075" s="19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92"/>
      <c r="B2076" s="192"/>
      <c r="C2076" s="192"/>
      <c r="D2076" s="192"/>
      <c r="E2076" s="192"/>
      <c r="F2076" s="192"/>
      <c r="G2076" s="192"/>
      <c r="H2076" s="192"/>
      <c r="I2076" s="192"/>
      <c r="J2076" s="192"/>
      <c r="K2076" s="19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92"/>
      <c r="B2077" s="192"/>
      <c r="C2077" s="192"/>
      <c r="D2077" s="192"/>
      <c r="E2077" s="192"/>
      <c r="F2077" s="192"/>
      <c r="G2077" s="192"/>
      <c r="H2077" s="192"/>
      <c r="I2077" s="192"/>
      <c r="J2077" s="192"/>
      <c r="K2077" s="19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92"/>
      <c r="B2078" s="192"/>
      <c r="C2078" s="192"/>
      <c r="D2078" s="192"/>
      <c r="E2078" s="192"/>
      <c r="F2078" s="192"/>
      <c r="G2078" s="192"/>
      <c r="H2078" s="192"/>
      <c r="I2078" s="192"/>
      <c r="J2078" s="192"/>
      <c r="K2078" s="19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92"/>
      <c r="B2079" s="192"/>
      <c r="C2079" s="192"/>
      <c r="D2079" s="192"/>
      <c r="E2079" s="192"/>
      <c r="F2079" s="192"/>
      <c r="G2079" s="192"/>
      <c r="H2079" s="192"/>
      <c r="I2079" s="192"/>
      <c r="J2079" s="192"/>
      <c r="K2079" s="19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92"/>
      <c r="B2080" s="192"/>
      <c r="C2080" s="192"/>
      <c r="D2080" s="192"/>
      <c r="E2080" s="192"/>
      <c r="F2080" s="192"/>
      <c r="G2080" s="192"/>
      <c r="H2080" s="192"/>
      <c r="I2080" s="192"/>
      <c r="J2080" s="192"/>
      <c r="K2080" s="19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92"/>
      <c r="B2081" s="192"/>
      <c r="C2081" s="192"/>
      <c r="D2081" s="192"/>
      <c r="E2081" s="192"/>
      <c r="F2081" s="192"/>
      <c r="G2081" s="192"/>
      <c r="H2081" s="192"/>
      <c r="I2081" s="192"/>
      <c r="J2081" s="192"/>
      <c r="K2081" s="19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92"/>
      <c r="B2082" s="192"/>
      <c r="C2082" s="192"/>
      <c r="D2082" s="192"/>
      <c r="E2082" s="192"/>
      <c r="F2082" s="192"/>
      <c r="G2082" s="192"/>
      <c r="H2082" s="192"/>
      <c r="I2082" s="192"/>
      <c r="J2082" s="192"/>
      <c r="K2082" s="19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92"/>
      <c r="B2083" s="192"/>
      <c r="C2083" s="192"/>
      <c r="D2083" s="192"/>
      <c r="E2083" s="192"/>
      <c r="F2083" s="192"/>
      <c r="G2083" s="192"/>
      <c r="H2083" s="192"/>
      <c r="I2083" s="192"/>
      <c r="J2083" s="192"/>
      <c r="K2083" s="19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92"/>
      <c r="B2084" s="192"/>
      <c r="C2084" s="192"/>
      <c r="D2084" s="192"/>
      <c r="E2084" s="192"/>
      <c r="F2084" s="192"/>
      <c r="G2084" s="192"/>
      <c r="H2084" s="192"/>
      <c r="I2084" s="192"/>
      <c r="J2084" s="192"/>
      <c r="K2084" s="19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92"/>
      <c r="B2085" s="192"/>
      <c r="C2085" s="192"/>
      <c r="D2085" s="192"/>
      <c r="E2085" s="192"/>
      <c r="F2085" s="192"/>
      <c r="G2085" s="192"/>
      <c r="H2085" s="192"/>
      <c r="I2085" s="192"/>
      <c r="J2085" s="192"/>
      <c r="K2085" s="19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92"/>
      <c r="B2086" s="192"/>
      <c r="C2086" s="192"/>
      <c r="D2086" s="192"/>
      <c r="E2086" s="192"/>
      <c r="F2086" s="192"/>
      <c r="G2086" s="192"/>
      <c r="H2086" s="192"/>
      <c r="I2086" s="192"/>
      <c r="J2086" s="192"/>
      <c r="K2086" s="19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92"/>
      <c r="B2087" s="192"/>
      <c r="C2087" s="192"/>
      <c r="D2087" s="192"/>
      <c r="E2087" s="192"/>
      <c r="F2087" s="192"/>
      <c r="G2087" s="192"/>
      <c r="H2087" s="192"/>
      <c r="I2087" s="192"/>
      <c r="J2087" s="192"/>
      <c r="K2087" s="19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92"/>
      <c r="B2088" s="192"/>
      <c r="C2088" s="192"/>
      <c r="D2088" s="192"/>
      <c r="E2088" s="192"/>
      <c r="F2088" s="192"/>
      <c r="G2088" s="192"/>
      <c r="H2088" s="192"/>
      <c r="I2088" s="192"/>
      <c r="J2088" s="192"/>
      <c r="K2088" s="19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92"/>
      <c r="B2089" s="192"/>
      <c r="C2089" s="192"/>
      <c r="D2089" s="192"/>
      <c r="E2089" s="192"/>
      <c r="F2089" s="192"/>
      <c r="G2089" s="192"/>
      <c r="H2089" s="192"/>
      <c r="I2089" s="192"/>
      <c r="J2089" s="192"/>
      <c r="K2089" s="19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92"/>
      <c r="B2090" s="192"/>
      <c r="C2090" s="192"/>
      <c r="D2090" s="192"/>
      <c r="E2090" s="192"/>
      <c r="F2090" s="192"/>
      <c r="G2090" s="192"/>
      <c r="H2090" s="192"/>
      <c r="I2090" s="192"/>
      <c r="J2090" s="192"/>
      <c r="K2090" s="19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92"/>
      <c r="B2091" s="192"/>
      <c r="C2091" s="192"/>
      <c r="D2091" s="192"/>
      <c r="E2091" s="192"/>
      <c r="F2091" s="192"/>
      <c r="G2091" s="192"/>
      <c r="H2091" s="192"/>
      <c r="I2091" s="192"/>
      <c r="J2091" s="192"/>
      <c r="K2091" s="19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92"/>
      <c r="B2092" s="192"/>
      <c r="C2092" s="192"/>
      <c r="D2092" s="192"/>
      <c r="E2092" s="192"/>
      <c r="F2092" s="192"/>
      <c r="G2092" s="192"/>
      <c r="H2092" s="192"/>
      <c r="I2092" s="192"/>
      <c r="J2092" s="192"/>
      <c r="K2092" s="19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92"/>
      <c r="B2093" s="192"/>
      <c r="C2093" s="192"/>
      <c r="D2093" s="192"/>
      <c r="E2093" s="192"/>
      <c r="F2093" s="192"/>
      <c r="G2093" s="192"/>
      <c r="H2093" s="192"/>
      <c r="I2093" s="192"/>
      <c r="J2093" s="192"/>
      <c r="K2093" s="19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92"/>
      <c r="B2094" s="192"/>
      <c r="C2094" s="192"/>
      <c r="D2094" s="192"/>
      <c r="E2094" s="192"/>
      <c r="F2094" s="192"/>
      <c r="G2094" s="192"/>
      <c r="H2094" s="192"/>
      <c r="I2094" s="192"/>
      <c r="J2094" s="192"/>
      <c r="K2094" s="19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92"/>
      <c r="B2095" s="192"/>
      <c r="C2095" s="192"/>
      <c r="D2095" s="192"/>
      <c r="E2095" s="192"/>
      <c r="F2095" s="192"/>
      <c r="G2095" s="192"/>
      <c r="H2095" s="192"/>
      <c r="I2095" s="192"/>
      <c r="J2095" s="192"/>
      <c r="K2095" s="19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92"/>
      <c r="B2096" s="192"/>
      <c r="C2096" s="192"/>
      <c r="D2096" s="192"/>
      <c r="E2096" s="192"/>
      <c r="F2096" s="192"/>
      <c r="G2096" s="192"/>
      <c r="H2096" s="192"/>
      <c r="I2096" s="192"/>
      <c r="J2096" s="192"/>
      <c r="K2096" s="19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92"/>
      <c r="B2097" s="192"/>
      <c r="C2097" s="192"/>
      <c r="D2097" s="192"/>
      <c r="E2097" s="192"/>
      <c r="F2097" s="192"/>
      <c r="G2097" s="192"/>
      <c r="H2097" s="192"/>
      <c r="I2097" s="192"/>
      <c r="J2097" s="192"/>
      <c r="K2097" s="19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92"/>
      <c r="B2098" s="192"/>
      <c r="C2098" s="192"/>
      <c r="D2098" s="192"/>
      <c r="E2098" s="192"/>
      <c r="F2098" s="192"/>
      <c r="G2098" s="192"/>
      <c r="H2098" s="192"/>
      <c r="I2098" s="192"/>
      <c r="J2098" s="192"/>
      <c r="K2098" s="19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92"/>
      <c r="B2099" s="192"/>
      <c r="C2099" s="192"/>
      <c r="D2099" s="192"/>
      <c r="E2099" s="192"/>
      <c r="F2099" s="192"/>
      <c r="G2099" s="192"/>
      <c r="H2099" s="192"/>
      <c r="I2099" s="192"/>
      <c r="J2099" s="192"/>
      <c r="K2099" s="19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92"/>
      <c r="B2100" s="192"/>
      <c r="C2100" s="192"/>
      <c r="D2100" s="192"/>
      <c r="E2100" s="192"/>
      <c r="F2100" s="192"/>
      <c r="G2100" s="192"/>
      <c r="H2100" s="192"/>
      <c r="I2100" s="192"/>
      <c r="J2100" s="192"/>
      <c r="K2100" s="19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92"/>
      <c r="B2101" s="192"/>
      <c r="C2101" s="192"/>
      <c r="D2101" s="192"/>
      <c r="E2101" s="192"/>
      <c r="F2101" s="192"/>
      <c r="G2101" s="192"/>
      <c r="H2101" s="192"/>
      <c r="I2101" s="192"/>
      <c r="J2101" s="192"/>
      <c r="K2101" s="19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92"/>
      <c r="B2102" s="192"/>
      <c r="C2102" s="192"/>
      <c r="D2102" s="192"/>
      <c r="E2102" s="192"/>
      <c r="F2102" s="192"/>
      <c r="G2102" s="192"/>
      <c r="H2102" s="192"/>
      <c r="I2102" s="192"/>
      <c r="J2102" s="192"/>
      <c r="K2102" s="19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92"/>
      <c r="B2103" s="192"/>
      <c r="C2103" s="192"/>
      <c r="D2103" s="192"/>
      <c r="E2103" s="192"/>
      <c r="F2103" s="192"/>
      <c r="G2103" s="192"/>
      <c r="H2103" s="192"/>
      <c r="I2103" s="192"/>
      <c r="J2103" s="192"/>
      <c r="K2103" s="19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92"/>
      <c r="B2104" s="192"/>
      <c r="C2104" s="192"/>
      <c r="D2104" s="192"/>
      <c r="E2104" s="192"/>
      <c r="F2104" s="192"/>
      <c r="G2104" s="192"/>
      <c r="H2104" s="192"/>
      <c r="I2104" s="192"/>
      <c r="J2104" s="192"/>
      <c r="K2104" s="19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92"/>
      <c r="B2105" s="192"/>
      <c r="C2105" s="192"/>
      <c r="D2105" s="192"/>
      <c r="E2105" s="192"/>
      <c r="F2105" s="192"/>
      <c r="G2105" s="192"/>
      <c r="H2105" s="192"/>
      <c r="I2105" s="192"/>
      <c r="J2105" s="192"/>
      <c r="K2105" s="19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92"/>
      <c r="B2106" s="192"/>
      <c r="C2106" s="192"/>
      <c r="D2106" s="192"/>
      <c r="E2106" s="192"/>
      <c r="F2106" s="192"/>
      <c r="G2106" s="192"/>
      <c r="H2106" s="192"/>
      <c r="I2106" s="192"/>
      <c r="J2106" s="192"/>
      <c r="K2106" s="19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92"/>
      <c r="B2107" s="192"/>
      <c r="C2107" s="192"/>
      <c r="D2107" s="192"/>
      <c r="E2107" s="192"/>
      <c r="F2107" s="192"/>
      <c r="G2107" s="192"/>
      <c r="H2107" s="192"/>
      <c r="I2107" s="192"/>
      <c r="J2107" s="192"/>
      <c r="K2107" s="19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92"/>
      <c r="B2108" s="192"/>
      <c r="C2108" s="192"/>
      <c r="D2108" s="192"/>
      <c r="E2108" s="192"/>
      <c r="F2108" s="192"/>
      <c r="G2108" s="192"/>
      <c r="H2108" s="192"/>
      <c r="I2108" s="192"/>
      <c r="J2108" s="192"/>
      <c r="K2108" s="19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92"/>
      <c r="B2109" s="192"/>
      <c r="C2109" s="192"/>
      <c r="D2109" s="192"/>
      <c r="E2109" s="192"/>
      <c r="F2109" s="192"/>
      <c r="G2109" s="192"/>
      <c r="H2109" s="192"/>
      <c r="I2109" s="192"/>
      <c r="J2109" s="192"/>
      <c r="K2109" s="19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92"/>
      <c r="B2110" s="192"/>
      <c r="C2110" s="192"/>
      <c r="D2110" s="192"/>
      <c r="E2110" s="192"/>
      <c r="F2110" s="192"/>
      <c r="G2110" s="192"/>
      <c r="H2110" s="192"/>
      <c r="I2110" s="192"/>
      <c r="J2110" s="192"/>
      <c r="K2110" s="19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92"/>
      <c r="B2111" s="192"/>
      <c r="C2111" s="192"/>
      <c r="D2111" s="192"/>
      <c r="E2111" s="192"/>
      <c r="F2111" s="192"/>
      <c r="G2111" s="192"/>
      <c r="H2111" s="192"/>
      <c r="I2111" s="192"/>
      <c r="J2111" s="192"/>
      <c r="K2111" s="19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92"/>
      <c r="B2112" s="192"/>
      <c r="C2112" s="192"/>
      <c r="D2112" s="192"/>
      <c r="E2112" s="192"/>
      <c r="F2112" s="192"/>
      <c r="G2112" s="192"/>
      <c r="H2112" s="192"/>
      <c r="I2112" s="192"/>
      <c r="J2112" s="192"/>
      <c r="K2112" s="19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92"/>
      <c r="B2113" s="192"/>
      <c r="C2113" s="192"/>
      <c r="D2113" s="192"/>
      <c r="E2113" s="192"/>
      <c r="F2113" s="192"/>
      <c r="G2113" s="192"/>
      <c r="H2113" s="192"/>
      <c r="I2113" s="192"/>
      <c r="J2113" s="192"/>
      <c r="K2113" s="19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92"/>
      <c r="B2114" s="192"/>
      <c r="C2114" s="192"/>
      <c r="D2114" s="192"/>
      <c r="E2114" s="192"/>
      <c r="F2114" s="192"/>
      <c r="G2114" s="192"/>
      <c r="H2114" s="192"/>
      <c r="I2114" s="192"/>
      <c r="J2114" s="192"/>
      <c r="K2114" s="19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92"/>
      <c r="B2115" s="192"/>
      <c r="C2115" s="192"/>
      <c r="D2115" s="192"/>
      <c r="E2115" s="192"/>
      <c r="F2115" s="192"/>
      <c r="G2115" s="192"/>
      <c r="H2115" s="192"/>
      <c r="I2115" s="192"/>
      <c r="J2115" s="192"/>
      <c r="K2115" s="19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92"/>
      <c r="B2116" s="192"/>
      <c r="C2116" s="192"/>
      <c r="D2116" s="192"/>
      <c r="E2116" s="192"/>
      <c r="F2116" s="192"/>
      <c r="G2116" s="192"/>
      <c r="H2116" s="192"/>
      <c r="I2116" s="192"/>
      <c r="J2116" s="192"/>
      <c r="K2116" s="19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92"/>
      <c r="B2117" s="192"/>
      <c r="C2117" s="192"/>
      <c r="D2117" s="192"/>
      <c r="E2117" s="192"/>
      <c r="F2117" s="192"/>
      <c r="G2117" s="192"/>
      <c r="H2117" s="192"/>
      <c r="I2117" s="192"/>
      <c r="J2117" s="192"/>
      <c r="K2117" s="19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92"/>
      <c r="B2118" s="192"/>
      <c r="C2118" s="192"/>
      <c r="D2118" s="192"/>
      <c r="E2118" s="192"/>
      <c r="F2118" s="192"/>
      <c r="G2118" s="192"/>
      <c r="H2118" s="192"/>
      <c r="I2118" s="192"/>
      <c r="J2118" s="192"/>
      <c r="K2118" s="19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92"/>
      <c r="B2119" s="192"/>
      <c r="C2119" s="192"/>
      <c r="D2119" s="192"/>
      <c r="E2119" s="192"/>
      <c r="F2119" s="192"/>
      <c r="G2119" s="192"/>
      <c r="H2119" s="192"/>
      <c r="I2119" s="192"/>
      <c r="J2119" s="192"/>
      <c r="K2119" s="19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92"/>
      <c r="B2120" s="192"/>
      <c r="C2120" s="192"/>
      <c r="D2120" s="192"/>
      <c r="E2120" s="192"/>
      <c r="F2120" s="192"/>
      <c r="G2120" s="192"/>
      <c r="H2120" s="192"/>
      <c r="I2120" s="192"/>
      <c r="J2120" s="192"/>
      <c r="K2120" s="19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92"/>
      <c r="B2121" s="192"/>
      <c r="C2121" s="192"/>
      <c r="D2121" s="192"/>
      <c r="E2121" s="192"/>
      <c r="F2121" s="192"/>
      <c r="G2121" s="192"/>
      <c r="H2121" s="192"/>
      <c r="I2121" s="192"/>
      <c r="J2121" s="192"/>
      <c r="K2121" s="19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92"/>
      <c r="B2122" s="192"/>
      <c r="C2122" s="192"/>
      <c r="D2122" s="192"/>
      <c r="E2122" s="192"/>
      <c r="F2122" s="192"/>
      <c r="G2122" s="192"/>
      <c r="H2122" s="192"/>
      <c r="I2122" s="192"/>
      <c r="J2122" s="192"/>
      <c r="K2122" s="19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92"/>
      <c r="B2123" s="192"/>
      <c r="C2123" s="192"/>
      <c r="D2123" s="192"/>
      <c r="E2123" s="192"/>
      <c r="F2123" s="192"/>
      <c r="G2123" s="192"/>
      <c r="H2123" s="192"/>
      <c r="I2123" s="192"/>
      <c r="J2123" s="192"/>
      <c r="K2123" s="19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92"/>
      <c r="B2124" s="192"/>
      <c r="C2124" s="192"/>
      <c r="D2124" s="192"/>
      <c r="E2124" s="192"/>
      <c r="F2124" s="192"/>
      <c r="G2124" s="192"/>
      <c r="H2124" s="192"/>
      <c r="I2124" s="192"/>
      <c r="J2124" s="192"/>
      <c r="K2124" s="19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92"/>
      <c r="B2125" s="192"/>
      <c r="C2125" s="192"/>
      <c r="D2125" s="192"/>
      <c r="E2125" s="192"/>
      <c r="F2125" s="192"/>
      <c r="G2125" s="192"/>
      <c r="H2125" s="192"/>
      <c r="I2125" s="192"/>
      <c r="J2125" s="192"/>
      <c r="K2125" s="19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92"/>
      <c r="B2126" s="192"/>
      <c r="C2126" s="192"/>
      <c r="D2126" s="192"/>
      <c r="E2126" s="192"/>
      <c r="F2126" s="192"/>
      <c r="G2126" s="192"/>
      <c r="H2126" s="192"/>
      <c r="I2126" s="192"/>
      <c r="J2126" s="192"/>
      <c r="K2126" s="19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92"/>
      <c r="B2127" s="192"/>
      <c r="C2127" s="192"/>
      <c r="D2127" s="192"/>
      <c r="E2127" s="192"/>
      <c r="F2127" s="192"/>
      <c r="G2127" s="192"/>
      <c r="H2127" s="192"/>
      <c r="I2127" s="192"/>
      <c r="J2127" s="192"/>
      <c r="K2127" s="19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92"/>
      <c r="B2128" s="192"/>
      <c r="C2128" s="192"/>
      <c r="D2128" s="192"/>
      <c r="E2128" s="192"/>
      <c r="F2128" s="192"/>
      <c r="G2128" s="192"/>
      <c r="H2128" s="192"/>
      <c r="I2128" s="192"/>
      <c r="J2128" s="192"/>
      <c r="K2128" s="19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92"/>
      <c r="B2129" s="192"/>
      <c r="C2129" s="192"/>
      <c r="D2129" s="192"/>
      <c r="E2129" s="192"/>
      <c r="F2129" s="192"/>
      <c r="G2129" s="192"/>
      <c r="H2129" s="192"/>
      <c r="I2129" s="192"/>
      <c r="J2129" s="192"/>
      <c r="K2129" s="19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92"/>
      <c r="B2130" s="192"/>
      <c r="C2130" s="192"/>
      <c r="D2130" s="192"/>
      <c r="E2130" s="192"/>
      <c r="F2130" s="192"/>
      <c r="G2130" s="192"/>
      <c r="H2130" s="192"/>
      <c r="I2130" s="192"/>
      <c r="J2130" s="192"/>
      <c r="K2130" s="19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92"/>
      <c r="B2131" s="192"/>
      <c r="C2131" s="192"/>
      <c r="D2131" s="192"/>
      <c r="E2131" s="192"/>
      <c r="F2131" s="192"/>
      <c r="G2131" s="192"/>
      <c r="H2131" s="192"/>
      <c r="I2131" s="192"/>
      <c r="J2131" s="192"/>
      <c r="K2131" s="19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92"/>
      <c r="B2132" s="192"/>
      <c r="C2132" s="192"/>
      <c r="D2132" s="192"/>
      <c r="E2132" s="192"/>
      <c r="F2132" s="192"/>
      <c r="G2132" s="192"/>
      <c r="H2132" s="192"/>
      <c r="I2132" s="192"/>
      <c r="J2132" s="192"/>
      <c r="K2132" s="19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92"/>
      <c r="B2133" s="192"/>
      <c r="C2133" s="192"/>
      <c r="D2133" s="192"/>
      <c r="E2133" s="192"/>
      <c r="F2133" s="192"/>
      <c r="G2133" s="192"/>
      <c r="H2133" s="192"/>
      <c r="I2133" s="192"/>
      <c r="J2133" s="192"/>
      <c r="K2133" s="19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92"/>
      <c r="B2134" s="192"/>
      <c r="C2134" s="192"/>
      <c r="D2134" s="192"/>
      <c r="E2134" s="192"/>
      <c r="F2134" s="192"/>
      <c r="G2134" s="192"/>
      <c r="H2134" s="192"/>
      <c r="I2134" s="192"/>
      <c r="J2134" s="192"/>
      <c r="K2134" s="19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92"/>
      <c r="B2135" s="192"/>
      <c r="C2135" s="192"/>
      <c r="D2135" s="192"/>
      <c r="E2135" s="192"/>
      <c r="F2135" s="192"/>
      <c r="G2135" s="192"/>
      <c r="H2135" s="192"/>
      <c r="I2135" s="192"/>
      <c r="J2135" s="192"/>
      <c r="K2135" s="19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92"/>
      <c r="B2136" s="192"/>
      <c r="C2136" s="192"/>
      <c r="D2136" s="192"/>
      <c r="E2136" s="192"/>
      <c r="F2136" s="192"/>
      <c r="G2136" s="192"/>
      <c r="H2136" s="192"/>
      <c r="I2136" s="192"/>
      <c r="J2136" s="192"/>
      <c r="K2136" s="19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92"/>
      <c r="B2137" s="192"/>
      <c r="C2137" s="192"/>
      <c r="D2137" s="192"/>
      <c r="E2137" s="192"/>
      <c r="F2137" s="192"/>
      <c r="G2137" s="192"/>
      <c r="H2137" s="192"/>
      <c r="I2137" s="192"/>
      <c r="J2137" s="192"/>
      <c r="K2137" s="19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92"/>
      <c r="B2138" s="192"/>
      <c r="C2138" s="192"/>
      <c r="D2138" s="192"/>
      <c r="E2138" s="192"/>
      <c r="F2138" s="192"/>
      <c r="G2138" s="192"/>
      <c r="H2138" s="192"/>
      <c r="I2138" s="192"/>
      <c r="J2138" s="192"/>
      <c r="K2138" s="19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92"/>
      <c r="B2139" s="192"/>
      <c r="C2139" s="192"/>
      <c r="D2139" s="192"/>
      <c r="E2139" s="192"/>
      <c r="F2139" s="192"/>
      <c r="G2139" s="192"/>
      <c r="H2139" s="192"/>
      <c r="I2139" s="192"/>
      <c r="J2139" s="192"/>
      <c r="K2139" s="19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92"/>
      <c r="B2140" s="192"/>
      <c r="C2140" s="192"/>
      <c r="D2140" s="192"/>
      <c r="E2140" s="192"/>
      <c r="F2140" s="192"/>
      <c r="G2140" s="192"/>
      <c r="H2140" s="192"/>
      <c r="I2140" s="192"/>
      <c r="J2140" s="192"/>
      <c r="K2140" s="19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92"/>
      <c r="B2141" s="192"/>
      <c r="C2141" s="192"/>
      <c r="D2141" s="192"/>
      <c r="E2141" s="192"/>
      <c r="F2141" s="192"/>
      <c r="G2141" s="192"/>
      <c r="H2141" s="192"/>
      <c r="I2141" s="192"/>
      <c r="J2141" s="192"/>
      <c r="K2141" s="19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92"/>
      <c r="B2142" s="192"/>
      <c r="C2142" s="192"/>
      <c r="D2142" s="192"/>
      <c r="E2142" s="192"/>
      <c r="F2142" s="192"/>
      <c r="G2142" s="192"/>
      <c r="H2142" s="192"/>
      <c r="I2142" s="192"/>
      <c r="J2142" s="192"/>
      <c r="K2142" s="19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92"/>
      <c r="B2143" s="192"/>
      <c r="C2143" s="192"/>
      <c r="D2143" s="192"/>
      <c r="E2143" s="192"/>
      <c r="F2143" s="192"/>
      <c r="G2143" s="192"/>
      <c r="H2143" s="192"/>
      <c r="I2143" s="192"/>
      <c r="J2143" s="192"/>
      <c r="K2143" s="19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92"/>
      <c r="B2144" s="192"/>
      <c r="C2144" s="192"/>
      <c r="D2144" s="192"/>
      <c r="E2144" s="192"/>
      <c r="F2144" s="192"/>
      <c r="G2144" s="192"/>
      <c r="H2144" s="192"/>
      <c r="I2144" s="192"/>
      <c r="J2144" s="192"/>
      <c r="K2144" s="19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92"/>
      <c r="B2145" s="192"/>
      <c r="C2145" s="192"/>
      <c r="D2145" s="192"/>
      <c r="E2145" s="192"/>
      <c r="F2145" s="192"/>
      <c r="G2145" s="192"/>
      <c r="H2145" s="192"/>
      <c r="I2145" s="192"/>
      <c r="J2145" s="192"/>
      <c r="K2145" s="19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92"/>
      <c r="B2146" s="192"/>
      <c r="C2146" s="192"/>
      <c r="D2146" s="192"/>
      <c r="E2146" s="192"/>
      <c r="F2146" s="192"/>
      <c r="G2146" s="192"/>
      <c r="H2146" s="192"/>
      <c r="I2146" s="192"/>
      <c r="J2146" s="192"/>
      <c r="K2146" s="19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92"/>
      <c r="B2147" s="192"/>
      <c r="C2147" s="192"/>
      <c r="D2147" s="192"/>
      <c r="E2147" s="192"/>
      <c r="F2147" s="192"/>
      <c r="G2147" s="192"/>
      <c r="H2147" s="192"/>
      <c r="I2147" s="192"/>
      <c r="J2147" s="192"/>
      <c r="K2147" s="19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92"/>
      <c r="B2148" s="192"/>
      <c r="C2148" s="192"/>
      <c r="D2148" s="192"/>
      <c r="E2148" s="192"/>
      <c r="F2148" s="192"/>
      <c r="G2148" s="192"/>
      <c r="H2148" s="192"/>
      <c r="I2148" s="192"/>
      <c r="J2148" s="192"/>
      <c r="K2148" s="19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92"/>
      <c r="B2149" s="192"/>
      <c r="C2149" s="192"/>
      <c r="D2149" s="192"/>
      <c r="E2149" s="192"/>
      <c r="F2149" s="192"/>
      <c r="G2149" s="192"/>
      <c r="H2149" s="192"/>
      <c r="I2149" s="192"/>
      <c r="J2149" s="192"/>
      <c r="K2149" s="19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92"/>
      <c r="B2150" s="192"/>
      <c r="C2150" s="192"/>
      <c r="D2150" s="192"/>
      <c r="E2150" s="192"/>
      <c r="F2150" s="192"/>
      <c r="G2150" s="192"/>
      <c r="H2150" s="192"/>
      <c r="I2150" s="192"/>
      <c r="J2150" s="192"/>
      <c r="K2150" s="19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92"/>
      <c r="B2151" s="192"/>
      <c r="C2151" s="192"/>
      <c r="D2151" s="192"/>
      <c r="E2151" s="192"/>
      <c r="F2151" s="192"/>
      <c r="G2151" s="192"/>
      <c r="H2151" s="192"/>
      <c r="I2151" s="192"/>
      <c r="J2151" s="192"/>
      <c r="K2151" s="19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92"/>
      <c r="B2152" s="192"/>
      <c r="C2152" s="192"/>
      <c r="D2152" s="192"/>
      <c r="E2152" s="192"/>
      <c r="F2152" s="192"/>
      <c r="G2152" s="192"/>
      <c r="H2152" s="192"/>
      <c r="I2152" s="192"/>
      <c r="J2152" s="192"/>
      <c r="K2152" s="19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92"/>
      <c r="B2153" s="192"/>
      <c r="C2153" s="192"/>
      <c r="D2153" s="192"/>
      <c r="E2153" s="192"/>
      <c r="F2153" s="192"/>
      <c r="G2153" s="192"/>
      <c r="H2153" s="192"/>
      <c r="I2153" s="192"/>
      <c r="J2153" s="192"/>
      <c r="K2153" s="19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92"/>
      <c r="B2154" s="192"/>
      <c r="C2154" s="192"/>
      <c r="D2154" s="192"/>
      <c r="E2154" s="192"/>
      <c r="F2154" s="192"/>
      <c r="G2154" s="192"/>
      <c r="H2154" s="192"/>
      <c r="I2154" s="192"/>
      <c r="J2154" s="192"/>
      <c r="K2154" s="19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92"/>
      <c r="B2155" s="192"/>
      <c r="C2155" s="192"/>
      <c r="D2155" s="192"/>
      <c r="E2155" s="192"/>
      <c r="F2155" s="192"/>
      <c r="G2155" s="192"/>
      <c r="H2155" s="192"/>
      <c r="I2155" s="192"/>
      <c r="J2155" s="192"/>
      <c r="K2155" s="19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92"/>
      <c r="B2156" s="192"/>
      <c r="C2156" s="192"/>
      <c r="D2156" s="192"/>
      <c r="E2156" s="192"/>
      <c r="F2156" s="192"/>
      <c r="G2156" s="192"/>
      <c r="H2156" s="192"/>
      <c r="I2156" s="192"/>
      <c r="J2156" s="192"/>
      <c r="K2156" s="19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92"/>
      <c r="B2157" s="192"/>
      <c r="C2157" s="192"/>
      <c r="D2157" s="192"/>
      <c r="E2157" s="192"/>
      <c r="F2157" s="192"/>
      <c r="G2157" s="192"/>
      <c r="H2157" s="192"/>
      <c r="I2157" s="192"/>
      <c r="J2157" s="192"/>
      <c r="K2157" s="19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92"/>
      <c r="B2158" s="192"/>
      <c r="C2158" s="192"/>
      <c r="D2158" s="192"/>
      <c r="E2158" s="192"/>
      <c r="F2158" s="192"/>
      <c r="G2158" s="192"/>
      <c r="H2158" s="192"/>
      <c r="I2158" s="192"/>
      <c r="J2158" s="192"/>
      <c r="K2158" s="19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92"/>
      <c r="B2159" s="192"/>
      <c r="C2159" s="192"/>
      <c r="D2159" s="192"/>
      <c r="E2159" s="192"/>
      <c r="F2159" s="192"/>
      <c r="G2159" s="192"/>
      <c r="H2159" s="192"/>
      <c r="I2159" s="192"/>
      <c r="J2159" s="192"/>
      <c r="K2159" s="19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92"/>
      <c r="B2160" s="192"/>
      <c r="C2160" s="192"/>
      <c r="D2160" s="192"/>
      <c r="E2160" s="192"/>
      <c r="F2160" s="192"/>
      <c r="G2160" s="192"/>
      <c r="H2160" s="192"/>
      <c r="I2160" s="192"/>
      <c r="J2160" s="192"/>
      <c r="K2160" s="19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92"/>
      <c r="B2161" s="192"/>
      <c r="C2161" s="192"/>
      <c r="D2161" s="192"/>
      <c r="E2161" s="192"/>
      <c r="F2161" s="192"/>
      <c r="G2161" s="192"/>
      <c r="H2161" s="192"/>
      <c r="I2161" s="192"/>
      <c r="J2161" s="192"/>
      <c r="K2161" s="19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92"/>
      <c r="B2162" s="192"/>
      <c r="C2162" s="192"/>
      <c r="D2162" s="192"/>
      <c r="E2162" s="192"/>
      <c r="F2162" s="192"/>
      <c r="G2162" s="192"/>
      <c r="H2162" s="192"/>
      <c r="I2162" s="192"/>
      <c r="J2162" s="192"/>
      <c r="K2162" s="19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92"/>
      <c r="B2163" s="192"/>
      <c r="C2163" s="192"/>
      <c r="D2163" s="192"/>
      <c r="E2163" s="192"/>
      <c r="F2163" s="192"/>
      <c r="G2163" s="192"/>
      <c r="H2163" s="192"/>
      <c r="I2163" s="192"/>
      <c r="J2163" s="192"/>
      <c r="K2163" s="19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92"/>
      <c r="B2164" s="192"/>
      <c r="C2164" s="192"/>
      <c r="D2164" s="192"/>
      <c r="E2164" s="192"/>
      <c r="F2164" s="192"/>
      <c r="G2164" s="192"/>
      <c r="H2164" s="192"/>
      <c r="I2164" s="192"/>
      <c r="J2164" s="192"/>
      <c r="K2164" s="19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92"/>
      <c r="B2165" s="192"/>
      <c r="C2165" s="192"/>
      <c r="D2165" s="192"/>
      <c r="E2165" s="192"/>
      <c r="F2165" s="192"/>
      <c r="G2165" s="192"/>
      <c r="H2165" s="192"/>
      <c r="I2165" s="192"/>
      <c r="J2165" s="192"/>
      <c r="K2165" s="19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92"/>
      <c r="B2166" s="192"/>
      <c r="C2166" s="192"/>
      <c r="D2166" s="192"/>
      <c r="E2166" s="192"/>
      <c r="F2166" s="192"/>
      <c r="G2166" s="192"/>
      <c r="H2166" s="192"/>
      <c r="I2166" s="192"/>
      <c r="J2166" s="192"/>
      <c r="K2166" s="19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92"/>
      <c r="B2167" s="192"/>
      <c r="C2167" s="192"/>
      <c r="D2167" s="192"/>
      <c r="E2167" s="192"/>
      <c r="F2167" s="192"/>
      <c r="G2167" s="192"/>
      <c r="H2167" s="192"/>
      <c r="I2167" s="192"/>
      <c r="J2167" s="192"/>
      <c r="K2167" s="19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92"/>
      <c r="B2168" s="192"/>
      <c r="C2168" s="192"/>
      <c r="D2168" s="192"/>
      <c r="E2168" s="192"/>
      <c r="F2168" s="192"/>
      <c r="G2168" s="192"/>
      <c r="H2168" s="192"/>
      <c r="I2168" s="192"/>
      <c r="J2168" s="192"/>
      <c r="K2168" s="19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92"/>
      <c r="B2169" s="192"/>
      <c r="C2169" s="192"/>
      <c r="D2169" s="192"/>
      <c r="E2169" s="192"/>
      <c r="F2169" s="192"/>
      <c r="G2169" s="192"/>
      <c r="H2169" s="192"/>
      <c r="I2169" s="192"/>
      <c r="J2169" s="192"/>
      <c r="K2169" s="19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92"/>
      <c r="B2170" s="192"/>
      <c r="C2170" s="192"/>
      <c r="D2170" s="192"/>
      <c r="E2170" s="192"/>
      <c r="F2170" s="192"/>
      <c r="G2170" s="192"/>
      <c r="H2170" s="192"/>
      <c r="I2170" s="192"/>
      <c r="J2170" s="192"/>
      <c r="K2170" s="19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92"/>
      <c r="B2171" s="192"/>
      <c r="C2171" s="192"/>
      <c r="D2171" s="192"/>
      <c r="E2171" s="192"/>
      <c r="F2171" s="192"/>
      <c r="G2171" s="192"/>
      <c r="H2171" s="192"/>
      <c r="I2171" s="192"/>
      <c r="J2171" s="192"/>
      <c r="K2171" s="19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92"/>
      <c r="B2172" s="192"/>
      <c r="C2172" s="192"/>
      <c r="D2172" s="192"/>
      <c r="E2172" s="192"/>
      <c r="F2172" s="192"/>
      <c r="G2172" s="192"/>
      <c r="H2172" s="192"/>
      <c r="I2172" s="192"/>
      <c r="J2172" s="192"/>
      <c r="K2172" s="19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92"/>
      <c r="B2173" s="192"/>
      <c r="C2173" s="192"/>
      <c r="D2173" s="192"/>
      <c r="E2173" s="192"/>
      <c r="F2173" s="192"/>
      <c r="G2173" s="192"/>
      <c r="H2173" s="192"/>
      <c r="I2173" s="192"/>
      <c r="J2173" s="192"/>
      <c r="K2173" s="19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92"/>
      <c r="B2174" s="192"/>
      <c r="C2174" s="192"/>
      <c r="D2174" s="192"/>
      <c r="E2174" s="192"/>
      <c r="F2174" s="192"/>
      <c r="G2174" s="192"/>
      <c r="H2174" s="192"/>
      <c r="I2174" s="192"/>
      <c r="J2174" s="192"/>
      <c r="K2174" s="19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92"/>
      <c r="B2175" s="192"/>
      <c r="C2175" s="192"/>
      <c r="D2175" s="192"/>
      <c r="E2175" s="192"/>
      <c r="F2175" s="192"/>
      <c r="G2175" s="192"/>
      <c r="H2175" s="192"/>
      <c r="I2175" s="192"/>
      <c r="J2175" s="192"/>
      <c r="K2175" s="19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92"/>
      <c r="B2176" s="192"/>
      <c r="C2176" s="192"/>
      <c r="D2176" s="192"/>
      <c r="E2176" s="192"/>
      <c r="F2176" s="192"/>
      <c r="G2176" s="192"/>
      <c r="H2176" s="192"/>
      <c r="I2176" s="192"/>
      <c r="J2176" s="192"/>
      <c r="K2176" s="19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92"/>
      <c r="B2177" s="192"/>
      <c r="C2177" s="192"/>
      <c r="D2177" s="192"/>
      <c r="E2177" s="192"/>
      <c r="F2177" s="192"/>
      <c r="G2177" s="192"/>
      <c r="H2177" s="192"/>
      <c r="I2177" s="192"/>
      <c r="J2177" s="192"/>
      <c r="K2177" s="19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92"/>
      <c r="B2178" s="192"/>
      <c r="C2178" s="192"/>
      <c r="D2178" s="192"/>
      <c r="E2178" s="192"/>
      <c r="F2178" s="192"/>
      <c r="G2178" s="192"/>
      <c r="H2178" s="192"/>
      <c r="I2178" s="192"/>
      <c r="J2178" s="192"/>
      <c r="K2178" s="19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92"/>
      <c r="B2179" s="192"/>
      <c r="C2179" s="192"/>
      <c r="D2179" s="192"/>
      <c r="E2179" s="192"/>
      <c r="F2179" s="192"/>
      <c r="G2179" s="192"/>
      <c r="H2179" s="192"/>
      <c r="I2179" s="192"/>
      <c r="J2179" s="192"/>
      <c r="K2179" s="19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92"/>
      <c r="B2180" s="192"/>
      <c r="C2180" s="192"/>
      <c r="D2180" s="192"/>
      <c r="E2180" s="192"/>
      <c r="F2180" s="192"/>
      <c r="G2180" s="192"/>
      <c r="H2180" s="192"/>
      <c r="I2180" s="192"/>
      <c r="J2180" s="192"/>
      <c r="K2180" s="19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92"/>
      <c r="B2181" s="192"/>
      <c r="C2181" s="192"/>
      <c r="D2181" s="192"/>
      <c r="E2181" s="192"/>
      <c r="F2181" s="192"/>
      <c r="G2181" s="192"/>
      <c r="H2181" s="192"/>
      <c r="I2181" s="192"/>
      <c r="J2181" s="192"/>
      <c r="K2181" s="19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92"/>
      <c r="B2182" s="192"/>
      <c r="C2182" s="192"/>
      <c r="D2182" s="192"/>
      <c r="E2182" s="192"/>
      <c r="F2182" s="192"/>
      <c r="G2182" s="192"/>
      <c r="H2182" s="192"/>
      <c r="I2182" s="192"/>
      <c r="J2182" s="192"/>
      <c r="K2182" s="19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92"/>
      <c r="B2183" s="192"/>
      <c r="C2183" s="192"/>
      <c r="D2183" s="192"/>
      <c r="E2183" s="192"/>
      <c r="F2183" s="192"/>
      <c r="G2183" s="192"/>
      <c r="H2183" s="192"/>
      <c r="I2183" s="192"/>
      <c r="J2183" s="192"/>
      <c r="K2183" s="19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92"/>
      <c r="B2184" s="192"/>
      <c r="C2184" s="192"/>
      <c r="D2184" s="192"/>
      <c r="E2184" s="192"/>
      <c r="F2184" s="192"/>
      <c r="G2184" s="192"/>
      <c r="H2184" s="192"/>
      <c r="I2184" s="192"/>
      <c r="J2184" s="192"/>
      <c r="K2184" s="19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92"/>
      <c r="B2185" s="192"/>
      <c r="C2185" s="192"/>
      <c r="D2185" s="192"/>
      <c r="E2185" s="192"/>
      <c r="F2185" s="192"/>
      <c r="G2185" s="192"/>
      <c r="H2185" s="192"/>
      <c r="I2185" s="192"/>
      <c r="J2185" s="192"/>
      <c r="K2185" s="19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92"/>
      <c r="B2186" s="192"/>
      <c r="C2186" s="192"/>
      <c r="D2186" s="192"/>
      <c r="E2186" s="192"/>
      <c r="F2186" s="192"/>
      <c r="G2186" s="192"/>
      <c r="H2186" s="192"/>
      <c r="I2186" s="192"/>
      <c r="J2186" s="192"/>
      <c r="K2186" s="19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92"/>
      <c r="B2187" s="192"/>
      <c r="C2187" s="192"/>
      <c r="D2187" s="192"/>
      <c r="E2187" s="192"/>
      <c r="F2187" s="192"/>
      <c r="G2187" s="192"/>
      <c r="H2187" s="192"/>
      <c r="I2187" s="192"/>
      <c r="J2187" s="192"/>
      <c r="K2187" s="19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92"/>
      <c r="B2188" s="192"/>
      <c r="C2188" s="192"/>
      <c r="D2188" s="192"/>
      <c r="E2188" s="192"/>
      <c r="F2188" s="192"/>
      <c r="G2188" s="192"/>
      <c r="H2188" s="192"/>
      <c r="I2188" s="192"/>
      <c r="J2188" s="192"/>
      <c r="K2188" s="19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92"/>
      <c r="B2189" s="192"/>
      <c r="C2189" s="192"/>
      <c r="D2189" s="192"/>
      <c r="E2189" s="192"/>
      <c r="F2189" s="192"/>
      <c r="G2189" s="192"/>
      <c r="H2189" s="192"/>
      <c r="I2189" s="192"/>
      <c r="J2189" s="192"/>
      <c r="K2189" s="19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92"/>
      <c r="B2190" s="192"/>
      <c r="C2190" s="192"/>
      <c r="D2190" s="192"/>
      <c r="E2190" s="192"/>
      <c r="F2190" s="192"/>
      <c r="G2190" s="192"/>
      <c r="H2190" s="192"/>
      <c r="I2190" s="192"/>
      <c r="J2190" s="192"/>
      <c r="K2190" s="19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92"/>
      <c r="B2191" s="192"/>
      <c r="C2191" s="192"/>
      <c r="D2191" s="192"/>
      <c r="E2191" s="192"/>
      <c r="F2191" s="192"/>
      <c r="G2191" s="192"/>
      <c r="H2191" s="192"/>
      <c r="I2191" s="192"/>
      <c r="J2191" s="192"/>
      <c r="K2191" s="19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92"/>
      <c r="B2192" s="192"/>
      <c r="C2192" s="192"/>
      <c r="D2192" s="192"/>
      <c r="E2192" s="192"/>
      <c r="F2192" s="192"/>
      <c r="G2192" s="192"/>
      <c r="H2192" s="192"/>
      <c r="I2192" s="192"/>
      <c r="J2192" s="192"/>
      <c r="K2192" s="19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92"/>
      <c r="B2193" s="192"/>
      <c r="C2193" s="192"/>
      <c r="D2193" s="192"/>
      <c r="E2193" s="192"/>
      <c r="F2193" s="192"/>
      <c r="G2193" s="192"/>
      <c r="H2193" s="192"/>
      <c r="I2193" s="192"/>
      <c r="J2193" s="192"/>
      <c r="K2193" s="19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92"/>
      <c r="B2194" s="192"/>
      <c r="C2194" s="192"/>
      <c r="D2194" s="192"/>
      <c r="E2194" s="192"/>
      <c r="F2194" s="192"/>
      <c r="G2194" s="192"/>
      <c r="H2194" s="192"/>
      <c r="I2194" s="192"/>
      <c r="J2194" s="192"/>
      <c r="K2194" s="19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92"/>
      <c r="B2195" s="192"/>
      <c r="C2195" s="192"/>
      <c r="D2195" s="192"/>
      <c r="E2195" s="192"/>
      <c r="F2195" s="192"/>
      <c r="G2195" s="192"/>
      <c r="H2195" s="192"/>
      <c r="I2195" s="192"/>
      <c r="J2195" s="192"/>
      <c r="K2195" s="19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92"/>
      <c r="B2196" s="192"/>
      <c r="C2196" s="192"/>
      <c r="D2196" s="192"/>
      <c r="E2196" s="192"/>
      <c r="F2196" s="192"/>
      <c r="G2196" s="192"/>
      <c r="H2196" s="192"/>
      <c r="I2196" s="192"/>
      <c r="J2196" s="192"/>
      <c r="K2196" s="19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92"/>
      <c r="B2197" s="192"/>
      <c r="C2197" s="192"/>
      <c r="D2197" s="192"/>
      <c r="E2197" s="192"/>
      <c r="F2197" s="192"/>
      <c r="G2197" s="192"/>
      <c r="H2197" s="192"/>
      <c r="I2197" s="192"/>
      <c r="J2197" s="192"/>
      <c r="K2197" s="19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92"/>
      <c r="B2198" s="192"/>
      <c r="C2198" s="192"/>
      <c r="D2198" s="192"/>
      <c r="E2198" s="192"/>
      <c r="F2198" s="192"/>
      <c r="G2198" s="192"/>
      <c r="H2198" s="192"/>
      <c r="I2198" s="192"/>
      <c r="J2198" s="192"/>
      <c r="K2198" s="19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92"/>
      <c r="B2199" s="192"/>
      <c r="C2199" s="192"/>
      <c r="D2199" s="192"/>
      <c r="E2199" s="192"/>
      <c r="F2199" s="192"/>
      <c r="G2199" s="192"/>
      <c r="H2199" s="192"/>
      <c r="I2199" s="192"/>
      <c r="J2199" s="192"/>
      <c r="K2199" s="19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92"/>
      <c r="B2200" s="192"/>
      <c r="C2200" s="192"/>
      <c r="D2200" s="192"/>
      <c r="E2200" s="192"/>
      <c r="F2200" s="192"/>
      <c r="G2200" s="192"/>
      <c r="H2200" s="192"/>
      <c r="I2200" s="192"/>
      <c r="J2200" s="192"/>
      <c r="K2200" s="19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92"/>
      <c r="B2201" s="192"/>
      <c r="C2201" s="192"/>
      <c r="D2201" s="192"/>
      <c r="E2201" s="192"/>
      <c r="F2201" s="192"/>
      <c r="G2201" s="192"/>
      <c r="H2201" s="192"/>
      <c r="I2201" s="192"/>
      <c r="J2201" s="192"/>
      <c r="K2201" s="19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92"/>
      <c r="B2202" s="192"/>
      <c r="C2202" s="192"/>
      <c r="D2202" s="192"/>
      <c r="E2202" s="192"/>
      <c r="F2202" s="192"/>
      <c r="G2202" s="192"/>
      <c r="H2202" s="192"/>
      <c r="I2202" s="192"/>
      <c r="J2202" s="192"/>
      <c r="K2202" s="19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92"/>
      <c r="B2203" s="192"/>
      <c r="C2203" s="192"/>
      <c r="D2203" s="192"/>
      <c r="E2203" s="192"/>
      <c r="F2203" s="192"/>
      <c r="G2203" s="192"/>
      <c r="H2203" s="192"/>
      <c r="I2203" s="192"/>
      <c r="J2203" s="192"/>
      <c r="K2203" s="19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92"/>
      <c r="B2204" s="192"/>
      <c r="C2204" s="192"/>
      <c r="D2204" s="192"/>
      <c r="E2204" s="192"/>
      <c r="F2204" s="192"/>
      <c r="G2204" s="192"/>
      <c r="H2204" s="192"/>
      <c r="I2204" s="192"/>
      <c r="J2204" s="192"/>
      <c r="K2204" s="19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92"/>
      <c r="B2205" s="192"/>
      <c r="C2205" s="192"/>
      <c r="D2205" s="192"/>
      <c r="E2205" s="192"/>
      <c r="F2205" s="192"/>
      <c r="G2205" s="192"/>
      <c r="H2205" s="192"/>
      <c r="I2205" s="192"/>
      <c r="J2205" s="192"/>
      <c r="K2205" s="19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92"/>
      <c r="B2206" s="192"/>
      <c r="C2206" s="192"/>
      <c r="D2206" s="192"/>
      <c r="E2206" s="192"/>
      <c r="F2206" s="192"/>
      <c r="G2206" s="192"/>
      <c r="H2206" s="192"/>
      <c r="I2206" s="192"/>
      <c r="J2206" s="192"/>
      <c r="K2206" s="19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92"/>
      <c r="B2207" s="192"/>
      <c r="C2207" s="192"/>
      <c r="D2207" s="192"/>
      <c r="E2207" s="192"/>
      <c r="F2207" s="192"/>
      <c r="G2207" s="192"/>
      <c r="H2207" s="192"/>
      <c r="I2207" s="192"/>
      <c r="J2207" s="192"/>
      <c r="K2207" s="19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92"/>
      <c r="B2208" s="192"/>
      <c r="C2208" s="192"/>
      <c r="D2208" s="192"/>
      <c r="E2208" s="192"/>
      <c r="F2208" s="192"/>
      <c r="G2208" s="192"/>
      <c r="H2208" s="192"/>
      <c r="I2208" s="192"/>
      <c r="J2208" s="192"/>
      <c r="K2208" s="19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92"/>
      <c r="B2209" s="192"/>
      <c r="C2209" s="192"/>
      <c r="D2209" s="192"/>
      <c r="E2209" s="192"/>
      <c r="F2209" s="192"/>
      <c r="G2209" s="192"/>
      <c r="H2209" s="192"/>
      <c r="I2209" s="192"/>
      <c r="J2209" s="192"/>
      <c r="K2209" s="19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92"/>
      <c r="B2210" s="192"/>
      <c r="C2210" s="192"/>
      <c r="D2210" s="192"/>
      <c r="E2210" s="192"/>
      <c r="F2210" s="192"/>
      <c r="G2210" s="192"/>
      <c r="H2210" s="192"/>
      <c r="I2210" s="192"/>
      <c r="J2210" s="192"/>
      <c r="K2210" s="19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92"/>
      <c r="B2211" s="192"/>
      <c r="C2211" s="192"/>
      <c r="D2211" s="192"/>
      <c r="E2211" s="192"/>
      <c r="F2211" s="192"/>
      <c r="G2211" s="192"/>
      <c r="H2211" s="192"/>
      <c r="I2211" s="192"/>
      <c r="J2211" s="192"/>
      <c r="K2211" s="19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92"/>
      <c r="B2212" s="192"/>
      <c r="C2212" s="192"/>
      <c r="D2212" s="192"/>
      <c r="E2212" s="192"/>
      <c r="F2212" s="192"/>
      <c r="G2212" s="192"/>
      <c r="H2212" s="192"/>
      <c r="I2212" s="192"/>
      <c r="J2212" s="192"/>
      <c r="K2212" s="19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92"/>
      <c r="B2213" s="192"/>
      <c r="C2213" s="192"/>
      <c r="D2213" s="192"/>
      <c r="E2213" s="192"/>
      <c r="F2213" s="192"/>
      <c r="G2213" s="192"/>
      <c r="H2213" s="192"/>
      <c r="I2213" s="192"/>
      <c r="J2213" s="192"/>
      <c r="K2213" s="19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92"/>
      <c r="B2214" s="192"/>
      <c r="C2214" s="192"/>
      <c r="D2214" s="192"/>
      <c r="E2214" s="192"/>
      <c r="F2214" s="192"/>
      <c r="G2214" s="192"/>
      <c r="H2214" s="192"/>
      <c r="I2214" s="192"/>
      <c r="J2214" s="192"/>
      <c r="K2214" s="19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92"/>
      <c r="B2215" s="192"/>
      <c r="C2215" s="192"/>
      <c r="D2215" s="192"/>
      <c r="E2215" s="192"/>
      <c r="F2215" s="192"/>
      <c r="G2215" s="192"/>
      <c r="H2215" s="192"/>
      <c r="I2215" s="192"/>
      <c r="J2215" s="192"/>
      <c r="K2215" s="19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92"/>
      <c r="B2216" s="192"/>
      <c r="C2216" s="192"/>
      <c r="D2216" s="192"/>
      <c r="E2216" s="192"/>
      <c r="F2216" s="192"/>
      <c r="G2216" s="192"/>
      <c r="H2216" s="192"/>
      <c r="I2216" s="192"/>
      <c r="J2216" s="192"/>
      <c r="K2216" s="19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92"/>
      <c r="B2217" s="192"/>
      <c r="C2217" s="192"/>
      <c r="D2217" s="192"/>
      <c r="E2217" s="192"/>
      <c r="F2217" s="192"/>
      <c r="G2217" s="192"/>
      <c r="H2217" s="192"/>
      <c r="I2217" s="192"/>
      <c r="J2217" s="192"/>
      <c r="K2217" s="19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92"/>
      <c r="B2218" s="192"/>
      <c r="C2218" s="192"/>
      <c r="D2218" s="192"/>
      <c r="E2218" s="192"/>
      <c r="F2218" s="192"/>
      <c r="G2218" s="192"/>
      <c r="H2218" s="192"/>
      <c r="I2218" s="192"/>
      <c r="J2218" s="192"/>
      <c r="K2218" s="19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92"/>
      <c r="B2219" s="192"/>
      <c r="C2219" s="192"/>
      <c r="D2219" s="192"/>
      <c r="E2219" s="192"/>
      <c r="F2219" s="192"/>
      <c r="G2219" s="192"/>
      <c r="H2219" s="192"/>
      <c r="I2219" s="192"/>
      <c r="J2219" s="192"/>
      <c r="K2219" s="19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92"/>
      <c r="B2220" s="192"/>
      <c r="C2220" s="192"/>
      <c r="D2220" s="192"/>
      <c r="E2220" s="192"/>
      <c r="F2220" s="192"/>
      <c r="G2220" s="192"/>
      <c r="H2220" s="192"/>
      <c r="I2220" s="192"/>
      <c r="J2220" s="192"/>
      <c r="K2220" s="19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92"/>
      <c r="B2221" s="192"/>
      <c r="C2221" s="192"/>
      <c r="D2221" s="192"/>
      <c r="E2221" s="192"/>
      <c r="F2221" s="192"/>
      <c r="G2221" s="192"/>
      <c r="H2221" s="192"/>
      <c r="I2221" s="192"/>
      <c r="J2221" s="192"/>
      <c r="K2221" s="19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92"/>
      <c r="B2222" s="192"/>
      <c r="C2222" s="192"/>
      <c r="D2222" s="192"/>
      <c r="E2222" s="192"/>
      <c r="F2222" s="192"/>
      <c r="G2222" s="192"/>
      <c r="H2222" s="192"/>
      <c r="I2222" s="192"/>
      <c r="J2222" s="192"/>
      <c r="K2222" s="19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92"/>
      <c r="B2223" s="192"/>
      <c r="C2223" s="192"/>
      <c r="D2223" s="192"/>
      <c r="E2223" s="192"/>
      <c r="F2223" s="192"/>
      <c r="G2223" s="192"/>
      <c r="H2223" s="192"/>
      <c r="I2223" s="192"/>
      <c r="J2223" s="192"/>
      <c r="K2223" s="19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92"/>
      <c r="B2224" s="192"/>
      <c r="C2224" s="192"/>
      <c r="D2224" s="192"/>
      <c r="E2224" s="192"/>
      <c r="F2224" s="192"/>
      <c r="G2224" s="192"/>
      <c r="H2224" s="192"/>
      <c r="I2224" s="192"/>
      <c r="J2224" s="192"/>
      <c r="K2224" s="19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92"/>
      <c r="B2225" s="192"/>
      <c r="C2225" s="192"/>
      <c r="D2225" s="192"/>
      <c r="E2225" s="192"/>
      <c r="F2225" s="192"/>
      <c r="G2225" s="192"/>
      <c r="H2225" s="192"/>
      <c r="I2225" s="192"/>
      <c r="J2225" s="192"/>
      <c r="K2225" s="19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92"/>
      <c r="B2226" s="192"/>
      <c r="C2226" s="192"/>
      <c r="D2226" s="192"/>
      <c r="E2226" s="192"/>
      <c r="F2226" s="192"/>
      <c r="G2226" s="192"/>
      <c r="H2226" s="192"/>
      <c r="I2226" s="192"/>
      <c r="J2226" s="192"/>
      <c r="K2226" s="19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92"/>
      <c r="B2227" s="192"/>
      <c r="C2227" s="192"/>
      <c r="D2227" s="192"/>
      <c r="E2227" s="192"/>
      <c r="F2227" s="192"/>
      <c r="G2227" s="192"/>
      <c r="H2227" s="192"/>
      <c r="I2227" s="192"/>
      <c r="J2227" s="192"/>
      <c r="K2227" s="19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92"/>
      <c r="B2228" s="192"/>
      <c r="C2228" s="192"/>
      <c r="D2228" s="192"/>
      <c r="E2228" s="192"/>
      <c r="F2228" s="192"/>
      <c r="G2228" s="192"/>
      <c r="H2228" s="192"/>
      <c r="I2228" s="192"/>
      <c r="J2228" s="192"/>
      <c r="K2228" s="19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92"/>
      <c r="B2229" s="192"/>
      <c r="C2229" s="192"/>
      <c r="D2229" s="192"/>
      <c r="E2229" s="192"/>
      <c r="F2229" s="192"/>
      <c r="G2229" s="192"/>
      <c r="H2229" s="192"/>
      <c r="I2229" s="192"/>
      <c r="J2229" s="192"/>
      <c r="K2229" s="19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92"/>
      <c r="B2230" s="192"/>
      <c r="C2230" s="192"/>
      <c r="D2230" s="192"/>
      <c r="E2230" s="192"/>
      <c r="F2230" s="192"/>
      <c r="G2230" s="192"/>
      <c r="H2230" s="192"/>
      <c r="I2230" s="192"/>
      <c r="J2230" s="192"/>
      <c r="K2230" s="19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92"/>
      <c r="B2231" s="192"/>
      <c r="C2231" s="192"/>
      <c r="D2231" s="192"/>
      <c r="E2231" s="192"/>
      <c r="F2231" s="192"/>
      <c r="G2231" s="192"/>
      <c r="H2231" s="192"/>
      <c r="I2231" s="192"/>
      <c r="J2231" s="192"/>
      <c r="K2231" s="19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92"/>
      <c r="B2232" s="192"/>
      <c r="C2232" s="192"/>
      <c r="D2232" s="192"/>
      <c r="E2232" s="192"/>
      <c r="F2232" s="192"/>
      <c r="G2232" s="192"/>
      <c r="H2232" s="192"/>
      <c r="I2232" s="192"/>
      <c r="J2232" s="192"/>
      <c r="K2232" s="19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92"/>
      <c r="B2233" s="192"/>
      <c r="C2233" s="192"/>
      <c r="D2233" s="192"/>
      <c r="E2233" s="192"/>
      <c r="F2233" s="192"/>
      <c r="G2233" s="192"/>
      <c r="H2233" s="192"/>
      <c r="I2233" s="192"/>
      <c r="J2233" s="192"/>
      <c r="K2233" s="19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92"/>
      <c r="B2234" s="192"/>
      <c r="C2234" s="192"/>
      <c r="D2234" s="192"/>
      <c r="E2234" s="192"/>
      <c r="F2234" s="192"/>
      <c r="G2234" s="192"/>
      <c r="H2234" s="192"/>
      <c r="I2234" s="192"/>
      <c r="J2234" s="192"/>
      <c r="K2234" s="19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92"/>
      <c r="B2235" s="192"/>
      <c r="C2235" s="192"/>
      <c r="D2235" s="192"/>
      <c r="E2235" s="192"/>
      <c r="F2235" s="192"/>
      <c r="G2235" s="192"/>
      <c r="H2235" s="192"/>
      <c r="I2235" s="192"/>
      <c r="J2235" s="192"/>
      <c r="K2235" s="19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92"/>
      <c r="B2236" s="192"/>
      <c r="C2236" s="192"/>
      <c r="D2236" s="192"/>
      <c r="E2236" s="192"/>
      <c r="F2236" s="192"/>
      <c r="G2236" s="192"/>
      <c r="H2236" s="192"/>
      <c r="I2236" s="192"/>
      <c r="J2236" s="192"/>
      <c r="K2236" s="19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92"/>
      <c r="B2237" s="192"/>
      <c r="C2237" s="192"/>
      <c r="D2237" s="192"/>
      <c r="E2237" s="192"/>
      <c r="F2237" s="192"/>
      <c r="G2237" s="192"/>
      <c r="H2237" s="192"/>
      <c r="I2237" s="192"/>
      <c r="J2237" s="192"/>
      <c r="K2237" s="19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92"/>
      <c r="B2238" s="192"/>
      <c r="C2238" s="192"/>
      <c r="D2238" s="192"/>
      <c r="E2238" s="192"/>
      <c r="F2238" s="192"/>
      <c r="G2238" s="192"/>
      <c r="H2238" s="192"/>
      <c r="I2238" s="192"/>
      <c r="J2238" s="192"/>
      <c r="K2238" s="19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92"/>
      <c r="B2239" s="192"/>
      <c r="C2239" s="192"/>
      <c r="D2239" s="192"/>
      <c r="E2239" s="192"/>
      <c r="F2239" s="192"/>
      <c r="G2239" s="192"/>
      <c r="H2239" s="192"/>
      <c r="I2239" s="192"/>
      <c r="J2239" s="192"/>
      <c r="K2239" s="19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92"/>
      <c r="B2240" s="192"/>
      <c r="C2240" s="192"/>
      <c r="D2240" s="192"/>
      <c r="E2240" s="192"/>
      <c r="F2240" s="192"/>
      <c r="G2240" s="192"/>
      <c r="H2240" s="192"/>
      <c r="I2240" s="192"/>
      <c r="J2240" s="192"/>
      <c r="K2240" s="19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92"/>
      <c r="B2241" s="192"/>
      <c r="C2241" s="192"/>
      <c r="D2241" s="192"/>
      <c r="E2241" s="192"/>
      <c r="F2241" s="192"/>
      <c r="G2241" s="192"/>
      <c r="H2241" s="192"/>
      <c r="I2241" s="192"/>
      <c r="J2241" s="192"/>
      <c r="K2241" s="19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92"/>
      <c r="B2242" s="192"/>
      <c r="C2242" s="192"/>
      <c r="D2242" s="192"/>
      <c r="E2242" s="192"/>
      <c r="F2242" s="192"/>
      <c r="G2242" s="192"/>
      <c r="H2242" s="192"/>
      <c r="I2242" s="192"/>
      <c r="J2242" s="192"/>
      <c r="K2242" s="19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92"/>
      <c r="B2243" s="192"/>
      <c r="C2243" s="192"/>
      <c r="D2243" s="192"/>
      <c r="E2243" s="192"/>
      <c r="F2243" s="192"/>
      <c r="G2243" s="192"/>
      <c r="H2243" s="192"/>
      <c r="I2243" s="192"/>
      <c r="J2243" s="192"/>
      <c r="K2243" s="19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92"/>
      <c r="B2244" s="192"/>
      <c r="C2244" s="192"/>
      <c r="D2244" s="192"/>
      <c r="E2244" s="192"/>
      <c r="F2244" s="192"/>
      <c r="G2244" s="192"/>
      <c r="H2244" s="192"/>
      <c r="I2244" s="192"/>
      <c r="J2244" s="192"/>
      <c r="K2244" s="19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92"/>
      <c r="B2245" s="192"/>
      <c r="C2245" s="192"/>
      <c r="D2245" s="192"/>
      <c r="E2245" s="192"/>
      <c r="F2245" s="192"/>
      <c r="G2245" s="192"/>
      <c r="H2245" s="192"/>
      <c r="I2245" s="192"/>
      <c r="J2245" s="192"/>
      <c r="K2245" s="19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92"/>
      <c r="B2246" s="192"/>
      <c r="C2246" s="192"/>
      <c r="D2246" s="192"/>
      <c r="E2246" s="192"/>
      <c r="F2246" s="192"/>
      <c r="G2246" s="192"/>
      <c r="H2246" s="192"/>
      <c r="I2246" s="192"/>
      <c r="J2246" s="192"/>
      <c r="K2246" s="19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92"/>
      <c r="B2247" s="192"/>
      <c r="C2247" s="192"/>
      <c r="D2247" s="192"/>
      <c r="E2247" s="192"/>
      <c r="F2247" s="192"/>
      <c r="G2247" s="192"/>
      <c r="H2247" s="192"/>
      <c r="I2247" s="192"/>
      <c r="J2247" s="192"/>
      <c r="K2247" s="19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92"/>
      <c r="B2248" s="192"/>
      <c r="C2248" s="192"/>
      <c r="D2248" s="192"/>
      <c r="E2248" s="192"/>
      <c r="F2248" s="192"/>
      <c r="G2248" s="192"/>
      <c r="H2248" s="192"/>
      <c r="I2248" s="192"/>
      <c r="J2248" s="192"/>
      <c r="K2248" s="19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92"/>
      <c r="B2249" s="192"/>
      <c r="C2249" s="192"/>
      <c r="D2249" s="192"/>
      <c r="E2249" s="192"/>
      <c r="F2249" s="192"/>
      <c r="G2249" s="192"/>
      <c r="H2249" s="192"/>
      <c r="I2249" s="192"/>
      <c r="J2249" s="192"/>
      <c r="K2249" s="19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92"/>
      <c r="B2250" s="192"/>
      <c r="C2250" s="192"/>
      <c r="D2250" s="192"/>
      <c r="E2250" s="192"/>
      <c r="F2250" s="192"/>
      <c r="G2250" s="192"/>
      <c r="H2250" s="192"/>
      <c r="I2250" s="192"/>
      <c r="J2250" s="192"/>
      <c r="K2250" s="19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92"/>
      <c r="B2251" s="192"/>
      <c r="C2251" s="192"/>
      <c r="D2251" s="192"/>
      <c r="E2251" s="192"/>
      <c r="F2251" s="192"/>
      <c r="G2251" s="192"/>
      <c r="H2251" s="192"/>
      <c r="I2251" s="192"/>
      <c r="J2251" s="192"/>
      <c r="K2251" s="19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92"/>
      <c r="B2252" s="192"/>
      <c r="C2252" s="192"/>
      <c r="D2252" s="192"/>
      <c r="E2252" s="192"/>
      <c r="F2252" s="192"/>
      <c r="G2252" s="192"/>
      <c r="H2252" s="192"/>
      <c r="I2252" s="192"/>
      <c r="J2252" s="192"/>
      <c r="K2252" s="19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92"/>
      <c r="B2253" s="192"/>
      <c r="C2253" s="192"/>
      <c r="D2253" s="192"/>
      <c r="E2253" s="192"/>
      <c r="F2253" s="192"/>
      <c r="G2253" s="192"/>
      <c r="H2253" s="192"/>
      <c r="I2253" s="192"/>
      <c r="J2253" s="192"/>
      <c r="K2253" s="19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92"/>
      <c r="B2254" s="192"/>
      <c r="C2254" s="192"/>
      <c r="D2254" s="192"/>
      <c r="E2254" s="192"/>
      <c r="F2254" s="192"/>
      <c r="G2254" s="192"/>
      <c r="H2254" s="192"/>
      <c r="I2254" s="192"/>
      <c r="J2254" s="192"/>
      <c r="K2254" s="19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92"/>
      <c r="B2255" s="192"/>
      <c r="C2255" s="192"/>
      <c r="D2255" s="192"/>
      <c r="E2255" s="192"/>
      <c r="F2255" s="192"/>
      <c r="G2255" s="192"/>
      <c r="H2255" s="192"/>
      <c r="I2255" s="192"/>
      <c r="J2255" s="192"/>
      <c r="K2255" s="19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92"/>
      <c r="B2256" s="192"/>
      <c r="C2256" s="192"/>
      <c r="D2256" s="192"/>
      <c r="E2256" s="192"/>
      <c r="F2256" s="192"/>
      <c r="G2256" s="192"/>
      <c r="H2256" s="192"/>
      <c r="I2256" s="192"/>
      <c r="J2256" s="192"/>
      <c r="K2256" s="19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92"/>
      <c r="B2257" s="192"/>
      <c r="C2257" s="192"/>
      <c r="D2257" s="192"/>
      <c r="E2257" s="192"/>
      <c r="F2257" s="192"/>
      <c r="G2257" s="192"/>
      <c r="H2257" s="192"/>
      <c r="I2257" s="192"/>
      <c r="J2257" s="192"/>
      <c r="K2257" s="19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92"/>
      <c r="B2258" s="192"/>
      <c r="C2258" s="192"/>
      <c r="D2258" s="192"/>
      <c r="E2258" s="192"/>
      <c r="F2258" s="192"/>
      <c r="G2258" s="192"/>
      <c r="H2258" s="192"/>
      <c r="I2258" s="192"/>
      <c r="J2258" s="192"/>
      <c r="K2258" s="19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92"/>
      <c r="B2259" s="192"/>
      <c r="C2259" s="192"/>
      <c r="D2259" s="192"/>
      <c r="E2259" s="192"/>
      <c r="F2259" s="192"/>
      <c r="G2259" s="192"/>
      <c r="H2259" s="192"/>
      <c r="I2259" s="192"/>
      <c r="J2259" s="192"/>
      <c r="K2259" s="19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92"/>
      <c r="B2260" s="192"/>
      <c r="C2260" s="192"/>
      <c r="D2260" s="192"/>
      <c r="E2260" s="192"/>
      <c r="F2260" s="192"/>
      <c r="G2260" s="192"/>
      <c r="H2260" s="192"/>
      <c r="I2260" s="192"/>
      <c r="J2260" s="192"/>
      <c r="K2260" s="19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92"/>
      <c r="B2261" s="192"/>
      <c r="C2261" s="192"/>
      <c r="D2261" s="192"/>
      <c r="E2261" s="192"/>
      <c r="F2261" s="192"/>
      <c r="G2261" s="192"/>
      <c r="H2261" s="192"/>
      <c r="I2261" s="192"/>
      <c r="J2261" s="192"/>
      <c r="K2261" s="19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92"/>
      <c r="B2262" s="192"/>
      <c r="C2262" s="192"/>
      <c r="D2262" s="192"/>
      <c r="E2262" s="192"/>
      <c r="F2262" s="192"/>
      <c r="G2262" s="192"/>
      <c r="H2262" s="192"/>
      <c r="I2262" s="192"/>
      <c r="J2262" s="192"/>
      <c r="K2262" s="19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92"/>
      <c r="B2263" s="192"/>
      <c r="C2263" s="192"/>
      <c r="D2263" s="192"/>
      <c r="E2263" s="192"/>
      <c r="F2263" s="192"/>
      <c r="G2263" s="192"/>
      <c r="H2263" s="192"/>
      <c r="I2263" s="192"/>
      <c r="J2263" s="192"/>
      <c r="K2263" s="19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92"/>
      <c r="B2264" s="192"/>
      <c r="C2264" s="192"/>
      <c r="D2264" s="192"/>
      <c r="E2264" s="192"/>
      <c r="F2264" s="192"/>
      <c r="G2264" s="192"/>
      <c r="H2264" s="192"/>
      <c r="I2264" s="192"/>
      <c r="J2264" s="192"/>
      <c r="K2264" s="19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92"/>
      <c r="B2265" s="192"/>
      <c r="C2265" s="192"/>
      <c r="D2265" s="192"/>
      <c r="E2265" s="192"/>
      <c r="F2265" s="192"/>
      <c r="G2265" s="192"/>
      <c r="H2265" s="192"/>
      <c r="I2265" s="192"/>
      <c r="J2265" s="192"/>
      <c r="K2265" s="19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92"/>
      <c r="B2266" s="192"/>
      <c r="C2266" s="192"/>
      <c r="D2266" s="192"/>
      <c r="E2266" s="192"/>
      <c r="F2266" s="192"/>
      <c r="G2266" s="192"/>
      <c r="H2266" s="192"/>
      <c r="I2266" s="192"/>
      <c r="J2266" s="192"/>
      <c r="K2266" s="19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92"/>
      <c r="B2267" s="192"/>
      <c r="C2267" s="192"/>
      <c r="D2267" s="192"/>
      <c r="E2267" s="192"/>
      <c r="F2267" s="192"/>
      <c r="G2267" s="192"/>
      <c r="H2267" s="192"/>
      <c r="I2267" s="192"/>
      <c r="J2267" s="192"/>
      <c r="K2267" s="19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92"/>
      <c r="B2268" s="192"/>
      <c r="C2268" s="192"/>
      <c r="D2268" s="192"/>
      <c r="E2268" s="192"/>
      <c r="F2268" s="192"/>
      <c r="G2268" s="192"/>
      <c r="H2268" s="192"/>
      <c r="I2268" s="192"/>
      <c r="J2268" s="192"/>
      <c r="K2268" s="19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92"/>
      <c r="B2269" s="192"/>
      <c r="C2269" s="192"/>
      <c r="D2269" s="192"/>
      <c r="E2269" s="192"/>
      <c r="F2269" s="192"/>
      <c r="G2269" s="192"/>
      <c r="H2269" s="192"/>
      <c r="I2269" s="192"/>
      <c r="J2269" s="192"/>
      <c r="K2269" s="19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92"/>
      <c r="B2270" s="192"/>
      <c r="C2270" s="192"/>
      <c r="D2270" s="192"/>
      <c r="E2270" s="192"/>
      <c r="F2270" s="192"/>
      <c r="G2270" s="192"/>
      <c r="H2270" s="192"/>
      <c r="I2270" s="192"/>
      <c r="J2270" s="192"/>
      <c r="K2270" s="19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92"/>
      <c r="B2271" s="192"/>
      <c r="C2271" s="192"/>
      <c r="D2271" s="192"/>
      <c r="E2271" s="192"/>
      <c r="F2271" s="192"/>
      <c r="G2271" s="192"/>
      <c r="H2271" s="192"/>
      <c r="I2271" s="192"/>
      <c r="J2271" s="192"/>
      <c r="K2271" s="19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92"/>
      <c r="B2272" s="192"/>
      <c r="C2272" s="192"/>
      <c r="D2272" s="192"/>
      <c r="E2272" s="192"/>
      <c r="F2272" s="192"/>
      <c r="G2272" s="192"/>
      <c r="H2272" s="192"/>
      <c r="I2272" s="192"/>
      <c r="J2272" s="192"/>
      <c r="K2272" s="19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92"/>
      <c r="B2273" s="192"/>
      <c r="C2273" s="192"/>
      <c r="D2273" s="192"/>
      <c r="E2273" s="192"/>
      <c r="F2273" s="192"/>
      <c r="G2273" s="192"/>
      <c r="H2273" s="192"/>
      <c r="I2273" s="192"/>
      <c r="J2273" s="192"/>
      <c r="K2273" s="19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92"/>
      <c r="B2274" s="192"/>
      <c r="C2274" s="192"/>
      <c r="D2274" s="192"/>
      <c r="E2274" s="192"/>
      <c r="F2274" s="192"/>
      <c r="G2274" s="192"/>
      <c r="H2274" s="192"/>
      <c r="I2274" s="192"/>
      <c r="J2274" s="192"/>
      <c r="K2274" s="19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92"/>
      <c r="B2275" s="192"/>
      <c r="C2275" s="192"/>
      <c r="D2275" s="192"/>
      <c r="E2275" s="192"/>
      <c r="F2275" s="192"/>
      <c r="G2275" s="192"/>
      <c r="H2275" s="192"/>
      <c r="I2275" s="192"/>
      <c r="J2275" s="192"/>
      <c r="K2275" s="19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92"/>
      <c r="B2276" s="192"/>
      <c r="C2276" s="192"/>
      <c r="D2276" s="192"/>
      <c r="E2276" s="192"/>
      <c r="F2276" s="192"/>
      <c r="G2276" s="192"/>
      <c r="H2276" s="192"/>
      <c r="I2276" s="192"/>
      <c r="J2276" s="192"/>
      <c r="K2276" s="19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92"/>
      <c r="B2277" s="192"/>
      <c r="C2277" s="192"/>
      <c r="D2277" s="192"/>
      <c r="E2277" s="192"/>
      <c r="F2277" s="192"/>
      <c r="G2277" s="192"/>
      <c r="H2277" s="192"/>
      <c r="I2277" s="192"/>
      <c r="J2277" s="192"/>
      <c r="K2277" s="19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92"/>
      <c r="B2278" s="192"/>
      <c r="C2278" s="192"/>
      <c r="D2278" s="192"/>
      <c r="E2278" s="192"/>
      <c r="F2278" s="192"/>
      <c r="G2278" s="192"/>
      <c r="H2278" s="192"/>
      <c r="I2278" s="192"/>
      <c r="J2278" s="192"/>
      <c r="K2278" s="19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92"/>
      <c r="B2279" s="192"/>
      <c r="C2279" s="192"/>
      <c r="D2279" s="192"/>
      <c r="E2279" s="192"/>
      <c r="F2279" s="192"/>
      <c r="G2279" s="192"/>
      <c r="H2279" s="192"/>
      <c r="I2279" s="192"/>
      <c r="J2279" s="192"/>
      <c r="K2279" s="19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92"/>
      <c r="B2280" s="192"/>
      <c r="C2280" s="192"/>
      <c r="D2280" s="192"/>
      <c r="E2280" s="192"/>
      <c r="F2280" s="192"/>
      <c r="G2280" s="192"/>
      <c r="H2280" s="192"/>
      <c r="I2280" s="192"/>
      <c r="J2280" s="192"/>
      <c r="K2280" s="19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92"/>
      <c r="B2281" s="192"/>
      <c r="C2281" s="192"/>
      <c r="D2281" s="192"/>
      <c r="E2281" s="192"/>
      <c r="F2281" s="192"/>
      <c r="G2281" s="192"/>
      <c r="H2281" s="192"/>
      <c r="I2281" s="192"/>
      <c r="J2281" s="192"/>
      <c r="K2281" s="19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92"/>
      <c r="B2282" s="192"/>
      <c r="C2282" s="192"/>
      <c r="D2282" s="192"/>
      <c r="E2282" s="192"/>
      <c r="F2282" s="192"/>
      <c r="G2282" s="192"/>
      <c r="H2282" s="192"/>
      <c r="I2282" s="192"/>
      <c r="J2282" s="192"/>
      <c r="K2282" s="19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92"/>
      <c r="B2283" s="192"/>
      <c r="C2283" s="192"/>
      <c r="D2283" s="192"/>
      <c r="E2283" s="192"/>
      <c r="F2283" s="192"/>
      <c r="G2283" s="192"/>
      <c r="H2283" s="192"/>
      <c r="I2283" s="192"/>
      <c r="J2283" s="192"/>
      <c r="K2283" s="19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92"/>
      <c r="B2284" s="192"/>
      <c r="C2284" s="192"/>
      <c r="D2284" s="192"/>
      <c r="E2284" s="192"/>
      <c r="F2284" s="192"/>
      <c r="G2284" s="192"/>
      <c r="H2284" s="192"/>
      <c r="I2284" s="192"/>
      <c r="J2284" s="192"/>
      <c r="K2284" s="19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92"/>
      <c r="B2285" s="192"/>
      <c r="C2285" s="192"/>
      <c r="D2285" s="192"/>
      <c r="E2285" s="192"/>
      <c r="F2285" s="192"/>
      <c r="G2285" s="192"/>
      <c r="H2285" s="192"/>
      <c r="I2285" s="192"/>
      <c r="J2285" s="192"/>
      <c r="K2285" s="19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92"/>
      <c r="B2286" s="192"/>
      <c r="C2286" s="192"/>
      <c r="D2286" s="192"/>
      <c r="E2286" s="192"/>
      <c r="F2286" s="192"/>
      <c r="G2286" s="192"/>
      <c r="H2286" s="192"/>
      <c r="I2286" s="192"/>
      <c r="J2286" s="192"/>
      <c r="K2286" s="19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92"/>
      <c r="B2287" s="192"/>
      <c r="C2287" s="192"/>
      <c r="D2287" s="192"/>
      <c r="E2287" s="192"/>
      <c r="F2287" s="192"/>
      <c r="G2287" s="192"/>
      <c r="H2287" s="192"/>
      <c r="I2287" s="192"/>
      <c r="J2287" s="192"/>
      <c r="K2287" s="19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92"/>
      <c r="B2288" s="192"/>
      <c r="C2288" s="192"/>
      <c r="D2288" s="192"/>
      <c r="E2288" s="192"/>
      <c r="F2288" s="192"/>
      <c r="G2288" s="192"/>
      <c r="H2288" s="192"/>
      <c r="I2288" s="192"/>
      <c r="J2288" s="192"/>
      <c r="K2288" s="19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92"/>
      <c r="B2289" s="192"/>
      <c r="C2289" s="192"/>
      <c r="D2289" s="192"/>
      <c r="E2289" s="192"/>
      <c r="F2289" s="192"/>
      <c r="G2289" s="192"/>
      <c r="H2289" s="192"/>
      <c r="I2289" s="192"/>
      <c r="J2289" s="192"/>
      <c r="K2289" s="19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92"/>
      <c r="B2290" s="192"/>
      <c r="C2290" s="192"/>
      <c r="D2290" s="192"/>
      <c r="E2290" s="192"/>
      <c r="F2290" s="192"/>
      <c r="G2290" s="192"/>
      <c r="H2290" s="192"/>
      <c r="I2290" s="192"/>
      <c r="J2290" s="192"/>
      <c r="K2290" s="19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92"/>
      <c r="B2291" s="192"/>
      <c r="C2291" s="192"/>
      <c r="D2291" s="192"/>
      <c r="E2291" s="192"/>
      <c r="F2291" s="192"/>
      <c r="G2291" s="192"/>
      <c r="H2291" s="192"/>
      <c r="I2291" s="192"/>
      <c r="J2291" s="192"/>
      <c r="K2291" s="19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92"/>
      <c r="B2292" s="192"/>
      <c r="C2292" s="192"/>
      <c r="D2292" s="192"/>
      <c r="E2292" s="192"/>
      <c r="F2292" s="192"/>
      <c r="G2292" s="192"/>
      <c r="H2292" s="192"/>
      <c r="I2292" s="192"/>
      <c r="J2292" s="192"/>
      <c r="K2292" s="19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92"/>
      <c r="B2293" s="192"/>
      <c r="C2293" s="192"/>
      <c r="D2293" s="192"/>
      <c r="E2293" s="192"/>
      <c r="F2293" s="192"/>
      <c r="G2293" s="192"/>
      <c r="H2293" s="192"/>
      <c r="I2293" s="192"/>
      <c r="J2293" s="192"/>
      <c r="K2293" s="19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92"/>
      <c r="B2294" s="192"/>
      <c r="C2294" s="192"/>
      <c r="D2294" s="192"/>
      <c r="E2294" s="192"/>
      <c r="F2294" s="192"/>
      <c r="G2294" s="192"/>
      <c r="H2294" s="192"/>
      <c r="I2294" s="192"/>
      <c r="J2294" s="192"/>
      <c r="K2294" s="19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92"/>
      <c r="B2295" s="192"/>
      <c r="C2295" s="192"/>
      <c r="D2295" s="192"/>
      <c r="E2295" s="192"/>
      <c r="F2295" s="192"/>
      <c r="G2295" s="192"/>
      <c r="H2295" s="192"/>
      <c r="I2295" s="192"/>
      <c r="J2295" s="192"/>
      <c r="K2295" s="19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92"/>
      <c r="B2296" s="192"/>
      <c r="C2296" s="192"/>
      <c r="D2296" s="192"/>
      <c r="E2296" s="192"/>
      <c r="F2296" s="192"/>
      <c r="G2296" s="192"/>
      <c r="H2296" s="192"/>
      <c r="I2296" s="192"/>
      <c r="J2296" s="192"/>
      <c r="K2296" s="19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92"/>
      <c r="B2297" s="192"/>
      <c r="C2297" s="192"/>
      <c r="D2297" s="192"/>
      <c r="E2297" s="192"/>
      <c r="F2297" s="192"/>
      <c r="G2297" s="192"/>
      <c r="H2297" s="192"/>
      <c r="I2297" s="192"/>
      <c r="J2297" s="192"/>
      <c r="K2297" s="19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92"/>
      <c r="B2298" s="192"/>
      <c r="C2298" s="192"/>
      <c r="D2298" s="192"/>
      <c r="E2298" s="192"/>
      <c r="F2298" s="192"/>
      <c r="G2298" s="192"/>
      <c r="H2298" s="192"/>
      <c r="I2298" s="192"/>
      <c r="J2298" s="192"/>
      <c r="K2298" s="19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92"/>
      <c r="B2299" s="192"/>
      <c r="C2299" s="192"/>
      <c r="D2299" s="192"/>
      <c r="E2299" s="192"/>
      <c r="F2299" s="192"/>
      <c r="G2299" s="192"/>
      <c r="H2299" s="192"/>
      <c r="I2299" s="192"/>
      <c r="J2299" s="192"/>
      <c r="K2299" s="19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92"/>
      <c r="B2300" s="192"/>
      <c r="C2300" s="192"/>
      <c r="D2300" s="192"/>
      <c r="E2300" s="192"/>
      <c r="F2300" s="192"/>
      <c r="G2300" s="192"/>
      <c r="H2300" s="192"/>
      <c r="I2300" s="192"/>
      <c r="J2300" s="192"/>
      <c r="K2300" s="19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92"/>
      <c r="B2301" s="192"/>
      <c r="C2301" s="192"/>
      <c r="D2301" s="192"/>
      <c r="E2301" s="192"/>
      <c r="F2301" s="192"/>
      <c r="G2301" s="192"/>
      <c r="H2301" s="192"/>
      <c r="I2301" s="192"/>
      <c r="J2301" s="192"/>
      <c r="K2301" s="19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92"/>
      <c r="B2302" s="192"/>
      <c r="C2302" s="192"/>
      <c r="D2302" s="192"/>
      <c r="E2302" s="192"/>
      <c r="F2302" s="192"/>
      <c r="G2302" s="192"/>
      <c r="H2302" s="192"/>
      <c r="I2302" s="192"/>
      <c r="J2302" s="192"/>
      <c r="K2302" s="19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92"/>
      <c r="B2303" s="192"/>
      <c r="C2303" s="192"/>
      <c r="D2303" s="192"/>
      <c r="E2303" s="192"/>
      <c r="F2303" s="192"/>
      <c r="G2303" s="192"/>
      <c r="H2303" s="192"/>
      <c r="I2303" s="192"/>
      <c r="J2303" s="192"/>
      <c r="K2303" s="19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92"/>
      <c r="B2304" s="192"/>
      <c r="C2304" s="192"/>
      <c r="D2304" s="192"/>
      <c r="E2304" s="192"/>
      <c r="F2304" s="192"/>
      <c r="G2304" s="192"/>
      <c r="H2304" s="192"/>
      <c r="I2304" s="192"/>
      <c r="J2304" s="192"/>
      <c r="K2304" s="19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92"/>
      <c r="B2305" s="192"/>
      <c r="C2305" s="192"/>
      <c r="D2305" s="192"/>
      <c r="E2305" s="192"/>
      <c r="F2305" s="192"/>
      <c r="G2305" s="192"/>
      <c r="H2305" s="192"/>
      <c r="I2305" s="192"/>
      <c r="J2305" s="192"/>
      <c r="K2305" s="19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92"/>
      <c r="B2306" s="192"/>
      <c r="C2306" s="192"/>
      <c r="D2306" s="192"/>
      <c r="E2306" s="192"/>
      <c r="F2306" s="192"/>
      <c r="G2306" s="192"/>
      <c r="H2306" s="192"/>
      <c r="I2306" s="192"/>
      <c r="J2306" s="192"/>
      <c r="K2306" s="19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92"/>
      <c r="B2307" s="192"/>
      <c r="C2307" s="192"/>
      <c r="D2307" s="192"/>
      <c r="E2307" s="192"/>
      <c r="F2307" s="192"/>
      <c r="G2307" s="192"/>
      <c r="H2307" s="192"/>
      <c r="I2307" s="192"/>
      <c r="J2307" s="192"/>
      <c r="K2307" s="19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92"/>
      <c r="B2308" s="192"/>
      <c r="C2308" s="192"/>
      <c r="D2308" s="192"/>
      <c r="E2308" s="192"/>
      <c r="F2308" s="192"/>
      <c r="G2308" s="192"/>
      <c r="H2308" s="192"/>
      <c r="I2308" s="192"/>
      <c r="J2308" s="192"/>
      <c r="K2308" s="19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92"/>
      <c r="B2309" s="192"/>
      <c r="C2309" s="192"/>
      <c r="D2309" s="192"/>
      <c r="E2309" s="192"/>
      <c r="F2309" s="192"/>
      <c r="G2309" s="192"/>
      <c r="H2309" s="192"/>
      <c r="I2309" s="192"/>
      <c r="J2309" s="192"/>
      <c r="K2309" s="19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92"/>
      <c r="B2310" s="192"/>
      <c r="C2310" s="192"/>
      <c r="D2310" s="192"/>
      <c r="E2310" s="192"/>
      <c r="F2310" s="192"/>
      <c r="G2310" s="192"/>
      <c r="H2310" s="192"/>
      <c r="I2310" s="192"/>
      <c r="J2310" s="192"/>
      <c r="K2310" s="19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92"/>
      <c r="B2311" s="192"/>
      <c r="C2311" s="192"/>
      <c r="D2311" s="192"/>
      <c r="E2311" s="192"/>
      <c r="F2311" s="192"/>
      <c r="G2311" s="192"/>
      <c r="H2311" s="192"/>
      <c r="I2311" s="192"/>
      <c r="J2311" s="192"/>
      <c r="K2311" s="19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92"/>
      <c r="B2312" s="192"/>
      <c r="C2312" s="192"/>
      <c r="D2312" s="192"/>
      <c r="E2312" s="192"/>
      <c r="F2312" s="192"/>
      <c r="G2312" s="192"/>
      <c r="H2312" s="192"/>
      <c r="I2312" s="192"/>
      <c r="J2312" s="192"/>
      <c r="K2312" s="19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92"/>
      <c r="B2313" s="192"/>
      <c r="C2313" s="192"/>
      <c r="D2313" s="192"/>
      <c r="E2313" s="192"/>
      <c r="F2313" s="192"/>
      <c r="G2313" s="192"/>
      <c r="H2313" s="192"/>
      <c r="I2313" s="192"/>
      <c r="J2313" s="192"/>
      <c r="K2313" s="19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92"/>
      <c r="B2314" s="192"/>
      <c r="C2314" s="192"/>
      <c r="D2314" s="192"/>
      <c r="E2314" s="192"/>
      <c r="F2314" s="192"/>
      <c r="G2314" s="192"/>
      <c r="H2314" s="192"/>
      <c r="I2314" s="192"/>
      <c r="J2314" s="192"/>
      <c r="K2314" s="19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92"/>
      <c r="B2315" s="192"/>
      <c r="C2315" s="192"/>
      <c r="D2315" s="192"/>
      <c r="E2315" s="192"/>
      <c r="F2315" s="192"/>
      <c r="G2315" s="192"/>
      <c r="H2315" s="192"/>
      <c r="I2315" s="192"/>
      <c r="J2315" s="192"/>
      <c r="K2315" s="19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92"/>
      <c r="B2316" s="192"/>
      <c r="C2316" s="192"/>
      <c r="D2316" s="192"/>
      <c r="E2316" s="192"/>
      <c r="F2316" s="192"/>
      <c r="G2316" s="192"/>
      <c r="H2316" s="192"/>
      <c r="I2316" s="192"/>
      <c r="J2316" s="192"/>
      <c r="K2316" s="19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92"/>
      <c r="B2317" s="192"/>
      <c r="C2317" s="192"/>
      <c r="D2317" s="192"/>
      <c r="E2317" s="192"/>
      <c r="F2317" s="192"/>
      <c r="G2317" s="192"/>
      <c r="H2317" s="192"/>
      <c r="I2317" s="192"/>
      <c r="J2317" s="192"/>
      <c r="K2317" s="19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92"/>
      <c r="B2318" s="192"/>
      <c r="C2318" s="192"/>
      <c r="D2318" s="192"/>
      <c r="E2318" s="192"/>
      <c r="F2318" s="192"/>
      <c r="G2318" s="192"/>
      <c r="H2318" s="192"/>
      <c r="I2318" s="192"/>
      <c r="J2318" s="192"/>
      <c r="K2318" s="19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92"/>
      <c r="B2319" s="192"/>
      <c r="C2319" s="192"/>
      <c r="D2319" s="192"/>
      <c r="E2319" s="192"/>
      <c r="F2319" s="192"/>
      <c r="G2319" s="192"/>
      <c r="H2319" s="192"/>
      <c r="I2319" s="192"/>
      <c r="J2319" s="192"/>
      <c r="K2319" s="19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92"/>
      <c r="B2320" s="192"/>
      <c r="C2320" s="192"/>
      <c r="D2320" s="192"/>
      <c r="E2320" s="192"/>
      <c r="F2320" s="192"/>
      <c r="G2320" s="192"/>
      <c r="H2320" s="192"/>
      <c r="I2320" s="192"/>
      <c r="J2320" s="192"/>
      <c r="K2320" s="19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92"/>
      <c r="B2321" s="192"/>
      <c r="C2321" s="192"/>
      <c r="D2321" s="192"/>
      <c r="E2321" s="192"/>
      <c r="F2321" s="192"/>
      <c r="G2321" s="192"/>
      <c r="H2321" s="192"/>
      <c r="I2321" s="192"/>
      <c r="J2321" s="192"/>
      <c r="K2321" s="19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92"/>
      <c r="B2322" s="192"/>
      <c r="C2322" s="192"/>
      <c r="D2322" s="192"/>
      <c r="E2322" s="192"/>
      <c r="F2322" s="192"/>
      <c r="G2322" s="192"/>
      <c r="H2322" s="192"/>
      <c r="I2322" s="192"/>
      <c r="J2322" s="192"/>
      <c r="K2322" s="19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92"/>
      <c r="B2323" s="192"/>
      <c r="C2323" s="192"/>
      <c r="D2323" s="192"/>
      <c r="E2323" s="192"/>
      <c r="F2323" s="192"/>
      <c r="G2323" s="192"/>
      <c r="H2323" s="192"/>
      <c r="I2323" s="192"/>
      <c r="J2323" s="192"/>
      <c r="K2323" s="19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92"/>
      <c r="B2324" s="192"/>
      <c r="C2324" s="192"/>
      <c r="D2324" s="192"/>
      <c r="E2324" s="192"/>
      <c r="F2324" s="192"/>
      <c r="G2324" s="192"/>
      <c r="H2324" s="192"/>
      <c r="I2324" s="192"/>
      <c r="J2324" s="192"/>
      <c r="K2324" s="19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92"/>
      <c r="B2325" s="192"/>
      <c r="C2325" s="192"/>
      <c r="D2325" s="192"/>
      <c r="E2325" s="192"/>
      <c r="F2325" s="192"/>
      <c r="G2325" s="192"/>
      <c r="H2325" s="192"/>
      <c r="I2325" s="192"/>
      <c r="J2325" s="192"/>
      <c r="K2325" s="19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92"/>
      <c r="B2326" s="192"/>
      <c r="C2326" s="192"/>
      <c r="D2326" s="192"/>
      <c r="E2326" s="192"/>
      <c r="F2326" s="192"/>
      <c r="G2326" s="192"/>
      <c r="H2326" s="192"/>
      <c r="I2326" s="192"/>
      <c r="J2326" s="192"/>
      <c r="K2326" s="19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92"/>
      <c r="B2327" s="192"/>
      <c r="C2327" s="192"/>
      <c r="D2327" s="192"/>
      <c r="E2327" s="192"/>
      <c r="F2327" s="192"/>
      <c r="G2327" s="192"/>
      <c r="H2327" s="192"/>
      <c r="I2327" s="192"/>
      <c r="J2327" s="192"/>
      <c r="K2327" s="19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92"/>
      <c r="B2328" s="192"/>
      <c r="C2328" s="192"/>
      <c r="D2328" s="192"/>
      <c r="E2328" s="192"/>
      <c r="F2328" s="192"/>
      <c r="G2328" s="192"/>
      <c r="H2328" s="192"/>
      <c r="I2328" s="192"/>
      <c r="J2328" s="192"/>
      <c r="K2328" s="19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92"/>
      <c r="B2329" s="192"/>
      <c r="C2329" s="192"/>
      <c r="D2329" s="192"/>
      <c r="E2329" s="192"/>
      <c r="F2329" s="192"/>
      <c r="G2329" s="192"/>
      <c r="H2329" s="192"/>
      <c r="I2329" s="192"/>
      <c r="J2329" s="192"/>
      <c r="K2329" s="19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92"/>
      <c r="B2330" s="192"/>
      <c r="C2330" s="192"/>
      <c r="D2330" s="192"/>
      <c r="E2330" s="192"/>
      <c r="F2330" s="192"/>
      <c r="G2330" s="192"/>
      <c r="H2330" s="192"/>
      <c r="I2330" s="192"/>
      <c r="J2330" s="192"/>
      <c r="K2330" s="19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92"/>
      <c r="B2331" s="192"/>
      <c r="C2331" s="192"/>
      <c r="D2331" s="192"/>
      <c r="E2331" s="192"/>
      <c r="F2331" s="192"/>
      <c r="G2331" s="192"/>
      <c r="H2331" s="192"/>
      <c r="I2331" s="192"/>
      <c r="J2331" s="192"/>
      <c r="K2331" s="19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92"/>
      <c r="B2332" s="192"/>
      <c r="C2332" s="192"/>
      <c r="D2332" s="192"/>
      <c r="E2332" s="192"/>
      <c r="F2332" s="192"/>
      <c r="G2332" s="192"/>
      <c r="H2332" s="192"/>
      <c r="I2332" s="192"/>
      <c r="J2332" s="192"/>
      <c r="K2332" s="19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92"/>
      <c r="B2333" s="192"/>
      <c r="C2333" s="192"/>
      <c r="D2333" s="192"/>
      <c r="E2333" s="192"/>
      <c r="F2333" s="192"/>
      <c r="G2333" s="192"/>
      <c r="H2333" s="192"/>
      <c r="I2333" s="192"/>
      <c r="J2333" s="192"/>
      <c r="K2333" s="19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92"/>
      <c r="B2334" s="192"/>
      <c r="C2334" s="192"/>
      <c r="D2334" s="192"/>
      <c r="E2334" s="192"/>
      <c r="F2334" s="192"/>
      <c r="G2334" s="192"/>
      <c r="H2334" s="192"/>
      <c r="I2334" s="192"/>
      <c r="J2334" s="192"/>
      <c r="K2334" s="19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92"/>
      <c r="B2335" s="192"/>
      <c r="C2335" s="192"/>
      <c r="D2335" s="192"/>
      <c r="E2335" s="192"/>
      <c r="F2335" s="192"/>
      <c r="G2335" s="192"/>
      <c r="H2335" s="192"/>
      <c r="I2335" s="192"/>
      <c r="J2335" s="192"/>
      <c r="K2335" s="19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92"/>
      <c r="B2336" s="192"/>
      <c r="C2336" s="192"/>
      <c r="D2336" s="192"/>
      <c r="E2336" s="192"/>
      <c r="F2336" s="192"/>
      <c r="G2336" s="192"/>
      <c r="H2336" s="192"/>
      <c r="I2336" s="192"/>
      <c r="J2336" s="192"/>
      <c r="K2336" s="19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92"/>
      <c r="B2337" s="192"/>
      <c r="C2337" s="192"/>
      <c r="D2337" s="192"/>
      <c r="E2337" s="192"/>
      <c r="F2337" s="192"/>
      <c r="G2337" s="192"/>
      <c r="H2337" s="192"/>
      <c r="I2337" s="192"/>
      <c r="J2337" s="192"/>
      <c r="K2337" s="19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92"/>
      <c r="B2338" s="192"/>
      <c r="C2338" s="192"/>
      <c r="D2338" s="192"/>
      <c r="E2338" s="192"/>
      <c r="F2338" s="192"/>
      <c r="G2338" s="192"/>
      <c r="H2338" s="192"/>
      <c r="I2338" s="192"/>
      <c r="J2338" s="192"/>
      <c r="K2338" s="19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92"/>
      <c r="B2339" s="192"/>
      <c r="C2339" s="192"/>
      <c r="D2339" s="192"/>
      <c r="E2339" s="192"/>
      <c r="F2339" s="192"/>
      <c r="G2339" s="192"/>
      <c r="H2339" s="192"/>
      <c r="I2339" s="192"/>
      <c r="J2339" s="192"/>
      <c r="K2339" s="19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92"/>
      <c r="B2340" s="192"/>
      <c r="C2340" s="192"/>
      <c r="D2340" s="192"/>
      <c r="E2340" s="192"/>
      <c r="F2340" s="192"/>
      <c r="G2340" s="192"/>
      <c r="H2340" s="192"/>
      <c r="I2340" s="192"/>
      <c r="J2340" s="192"/>
      <c r="K2340" s="19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92"/>
      <c r="B2341" s="192"/>
      <c r="C2341" s="192"/>
      <c r="D2341" s="192"/>
      <c r="E2341" s="192"/>
      <c r="F2341" s="192"/>
      <c r="G2341" s="192"/>
      <c r="H2341" s="192"/>
      <c r="I2341" s="192"/>
      <c r="J2341" s="192"/>
      <c r="K2341" s="19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92"/>
      <c r="B2342" s="192"/>
      <c r="C2342" s="192"/>
      <c r="D2342" s="192"/>
      <c r="E2342" s="192"/>
      <c r="F2342" s="192"/>
      <c r="G2342" s="192"/>
      <c r="H2342" s="192"/>
      <c r="I2342" s="192"/>
      <c r="J2342" s="192"/>
      <c r="K2342" s="19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92"/>
      <c r="B2343" s="192"/>
      <c r="C2343" s="192"/>
      <c r="D2343" s="192"/>
      <c r="E2343" s="192"/>
      <c r="F2343" s="192"/>
      <c r="G2343" s="192"/>
      <c r="H2343" s="192"/>
      <c r="I2343" s="192"/>
      <c r="J2343" s="192"/>
      <c r="K2343" s="19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92"/>
      <c r="B2344" s="192"/>
      <c r="C2344" s="192"/>
      <c r="D2344" s="192"/>
      <c r="E2344" s="192"/>
      <c r="F2344" s="192"/>
      <c r="G2344" s="192"/>
      <c r="H2344" s="192"/>
      <c r="I2344" s="192"/>
      <c r="J2344" s="192"/>
      <c r="K2344" s="19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92"/>
      <c r="B2345" s="192"/>
      <c r="C2345" s="192"/>
      <c r="D2345" s="192"/>
      <c r="E2345" s="192"/>
      <c r="F2345" s="192"/>
      <c r="G2345" s="192"/>
      <c r="H2345" s="192"/>
      <c r="I2345" s="192"/>
      <c r="J2345" s="192"/>
      <c r="K2345" s="19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92"/>
      <c r="B2346" s="192"/>
      <c r="C2346" s="192"/>
      <c r="D2346" s="192"/>
      <c r="E2346" s="192"/>
      <c r="F2346" s="192"/>
      <c r="G2346" s="192"/>
      <c r="H2346" s="192"/>
      <c r="I2346" s="192"/>
      <c r="J2346" s="192"/>
      <c r="K2346" s="19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92"/>
      <c r="B2347" s="192"/>
      <c r="C2347" s="192"/>
      <c r="D2347" s="192"/>
      <c r="E2347" s="192"/>
      <c r="F2347" s="192"/>
      <c r="G2347" s="192"/>
      <c r="H2347" s="192"/>
      <c r="I2347" s="192"/>
      <c r="J2347" s="192"/>
      <c r="K2347" s="19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92"/>
      <c r="B2348" s="192"/>
      <c r="C2348" s="192"/>
      <c r="D2348" s="192"/>
      <c r="E2348" s="192"/>
      <c r="F2348" s="192"/>
      <c r="G2348" s="192"/>
      <c r="H2348" s="192"/>
      <c r="I2348" s="192"/>
      <c r="J2348" s="192"/>
      <c r="K2348" s="19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92"/>
      <c r="B2349" s="192"/>
      <c r="C2349" s="192"/>
      <c r="D2349" s="192"/>
      <c r="E2349" s="192"/>
      <c r="F2349" s="192"/>
      <c r="G2349" s="192"/>
      <c r="H2349" s="192"/>
      <c r="I2349" s="192"/>
      <c r="J2349" s="192"/>
      <c r="K2349" s="19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92"/>
      <c r="B2350" s="192"/>
      <c r="C2350" s="192"/>
      <c r="D2350" s="192"/>
      <c r="E2350" s="192"/>
      <c r="F2350" s="192"/>
      <c r="G2350" s="192"/>
      <c r="H2350" s="192"/>
      <c r="I2350" s="192"/>
      <c r="J2350" s="192"/>
      <c r="K2350" s="19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92"/>
      <c r="B2351" s="192"/>
      <c r="C2351" s="192"/>
      <c r="D2351" s="192"/>
      <c r="E2351" s="192"/>
      <c r="F2351" s="192"/>
      <c r="G2351" s="192"/>
      <c r="H2351" s="192"/>
      <c r="I2351" s="192"/>
      <c r="J2351" s="192"/>
      <c r="K2351" s="19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92"/>
      <c r="B2352" s="192"/>
      <c r="C2352" s="192"/>
      <c r="D2352" s="192"/>
      <c r="E2352" s="192"/>
      <c r="F2352" s="192"/>
      <c r="G2352" s="192"/>
      <c r="H2352" s="192"/>
      <c r="I2352" s="192"/>
      <c r="J2352" s="192"/>
      <c r="K2352" s="19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92"/>
      <c r="B2353" s="192"/>
      <c r="C2353" s="192"/>
      <c r="D2353" s="192"/>
      <c r="E2353" s="192"/>
      <c r="F2353" s="192"/>
      <c r="G2353" s="192"/>
      <c r="H2353" s="192"/>
      <c r="I2353" s="192"/>
      <c r="J2353" s="192"/>
      <c r="K2353" s="19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92"/>
      <c r="B2354" s="192"/>
      <c r="C2354" s="192"/>
      <c r="D2354" s="192"/>
      <c r="E2354" s="192"/>
      <c r="F2354" s="192"/>
      <c r="G2354" s="192"/>
      <c r="H2354" s="192"/>
      <c r="I2354" s="192"/>
      <c r="J2354" s="192"/>
      <c r="K2354" s="19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92"/>
      <c r="B2355" s="192"/>
      <c r="C2355" s="192"/>
      <c r="D2355" s="192"/>
      <c r="E2355" s="192"/>
      <c r="F2355" s="192"/>
      <c r="G2355" s="192"/>
      <c r="H2355" s="192"/>
      <c r="I2355" s="192"/>
      <c r="J2355" s="192"/>
      <c r="K2355" s="19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92"/>
      <c r="B2356" s="192"/>
      <c r="C2356" s="192"/>
      <c r="D2356" s="192"/>
      <c r="E2356" s="192"/>
      <c r="F2356" s="192"/>
      <c r="G2356" s="192"/>
      <c r="H2356" s="192"/>
      <c r="I2356" s="192"/>
      <c r="J2356" s="192"/>
      <c r="K2356" s="19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92"/>
      <c r="B2357" s="192"/>
      <c r="C2357" s="192"/>
      <c r="D2357" s="192"/>
      <c r="E2357" s="192"/>
      <c r="F2357" s="192"/>
      <c r="G2357" s="192"/>
      <c r="H2357" s="192"/>
      <c r="I2357" s="192"/>
      <c r="J2357" s="192"/>
      <c r="K2357" s="19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92"/>
      <c r="B2358" s="192"/>
      <c r="C2358" s="192"/>
      <c r="D2358" s="192"/>
      <c r="E2358" s="192"/>
      <c r="F2358" s="192"/>
      <c r="G2358" s="192"/>
      <c r="H2358" s="192"/>
      <c r="I2358" s="192"/>
      <c r="J2358" s="192"/>
      <c r="K2358" s="19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92"/>
      <c r="B2359" s="192"/>
      <c r="C2359" s="192"/>
      <c r="D2359" s="192"/>
      <c r="E2359" s="192"/>
      <c r="F2359" s="192"/>
      <c r="G2359" s="192"/>
      <c r="H2359" s="192"/>
      <c r="I2359" s="192"/>
      <c r="J2359" s="192"/>
      <c r="K2359" s="19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92"/>
      <c r="B2360" s="192"/>
      <c r="C2360" s="192"/>
      <c r="D2360" s="192"/>
      <c r="E2360" s="192"/>
      <c r="F2360" s="192"/>
      <c r="G2360" s="192"/>
      <c r="H2360" s="192"/>
      <c r="I2360" s="192"/>
      <c r="J2360" s="192"/>
      <c r="K2360" s="19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92"/>
      <c r="B2361" s="192"/>
      <c r="C2361" s="192"/>
      <c r="D2361" s="192"/>
      <c r="E2361" s="192"/>
      <c r="F2361" s="192"/>
      <c r="G2361" s="192"/>
      <c r="H2361" s="192"/>
      <c r="I2361" s="192"/>
      <c r="J2361" s="192"/>
      <c r="K2361" s="19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92"/>
      <c r="B2362" s="192"/>
      <c r="C2362" s="192"/>
      <c r="D2362" s="192"/>
      <c r="E2362" s="192"/>
      <c r="F2362" s="192"/>
      <c r="G2362" s="192"/>
      <c r="H2362" s="192"/>
      <c r="I2362" s="192"/>
      <c r="J2362" s="192"/>
      <c r="K2362" s="19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92"/>
      <c r="B2363" s="192"/>
      <c r="C2363" s="192"/>
      <c r="D2363" s="192"/>
      <c r="E2363" s="192"/>
      <c r="F2363" s="192"/>
      <c r="G2363" s="192"/>
      <c r="H2363" s="192"/>
      <c r="I2363" s="192"/>
      <c r="J2363" s="192"/>
      <c r="K2363" s="19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92"/>
      <c r="B2364" s="192"/>
      <c r="C2364" s="192"/>
      <c r="D2364" s="192"/>
      <c r="E2364" s="192"/>
      <c r="F2364" s="192"/>
      <c r="G2364" s="192"/>
      <c r="H2364" s="192"/>
      <c r="I2364" s="192"/>
      <c r="J2364" s="192"/>
      <c r="K2364" s="19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92"/>
      <c r="B2365" s="192"/>
      <c r="C2365" s="192"/>
      <c r="D2365" s="192"/>
      <c r="E2365" s="192"/>
      <c r="F2365" s="192"/>
      <c r="G2365" s="192"/>
      <c r="H2365" s="192"/>
      <c r="I2365" s="192"/>
      <c r="J2365" s="192"/>
      <c r="K2365" s="19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92"/>
      <c r="B2366" s="192"/>
      <c r="C2366" s="192"/>
      <c r="D2366" s="192"/>
      <c r="E2366" s="192"/>
      <c r="F2366" s="192"/>
      <c r="G2366" s="192"/>
      <c r="H2366" s="192"/>
      <c r="I2366" s="192"/>
      <c r="J2366" s="192"/>
      <c r="K2366" s="19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92"/>
      <c r="B2367" s="192"/>
      <c r="C2367" s="192"/>
      <c r="D2367" s="192"/>
      <c r="E2367" s="192"/>
      <c r="F2367" s="192"/>
      <c r="G2367" s="192"/>
      <c r="H2367" s="192"/>
      <c r="I2367" s="192"/>
      <c r="J2367" s="192"/>
      <c r="K2367" s="19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92"/>
      <c r="B2368" s="192"/>
      <c r="C2368" s="192"/>
      <c r="D2368" s="192"/>
      <c r="E2368" s="192"/>
      <c r="F2368" s="192"/>
      <c r="G2368" s="192"/>
      <c r="H2368" s="192"/>
      <c r="I2368" s="192"/>
      <c r="J2368" s="192"/>
      <c r="K2368" s="19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92"/>
      <c r="B2369" s="192"/>
      <c r="C2369" s="192"/>
      <c r="D2369" s="192"/>
      <c r="E2369" s="192"/>
      <c r="F2369" s="192"/>
      <c r="G2369" s="192"/>
      <c r="H2369" s="192"/>
      <c r="I2369" s="192"/>
      <c r="J2369" s="192"/>
      <c r="K2369" s="19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92"/>
      <c r="B2370" s="192"/>
      <c r="C2370" s="192"/>
      <c r="D2370" s="192"/>
      <c r="E2370" s="192"/>
      <c r="F2370" s="192"/>
      <c r="G2370" s="192"/>
      <c r="H2370" s="192"/>
      <c r="I2370" s="192"/>
      <c r="J2370" s="192"/>
      <c r="K2370" s="19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92"/>
      <c r="B2371" s="192"/>
      <c r="C2371" s="192"/>
      <c r="D2371" s="192"/>
      <c r="E2371" s="192"/>
      <c r="F2371" s="192"/>
      <c r="G2371" s="192"/>
      <c r="H2371" s="192"/>
      <c r="I2371" s="192"/>
      <c r="J2371" s="192"/>
      <c r="K2371" s="19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92"/>
      <c r="B2372" s="192"/>
      <c r="C2372" s="192"/>
      <c r="D2372" s="192"/>
      <c r="E2372" s="192"/>
      <c r="F2372" s="192"/>
      <c r="G2372" s="192"/>
      <c r="H2372" s="192"/>
      <c r="I2372" s="192"/>
      <c r="J2372" s="192"/>
      <c r="K2372" s="19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92"/>
      <c r="B2373" s="192"/>
      <c r="C2373" s="192"/>
      <c r="D2373" s="192"/>
      <c r="E2373" s="192"/>
      <c r="F2373" s="192"/>
      <c r="G2373" s="192"/>
      <c r="H2373" s="192"/>
      <c r="I2373" s="192"/>
      <c r="J2373" s="192"/>
      <c r="K2373" s="19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92"/>
      <c r="B2374" s="192"/>
      <c r="C2374" s="192"/>
      <c r="D2374" s="192"/>
      <c r="E2374" s="192"/>
      <c r="F2374" s="192"/>
      <c r="G2374" s="192"/>
      <c r="H2374" s="192"/>
      <c r="I2374" s="192"/>
      <c r="J2374" s="192"/>
      <c r="K2374" s="19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92"/>
      <c r="B2375" s="192"/>
      <c r="C2375" s="192"/>
      <c r="D2375" s="192"/>
      <c r="E2375" s="192"/>
      <c r="F2375" s="192"/>
      <c r="G2375" s="192"/>
      <c r="H2375" s="192"/>
      <c r="I2375" s="192"/>
      <c r="J2375" s="192"/>
      <c r="K2375" s="19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92"/>
      <c r="B2376" s="192"/>
      <c r="C2376" s="192"/>
      <c r="D2376" s="192"/>
      <c r="E2376" s="192"/>
      <c r="F2376" s="192"/>
      <c r="G2376" s="192"/>
      <c r="H2376" s="192"/>
      <c r="I2376" s="192"/>
      <c r="J2376" s="192"/>
      <c r="K2376" s="19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92"/>
      <c r="B2377" s="192"/>
      <c r="C2377" s="192"/>
      <c r="D2377" s="192"/>
      <c r="E2377" s="192"/>
      <c r="F2377" s="192"/>
      <c r="G2377" s="192"/>
      <c r="H2377" s="192"/>
      <c r="I2377" s="192"/>
      <c r="J2377" s="192"/>
      <c r="K2377" s="19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92"/>
      <c r="B2378" s="192"/>
      <c r="C2378" s="192"/>
      <c r="D2378" s="192"/>
      <c r="E2378" s="192"/>
      <c r="F2378" s="192"/>
      <c r="G2378" s="192"/>
      <c r="H2378" s="192"/>
      <c r="I2378" s="192"/>
      <c r="J2378" s="192"/>
      <c r="K2378" s="19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92"/>
      <c r="B2379" s="192"/>
      <c r="C2379" s="192"/>
      <c r="D2379" s="192"/>
      <c r="E2379" s="192"/>
      <c r="F2379" s="192"/>
      <c r="G2379" s="192"/>
      <c r="H2379" s="192"/>
      <c r="I2379" s="192"/>
      <c r="J2379" s="192"/>
      <c r="K2379" s="19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92"/>
      <c r="B2380" s="192"/>
      <c r="C2380" s="192"/>
      <c r="D2380" s="192"/>
      <c r="E2380" s="192"/>
      <c r="F2380" s="192"/>
      <c r="G2380" s="192"/>
      <c r="H2380" s="192"/>
      <c r="I2380" s="192"/>
      <c r="J2380" s="192"/>
      <c r="K2380" s="19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92"/>
      <c r="B2381" s="192"/>
      <c r="C2381" s="192"/>
      <c r="D2381" s="192"/>
      <c r="E2381" s="192"/>
      <c r="F2381" s="192"/>
      <c r="G2381" s="192"/>
      <c r="H2381" s="192"/>
      <c r="I2381" s="192"/>
      <c r="J2381" s="192"/>
      <c r="K2381" s="19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92"/>
      <c r="B2382" s="192"/>
      <c r="C2382" s="192"/>
      <c r="D2382" s="192"/>
      <c r="E2382" s="192"/>
      <c r="F2382" s="192"/>
      <c r="G2382" s="192"/>
      <c r="H2382" s="192"/>
      <c r="I2382" s="192"/>
      <c r="J2382" s="192"/>
      <c r="K2382" s="19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92"/>
      <c r="B2383" s="192"/>
      <c r="C2383" s="192"/>
      <c r="D2383" s="192"/>
      <c r="E2383" s="192"/>
      <c r="F2383" s="192"/>
      <c r="G2383" s="192"/>
      <c r="H2383" s="192"/>
      <c r="I2383" s="192"/>
      <c r="J2383" s="192"/>
      <c r="K2383" s="19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92"/>
      <c r="B2384" s="192"/>
      <c r="C2384" s="192"/>
      <c r="D2384" s="192"/>
      <c r="E2384" s="192"/>
      <c r="F2384" s="192"/>
      <c r="G2384" s="192"/>
      <c r="H2384" s="192"/>
      <c r="I2384" s="192"/>
      <c r="J2384" s="192"/>
      <c r="K2384" s="19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92"/>
      <c r="B2385" s="192"/>
      <c r="C2385" s="192"/>
      <c r="D2385" s="192"/>
      <c r="E2385" s="192"/>
      <c r="F2385" s="192"/>
      <c r="G2385" s="192"/>
      <c r="H2385" s="192"/>
      <c r="I2385" s="192"/>
      <c r="J2385" s="192"/>
      <c r="K2385" s="19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92"/>
      <c r="B2386" s="192"/>
      <c r="C2386" s="192"/>
      <c r="D2386" s="192"/>
      <c r="E2386" s="192"/>
      <c r="F2386" s="192"/>
      <c r="G2386" s="192"/>
      <c r="H2386" s="192"/>
      <c r="I2386" s="192"/>
      <c r="J2386" s="192"/>
      <c r="K2386" s="19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92"/>
      <c r="B2387" s="192"/>
      <c r="C2387" s="192"/>
      <c r="D2387" s="192"/>
      <c r="E2387" s="192"/>
      <c r="F2387" s="192"/>
      <c r="G2387" s="192"/>
      <c r="H2387" s="192"/>
      <c r="I2387" s="192"/>
      <c r="J2387" s="192"/>
      <c r="K2387" s="19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92"/>
      <c r="B2388" s="192"/>
      <c r="C2388" s="192"/>
      <c r="D2388" s="192"/>
      <c r="E2388" s="192"/>
      <c r="F2388" s="192"/>
      <c r="G2388" s="192"/>
      <c r="H2388" s="192"/>
      <c r="I2388" s="192"/>
      <c r="J2388" s="192"/>
      <c r="K2388" s="19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92"/>
      <c r="B2389" s="192"/>
      <c r="C2389" s="192"/>
      <c r="D2389" s="192"/>
      <c r="E2389" s="192"/>
      <c r="F2389" s="192"/>
      <c r="G2389" s="192"/>
      <c r="H2389" s="192"/>
      <c r="I2389" s="192"/>
      <c r="J2389" s="192"/>
      <c r="K2389" s="19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92"/>
      <c r="B2390" s="192"/>
      <c r="C2390" s="192"/>
      <c r="D2390" s="192"/>
      <c r="E2390" s="192"/>
      <c r="F2390" s="192"/>
      <c r="G2390" s="192"/>
      <c r="H2390" s="192"/>
      <c r="I2390" s="192"/>
      <c r="J2390" s="192"/>
      <c r="K2390" s="19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92"/>
      <c r="B2391" s="192"/>
      <c r="C2391" s="192"/>
      <c r="D2391" s="192"/>
      <c r="E2391" s="192"/>
      <c r="F2391" s="192"/>
      <c r="G2391" s="192"/>
      <c r="H2391" s="192"/>
      <c r="I2391" s="192"/>
      <c r="J2391" s="192"/>
      <c r="K2391" s="19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92"/>
      <c r="B2392" s="192"/>
      <c r="C2392" s="192"/>
      <c r="D2392" s="192"/>
      <c r="E2392" s="192"/>
      <c r="F2392" s="192"/>
      <c r="G2392" s="192"/>
      <c r="H2392" s="192"/>
      <c r="I2392" s="192"/>
      <c r="J2392" s="192"/>
      <c r="K2392" s="19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92"/>
      <c r="B2393" s="192"/>
      <c r="C2393" s="192"/>
      <c r="D2393" s="192"/>
      <c r="E2393" s="192"/>
      <c r="F2393" s="192"/>
      <c r="G2393" s="192"/>
      <c r="H2393" s="192"/>
      <c r="I2393" s="192"/>
      <c r="J2393" s="192"/>
      <c r="K2393" s="19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92"/>
      <c r="B2394" s="192"/>
      <c r="C2394" s="192"/>
      <c r="D2394" s="192"/>
      <c r="E2394" s="192"/>
      <c r="F2394" s="192"/>
      <c r="G2394" s="192"/>
      <c r="H2394" s="192"/>
      <c r="I2394" s="192"/>
      <c r="J2394" s="192"/>
      <c r="K2394" s="19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92"/>
      <c r="B2395" s="192"/>
      <c r="C2395" s="192"/>
      <c r="D2395" s="192"/>
      <c r="E2395" s="192"/>
      <c r="F2395" s="192"/>
      <c r="G2395" s="192"/>
      <c r="H2395" s="192"/>
      <c r="I2395" s="192"/>
      <c r="J2395" s="192"/>
      <c r="K2395" s="19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92"/>
      <c r="B2396" s="192"/>
      <c r="C2396" s="192"/>
      <c r="D2396" s="192"/>
      <c r="E2396" s="192"/>
      <c r="F2396" s="192"/>
      <c r="G2396" s="192"/>
      <c r="H2396" s="192"/>
      <c r="I2396" s="192"/>
      <c r="J2396" s="192"/>
      <c r="K2396" s="19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92"/>
      <c r="B2397" s="192"/>
      <c r="C2397" s="192"/>
      <c r="D2397" s="192"/>
      <c r="E2397" s="192"/>
      <c r="F2397" s="192"/>
      <c r="G2397" s="192"/>
      <c r="H2397" s="192"/>
      <c r="I2397" s="192"/>
      <c r="J2397" s="192"/>
      <c r="K2397" s="19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92"/>
      <c r="B2398" s="192"/>
      <c r="C2398" s="192"/>
      <c r="D2398" s="192"/>
      <c r="E2398" s="192"/>
      <c r="F2398" s="192"/>
      <c r="G2398" s="192"/>
      <c r="H2398" s="192"/>
      <c r="I2398" s="192"/>
      <c r="J2398" s="192"/>
      <c r="K2398" s="19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92"/>
      <c r="B2399" s="192"/>
      <c r="C2399" s="192"/>
      <c r="D2399" s="192"/>
      <c r="E2399" s="192"/>
      <c r="F2399" s="192"/>
      <c r="G2399" s="192"/>
      <c r="H2399" s="192"/>
      <c r="I2399" s="192"/>
      <c r="J2399" s="192"/>
      <c r="K2399" s="19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92"/>
      <c r="B2400" s="192"/>
      <c r="C2400" s="192"/>
      <c r="D2400" s="192"/>
      <c r="E2400" s="192"/>
      <c r="F2400" s="192"/>
      <c r="G2400" s="192"/>
      <c r="H2400" s="192"/>
      <c r="I2400" s="192"/>
      <c r="J2400" s="192"/>
      <c r="K2400" s="19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</sheetData>
  <mergeCells count="1">
    <mergeCell ref="A1:F2"/>
  </mergeCells>
  <conditionalFormatting sqref="K1:K1998">
    <cfRule type="expression" dxfId="4" priority="1">
      <formula>$J1="No-Dues"</formula>
    </cfRule>
  </conditionalFormatting>
  <conditionalFormatting sqref="K2:K999 K1001:K1998">
    <cfRule type="expression" dxfId="5" priority="2">
      <formula>$A2=TODAY()</formula>
    </cfRule>
  </conditionalFormatting>
  <conditionalFormatting sqref="K1:K1998">
    <cfRule type="expression" dxfId="8" priority="3">
      <formula>$G1="Generic ID"</formula>
    </cfRule>
  </conditionalFormatting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4.5"/>
    <col customWidth="1" min="2" max="2" width="12.63"/>
    <col customWidth="1" min="3" max="3" width="17.0"/>
    <col customWidth="1" min="4" max="6" width="12.63"/>
  </cols>
  <sheetData>
    <row r="1" ht="15.0" customHeight="1">
      <c r="A1" s="195" t="s">
        <v>6455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7"/>
    </row>
    <row r="2" ht="15.0" customHeight="1">
      <c r="A2" s="198"/>
      <c r="S2" s="199"/>
    </row>
    <row r="3" ht="15.0" customHeight="1">
      <c r="A3" s="198"/>
      <c r="S3" s="199"/>
    </row>
    <row r="4" ht="15.0" customHeight="1">
      <c r="A4" s="200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2"/>
    </row>
    <row r="7" ht="15.0" customHeight="1">
      <c r="A7" s="203" t="e">
        <v>#REF!</v>
      </c>
      <c r="B7" s="203"/>
      <c r="C7" s="204"/>
      <c r="D7" s="204"/>
      <c r="E7" s="204"/>
      <c r="F7" s="204"/>
      <c r="G7" s="204"/>
      <c r="H7" s="204"/>
      <c r="I7" s="204"/>
      <c r="J7" s="205"/>
    </row>
    <row r="8" ht="15.0" customHeight="1">
      <c r="A8" s="203"/>
      <c r="B8" s="206"/>
      <c r="C8" s="207"/>
      <c r="D8" s="207"/>
      <c r="E8" s="207"/>
      <c r="F8" s="207"/>
      <c r="G8" s="207"/>
      <c r="H8" s="207"/>
      <c r="I8" s="207"/>
      <c r="J8" s="208"/>
    </row>
    <row r="9" ht="15.0" customHeight="1">
      <c r="A9" s="203"/>
      <c r="B9" s="203"/>
      <c r="C9" s="209"/>
      <c r="D9" s="209"/>
      <c r="E9" s="209"/>
      <c r="F9" s="209"/>
      <c r="G9" s="209"/>
      <c r="H9" s="209"/>
      <c r="I9" s="209"/>
      <c r="J9" s="210"/>
    </row>
    <row r="10" ht="15.0" customHeight="1">
      <c r="A10" s="211"/>
      <c r="B10" s="211"/>
      <c r="C10" s="212"/>
      <c r="D10" s="212"/>
      <c r="E10" s="212"/>
      <c r="F10" s="212"/>
      <c r="G10" s="212"/>
      <c r="H10" s="212"/>
      <c r="I10" s="212"/>
      <c r="J10" s="213"/>
    </row>
    <row r="11" ht="15.0" customHeight="1">
      <c r="A11" s="211"/>
      <c r="B11" s="211"/>
      <c r="C11" s="212"/>
      <c r="D11" s="212"/>
      <c r="E11" s="212"/>
      <c r="F11" s="212"/>
      <c r="G11" s="212"/>
      <c r="H11" s="212"/>
      <c r="I11" s="212"/>
      <c r="J11" s="213"/>
    </row>
    <row r="12" ht="15.0" customHeight="1">
      <c r="A12" s="211"/>
      <c r="B12" s="211"/>
      <c r="C12" s="212"/>
      <c r="D12" s="212"/>
      <c r="E12" s="212"/>
      <c r="F12" s="212"/>
      <c r="G12" s="212"/>
      <c r="H12" s="212"/>
      <c r="I12" s="212"/>
      <c r="J12" s="213"/>
    </row>
    <row r="13" ht="15.0" customHeight="1">
      <c r="A13" s="211"/>
      <c r="B13" s="211"/>
      <c r="C13" s="212"/>
      <c r="D13" s="212"/>
      <c r="E13" s="212"/>
      <c r="F13" s="212"/>
      <c r="G13" s="212"/>
      <c r="H13" s="212"/>
      <c r="I13" s="212"/>
      <c r="J13" s="213"/>
    </row>
    <row r="14" ht="15.0" customHeight="1">
      <c r="A14" s="211"/>
      <c r="B14" s="211"/>
      <c r="C14" s="212"/>
      <c r="D14" s="212"/>
      <c r="E14" s="212"/>
      <c r="F14" s="212"/>
      <c r="G14" s="212"/>
      <c r="H14" s="212"/>
      <c r="I14" s="212"/>
      <c r="J14" s="213"/>
    </row>
    <row r="15" ht="15.0" customHeight="1">
      <c r="A15" s="211"/>
      <c r="B15" s="211"/>
      <c r="C15" s="212"/>
      <c r="D15" s="212"/>
      <c r="E15" s="212"/>
      <c r="F15" s="212"/>
      <c r="G15" s="212"/>
      <c r="H15" s="212"/>
      <c r="I15" s="212"/>
      <c r="J15" s="213"/>
    </row>
    <row r="16" ht="15.0" customHeight="1">
      <c r="A16" s="211"/>
      <c r="B16" s="211"/>
      <c r="C16" s="212"/>
      <c r="D16" s="212"/>
      <c r="E16" s="212"/>
      <c r="F16" s="212"/>
      <c r="G16" s="212"/>
      <c r="H16" s="212"/>
      <c r="I16" s="212"/>
      <c r="J16" s="213"/>
    </row>
    <row r="17" ht="15.0" customHeight="1">
      <c r="A17" s="211"/>
      <c r="B17" s="211"/>
      <c r="C17" s="212"/>
      <c r="D17" s="212"/>
      <c r="E17" s="212"/>
      <c r="F17" s="212"/>
      <c r="G17" s="212"/>
      <c r="H17" s="212"/>
      <c r="I17" s="212"/>
      <c r="J17" s="213"/>
    </row>
    <row r="18" ht="15.0" customHeight="1">
      <c r="A18" s="214"/>
      <c r="B18" s="214"/>
      <c r="C18" s="215"/>
      <c r="D18" s="215"/>
      <c r="E18" s="215"/>
      <c r="F18" s="215"/>
      <c r="G18" s="215"/>
      <c r="H18" s="215"/>
      <c r="I18" s="215"/>
      <c r="J18" s="216"/>
    </row>
    <row r="19" ht="15.0" customHeight="1">
      <c r="A19" s="217"/>
      <c r="B19" s="217"/>
      <c r="C19" s="217"/>
      <c r="D19" s="217"/>
      <c r="E19" s="217"/>
      <c r="F19" s="217"/>
      <c r="G19" s="217"/>
      <c r="H19" s="217"/>
      <c r="I19" s="217"/>
      <c r="J19" s="217"/>
    </row>
    <row r="20" ht="15.0" customHeight="1">
      <c r="A20" s="217"/>
      <c r="B20" s="217"/>
      <c r="C20" s="217"/>
      <c r="D20" s="217"/>
      <c r="E20" s="217"/>
      <c r="F20" s="217"/>
      <c r="G20" s="217"/>
      <c r="H20" s="217"/>
      <c r="I20" s="217"/>
      <c r="J20" s="217"/>
    </row>
    <row r="21"/>
    <row r="22"/>
    <row r="23"/>
    <row r="24"/>
    <row r="25"/>
    <row r="26"/>
    <row r="27" ht="15.0" customHeight="1">
      <c r="A27" s="216"/>
      <c r="B27" s="216"/>
    </row>
    <row r="28"/>
    <row r="29">
      <c r="A29" s="203" t="e">
        <v>#REF!</v>
      </c>
      <c r="B29" s="203"/>
      <c r="C29" s="204"/>
      <c r="D29" s="204"/>
      <c r="E29" s="204"/>
      <c r="F29" s="205"/>
    </row>
    <row r="30">
      <c r="A30" s="203"/>
      <c r="B30" s="206"/>
      <c r="C30" s="207"/>
      <c r="D30" s="207"/>
      <c r="E30" s="207"/>
      <c r="F30" s="208"/>
    </row>
    <row r="31">
      <c r="A31" s="203"/>
      <c r="B31" s="203"/>
      <c r="C31" s="209"/>
      <c r="D31" s="209"/>
      <c r="E31" s="209"/>
      <c r="F31" s="210"/>
    </row>
    <row r="32">
      <c r="A32" s="211"/>
      <c r="B32" s="211"/>
      <c r="C32" s="212"/>
      <c r="D32" s="212"/>
      <c r="E32" s="212"/>
      <c r="F32" s="213"/>
    </row>
    <row r="33">
      <c r="A33" s="211"/>
      <c r="B33" s="211"/>
      <c r="C33" s="212"/>
      <c r="D33" s="212"/>
      <c r="E33" s="212"/>
      <c r="F33" s="213"/>
    </row>
    <row r="34">
      <c r="A34" s="211"/>
      <c r="B34" s="211"/>
      <c r="C34" s="212"/>
      <c r="D34" s="212"/>
      <c r="E34" s="212"/>
      <c r="F34" s="213"/>
    </row>
    <row r="35">
      <c r="A35" s="211"/>
      <c r="B35" s="211"/>
      <c r="C35" s="212"/>
      <c r="D35" s="212"/>
      <c r="E35" s="212"/>
      <c r="F35" s="213"/>
    </row>
    <row r="36">
      <c r="A36" s="211"/>
      <c r="B36" s="211"/>
      <c r="C36" s="212"/>
      <c r="D36" s="212"/>
      <c r="E36" s="212"/>
      <c r="F36" s="213"/>
    </row>
    <row r="37">
      <c r="A37" s="214"/>
      <c r="B37" s="214"/>
      <c r="C37" s="215"/>
      <c r="D37" s="215"/>
      <c r="E37" s="215"/>
      <c r="F37" s="216"/>
    </row>
    <row r="38"/>
    <row r="39"/>
    <row r="40"/>
    <row r="41"/>
    <row r="42"/>
    <row r="43">
      <c r="G43" s="217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 ht="15.0" customHeight="1">
      <c r="A71" s="216"/>
      <c r="B71" s="216"/>
    </row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S4"/>
  </mergeCells>
  <printOptions/>
  <pageMargins bottom="0.75" footer="0.0" header="0.0" left="0.7" right="0.7" top="0.75"/>
  <pageSetup orientation="landscape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6.5"/>
    <col customWidth="1" min="3" max="3" width="42.75"/>
    <col customWidth="1" min="4" max="4" width="23.38"/>
    <col customWidth="1" min="5" max="5" width="30.25"/>
    <col customWidth="1" min="6" max="6" width="16.0"/>
    <col customWidth="1" min="7" max="7" width="37.88"/>
    <col customWidth="1" min="8" max="8" width="25.25"/>
    <col customWidth="1" min="9" max="9" width="30.63"/>
    <col customWidth="1" min="10" max="10" width="20.25"/>
    <col customWidth="1" min="11" max="11" width="27.13"/>
    <col customWidth="1" min="12" max="12" width="27.0"/>
    <col customWidth="1" min="13" max="13" width="28.25"/>
    <col customWidth="1" min="14" max="14" width="16.25"/>
    <col customWidth="1" min="15" max="15" width="17.5"/>
  </cols>
  <sheetData>
    <row r="1" ht="15.75" customHeight="1">
      <c r="A1" s="218" t="s">
        <v>6471</v>
      </c>
      <c r="B1" s="218" t="s">
        <v>6457</v>
      </c>
      <c r="C1" s="218" t="s">
        <v>6472</v>
      </c>
      <c r="D1" s="218" t="s">
        <v>6473</v>
      </c>
      <c r="E1" s="218" t="s">
        <v>6474</v>
      </c>
      <c r="F1" s="219" t="s">
        <v>2</v>
      </c>
      <c r="G1" s="219" t="s">
        <v>3849</v>
      </c>
      <c r="H1" s="219" t="s">
        <v>6469</v>
      </c>
      <c r="I1" s="219" t="s">
        <v>5596</v>
      </c>
      <c r="J1" s="219" t="s">
        <v>6475</v>
      </c>
      <c r="K1" s="218" t="s">
        <v>6476</v>
      </c>
      <c r="L1" s="218" t="s">
        <v>6477</v>
      </c>
      <c r="M1" s="220" t="s">
        <v>6478</v>
      </c>
      <c r="N1" s="221" t="s">
        <v>6479</v>
      </c>
      <c r="O1" s="221" t="s">
        <v>6480</v>
      </c>
      <c r="P1" s="221" t="s">
        <v>6481</v>
      </c>
      <c r="Q1" s="222"/>
      <c r="R1" s="222"/>
      <c r="S1" s="223"/>
      <c r="T1" s="223"/>
      <c r="U1" s="223"/>
      <c r="V1" s="223"/>
      <c r="W1" s="223"/>
      <c r="X1" s="223"/>
      <c r="Y1" s="223"/>
      <c r="Z1" s="223"/>
    </row>
    <row r="2" ht="15.75" customHeight="1">
      <c r="A2" s="224" t="s">
        <v>6482</v>
      </c>
      <c r="B2" s="225" t="s">
        <v>6458</v>
      </c>
      <c r="C2" s="224">
        <v>3.5620620344079E14</v>
      </c>
      <c r="D2" s="226" t="s">
        <v>6483</v>
      </c>
      <c r="E2" s="224" t="s">
        <v>6484</v>
      </c>
      <c r="F2" s="227" t="s">
        <v>6465</v>
      </c>
      <c r="G2" s="227" t="s">
        <v>6465</v>
      </c>
      <c r="H2" s="227" t="s">
        <v>6465</v>
      </c>
      <c r="I2" s="227" t="s">
        <v>1022</v>
      </c>
      <c r="J2" s="228" t="s">
        <v>14</v>
      </c>
      <c r="K2" s="228" t="s">
        <v>1023</v>
      </c>
      <c r="L2" s="225"/>
      <c r="M2" s="225"/>
      <c r="N2" s="229"/>
      <c r="O2" s="229"/>
      <c r="P2" s="230"/>
      <c r="Q2" s="222"/>
      <c r="R2" s="222"/>
      <c r="S2" s="223"/>
      <c r="T2" s="223"/>
      <c r="U2" s="223"/>
      <c r="V2" s="223"/>
      <c r="W2" s="223"/>
      <c r="X2" s="223"/>
      <c r="Y2" s="223"/>
      <c r="Z2" s="223"/>
    </row>
    <row r="3" ht="15.75" customHeight="1">
      <c r="A3" s="224" t="s">
        <v>6485</v>
      </c>
      <c r="B3" s="225" t="s">
        <v>6458</v>
      </c>
      <c r="C3" s="224">
        <v>8.69054058054195E14</v>
      </c>
      <c r="D3" s="231" t="s">
        <v>6486</v>
      </c>
      <c r="E3" s="232" t="s">
        <v>6487</v>
      </c>
      <c r="F3" s="227" t="s">
        <v>6465</v>
      </c>
      <c r="G3" s="227" t="s">
        <v>6465</v>
      </c>
      <c r="H3" s="227" t="s">
        <v>6465</v>
      </c>
      <c r="I3" s="233" t="s">
        <v>6488</v>
      </c>
      <c r="J3" s="228" t="s">
        <v>14</v>
      </c>
      <c r="K3" s="225" t="s">
        <v>2292</v>
      </c>
      <c r="L3" s="227" t="s">
        <v>2235</v>
      </c>
      <c r="M3" s="225" t="s">
        <v>6489</v>
      </c>
      <c r="N3" s="229"/>
      <c r="O3" s="229"/>
      <c r="P3" s="230"/>
      <c r="Q3" s="222"/>
      <c r="R3" s="222"/>
      <c r="S3" s="223"/>
      <c r="T3" s="223"/>
      <c r="U3" s="223"/>
      <c r="V3" s="223"/>
      <c r="W3" s="223"/>
      <c r="X3" s="223"/>
      <c r="Y3" s="223"/>
      <c r="Z3" s="223"/>
    </row>
    <row r="4" ht="15.75" customHeight="1">
      <c r="A4" s="234" t="s">
        <v>6490</v>
      </c>
      <c r="B4" s="225" t="s">
        <v>6458</v>
      </c>
      <c r="C4" s="224">
        <v>8.64130055300933E14</v>
      </c>
      <c r="D4" s="231" t="s">
        <v>6486</v>
      </c>
      <c r="E4" s="232" t="s">
        <v>6491</v>
      </c>
      <c r="F4" s="227" t="s">
        <v>6465</v>
      </c>
      <c r="G4" s="227" t="s">
        <v>6465</v>
      </c>
      <c r="H4" s="227" t="s">
        <v>6465</v>
      </c>
      <c r="I4" s="235" t="s">
        <v>6492</v>
      </c>
      <c r="J4" s="228" t="s">
        <v>14</v>
      </c>
      <c r="K4" s="228" t="s">
        <v>1991</v>
      </c>
      <c r="L4" s="227" t="s">
        <v>83</v>
      </c>
      <c r="M4" s="225"/>
      <c r="N4" s="229"/>
      <c r="O4" s="229" t="s">
        <v>6493</v>
      </c>
      <c r="P4" s="230"/>
      <c r="Q4" s="222"/>
      <c r="R4" s="222"/>
      <c r="S4" s="223"/>
      <c r="T4" s="223"/>
      <c r="U4" s="223"/>
      <c r="V4" s="223"/>
      <c r="W4" s="223"/>
      <c r="X4" s="223"/>
      <c r="Y4" s="223"/>
      <c r="Z4" s="223"/>
    </row>
    <row r="5" ht="15.75" customHeight="1">
      <c r="A5" s="227" t="s">
        <v>6494</v>
      </c>
      <c r="B5" s="225" t="s">
        <v>6458</v>
      </c>
      <c r="C5" s="224">
        <v>3.56206203667632E14</v>
      </c>
      <c r="D5" s="226" t="s">
        <v>6495</v>
      </c>
      <c r="E5" s="236" t="s">
        <v>6496</v>
      </c>
      <c r="F5" s="227" t="s">
        <v>6465</v>
      </c>
      <c r="G5" s="227" t="s">
        <v>6465</v>
      </c>
      <c r="H5" s="227" t="s">
        <v>6465</v>
      </c>
      <c r="I5" s="227" t="s">
        <v>2057</v>
      </c>
      <c r="J5" s="228" t="s">
        <v>14</v>
      </c>
      <c r="K5" s="228" t="s">
        <v>2058</v>
      </c>
      <c r="L5" s="225"/>
      <c r="M5" s="225"/>
      <c r="N5" s="229"/>
      <c r="O5" s="229"/>
      <c r="P5" s="230"/>
      <c r="Q5" s="222"/>
      <c r="R5" s="222"/>
      <c r="S5" s="223"/>
      <c r="T5" s="223"/>
      <c r="U5" s="223"/>
      <c r="V5" s="223"/>
      <c r="W5" s="223"/>
      <c r="X5" s="223"/>
      <c r="Y5" s="223"/>
      <c r="Z5" s="223"/>
    </row>
    <row r="6" ht="15.75" customHeight="1">
      <c r="A6" s="234" t="s">
        <v>6497</v>
      </c>
      <c r="B6" s="225" t="s">
        <v>6461</v>
      </c>
      <c r="C6" s="237">
        <v>3.54845096785787E14</v>
      </c>
      <c r="D6" s="226" t="s">
        <v>6498</v>
      </c>
      <c r="E6" s="236" t="s">
        <v>6499</v>
      </c>
      <c r="F6" s="227" t="s">
        <v>6465</v>
      </c>
      <c r="G6" s="227" t="s">
        <v>6465</v>
      </c>
      <c r="H6" s="227" t="s">
        <v>6465</v>
      </c>
      <c r="I6" s="227" t="s">
        <v>2188</v>
      </c>
      <c r="J6" s="228" t="s">
        <v>47</v>
      </c>
      <c r="K6" s="238" t="s">
        <v>2189</v>
      </c>
      <c r="L6" s="225"/>
      <c r="M6" s="225"/>
      <c r="N6" s="229"/>
      <c r="O6" s="229"/>
      <c r="P6" s="230"/>
      <c r="Q6" s="222"/>
      <c r="R6" s="222"/>
      <c r="S6" s="223"/>
      <c r="T6" s="223"/>
      <c r="U6" s="223"/>
      <c r="V6" s="223"/>
      <c r="W6" s="223"/>
      <c r="X6" s="223"/>
      <c r="Y6" s="223"/>
      <c r="Z6" s="223"/>
    </row>
    <row r="7" ht="15.75" customHeight="1">
      <c r="A7" s="234" t="s">
        <v>6500</v>
      </c>
      <c r="B7" s="225" t="s">
        <v>6458</v>
      </c>
      <c r="C7" s="239">
        <v>3.50958031023448E14</v>
      </c>
      <c r="D7" s="226" t="s">
        <v>6501</v>
      </c>
      <c r="E7" s="232" t="s">
        <v>6502</v>
      </c>
      <c r="F7" s="227" t="s">
        <v>6465</v>
      </c>
      <c r="G7" s="227" t="s">
        <v>6465</v>
      </c>
      <c r="H7" s="227" t="s">
        <v>6465</v>
      </c>
      <c r="I7" s="240" t="s">
        <v>6503</v>
      </c>
      <c r="J7" s="241" t="s">
        <v>1471</v>
      </c>
      <c r="K7" s="241" t="s">
        <v>6504</v>
      </c>
      <c r="L7" s="241" t="s">
        <v>1917</v>
      </c>
      <c r="M7" s="225" t="s">
        <v>6505</v>
      </c>
      <c r="N7" s="229"/>
      <c r="O7" s="229"/>
      <c r="P7" s="230"/>
      <c r="Q7" s="222"/>
      <c r="R7" s="222"/>
      <c r="S7" s="223"/>
      <c r="T7" s="223"/>
      <c r="U7" s="223"/>
      <c r="V7" s="223"/>
      <c r="W7" s="223"/>
      <c r="X7" s="223"/>
      <c r="Y7" s="223"/>
      <c r="Z7" s="223"/>
    </row>
    <row r="8" ht="15.75" customHeight="1">
      <c r="A8" s="236" t="s">
        <v>6506</v>
      </c>
      <c r="B8" s="225" t="s">
        <v>6461</v>
      </c>
      <c r="C8" s="234">
        <v>3.53915107908453E14</v>
      </c>
      <c r="D8" s="226" t="s">
        <v>6495</v>
      </c>
      <c r="E8" s="232" t="s">
        <v>6507</v>
      </c>
      <c r="F8" s="227" t="s">
        <v>6465</v>
      </c>
      <c r="G8" s="227" t="s">
        <v>6465</v>
      </c>
      <c r="H8" s="227" t="s">
        <v>6465</v>
      </c>
      <c r="I8" s="227" t="s">
        <v>6508</v>
      </c>
      <c r="J8" s="228" t="s">
        <v>14</v>
      </c>
      <c r="K8" s="225" t="s">
        <v>502</v>
      </c>
      <c r="L8" s="225"/>
      <c r="M8" s="225"/>
      <c r="N8" s="229"/>
      <c r="O8" s="229"/>
      <c r="P8" s="230"/>
      <c r="Q8" s="222"/>
      <c r="R8" s="222"/>
      <c r="S8" s="223"/>
      <c r="T8" s="223"/>
      <c r="U8" s="223"/>
      <c r="V8" s="223"/>
      <c r="W8" s="223"/>
      <c r="X8" s="223"/>
      <c r="Y8" s="223"/>
      <c r="Z8" s="223"/>
    </row>
    <row r="9" ht="15.75" customHeight="1">
      <c r="A9" s="227" t="s">
        <v>6509</v>
      </c>
      <c r="B9" s="225" t="s">
        <v>6458</v>
      </c>
      <c r="C9" s="242">
        <v>8.64717041696455E14</v>
      </c>
      <c r="D9" s="243" t="s">
        <v>6510</v>
      </c>
      <c r="E9" s="232" t="s">
        <v>6511</v>
      </c>
      <c r="F9" s="227" t="s">
        <v>6465</v>
      </c>
      <c r="G9" s="227" t="s">
        <v>6512</v>
      </c>
      <c r="H9" s="227" t="s">
        <v>6512</v>
      </c>
      <c r="I9" s="244" t="s">
        <v>2213</v>
      </c>
      <c r="J9" s="228" t="s">
        <v>14</v>
      </c>
      <c r="K9" s="228" t="s">
        <v>2214</v>
      </c>
      <c r="L9" s="245" t="s">
        <v>1738</v>
      </c>
      <c r="M9" s="225"/>
      <c r="N9" s="229"/>
      <c r="O9" s="229"/>
      <c r="P9" s="230"/>
      <c r="Q9" s="222"/>
      <c r="R9" s="222"/>
      <c r="S9" s="223"/>
      <c r="T9" s="223"/>
      <c r="U9" s="223"/>
      <c r="V9" s="223"/>
      <c r="W9" s="223"/>
      <c r="X9" s="223"/>
      <c r="Y9" s="223"/>
      <c r="Z9" s="223"/>
    </row>
    <row r="10" ht="15.75" customHeight="1">
      <c r="A10" s="227" t="s">
        <v>6513</v>
      </c>
      <c r="B10" s="225" t="s">
        <v>6458</v>
      </c>
      <c r="C10" s="224">
        <v>3.55766344203077E14</v>
      </c>
      <c r="D10" s="226" t="s">
        <v>6514</v>
      </c>
      <c r="E10" s="232" t="s">
        <v>6515</v>
      </c>
      <c r="F10" s="227" t="s">
        <v>6464</v>
      </c>
      <c r="G10" s="227" t="s">
        <v>6464</v>
      </c>
      <c r="H10" s="227" t="s">
        <v>6464</v>
      </c>
      <c r="I10" s="227" t="s">
        <v>6464</v>
      </c>
      <c r="J10" s="228"/>
      <c r="K10" s="227"/>
      <c r="L10" s="246" t="s">
        <v>1515</v>
      </c>
      <c r="M10" s="225"/>
      <c r="N10" s="229"/>
      <c r="O10" s="229"/>
      <c r="P10" s="230"/>
      <c r="Q10" s="222"/>
      <c r="R10" s="222"/>
      <c r="S10" s="223"/>
      <c r="T10" s="223"/>
      <c r="U10" s="223"/>
      <c r="V10" s="223"/>
      <c r="W10" s="223"/>
      <c r="X10" s="223"/>
      <c r="Y10" s="223"/>
      <c r="Z10" s="223"/>
    </row>
    <row r="11" ht="15.75" customHeight="1">
      <c r="A11" s="227" t="s">
        <v>6516</v>
      </c>
      <c r="B11" s="225" t="s">
        <v>6458</v>
      </c>
      <c r="C11" s="224">
        <v>8.64455055804976E14</v>
      </c>
      <c r="D11" s="226" t="s">
        <v>6495</v>
      </c>
      <c r="E11" s="224" t="s">
        <v>6517</v>
      </c>
      <c r="F11" s="227" t="s">
        <v>6465</v>
      </c>
      <c r="G11" s="227" t="s">
        <v>6465</v>
      </c>
      <c r="H11" s="227" t="s">
        <v>6465</v>
      </c>
      <c r="I11" s="227" t="s">
        <v>6518</v>
      </c>
      <c r="J11" s="228" t="s">
        <v>47</v>
      </c>
      <c r="K11" s="228" t="s">
        <v>2000</v>
      </c>
      <c r="L11" s="225"/>
      <c r="M11" s="225"/>
      <c r="N11" s="229"/>
      <c r="O11" s="229"/>
      <c r="P11" s="230"/>
      <c r="Q11" s="222"/>
      <c r="R11" s="222"/>
      <c r="S11" s="223"/>
      <c r="T11" s="223"/>
      <c r="U11" s="223"/>
      <c r="V11" s="223"/>
      <c r="W11" s="223"/>
      <c r="X11" s="223"/>
      <c r="Y11" s="223"/>
      <c r="Z11" s="223"/>
    </row>
    <row r="12" ht="15.75" customHeight="1">
      <c r="A12" s="227" t="s">
        <v>6519</v>
      </c>
      <c r="B12" s="225" t="s">
        <v>6458</v>
      </c>
      <c r="C12" s="224">
        <v>8.64189053524233E14</v>
      </c>
      <c r="D12" s="226" t="s">
        <v>6514</v>
      </c>
      <c r="E12" s="224" t="s">
        <v>6520</v>
      </c>
      <c r="F12" s="227" t="s">
        <v>6465</v>
      </c>
      <c r="G12" s="227" t="s">
        <v>6512</v>
      </c>
      <c r="H12" s="227" t="s">
        <v>6465</v>
      </c>
      <c r="I12" s="233" t="s">
        <v>1584</v>
      </c>
      <c r="J12" s="228" t="s">
        <v>14</v>
      </c>
      <c r="K12" s="225" t="s">
        <v>1029</v>
      </c>
      <c r="L12" s="247" t="s">
        <v>2121</v>
      </c>
      <c r="M12" s="225"/>
      <c r="N12" s="229"/>
      <c r="O12" s="229"/>
      <c r="P12" s="230"/>
      <c r="Q12" s="222"/>
      <c r="R12" s="222"/>
      <c r="S12" s="223"/>
      <c r="T12" s="223"/>
      <c r="U12" s="223"/>
      <c r="V12" s="223"/>
      <c r="W12" s="223"/>
      <c r="X12" s="223"/>
      <c r="Y12" s="223"/>
      <c r="Z12" s="223"/>
    </row>
    <row r="13" ht="15.75" customHeight="1">
      <c r="A13" s="225" t="s">
        <v>6521</v>
      </c>
      <c r="B13" s="225" t="s">
        <v>6458</v>
      </c>
      <c r="C13" s="234">
        <v>3.56206203434959E14</v>
      </c>
      <c r="D13" s="226" t="s">
        <v>6495</v>
      </c>
      <c r="E13" s="224" t="s">
        <v>6522</v>
      </c>
      <c r="F13" s="227" t="s">
        <v>6465</v>
      </c>
      <c r="G13" s="227" t="s">
        <v>6465</v>
      </c>
      <c r="H13" s="227" t="s">
        <v>6465</v>
      </c>
      <c r="I13" s="241" t="s">
        <v>6523</v>
      </c>
      <c r="J13" s="241" t="s">
        <v>33</v>
      </c>
      <c r="K13" s="241" t="s">
        <v>1175</v>
      </c>
      <c r="L13" s="227" t="s">
        <v>523</v>
      </c>
      <c r="M13" s="248"/>
      <c r="N13" s="229"/>
      <c r="O13" s="229" t="s">
        <v>6524</v>
      </c>
      <c r="P13" s="230"/>
      <c r="Q13" s="222"/>
      <c r="R13" s="222"/>
      <c r="S13" s="223"/>
      <c r="T13" s="223"/>
      <c r="U13" s="223"/>
      <c r="V13" s="223"/>
      <c r="W13" s="223"/>
      <c r="X13" s="223"/>
      <c r="Y13" s="223"/>
      <c r="Z13" s="223"/>
    </row>
    <row r="14" ht="15.75" customHeight="1">
      <c r="A14" s="227" t="s">
        <v>6525</v>
      </c>
      <c r="B14" s="225" t="s">
        <v>6458</v>
      </c>
      <c r="C14" s="224">
        <v>3.55766344218851E14</v>
      </c>
      <c r="D14" s="226" t="s">
        <v>6514</v>
      </c>
      <c r="E14" s="224" t="s">
        <v>6526</v>
      </c>
      <c r="F14" s="227" t="s">
        <v>6465</v>
      </c>
      <c r="G14" s="227" t="s">
        <v>6465</v>
      </c>
      <c r="H14" s="227" t="s">
        <v>6465</v>
      </c>
      <c r="I14" s="227" t="s">
        <v>2005</v>
      </c>
      <c r="J14" s="228" t="s">
        <v>14</v>
      </c>
      <c r="K14" s="228" t="s">
        <v>1604</v>
      </c>
      <c r="L14" s="225"/>
      <c r="M14" s="225"/>
      <c r="N14" s="229"/>
      <c r="O14" s="229"/>
      <c r="P14" s="230"/>
      <c r="Q14" s="222"/>
      <c r="R14" s="222"/>
      <c r="S14" s="223"/>
      <c r="T14" s="223"/>
      <c r="U14" s="223"/>
      <c r="V14" s="223"/>
      <c r="W14" s="223"/>
      <c r="X14" s="223"/>
      <c r="Y14" s="223"/>
      <c r="Z14" s="223"/>
    </row>
    <row r="15" ht="15.75" customHeight="1">
      <c r="A15" s="227" t="s">
        <v>6490</v>
      </c>
      <c r="B15" s="225" t="s">
        <v>6458</v>
      </c>
      <c r="C15" s="224">
        <v>8.64130055470116E14</v>
      </c>
      <c r="D15" s="226" t="s">
        <v>6495</v>
      </c>
      <c r="E15" s="232" t="s">
        <v>6527</v>
      </c>
      <c r="F15" s="227" t="s">
        <v>6465</v>
      </c>
      <c r="G15" s="227" t="s">
        <v>6465</v>
      </c>
      <c r="H15" s="227" t="s">
        <v>6465</v>
      </c>
      <c r="I15" s="227" t="s">
        <v>2005</v>
      </c>
      <c r="J15" s="228" t="s">
        <v>14</v>
      </c>
      <c r="K15" s="228" t="s">
        <v>1116</v>
      </c>
      <c r="L15" s="225"/>
      <c r="M15" s="225"/>
      <c r="N15" s="229"/>
      <c r="O15" s="229" t="s">
        <v>6493</v>
      </c>
      <c r="P15" s="230"/>
      <c r="Q15" s="222"/>
      <c r="R15" s="222"/>
      <c r="S15" s="223"/>
      <c r="T15" s="223"/>
      <c r="U15" s="223"/>
      <c r="V15" s="223"/>
      <c r="W15" s="223"/>
      <c r="X15" s="223"/>
      <c r="Y15" s="223"/>
      <c r="Z15" s="223"/>
    </row>
    <row r="16" ht="15.75" customHeight="1">
      <c r="A16" s="227" t="s">
        <v>6528</v>
      </c>
      <c r="B16" s="225" t="s">
        <v>6458</v>
      </c>
      <c r="C16" s="224">
        <v>8.62065059348276E14</v>
      </c>
      <c r="D16" s="226" t="s">
        <v>6514</v>
      </c>
      <c r="E16" s="224" t="s">
        <v>6529</v>
      </c>
      <c r="F16" s="227" t="s">
        <v>6467</v>
      </c>
      <c r="G16" s="227" t="s">
        <v>6530</v>
      </c>
      <c r="H16" s="227" t="s">
        <v>6467</v>
      </c>
      <c r="I16" s="227" t="s">
        <v>6467</v>
      </c>
      <c r="J16" s="228"/>
      <c r="K16" s="228"/>
      <c r="L16" s="228" t="s">
        <v>1066</v>
      </c>
      <c r="M16" s="225"/>
      <c r="N16" s="229"/>
      <c r="O16" s="229"/>
      <c r="P16" s="230"/>
      <c r="Q16" s="222"/>
      <c r="R16" s="222"/>
      <c r="S16" s="223"/>
      <c r="T16" s="223"/>
      <c r="U16" s="223"/>
      <c r="V16" s="223"/>
      <c r="W16" s="223"/>
      <c r="X16" s="223"/>
      <c r="Y16" s="223"/>
      <c r="Z16" s="223"/>
    </row>
    <row r="17" ht="15.75" customHeight="1">
      <c r="A17" s="227" t="s">
        <v>6525</v>
      </c>
      <c r="B17" s="225" t="s">
        <v>6458</v>
      </c>
      <c r="C17" s="224" t="s">
        <v>6531</v>
      </c>
      <c r="D17" s="226" t="s">
        <v>6514</v>
      </c>
      <c r="E17" s="224" t="s">
        <v>6532</v>
      </c>
      <c r="F17" s="227" t="s">
        <v>6465</v>
      </c>
      <c r="G17" s="227" t="s">
        <v>6465</v>
      </c>
      <c r="H17" s="227" t="s">
        <v>6465</v>
      </c>
      <c r="I17" s="227" t="s">
        <v>1893</v>
      </c>
      <c r="J17" s="228" t="s">
        <v>4080</v>
      </c>
      <c r="K17" s="228" t="s">
        <v>1085</v>
      </c>
      <c r="L17" s="225"/>
      <c r="M17" s="225"/>
      <c r="N17" s="229"/>
      <c r="O17" s="229"/>
      <c r="P17" s="230"/>
      <c r="Q17" s="222"/>
      <c r="R17" s="222"/>
      <c r="S17" s="223"/>
      <c r="T17" s="223"/>
      <c r="U17" s="223"/>
      <c r="V17" s="223"/>
      <c r="W17" s="223"/>
      <c r="X17" s="223"/>
      <c r="Y17" s="223"/>
      <c r="Z17" s="223"/>
    </row>
    <row r="18" ht="15.75" customHeight="1">
      <c r="A18" s="227" t="s">
        <v>6533</v>
      </c>
      <c r="B18" s="225" t="s">
        <v>6458</v>
      </c>
      <c r="C18" s="224">
        <v>8.67912051595559E14</v>
      </c>
      <c r="D18" s="226" t="s">
        <v>6495</v>
      </c>
      <c r="E18" s="224" t="s">
        <v>6534</v>
      </c>
      <c r="F18" s="227" t="s">
        <v>6465</v>
      </c>
      <c r="G18" s="227" t="s">
        <v>6465</v>
      </c>
      <c r="H18" s="227" t="s">
        <v>6465</v>
      </c>
      <c r="I18" s="227" t="s">
        <v>6535</v>
      </c>
      <c r="J18" s="228" t="s">
        <v>14</v>
      </c>
      <c r="K18" s="236" t="s">
        <v>1658</v>
      </c>
      <c r="L18" s="225"/>
      <c r="M18" s="225"/>
      <c r="N18" s="229"/>
      <c r="O18" s="229"/>
      <c r="P18" s="230"/>
      <c r="Q18" s="222"/>
      <c r="R18" s="222"/>
      <c r="S18" s="223"/>
      <c r="T18" s="223"/>
      <c r="U18" s="223"/>
      <c r="V18" s="223"/>
      <c r="W18" s="223"/>
      <c r="X18" s="223"/>
      <c r="Y18" s="223"/>
      <c r="Z18" s="223"/>
    </row>
    <row r="19" ht="15.75" customHeight="1">
      <c r="A19" s="227" t="s">
        <v>6536</v>
      </c>
      <c r="B19" s="225" t="s">
        <v>6458</v>
      </c>
      <c r="C19" s="224">
        <v>0.0</v>
      </c>
      <c r="D19" s="249"/>
      <c r="E19" s="232" t="s">
        <v>6537</v>
      </c>
      <c r="F19" s="227" t="s">
        <v>6467</v>
      </c>
      <c r="G19" s="227" t="s">
        <v>6530</v>
      </c>
      <c r="H19" s="227" t="s">
        <v>6467</v>
      </c>
      <c r="I19" s="227" t="s">
        <v>6467</v>
      </c>
      <c r="J19" s="250"/>
      <c r="K19" s="225"/>
      <c r="L19" s="225" t="s">
        <v>217</v>
      </c>
      <c r="M19" s="225"/>
      <c r="N19" s="229"/>
      <c r="O19" s="229"/>
      <c r="P19" s="230"/>
      <c r="Q19" s="222"/>
      <c r="R19" s="222"/>
      <c r="S19" s="223"/>
      <c r="T19" s="223"/>
      <c r="U19" s="223"/>
      <c r="V19" s="223"/>
      <c r="W19" s="223"/>
      <c r="X19" s="223"/>
      <c r="Y19" s="223"/>
      <c r="Z19" s="223"/>
    </row>
    <row r="20" ht="15.75" customHeight="1">
      <c r="A20" s="227" t="s">
        <v>6538</v>
      </c>
      <c r="B20" s="225" t="s">
        <v>6458</v>
      </c>
      <c r="C20" s="224">
        <v>8.65706052957152E14</v>
      </c>
      <c r="D20" s="226" t="s">
        <v>6495</v>
      </c>
      <c r="E20" s="224" t="s">
        <v>6539</v>
      </c>
      <c r="F20" s="227" t="s">
        <v>6465</v>
      </c>
      <c r="G20" s="227" t="s">
        <v>6465</v>
      </c>
      <c r="H20" s="227" t="s">
        <v>6465</v>
      </c>
      <c r="I20" s="227" t="s">
        <v>1946</v>
      </c>
      <c r="J20" s="228" t="s">
        <v>14</v>
      </c>
      <c r="K20" s="228" t="s">
        <v>1021</v>
      </c>
      <c r="L20" s="225"/>
      <c r="M20" s="225"/>
      <c r="N20" s="229"/>
      <c r="O20" s="229"/>
      <c r="P20" s="230"/>
      <c r="Q20" s="222"/>
      <c r="R20" s="222"/>
      <c r="S20" s="223"/>
      <c r="T20" s="223"/>
      <c r="U20" s="223"/>
      <c r="V20" s="223"/>
      <c r="W20" s="223"/>
      <c r="X20" s="223"/>
      <c r="Y20" s="223"/>
      <c r="Z20" s="223"/>
    </row>
    <row r="21" ht="15.75" customHeight="1">
      <c r="A21" s="227" t="s">
        <v>6533</v>
      </c>
      <c r="B21" s="225" t="s">
        <v>6458</v>
      </c>
      <c r="C21" s="224">
        <v>8.69054058052512E14</v>
      </c>
      <c r="D21" s="226" t="s">
        <v>6495</v>
      </c>
      <c r="E21" s="224" t="s">
        <v>6540</v>
      </c>
      <c r="F21" s="227" t="s">
        <v>6465</v>
      </c>
      <c r="G21" s="227" t="s">
        <v>6465</v>
      </c>
      <c r="H21" s="227" t="s">
        <v>6465</v>
      </c>
      <c r="I21" s="227" t="s">
        <v>1982</v>
      </c>
      <c r="J21" s="228" t="s">
        <v>14</v>
      </c>
      <c r="K21" s="228" t="s">
        <v>1331</v>
      </c>
      <c r="L21" s="225"/>
      <c r="M21" s="225"/>
      <c r="N21" s="229"/>
      <c r="O21" s="229"/>
      <c r="P21" s="230"/>
      <c r="Q21" s="222"/>
      <c r="R21" s="222"/>
      <c r="S21" s="223"/>
      <c r="T21" s="223"/>
      <c r="U21" s="223"/>
      <c r="V21" s="223"/>
      <c r="W21" s="223"/>
      <c r="X21" s="223"/>
      <c r="Y21" s="223"/>
      <c r="Z21" s="223"/>
    </row>
    <row r="22" ht="15.75" customHeight="1">
      <c r="A22" s="224" t="s">
        <v>6482</v>
      </c>
      <c r="B22" s="225" t="s">
        <v>6458</v>
      </c>
      <c r="C22" s="224">
        <v>3.56206203666956E14</v>
      </c>
      <c r="D22" s="226" t="s">
        <v>6495</v>
      </c>
      <c r="E22" s="232" t="s">
        <v>6541</v>
      </c>
      <c r="F22" s="227" t="s">
        <v>6465</v>
      </c>
      <c r="G22" s="227" t="s">
        <v>6465</v>
      </c>
      <c r="H22" s="227" t="s">
        <v>6465</v>
      </c>
      <c r="I22" s="227" t="s">
        <v>2267</v>
      </c>
      <c r="J22" s="228" t="s">
        <v>14</v>
      </c>
      <c r="K22" s="228" t="s">
        <v>2268</v>
      </c>
      <c r="L22" s="225" t="s">
        <v>6542</v>
      </c>
      <c r="M22" s="225"/>
      <c r="N22" s="229"/>
      <c r="O22" s="229"/>
      <c r="P22" s="230"/>
      <c r="Q22" s="222"/>
      <c r="R22" s="222"/>
      <c r="S22" s="223"/>
      <c r="T22" s="223"/>
      <c r="U22" s="223"/>
      <c r="V22" s="223"/>
      <c r="W22" s="223"/>
      <c r="X22" s="223"/>
      <c r="Y22" s="223"/>
      <c r="Z22" s="223"/>
    </row>
    <row r="23" ht="15.75" customHeight="1">
      <c r="A23" s="227" t="s">
        <v>6543</v>
      </c>
      <c r="B23" s="225" t="s">
        <v>6458</v>
      </c>
      <c r="C23" s="224">
        <v>8.68147043393578E14</v>
      </c>
      <c r="D23" s="226" t="s">
        <v>6544</v>
      </c>
      <c r="E23" s="224"/>
      <c r="F23" s="227" t="s">
        <v>6465</v>
      </c>
      <c r="G23" s="227" t="s">
        <v>6465</v>
      </c>
      <c r="H23" s="227" t="s">
        <v>6465</v>
      </c>
      <c r="I23" s="227" t="s">
        <v>2083</v>
      </c>
      <c r="J23" s="228" t="s">
        <v>4088</v>
      </c>
      <c r="K23" s="228" t="s">
        <v>2084</v>
      </c>
      <c r="L23" s="225"/>
      <c r="M23" s="225"/>
      <c r="N23" s="229"/>
      <c r="O23" s="229"/>
      <c r="P23" s="230"/>
      <c r="Q23" s="222"/>
      <c r="R23" s="222"/>
      <c r="S23" s="223"/>
      <c r="T23" s="223"/>
      <c r="U23" s="223"/>
      <c r="V23" s="223"/>
      <c r="W23" s="223"/>
      <c r="X23" s="223"/>
      <c r="Y23" s="223"/>
      <c r="Z23" s="223"/>
    </row>
    <row r="24" ht="15.75" customHeight="1">
      <c r="A24" s="227" t="s">
        <v>6545</v>
      </c>
      <c r="B24" s="225" t="s">
        <v>6458</v>
      </c>
      <c r="C24" s="224">
        <v>3.50958030676113E14</v>
      </c>
      <c r="D24" s="226" t="s">
        <v>6501</v>
      </c>
      <c r="E24" s="232" t="s">
        <v>6546</v>
      </c>
      <c r="F24" s="227" t="s">
        <v>6465</v>
      </c>
      <c r="G24" s="227" t="s">
        <v>6465</v>
      </c>
      <c r="H24" s="227" t="s">
        <v>6465</v>
      </c>
      <c r="I24" s="227" t="s">
        <v>1952</v>
      </c>
      <c r="J24" s="250" t="s">
        <v>4080</v>
      </c>
      <c r="K24" s="228" t="s">
        <v>1953</v>
      </c>
      <c r="L24" s="225"/>
      <c r="M24" s="225"/>
      <c r="N24" s="229"/>
      <c r="O24" s="229"/>
      <c r="P24" s="230"/>
      <c r="Q24" s="222"/>
      <c r="R24" s="222"/>
      <c r="S24" s="223"/>
      <c r="T24" s="223"/>
      <c r="U24" s="223"/>
      <c r="V24" s="223"/>
      <c r="W24" s="223"/>
      <c r="X24" s="223"/>
      <c r="Y24" s="223"/>
      <c r="Z24" s="223"/>
    </row>
    <row r="25" ht="15.75" customHeight="1">
      <c r="A25" s="227" t="s">
        <v>6490</v>
      </c>
      <c r="B25" s="225" t="s">
        <v>6458</v>
      </c>
      <c r="C25" s="224">
        <v>8.64130055299234E14</v>
      </c>
      <c r="D25" s="226" t="s">
        <v>6495</v>
      </c>
      <c r="E25" s="232" t="s">
        <v>6547</v>
      </c>
      <c r="F25" s="227" t="s">
        <v>6465</v>
      </c>
      <c r="G25" s="227" t="s">
        <v>6465</v>
      </c>
      <c r="H25" s="227" t="s">
        <v>6465</v>
      </c>
      <c r="I25" s="227" t="s">
        <v>2155</v>
      </c>
      <c r="J25" s="250" t="s">
        <v>4080</v>
      </c>
      <c r="K25" s="225" t="s">
        <v>2156</v>
      </c>
      <c r="L25" s="225"/>
      <c r="M25" s="225"/>
      <c r="N25" s="229"/>
      <c r="O25" s="229" t="s">
        <v>6493</v>
      </c>
      <c r="P25" s="230"/>
      <c r="Q25" s="222"/>
      <c r="R25" s="222"/>
      <c r="S25" s="223"/>
      <c r="T25" s="223"/>
      <c r="U25" s="223"/>
      <c r="V25" s="223"/>
      <c r="W25" s="223"/>
      <c r="X25" s="223"/>
      <c r="Y25" s="223"/>
      <c r="Z25" s="223"/>
    </row>
    <row r="26" ht="15.75" customHeight="1">
      <c r="A26" s="227" t="s">
        <v>6548</v>
      </c>
      <c r="B26" s="225" t="s">
        <v>6458</v>
      </c>
      <c r="C26" s="224">
        <v>8.69733052318421E14</v>
      </c>
      <c r="D26" s="226" t="s">
        <v>6495</v>
      </c>
      <c r="E26" s="224" t="s">
        <v>6549</v>
      </c>
      <c r="F26" s="227" t="s">
        <v>6465</v>
      </c>
      <c r="G26" s="227" t="s">
        <v>6465</v>
      </c>
      <c r="H26" s="227" t="s">
        <v>6465</v>
      </c>
      <c r="I26" s="235" t="s">
        <v>6492</v>
      </c>
      <c r="J26" s="228" t="s">
        <v>14</v>
      </c>
      <c r="K26" s="228" t="s">
        <v>1991</v>
      </c>
      <c r="L26" s="225"/>
      <c r="M26" s="225"/>
      <c r="N26" s="229"/>
      <c r="O26" s="229"/>
      <c r="P26" s="230"/>
      <c r="Q26" s="222"/>
      <c r="R26" s="222"/>
      <c r="S26" s="223"/>
      <c r="T26" s="223"/>
      <c r="U26" s="223"/>
      <c r="V26" s="223"/>
      <c r="W26" s="223"/>
      <c r="X26" s="223"/>
      <c r="Y26" s="223"/>
      <c r="Z26" s="223"/>
    </row>
    <row r="27" ht="15.75" customHeight="1">
      <c r="A27" s="227" t="s">
        <v>6550</v>
      </c>
      <c r="B27" s="225" t="s">
        <v>6458</v>
      </c>
      <c r="C27" s="224">
        <v>3.55766343704836E14</v>
      </c>
      <c r="D27" s="231" t="s">
        <v>6486</v>
      </c>
      <c r="E27" s="224" t="s">
        <v>6551</v>
      </c>
      <c r="F27" s="227" t="s">
        <v>6465</v>
      </c>
      <c r="G27" s="227" t="s">
        <v>6465</v>
      </c>
      <c r="H27" s="227" t="s">
        <v>6512</v>
      </c>
      <c r="I27" s="244" t="s">
        <v>1748</v>
      </c>
      <c r="J27" s="228" t="s">
        <v>14</v>
      </c>
      <c r="K27" s="228" t="s">
        <v>1749</v>
      </c>
      <c r="L27" s="227" t="s">
        <v>845</v>
      </c>
      <c r="M27" s="225"/>
      <c r="N27" s="229"/>
      <c r="O27" s="229"/>
      <c r="P27" s="230"/>
      <c r="Q27" s="222"/>
      <c r="R27" s="222"/>
      <c r="S27" s="223"/>
      <c r="T27" s="223"/>
      <c r="U27" s="223"/>
      <c r="V27" s="223"/>
      <c r="W27" s="223"/>
      <c r="X27" s="223"/>
      <c r="Y27" s="223"/>
      <c r="Z27" s="223"/>
    </row>
    <row r="28" ht="15.75" customHeight="1">
      <c r="A28" s="227" t="s">
        <v>6552</v>
      </c>
      <c r="B28" s="225" t="s">
        <v>6458</v>
      </c>
      <c r="C28" s="224">
        <v>3.55766343705718E14</v>
      </c>
      <c r="D28" s="226" t="s">
        <v>6514</v>
      </c>
      <c r="E28" s="224" t="s">
        <v>6553</v>
      </c>
      <c r="F28" s="227" t="s">
        <v>6465</v>
      </c>
      <c r="G28" s="227" t="s">
        <v>6465</v>
      </c>
      <c r="H28" s="227" t="s">
        <v>6465</v>
      </c>
      <c r="I28" s="227" t="s">
        <v>2099</v>
      </c>
      <c r="J28" s="228" t="s">
        <v>14</v>
      </c>
      <c r="K28" s="228" t="s">
        <v>2100</v>
      </c>
      <c r="L28" s="225"/>
      <c r="M28" s="225"/>
      <c r="N28" s="229"/>
      <c r="O28" s="229"/>
      <c r="P28" s="230"/>
      <c r="Q28" s="222"/>
      <c r="R28" s="222"/>
      <c r="S28" s="223"/>
      <c r="T28" s="223"/>
      <c r="U28" s="223"/>
      <c r="V28" s="223"/>
      <c r="W28" s="223"/>
      <c r="X28" s="223"/>
      <c r="Y28" s="223"/>
      <c r="Z28" s="223"/>
    </row>
    <row r="29" ht="15.75" customHeight="1">
      <c r="A29" s="224" t="s">
        <v>6554</v>
      </c>
      <c r="B29" s="225" t="s">
        <v>6461</v>
      </c>
      <c r="C29" s="234">
        <v>3.53032117131462E14</v>
      </c>
      <c r="D29" s="226" t="s">
        <v>6555</v>
      </c>
      <c r="E29" s="234" t="s">
        <v>6556</v>
      </c>
      <c r="F29" s="227" t="s">
        <v>6465</v>
      </c>
      <c r="G29" s="227" t="s">
        <v>6465</v>
      </c>
      <c r="H29" s="227" t="s">
        <v>6465</v>
      </c>
      <c r="I29" s="227" t="s">
        <v>2099</v>
      </c>
      <c r="J29" s="228" t="s">
        <v>14</v>
      </c>
      <c r="K29" s="228" t="s">
        <v>2100</v>
      </c>
      <c r="L29" s="225"/>
      <c r="M29" s="225"/>
      <c r="N29" s="229"/>
      <c r="O29" s="229"/>
      <c r="P29" s="230"/>
      <c r="Q29" s="222"/>
      <c r="R29" s="222"/>
      <c r="S29" s="223"/>
      <c r="T29" s="223"/>
      <c r="U29" s="223"/>
      <c r="V29" s="223"/>
      <c r="W29" s="223"/>
      <c r="X29" s="223"/>
      <c r="Y29" s="223"/>
      <c r="Z29" s="223"/>
    </row>
    <row r="30" ht="15.75" customHeight="1">
      <c r="A30" s="227" t="s">
        <v>6533</v>
      </c>
      <c r="B30" s="225" t="s">
        <v>6458</v>
      </c>
      <c r="C30" s="224">
        <v>8.69054057238492E14</v>
      </c>
      <c r="D30" s="231" t="s">
        <v>6495</v>
      </c>
      <c r="E30" s="224" t="s">
        <v>6557</v>
      </c>
      <c r="F30" s="227" t="s">
        <v>6465</v>
      </c>
      <c r="G30" s="227" t="s">
        <v>6465</v>
      </c>
      <c r="H30" s="227" t="s">
        <v>6465</v>
      </c>
      <c r="I30" s="227" t="s">
        <v>1974</v>
      </c>
      <c r="J30" s="228" t="s">
        <v>14</v>
      </c>
      <c r="K30" s="228" t="s">
        <v>1061</v>
      </c>
      <c r="L30" s="225"/>
      <c r="M30" s="225"/>
      <c r="N30" s="229"/>
      <c r="O30" s="229"/>
      <c r="P30" s="230"/>
      <c r="Q30" s="222"/>
      <c r="R30" s="222"/>
      <c r="S30" s="223"/>
      <c r="T30" s="223"/>
      <c r="U30" s="223"/>
      <c r="V30" s="223"/>
      <c r="W30" s="223"/>
      <c r="X30" s="223"/>
      <c r="Y30" s="223"/>
      <c r="Z30" s="223"/>
    </row>
    <row r="31" ht="15.75" customHeight="1">
      <c r="A31" s="234" t="s">
        <v>6558</v>
      </c>
      <c r="B31" s="225" t="s">
        <v>6458</v>
      </c>
      <c r="C31" s="224">
        <v>8.68609041771733E14</v>
      </c>
      <c r="D31" s="243" t="s">
        <v>6559</v>
      </c>
      <c r="E31" s="227" t="s">
        <v>6560</v>
      </c>
      <c r="F31" s="227" t="s">
        <v>6465</v>
      </c>
      <c r="G31" s="227" t="s">
        <v>6512</v>
      </c>
      <c r="H31" s="227" t="s">
        <v>6512</v>
      </c>
      <c r="I31" s="227" t="s">
        <v>6561</v>
      </c>
      <c r="J31" s="228" t="s">
        <v>14</v>
      </c>
      <c r="K31" s="228" t="s">
        <v>1033</v>
      </c>
      <c r="L31" s="225" t="s">
        <v>1974</v>
      </c>
      <c r="M31" s="225"/>
      <c r="N31" s="229"/>
      <c r="O31" s="229"/>
      <c r="P31" s="230"/>
      <c r="Q31" s="222"/>
      <c r="R31" s="222"/>
      <c r="S31" s="223"/>
      <c r="T31" s="223"/>
      <c r="U31" s="223"/>
      <c r="V31" s="223"/>
      <c r="W31" s="223"/>
      <c r="X31" s="223"/>
      <c r="Y31" s="223"/>
      <c r="Z31" s="223"/>
    </row>
    <row r="32" ht="15.75" customHeight="1">
      <c r="A32" s="224" t="s">
        <v>6562</v>
      </c>
      <c r="B32" s="225" t="s">
        <v>6458</v>
      </c>
      <c r="C32" s="224">
        <v>3.50340713198048E14</v>
      </c>
      <c r="D32" s="231" t="s">
        <v>6563</v>
      </c>
      <c r="E32" s="232" t="s">
        <v>6564</v>
      </c>
      <c r="F32" s="227" t="s">
        <v>6467</v>
      </c>
      <c r="G32" s="227" t="s">
        <v>6512</v>
      </c>
      <c r="H32" s="227" t="s">
        <v>6467</v>
      </c>
      <c r="I32" s="227" t="s">
        <v>6467</v>
      </c>
      <c r="J32" s="228"/>
      <c r="K32" s="228"/>
      <c r="L32" s="225" t="s">
        <v>1974</v>
      </c>
      <c r="M32" s="225"/>
      <c r="N32" s="229"/>
      <c r="O32" s="229"/>
      <c r="P32" s="230"/>
      <c r="Q32" s="222"/>
      <c r="R32" s="222"/>
      <c r="S32" s="223"/>
      <c r="T32" s="223"/>
      <c r="U32" s="223"/>
      <c r="V32" s="223"/>
      <c r="W32" s="223"/>
      <c r="X32" s="223"/>
      <c r="Y32" s="223"/>
      <c r="Z32" s="223"/>
    </row>
    <row r="33" ht="15.75" customHeight="1">
      <c r="A33" s="227" t="s">
        <v>6565</v>
      </c>
      <c r="B33" s="225" t="s">
        <v>6458</v>
      </c>
      <c r="C33" s="226">
        <v>3.55766344203119E14</v>
      </c>
      <c r="D33" s="226" t="s">
        <v>6486</v>
      </c>
      <c r="E33" s="226" t="s">
        <v>6566</v>
      </c>
      <c r="F33" s="227" t="s">
        <v>6467</v>
      </c>
      <c r="G33" s="250" t="s">
        <v>6567</v>
      </c>
      <c r="H33" s="227" t="s">
        <v>6467</v>
      </c>
      <c r="I33" s="227" t="s">
        <v>6467</v>
      </c>
      <c r="J33" s="228"/>
      <c r="K33" s="228"/>
      <c r="L33" s="225" t="s">
        <v>1143</v>
      </c>
      <c r="M33" s="225"/>
      <c r="N33" s="229"/>
      <c r="O33" s="229"/>
      <c r="P33" s="230"/>
      <c r="Q33" s="222"/>
      <c r="R33" s="222"/>
      <c r="S33" s="223"/>
      <c r="T33" s="223"/>
      <c r="U33" s="223"/>
      <c r="V33" s="223"/>
      <c r="W33" s="223"/>
      <c r="X33" s="223"/>
      <c r="Y33" s="223"/>
      <c r="Z33" s="223"/>
    </row>
    <row r="34" ht="15.75" customHeight="1">
      <c r="A34" s="236" t="s">
        <v>6568</v>
      </c>
      <c r="B34" s="225" t="s">
        <v>6458</v>
      </c>
      <c r="C34" s="234">
        <v>3.55033115569453E14</v>
      </c>
      <c r="D34" s="226" t="s">
        <v>6569</v>
      </c>
      <c r="E34" s="251" t="s">
        <v>6570</v>
      </c>
      <c r="F34" s="227" t="s">
        <v>6465</v>
      </c>
      <c r="G34" s="227" t="s">
        <v>6465</v>
      </c>
      <c r="H34" s="227" t="s">
        <v>6465</v>
      </c>
      <c r="I34" s="227" t="s">
        <v>1143</v>
      </c>
      <c r="J34" s="228" t="s">
        <v>14</v>
      </c>
      <c r="K34" s="228" t="s">
        <v>1144</v>
      </c>
      <c r="L34" s="225"/>
      <c r="M34" s="225"/>
      <c r="N34" s="229"/>
      <c r="O34" s="229"/>
      <c r="P34" s="230"/>
      <c r="Q34" s="222"/>
      <c r="R34" s="222"/>
      <c r="S34" s="223"/>
      <c r="T34" s="223"/>
      <c r="U34" s="223"/>
      <c r="V34" s="223"/>
      <c r="W34" s="223"/>
      <c r="X34" s="223"/>
      <c r="Y34" s="223"/>
      <c r="Z34" s="223"/>
    </row>
    <row r="35" ht="15.75" customHeight="1">
      <c r="A35" s="235" t="s">
        <v>6525</v>
      </c>
      <c r="B35" s="225" t="s">
        <v>6458</v>
      </c>
      <c r="C35" s="252">
        <v>3.56206203442275E14</v>
      </c>
      <c r="D35" s="226" t="s">
        <v>6486</v>
      </c>
      <c r="E35" s="232" t="s">
        <v>6571</v>
      </c>
      <c r="F35" s="227" t="s">
        <v>6465</v>
      </c>
      <c r="G35" s="227" t="s">
        <v>6465</v>
      </c>
      <c r="H35" s="227" t="s">
        <v>6465</v>
      </c>
      <c r="I35" s="227" t="s">
        <v>3913</v>
      </c>
      <c r="J35" s="228" t="s">
        <v>6572</v>
      </c>
      <c r="K35" s="228" t="s">
        <v>560</v>
      </c>
      <c r="L35" s="225" t="s">
        <v>1736</v>
      </c>
      <c r="M35" s="225"/>
      <c r="N35" s="229"/>
      <c r="O35" s="229"/>
      <c r="P35" s="230"/>
      <c r="Q35" s="222"/>
      <c r="R35" s="222"/>
      <c r="S35" s="223"/>
      <c r="T35" s="223"/>
      <c r="U35" s="223"/>
      <c r="V35" s="223"/>
      <c r="W35" s="223"/>
      <c r="X35" s="223"/>
      <c r="Y35" s="223"/>
      <c r="Z35" s="223"/>
    </row>
    <row r="36" ht="15.75" customHeight="1">
      <c r="A36" s="227" t="s">
        <v>6548</v>
      </c>
      <c r="B36" s="225" t="s">
        <v>6458</v>
      </c>
      <c r="C36" s="224">
        <v>8.69733051738462E14</v>
      </c>
      <c r="D36" s="226" t="s">
        <v>6486</v>
      </c>
      <c r="E36" s="232" t="s">
        <v>6573</v>
      </c>
      <c r="F36" s="227" t="s">
        <v>6465</v>
      </c>
      <c r="G36" s="227" t="s">
        <v>6465</v>
      </c>
      <c r="H36" s="227" t="s">
        <v>6465</v>
      </c>
      <c r="I36" s="240" t="s">
        <v>2140</v>
      </c>
      <c r="J36" s="228" t="s">
        <v>14</v>
      </c>
      <c r="K36" s="228" t="s">
        <v>2141</v>
      </c>
      <c r="L36" s="229" t="s">
        <v>6574</v>
      </c>
      <c r="M36" s="225"/>
      <c r="N36" s="229"/>
      <c r="O36" s="229"/>
      <c r="P36" s="230"/>
      <c r="Q36" s="222"/>
      <c r="R36" s="222"/>
      <c r="S36" s="223"/>
      <c r="T36" s="223"/>
      <c r="U36" s="223"/>
      <c r="V36" s="223"/>
      <c r="W36" s="223"/>
      <c r="X36" s="223"/>
      <c r="Y36" s="223"/>
      <c r="Z36" s="223"/>
    </row>
    <row r="37" ht="15.75" customHeight="1">
      <c r="A37" s="236" t="s">
        <v>6519</v>
      </c>
      <c r="B37" s="225" t="s">
        <v>6458</v>
      </c>
      <c r="C37" s="234">
        <v>8.6418905337537E14</v>
      </c>
      <c r="D37" s="226" t="s">
        <v>6514</v>
      </c>
      <c r="E37" s="232" t="s">
        <v>6575</v>
      </c>
      <c r="F37" s="227" t="s">
        <v>6465</v>
      </c>
      <c r="G37" s="227" t="s">
        <v>6465</v>
      </c>
      <c r="H37" s="227" t="s">
        <v>6465</v>
      </c>
      <c r="I37" s="227" t="s">
        <v>6576</v>
      </c>
      <c r="J37" s="228" t="s">
        <v>14</v>
      </c>
      <c r="K37" s="228" t="s">
        <v>1346</v>
      </c>
      <c r="L37" s="250" t="s">
        <v>213</v>
      </c>
      <c r="M37" s="225"/>
      <c r="N37" s="229"/>
      <c r="O37" s="229"/>
      <c r="P37" s="230"/>
      <c r="Q37" s="222"/>
      <c r="R37" s="222"/>
      <c r="S37" s="223"/>
      <c r="T37" s="223"/>
      <c r="U37" s="223"/>
      <c r="V37" s="223"/>
      <c r="W37" s="223"/>
      <c r="X37" s="223"/>
      <c r="Y37" s="223"/>
      <c r="Z37" s="223"/>
    </row>
    <row r="38" ht="15.75" customHeight="1">
      <c r="A38" s="224" t="s">
        <v>6577</v>
      </c>
      <c r="B38" s="225" t="s">
        <v>6461</v>
      </c>
      <c r="C38" s="237">
        <v>3.56766083456844E14</v>
      </c>
      <c r="D38" s="226" t="s">
        <v>6578</v>
      </c>
      <c r="E38" s="232" t="s">
        <v>6579</v>
      </c>
      <c r="F38" s="227" t="s">
        <v>6465</v>
      </c>
      <c r="G38" s="227" t="s">
        <v>6465</v>
      </c>
      <c r="H38" s="227" t="s">
        <v>6465</v>
      </c>
      <c r="I38" s="227" t="s">
        <v>1193</v>
      </c>
      <c r="J38" s="228" t="s">
        <v>14</v>
      </c>
      <c r="K38" s="228" t="s">
        <v>1194</v>
      </c>
      <c r="L38" s="225"/>
      <c r="M38" s="225"/>
      <c r="N38" s="229"/>
      <c r="O38" s="229"/>
      <c r="P38" s="230"/>
      <c r="Q38" s="222"/>
      <c r="R38" s="222"/>
      <c r="S38" s="223"/>
      <c r="T38" s="223"/>
      <c r="U38" s="223"/>
      <c r="V38" s="223"/>
      <c r="W38" s="223"/>
      <c r="X38" s="223"/>
      <c r="Y38" s="223"/>
      <c r="Z38" s="223"/>
    </row>
    <row r="39" ht="15.75" customHeight="1">
      <c r="A39" s="227" t="s">
        <v>6519</v>
      </c>
      <c r="B39" s="225" t="s">
        <v>6458</v>
      </c>
      <c r="C39" s="234">
        <v>8.60921051569917E14</v>
      </c>
      <c r="D39" s="226" t="s">
        <v>6514</v>
      </c>
      <c r="E39" s="232" t="s">
        <v>6580</v>
      </c>
      <c r="F39" s="227" t="s">
        <v>6465</v>
      </c>
      <c r="G39" s="227" t="s">
        <v>6465</v>
      </c>
      <c r="H39" s="227" t="s">
        <v>6465</v>
      </c>
      <c r="I39" s="233" t="s">
        <v>551</v>
      </c>
      <c r="J39" s="228" t="s">
        <v>14</v>
      </c>
      <c r="K39" s="228" t="s">
        <v>2238</v>
      </c>
      <c r="L39" s="250" t="s">
        <v>255</v>
      </c>
      <c r="M39" s="225"/>
      <c r="N39" s="229"/>
      <c r="O39" s="229"/>
      <c r="P39" s="230"/>
      <c r="Q39" s="222"/>
      <c r="R39" s="222"/>
      <c r="S39" s="223"/>
      <c r="T39" s="223"/>
      <c r="U39" s="223"/>
      <c r="V39" s="223"/>
      <c r="W39" s="223"/>
      <c r="X39" s="223"/>
      <c r="Y39" s="223"/>
      <c r="Z39" s="223"/>
    </row>
    <row r="40" ht="15.75" customHeight="1">
      <c r="A40" s="227" t="s">
        <v>6581</v>
      </c>
      <c r="B40" s="225" t="s">
        <v>6458</v>
      </c>
      <c r="C40" s="224">
        <v>8.63857055103237E14</v>
      </c>
      <c r="D40" s="231" t="s">
        <v>6486</v>
      </c>
      <c r="E40" s="232" t="s">
        <v>6582</v>
      </c>
      <c r="F40" s="227" t="s">
        <v>6465</v>
      </c>
      <c r="G40" s="227" t="s">
        <v>6465</v>
      </c>
      <c r="H40" s="227" t="s">
        <v>6465</v>
      </c>
      <c r="I40" s="227" t="s">
        <v>2279</v>
      </c>
      <c r="J40" s="225" t="s">
        <v>14</v>
      </c>
      <c r="K40" s="225" t="s">
        <v>1108</v>
      </c>
      <c r="L40" s="225"/>
      <c r="M40" s="225"/>
      <c r="N40" s="229"/>
      <c r="O40" s="229" t="s">
        <v>6493</v>
      </c>
      <c r="P40" s="230"/>
      <c r="Q40" s="222"/>
      <c r="R40" s="222"/>
      <c r="S40" s="223"/>
      <c r="T40" s="223"/>
      <c r="U40" s="223"/>
      <c r="V40" s="223"/>
      <c r="W40" s="223"/>
      <c r="X40" s="223"/>
      <c r="Y40" s="223"/>
      <c r="Z40" s="223"/>
    </row>
    <row r="41" ht="15.75" customHeight="1">
      <c r="A41" s="227" t="s">
        <v>6519</v>
      </c>
      <c r="B41" s="225" t="s">
        <v>6458</v>
      </c>
      <c r="C41" s="224">
        <v>8.61573058922299E14</v>
      </c>
      <c r="D41" s="226" t="s">
        <v>6514</v>
      </c>
      <c r="E41" s="232" t="s">
        <v>6583</v>
      </c>
      <c r="F41" s="227" t="s">
        <v>6465</v>
      </c>
      <c r="G41" s="227" t="s">
        <v>6465</v>
      </c>
      <c r="H41" s="227" t="s">
        <v>6465</v>
      </c>
      <c r="I41" s="227" t="s">
        <v>263</v>
      </c>
      <c r="J41" s="228" t="s">
        <v>39</v>
      </c>
      <c r="K41" s="228" t="s">
        <v>264</v>
      </c>
      <c r="L41" s="225"/>
      <c r="M41" s="225"/>
      <c r="N41" s="229"/>
      <c r="O41" s="229"/>
      <c r="P41" s="230"/>
      <c r="Q41" s="222"/>
      <c r="R41" s="222"/>
      <c r="S41" s="223"/>
      <c r="T41" s="223"/>
      <c r="U41" s="223"/>
      <c r="V41" s="223"/>
      <c r="W41" s="223"/>
      <c r="X41" s="223"/>
      <c r="Y41" s="223"/>
      <c r="Z41" s="223"/>
    </row>
    <row r="42" ht="15.75" customHeight="1">
      <c r="A42" s="227" t="s">
        <v>6584</v>
      </c>
      <c r="B42" s="225" t="s">
        <v>6461</v>
      </c>
      <c r="C42" s="224">
        <v>3.52619274478149E14</v>
      </c>
      <c r="D42" s="231" t="s">
        <v>6486</v>
      </c>
      <c r="E42" s="234" t="s">
        <v>6585</v>
      </c>
      <c r="F42" s="227" t="s">
        <v>6465</v>
      </c>
      <c r="G42" s="227" t="s">
        <v>6512</v>
      </c>
      <c r="H42" s="227" t="s">
        <v>6465</v>
      </c>
      <c r="I42" s="253" t="s">
        <v>6586</v>
      </c>
      <c r="J42" s="241" t="s">
        <v>14</v>
      </c>
      <c r="K42" s="241" t="s">
        <v>1058</v>
      </c>
      <c r="L42" s="227" t="s">
        <v>265</v>
      </c>
      <c r="M42" s="225"/>
      <c r="N42" s="229"/>
      <c r="O42" s="229" t="s">
        <v>6587</v>
      </c>
      <c r="P42" s="230"/>
      <c r="Q42" s="222"/>
      <c r="R42" s="222"/>
      <c r="S42" s="223"/>
      <c r="T42" s="223"/>
      <c r="U42" s="223"/>
      <c r="V42" s="223"/>
      <c r="W42" s="223"/>
      <c r="X42" s="223"/>
      <c r="Y42" s="223"/>
      <c r="Z42" s="223"/>
    </row>
    <row r="43" ht="15.75" customHeight="1">
      <c r="A43" s="227" t="s">
        <v>6519</v>
      </c>
      <c r="B43" s="225" t="s">
        <v>6458</v>
      </c>
      <c r="C43" s="224">
        <v>8.64189053375453E14</v>
      </c>
      <c r="D43" s="226" t="s">
        <v>6514</v>
      </c>
      <c r="E43" s="232" t="s">
        <v>6588</v>
      </c>
      <c r="F43" s="227" t="s">
        <v>6465</v>
      </c>
      <c r="G43" s="227" t="s">
        <v>6465</v>
      </c>
      <c r="H43" s="227" t="s">
        <v>6465</v>
      </c>
      <c r="I43" s="227" t="s">
        <v>1193</v>
      </c>
      <c r="J43" s="228" t="s">
        <v>14</v>
      </c>
      <c r="K43" s="228" t="s">
        <v>1194</v>
      </c>
      <c r="L43" s="225"/>
      <c r="M43" s="225"/>
      <c r="N43" s="229"/>
      <c r="O43" s="229"/>
      <c r="P43" s="230"/>
      <c r="Q43" s="222"/>
      <c r="R43" s="222"/>
      <c r="S43" s="223"/>
      <c r="T43" s="223"/>
      <c r="U43" s="223"/>
      <c r="V43" s="223"/>
      <c r="W43" s="223"/>
      <c r="X43" s="223"/>
      <c r="Y43" s="223"/>
      <c r="Z43" s="223"/>
    </row>
    <row r="44" ht="15.75" customHeight="1">
      <c r="A44" s="234" t="s">
        <v>6548</v>
      </c>
      <c r="B44" s="225" t="s">
        <v>6458</v>
      </c>
      <c r="C44" s="224">
        <v>8.69733056657279E14</v>
      </c>
      <c r="D44" s="231" t="s">
        <v>6486</v>
      </c>
      <c r="E44" s="232" t="s">
        <v>6589</v>
      </c>
      <c r="F44" s="227" t="s">
        <v>6465</v>
      </c>
      <c r="G44" s="227" t="s">
        <v>6465</v>
      </c>
      <c r="H44" s="227" t="s">
        <v>6465</v>
      </c>
      <c r="I44" s="227" t="s">
        <v>1193</v>
      </c>
      <c r="J44" s="228" t="s">
        <v>14</v>
      </c>
      <c r="K44" s="228" t="s">
        <v>1194</v>
      </c>
      <c r="L44" s="225"/>
      <c r="M44" s="225"/>
      <c r="N44" s="229"/>
      <c r="O44" s="229"/>
      <c r="P44" s="230"/>
      <c r="Q44" s="222"/>
      <c r="R44" s="222"/>
      <c r="S44" s="223"/>
      <c r="T44" s="223"/>
      <c r="U44" s="223"/>
      <c r="V44" s="223"/>
      <c r="W44" s="223"/>
      <c r="X44" s="223"/>
      <c r="Y44" s="223"/>
      <c r="Z44" s="223"/>
    </row>
    <row r="45" ht="15.75" customHeight="1">
      <c r="A45" s="235" t="s">
        <v>6590</v>
      </c>
      <c r="B45" s="225" t="s">
        <v>6458</v>
      </c>
      <c r="C45" s="224">
        <v>3.56206203440832E14</v>
      </c>
      <c r="D45" s="231" t="s">
        <v>6486</v>
      </c>
      <c r="E45" s="224" t="s">
        <v>6591</v>
      </c>
      <c r="F45" s="227" t="s">
        <v>6465</v>
      </c>
      <c r="G45" s="227" t="s">
        <v>6465</v>
      </c>
      <c r="H45" s="227" t="s">
        <v>6465</v>
      </c>
      <c r="I45" s="241" t="s">
        <v>1515</v>
      </c>
      <c r="J45" s="241" t="s">
        <v>6592</v>
      </c>
      <c r="K45" s="241" t="s">
        <v>1516</v>
      </c>
      <c r="L45" s="233" t="s">
        <v>187</v>
      </c>
      <c r="M45" s="225"/>
      <c r="N45" s="229"/>
      <c r="O45" s="229"/>
      <c r="P45" s="230"/>
      <c r="Q45" s="222"/>
      <c r="R45" s="222"/>
      <c r="S45" s="223"/>
      <c r="T45" s="223"/>
      <c r="U45" s="223"/>
      <c r="V45" s="223"/>
      <c r="W45" s="223"/>
      <c r="X45" s="223"/>
      <c r="Y45" s="223"/>
      <c r="Z45" s="223"/>
    </row>
    <row r="46" ht="15.75" customHeight="1">
      <c r="A46" s="236" t="s">
        <v>6497</v>
      </c>
      <c r="B46" s="225" t="s">
        <v>6461</v>
      </c>
      <c r="C46" s="234">
        <v>3.5672008888997E14</v>
      </c>
      <c r="D46" s="231" t="s">
        <v>6593</v>
      </c>
      <c r="E46" s="234" t="s">
        <v>6594</v>
      </c>
      <c r="F46" s="227" t="s">
        <v>6465</v>
      </c>
      <c r="G46" s="227" t="s">
        <v>6465</v>
      </c>
      <c r="H46" s="227" t="s">
        <v>6465</v>
      </c>
      <c r="I46" s="233" t="s">
        <v>2150</v>
      </c>
      <c r="J46" s="228" t="s">
        <v>14</v>
      </c>
      <c r="K46" s="225" t="s">
        <v>2129</v>
      </c>
      <c r="L46" s="228" t="s">
        <v>6595</v>
      </c>
      <c r="M46" s="225"/>
      <c r="N46" s="229"/>
      <c r="O46" s="229"/>
      <c r="P46" s="230"/>
      <c r="Q46" s="222"/>
      <c r="R46" s="222"/>
      <c r="S46" s="223"/>
      <c r="T46" s="223"/>
      <c r="U46" s="223"/>
      <c r="V46" s="223"/>
      <c r="W46" s="223"/>
      <c r="X46" s="223"/>
      <c r="Y46" s="223"/>
      <c r="Z46" s="223"/>
    </row>
    <row r="47" ht="15.75" customHeight="1">
      <c r="A47" s="227" t="s">
        <v>6596</v>
      </c>
      <c r="B47" s="225" t="s">
        <v>6458</v>
      </c>
      <c r="C47" s="224">
        <v>8.6570605233605E14</v>
      </c>
      <c r="D47" s="231" t="s">
        <v>6486</v>
      </c>
      <c r="E47" s="234" t="s">
        <v>6597</v>
      </c>
      <c r="F47" s="227" t="s">
        <v>6465</v>
      </c>
      <c r="G47" s="227" t="s">
        <v>6465</v>
      </c>
      <c r="H47" s="227" t="s">
        <v>6465</v>
      </c>
      <c r="I47" s="227" t="s">
        <v>1201</v>
      </c>
      <c r="J47" s="228" t="s">
        <v>14</v>
      </c>
      <c r="K47" s="228" t="s">
        <v>1202</v>
      </c>
      <c r="L47" s="225"/>
      <c r="M47" s="225"/>
      <c r="N47" s="229"/>
      <c r="O47" s="229"/>
      <c r="P47" s="230"/>
      <c r="Q47" s="222"/>
      <c r="R47" s="222"/>
      <c r="S47" s="223"/>
      <c r="T47" s="223"/>
      <c r="U47" s="223"/>
      <c r="V47" s="223"/>
      <c r="W47" s="223"/>
      <c r="X47" s="223"/>
      <c r="Y47" s="223"/>
      <c r="Z47" s="223"/>
    </row>
    <row r="48" ht="15.75" customHeight="1">
      <c r="A48" s="224" t="s">
        <v>6598</v>
      </c>
      <c r="B48" s="225" t="s">
        <v>6461</v>
      </c>
      <c r="C48" s="224">
        <v>3.5030822544972E14</v>
      </c>
      <c r="D48" s="231" t="s">
        <v>6486</v>
      </c>
      <c r="E48" s="232" t="s">
        <v>6599</v>
      </c>
      <c r="F48" s="227" t="s">
        <v>6465</v>
      </c>
      <c r="G48" s="227" t="s">
        <v>6465</v>
      </c>
      <c r="H48" s="227" t="s">
        <v>6465</v>
      </c>
      <c r="I48" s="227" t="s">
        <v>1204</v>
      </c>
      <c r="J48" s="228" t="s">
        <v>14</v>
      </c>
      <c r="K48" s="228" t="s">
        <v>1036</v>
      </c>
      <c r="L48" s="225"/>
      <c r="M48" s="225"/>
      <c r="N48" s="229"/>
      <c r="O48" s="229"/>
      <c r="P48" s="230"/>
      <c r="Q48" s="222"/>
      <c r="R48" s="222"/>
      <c r="S48" s="223"/>
      <c r="T48" s="223"/>
      <c r="U48" s="223"/>
      <c r="V48" s="223"/>
      <c r="W48" s="223"/>
      <c r="X48" s="223"/>
      <c r="Y48" s="223"/>
      <c r="Z48" s="223"/>
    </row>
    <row r="49" ht="15.75" customHeight="1">
      <c r="A49" s="227" t="s">
        <v>6519</v>
      </c>
      <c r="B49" s="225" t="s">
        <v>6458</v>
      </c>
      <c r="C49" s="224">
        <v>8.64189054341892E14</v>
      </c>
      <c r="D49" s="226" t="s">
        <v>6495</v>
      </c>
      <c r="E49" s="232" t="s">
        <v>6600</v>
      </c>
      <c r="F49" s="227" t="s">
        <v>6465</v>
      </c>
      <c r="G49" s="227" t="s">
        <v>6465</v>
      </c>
      <c r="H49" s="227" t="s">
        <v>6465</v>
      </c>
      <c r="I49" s="254" t="s">
        <v>587</v>
      </c>
      <c r="J49" s="228" t="s">
        <v>33</v>
      </c>
      <c r="K49" s="228" t="s">
        <v>588</v>
      </c>
      <c r="L49" s="255" t="s">
        <v>1357</v>
      </c>
      <c r="M49" s="225"/>
      <c r="N49" s="229"/>
      <c r="O49" s="229"/>
      <c r="P49" s="230"/>
      <c r="Q49" s="222"/>
      <c r="R49" s="222"/>
      <c r="S49" s="223"/>
      <c r="T49" s="223"/>
      <c r="U49" s="223"/>
      <c r="V49" s="223"/>
      <c r="W49" s="223"/>
      <c r="X49" s="223"/>
      <c r="Y49" s="223"/>
      <c r="Z49" s="223"/>
    </row>
    <row r="50" ht="15.75" customHeight="1">
      <c r="A50" s="234" t="s">
        <v>6601</v>
      </c>
      <c r="B50" s="225" t="s">
        <v>6458</v>
      </c>
      <c r="C50" s="224">
        <v>3.5160678190154E14</v>
      </c>
      <c r="D50" s="243" t="s">
        <v>6514</v>
      </c>
      <c r="E50" s="232" t="s">
        <v>6602</v>
      </c>
      <c r="F50" s="227" t="s">
        <v>6465</v>
      </c>
      <c r="G50" s="227" t="s">
        <v>6465</v>
      </c>
      <c r="H50" s="227" t="s">
        <v>6465</v>
      </c>
      <c r="I50" s="240" t="s">
        <v>1818</v>
      </c>
      <c r="J50" s="241" t="s">
        <v>1471</v>
      </c>
      <c r="K50" s="248" t="s">
        <v>1819</v>
      </c>
      <c r="L50" s="248" t="s">
        <v>6603</v>
      </c>
      <c r="M50" s="225"/>
      <c r="N50" s="229"/>
      <c r="O50" s="229"/>
      <c r="P50" s="230"/>
      <c r="Q50" s="222"/>
      <c r="R50" s="222"/>
      <c r="S50" s="223"/>
      <c r="T50" s="223"/>
      <c r="U50" s="223"/>
      <c r="V50" s="223"/>
      <c r="W50" s="223"/>
      <c r="X50" s="223"/>
      <c r="Y50" s="223"/>
      <c r="Z50" s="223"/>
    </row>
    <row r="51" ht="15.75" customHeight="1">
      <c r="A51" s="227" t="s">
        <v>6604</v>
      </c>
      <c r="B51" s="225" t="s">
        <v>6458</v>
      </c>
      <c r="C51" s="224">
        <v>3.5620620366801E14</v>
      </c>
      <c r="D51" s="226" t="s">
        <v>6495</v>
      </c>
      <c r="E51" s="234" t="s">
        <v>6605</v>
      </c>
      <c r="F51" s="227" t="s">
        <v>6465</v>
      </c>
      <c r="G51" s="227" t="s">
        <v>6465</v>
      </c>
      <c r="H51" s="227" t="s">
        <v>6465</v>
      </c>
      <c r="I51" s="227" t="s">
        <v>2066</v>
      </c>
      <c r="J51" s="228" t="s">
        <v>14</v>
      </c>
      <c r="K51" s="228" t="s">
        <v>2067</v>
      </c>
      <c r="L51" s="225"/>
      <c r="M51" s="225"/>
      <c r="N51" s="229"/>
      <c r="O51" s="229"/>
      <c r="P51" s="230"/>
      <c r="Q51" s="222"/>
      <c r="R51" s="222"/>
      <c r="S51" s="223"/>
      <c r="T51" s="223"/>
      <c r="U51" s="223"/>
      <c r="V51" s="223"/>
      <c r="W51" s="223"/>
      <c r="X51" s="223"/>
      <c r="Y51" s="223"/>
      <c r="Z51" s="223"/>
    </row>
    <row r="52" ht="15.75" customHeight="1">
      <c r="A52" s="227" t="s">
        <v>6606</v>
      </c>
      <c r="B52" s="225" t="s">
        <v>6458</v>
      </c>
      <c r="C52" s="224">
        <v>3.56206203442556E14</v>
      </c>
      <c r="D52" s="226" t="s">
        <v>6495</v>
      </c>
      <c r="E52" s="232" t="s">
        <v>6607</v>
      </c>
      <c r="F52" s="227" t="s">
        <v>6467</v>
      </c>
      <c r="G52" s="227" t="s">
        <v>6530</v>
      </c>
      <c r="H52" s="227" t="s">
        <v>6467</v>
      </c>
      <c r="I52" s="227" t="s">
        <v>6467</v>
      </c>
      <c r="J52" s="228"/>
      <c r="K52" s="228"/>
      <c r="L52" s="225"/>
      <c r="M52" s="225"/>
      <c r="N52" s="229"/>
      <c r="O52" s="229"/>
      <c r="P52" s="230"/>
      <c r="Q52" s="222"/>
      <c r="R52" s="222"/>
      <c r="S52" s="223"/>
      <c r="T52" s="223"/>
      <c r="U52" s="223"/>
      <c r="V52" s="223"/>
      <c r="W52" s="223"/>
      <c r="X52" s="223"/>
      <c r="Y52" s="223"/>
      <c r="Z52" s="223"/>
    </row>
    <row r="53" ht="15.75" customHeight="1">
      <c r="A53" s="235" t="s">
        <v>6608</v>
      </c>
      <c r="B53" s="225" t="s">
        <v>6458</v>
      </c>
      <c r="C53" s="224">
        <v>3.55766343711856E14</v>
      </c>
      <c r="D53" s="226" t="s">
        <v>6514</v>
      </c>
      <c r="E53" s="232" t="s">
        <v>6609</v>
      </c>
      <c r="F53" s="227" t="s">
        <v>6465</v>
      </c>
      <c r="G53" s="227" t="s">
        <v>6465</v>
      </c>
      <c r="H53" s="227" t="s">
        <v>6465</v>
      </c>
      <c r="I53" s="227" t="s">
        <v>1970</v>
      </c>
      <c r="J53" s="228" t="s">
        <v>14</v>
      </c>
      <c r="K53" s="228" t="s">
        <v>1971</v>
      </c>
      <c r="L53" s="225"/>
      <c r="M53" s="256"/>
      <c r="N53" s="229"/>
      <c r="O53" s="229"/>
      <c r="P53" s="230"/>
      <c r="Q53" s="222"/>
      <c r="R53" s="222"/>
      <c r="S53" s="223"/>
      <c r="T53" s="223"/>
      <c r="U53" s="223"/>
      <c r="V53" s="223"/>
      <c r="W53" s="223"/>
      <c r="X53" s="223"/>
      <c r="Y53" s="223"/>
      <c r="Z53" s="223"/>
    </row>
    <row r="54" ht="15.75" customHeight="1">
      <c r="A54" s="227" t="s">
        <v>6538</v>
      </c>
      <c r="B54" s="225" t="s">
        <v>6458</v>
      </c>
      <c r="C54" s="224">
        <v>8.68948051958479E14</v>
      </c>
      <c r="D54" s="226" t="s">
        <v>6495</v>
      </c>
      <c r="E54" s="257" t="s">
        <v>6610</v>
      </c>
      <c r="F54" s="227" t="s">
        <v>6464</v>
      </c>
      <c r="G54" s="227" t="s">
        <v>6530</v>
      </c>
      <c r="H54" s="227" t="s">
        <v>6470</v>
      </c>
      <c r="I54" s="227" t="s">
        <v>6464</v>
      </c>
      <c r="J54" s="228"/>
      <c r="K54" s="228"/>
      <c r="L54" s="255" t="s">
        <v>2081</v>
      </c>
      <c r="M54" s="225"/>
      <c r="N54" s="229"/>
      <c r="O54" s="229"/>
      <c r="P54" s="230"/>
      <c r="Q54" s="222"/>
      <c r="R54" s="222"/>
      <c r="S54" s="223"/>
      <c r="T54" s="223"/>
      <c r="U54" s="223"/>
      <c r="V54" s="223"/>
      <c r="W54" s="223"/>
      <c r="X54" s="223"/>
      <c r="Y54" s="223"/>
      <c r="Z54" s="223"/>
    </row>
    <row r="55" ht="15.75" customHeight="1">
      <c r="A55" s="227" t="s">
        <v>6606</v>
      </c>
      <c r="B55" s="225" t="s">
        <v>6458</v>
      </c>
      <c r="C55" s="224">
        <v>3.5620620366783E14</v>
      </c>
      <c r="D55" s="226" t="s">
        <v>6495</v>
      </c>
      <c r="E55" s="257" t="s">
        <v>6611</v>
      </c>
      <c r="F55" s="227" t="s">
        <v>6465</v>
      </c>
      <c r="G55" s="227" t="s">
        <v>6465</v>
      </c>
      <c r="H55" s="227" t="s">
        <v>6465</v>
      </c>
      <c r="I55" s="227" t="s">
        <v>2075</v>
      </c>
      <c r="J55" s="228" t="s">
        <v>14</v>
      </c>
      <c r="K55" s="228" t="s">
        <v>2076</v>
      </c>
      <c r="L55" s="225"/>
      <c r="M55" s="225"/>
      <c r="N55" s="229"/>
      <c r="O55" s="229"/>
      <c r="P55" s="230"/>
      <c r="Q55" s="222"/>
      <c r="R55" s="222"/>
      <c r="S55" s="223"/>
      <c r="T55" s="223"/>
      <c r="U55" s="223"/>
      <c r="V55" s="223"/>
      <c r="W55" s="223"/>
      <c r="X55" s="223"/>
      <c r="Y55" s="223"/>
      <c r="Z55" s="223"/>
    </row>
    <row r="56" ht="15.75" customHeight="1">
      <c r="A56" s="227" t="s">
        <v>6494</v>
      </c>
      <c r="B56" s="225" t="s">
        <v>6458</v>
      </c>
      <c r="C56" s="224">
        <v>3.55766344218794E14</v>
      </c>
      <c r="D56" s="226" t="s">
        <v>6514</v>
      </c>
      <c r="E56" s="232" t="s">
        <v>6612</v>
      </c>
      <c r="F56" s="227" t="s">
        <v>6465</v>
      </c>
      <c r="G56" s="227" t="s">
        <v>6465</v>
      </c>
      <c r="H56" s="227" t="s">
        <v>6465</v>
      </c>
      <c r="I56" s="227" t="s">
        <v>1864</v>
      </c>
      <c r="J56" s="228" t="s">
        <v>6613</v>
      </c>
      <c r="K56" s="228" t="s">
        <v>1056</v>
      </c>
      <c r="L56" s="225"/>
      <c r="M56" s="225"/>
      <c r="N56" s="229"/>
      <c r="O56" s="229"/>
      <c r="P56" s="230"/>
      <c r="Q56" s="222"/>
      <c r="R56" s="222"/>
      <c r="S56" s="223"/>
      <c r="T56" s="223"/>
      <c r="U56" s="223"/>
      <c r="V56" s="223"/>
      <c r="W56" s="223"/>
      <c r="X56" s="223"/>
      <c r="Y56" s="223"/>
      <c r="Z56" s="223"/>
    </row>
    <row r="57" ht="15.75" customHeight="1">
      <c r="A57" s="227" t="s">
        <v>6614</v>
      </c>
      <c r="B57" s="225" t="s">
        <v>6458</v>
      </c>
      <c r="C57" s="224">
        <v>8.69054052397111E14</v>
      </c>
      <c r="D57" s="226" t="s">
        <v>6495</v>
      </c>
      <c r="E57" s="224" t="s">
        <v>6615</v>
      </c>
      <c r="F57" s="227" t="s">
        <v>6465</v>
      </c>
      <c r="G57" s="227" t="s">
        <v>6465</v>
      </c>
      <c r="H57" s="227" t="s">
        <v>6465</v>
      </c>
      <c r="I57" s="227" t="s">
        <v>1930</v>
      </c>
      <c r="J57" s="228" t="s">
        <v>14</v>
      </c>
      <c r="K57" s="228" t="s">
        <v>1931</v>
      </c>
      <c r="L57" s="225"/>
      <c r="M57" s="225"/>
      <c r="N57" s="229"/>
      <c r="O57" s="229"/>
      <c r="P57" s="230"/>
      <c r="Q57" s="222"/>
      <c r="R57" s="222"/>
      <c r="S57" s="223"/>
      <c r="T57" s="223"/>
      <c r="U57" s="223"/>
      <c r="V57" s="223"/>
      <c r="W57" s="223"/>
      <c r="X57" s="223"/>
      <c r="Y57" s="223"/>
      <c r="Z57" s="223"/>
    </row>
    <row r="58" ht="15.75" customHeight="1">
      <c r="A58" s="232" t="s">
        <v>6538</v>
      </c>
      <c r="B58" s="225" t="s">
        <v>6458</v>
      </c>
      <c r="C58" s="224">
        <v>8.68948050131813E14</v>
      </c>
      <c r="D58" s="226" t="s">
        <v>6495</v>
      </c>
      <c r="E58" s="232" t="s">
        <v>6616</v>
      </c>
      <c r="F58" s="227" t="s">
        <v>6465</v>
      </c>
      <c r="G58" s="227" t="s">
        <v>6465</v>
      </c>
      <c r="H58" s="227" t="s">
        <v>6465</v>
      </c>
      <c r="I58" s="227" t="s">
        <v>2203</v>
      </c>
      <c r="J58" s="228" t="s">
        <v>22</v>
      </c>
      <c r="K58" s="228" t="s">
        <v>2204</v>
      </c>
      <c r="L58" s="225"/>
      <c r="M58" s="225"/>
      <c r="N58" s="229"/>
      <c r="O58" s="229"/>
      <c r="P58" s="230"/>
      <c r="Q58" s="222"/>
      <c r="R58" s="222"/>
      <c r="S58" s="223"/>
      <c r="T58" s="223"/>
      <c r="U58" s="223"/>
      <c r="V58" s="223"/>
      <c r="W58" s="223"/>
      <c r="X58" s="223"/>
      <c r="Y58" s="223"/>
      <c r="Z58" s="223"/>
    </row>
    <row r="59" ht="15.75" customHeight="1">
      <c r="A59" s="236" t="s">
        <v>6533</v>
      </c>
      <c r="B59" s="225" t="s">
        <v>6458</v>
      </c>
      <c r="C59" s="224">
        <v>8.69054050659751E14</v>
      </c>
      <c r="D59" s="226" t="s">
        <v>6495</v>
      </c>
      <c r="E59" s="234" t="s">
        <v>6617</v>
      </c>
      <c r="F59" s="227" t="s">
        <v>6465</v>
      </c>
      <c r="G59" s="227" t="s">
        <v>6465</v>
      </c>
      <c r="H59" s="227" t="s">
        <v>6465</v>
      </c>
      <c r="I59" s="233" t="s">
        <v>333</v>
      </c>
      <c r="J59" s="228" t="s">
        <v>14</v>
      </c>
      <c r="K59" s="228" t="s">
        <v>6618</v>
      </c>
      <c r="L59" s="227" t="s">
        <v>2079</v>
      </c>
      <c r="M59" s="225"/>
      <c r="N59" s="229"/>
      <c r="O59" s="229"/>
      <c r="P59" s="230"/>
      <c r="Q59" s="222"/>
      <c r="R59" s="222"/>
      <c r="S59" s="223"/>
      <c r="T59" s="223"/>
      <c r="U59" s="223"/>
      <c r="V59" s="223"/>
      <c r="W59" s="223"/>
      <c r="X59" s="223"/>
      <c r="Y59" s="223"/>
      <c r="Z59" s="223"/>
    </row>
    <row r="60" ht="15.75" customHeight="1">
      <c r="A60" s="236" t="s">
        <v>6513</v>
      </c>
      <c r="B60" s="225" t="s">
        <v>6458</v>
      </c>
      <c r="C60" s="224">
        <v>3.5576634371051E14</v>
      </c>
      <c r="D60" s="226" t="s">
        <v>6514</v>
      </c>
      <c r="E60" s="232" t="s">
        <v>6619</v>
      </c>
      <c r="F60" s="227" t="s">
        <v>6465</v>
      </c>
      <c r="G60" s="227" t="s">
        <v>6465</v>
      </c>
      <c r="H60" s="227" t="s">
        <v>6465</v>
      </c>
      <c r="I60" s="244" t="s">
        <v>1045</v>
      </c>
      <c r="J60" s="228" t="s">
        <v>14</v>
      </c>
      <c r="K60" s="228" t="s">
        <v>1046</v>
      </c>
      <c r="L60" s="227" t="s">
        <v>2079</v>
      </c>
      <c r="M60" s="225" t="s">
        <v>6620</v>
      </c>
      <c r="N60" s="229"/>
      <c r="O60" s="229"/>
      <c r="P60" s="230"/>
      <c r="Q60" s="222"/>
      <c r="R60" s="222"/>
      <c r="S60" s="223"/>
      <c r="T60" s="223"/>
      <c r="U60" s="223"/>
      <c r="V60" s="223"/>
      <c r="W60" s="223"/>
      <c r="X60" s="223"/>
      <c r="Y60" s="223"/>
      <c r="Z60" s="223"/>
    </row>
    <row r="61" ht="15.75" customHeight="1">
      <c r="A61" s="236" t="s">
        <v>6621</v>
      </c>
      <c r="B61" s="225" t="s">
        <v>6461</v>
      </c>
      <c r="C61" s="224">
        <v>3.52292936908141E14</v>
      </c>
      <c r="D61" s="226" t="s">
        <v>6510</v>
      </c>
      <c r="E61" s="232" t="s">
        <v>6622</v>
      </c>
      <c r="F61" s="227" t="s">
        <v>6465</v>
      </c>
      <c r="G61" s="227" t="s">
        <v>6465</v>
      </c>
      <c r="H61" s="227" t="s">
        <v>6465</v>
      </c>
      <c r="I61" s="233" t="s">
        <v>2264</v>
      </c>
      <c r="J61" s="228" t="s">
        <v>14</v>
      </c>
      <c r="K61" s="228" t="s">
        <v>2265</v>
      </c>
      <c r="L61" s="227" t="s">
        <v>1357</v>
      </c>
      <c r="M61" s="225"/>
      <c r="N61" s="229"/>
      <c r="O61" s="229"/>
      <c r="P61" s="230"/>
      <c r="Q61" s="222"/>
      <c r="R61" s="222"/>
      <c r="S61" s="223"/>
      <c r="T61" s="223"/>
      <c r="U61" s="223"/>
      <c r="V61" s="223"/>
      <c r="W61" s="223"/>
      <c r="X61" s="223"/>
      <c r="Y61" s="223"/>
      <c r="Z61" s="223"/>
    </row>
    <row r="62" ht="15.75" customHeight="1">
      <c r="A62" s="227" t="s">
        <v>6494</v>
      </c>
      <c r="B62" s="225" t="s">
        <v>6458</v>
      </c>
      <c r="C62" s="224">
        <v>3.5620620406487E14</v>
      </c>
      <c r="D62" s="226" t="s">
        <v>6495</v>
      </c>
      <c r="E62" s="234" t="s">
        <v>6623</v>
      </c>
      <c r="F62" s="227" t="s">
        <v>6465</v>
      </c>
      <c r="G62" s="227" t="s">
        <v>6465</v>
      </c>
      <c r="H62" s="227" t="s">
        <v>6465</v>
      </c>
      <c r="I62" s="227" t="s">
        <v>2080</v>
      </c>
      <c r="J62" s="228" t="s">
        <v>14</v>
      </c>
      <c r="K62" s="228" t="s">
        <v>1197</v>
      </c>
      <c r="L62" s="225"/>
      <c r="M62" s="225"/>
      <c r="N62" s="229"/>
      <c r="O62" s="229" t="s">
        <v>6624</v>
      </c>
      <c r="P62" s="230"/>
      <c r="Q62" s="222"/>
      <c r="R62" s="222"/>
      <c r="S62" s="223"/>
      <c r="T62" s="223"/>
      <c r="U62" s="223"/>
      <c r="V62" s="223"/>
      <c r="W62" s="223"/>
      <c r="X62" s="223"/>
      <c r="Y62" s="223"/>
      <c r="Z62" s="223"/>
    </row>
    <row r="63" ht="15.75" customHeight="1">
      <c r="A63" s="234" t="s">
        <v>6625</v>
      </c>
      <c r="B63" s="225" t="s">
        <v>6458</v>
      </c>
      <c r="C63" s="224">
        <v>8.6408005009485E14</v>
      </c>
      <c r="D63" s="226" t="s">
        <v>6495</v>
      </c>
      <c r="E63" s="234" t="s">
        <v>6626</v>
      </c>
      <c r="F63" s="227" t="s">
        <v>6465</v>
      </c>
      <c r="G63" s="227" t="s">
        <v>6465</v>
      </c>
      <c r="H63" s="227" t="s">
        <v>6465</v>
      </c>
      <c r="I63" s="227" t="s">
        <v>2080</v>
      </c>
      <c r="J63" s="228" t="s">
        <v>14</v>
      </c>
      <c r="K63" s="228" t="s">
        <v>1197</v>
      </c>
      <c r="L63" s="225"/>
      <c r="M63" s="225"/>
      <c r="N63" s="229"/>
      <c r="O63" s="229"/>
      <c r="P63" s="230"/>
      <c r="Q63" s="222"/>
      <c r="R63" s="222"/>
      <c r="S63" s="223"/>
      <c r="T63" s="223"/>
      <c r="U63" s="223"/>
      <c r="V63" s="223"/>
      <c r="W63" s="223"/>
      <c r="X63" s="223"/>
      <c r="Y63" s="223"/>
      <c r="Z63" s="223"/>
    </row>
    <row r="64" ht="15.75" customHeight="1">
      <c r="A64" s="258" t="s">
        <v>6627</v>
      </c>
      <c r="B64" s="225" t="s">
        <v>6461</v>
      </c>
      <c r="C64" s="259">
        <v>3.53055102052039E14</v>
      </c>
      <c r="D64" s="226" t="s">
        <v>6498</v>
      </c>
      <c r="E64" s="258" t="s">
        <v>6628</v>
      </c>
      <c r="F64" s="227" t="s">
        <v>6467</v>
      </c>
      <c r="G64" s="227" t="s">
        <v>6530</v>
      </c>
      <c r="H64" s="227" t="s">
        <v>6467</v>
      </c>
      <c r="I64" s="260" t="s">
        <v>6467</v>
      </c>
      <c r="J64" s="261"/>
      <c r="K64" s="261" t="s">
        <v>6629</v>
      </c>
      <c r="L64" s="262" t="s">
        <v>2080</v>
      </c>
      <c r="M64" s="256"/>
      <c r="N64" s="229"/>
      <c r="O64" s="229"/>
      <c r="P64" s="230"/>
      <c r="Q64" s="222"/>
      <c r="R64" s="222"/>
      <c r="S64" s="223"/>
      <c r="T64" s="223"/>
      <c r="U64" s="223"/>
      <c r="V64" s="223"/>
      <c r="W64" s="223"/>
      <c r="X64" s="223"/>
      <c r="Y64" s="223"/>
      <c r="Z64" s="223"/>
    </row>
    <row r="65" ht="15.75" customHeight="1">
      <c r="A65" s="227" t="s">
        <v>6608</v>
      </c>
      <c r="B65" s="225" t="s">
        <v>6458</v>
      </c>
      <c r="C65" s="224">
        <v>3.55766343706039E14</v>
      </c>
      <c r="D65" s="226" t="s">
        <v>6514</v>
      </c>
      <c r="E65" s="232" t="s">
        <v>6630</v>
      </c>
      <c r="F65" s="227" t="s">
        <v>6464</v>
      </c>
      <c r="G65" s="227" t="s">
        <v>6464</v>
      </c>
      <c r="H65" s="227" t="s">
        <v>6464</v>
      </c>
      <c r="I65" s="233"/>
      <c r="J65" s="228"/>
      <c r="K65" s="228"/>
      <c r="L65" s="233" t="s">
        <v>6631</v>
      </c>
      <c r="M65" s="225"/>
      <c r="N65" s="229"/>
      <c r="O65" s="229"/>
      <c r="P65" s="230"/>
      <c r="Q65" s="222"/>
      <c r="R65" s="222"/>
      <c r="S65" s="223"/>
      <c r="T65" s="223"/>
      <c r="U65" s="223"/>
      <c r="V65" s="223"/>
      <c r="W65" s="223"/>
      <c r="X65" s="223"/>
      <c r="Y65" s="223"/>
      <c r="Z65" s="223"/>
    </row>
    <row r="66" ht="15.75" customHeight="1">
      <c r="A66" s="236" t="s">
        <v>6632</v>
      </c>
      <c r="B66" s="225" t="s">
        <v>6458</v>
      </c>
      <c r="C66" s="234">
        <v>8.64264055310772E14</v>
      </c>
      <c r="D66" s="226" t="s">
        <v>6495</v>
      </c>
      <c r="E66" s="263" t="s">
        <v>6633</v>
      </c>
      <c r="F66" s="227" t="s">
        <v>6465</v>
      </c>
      <c r="G66" s="227" t="s">
        <v>6465</v>
      </c>
      <c r="H66" s="227" t="s">
        <v>6465</v>
      </c>
      <c r="I66" s="236" t="s">
        <v>6634</v>
      </c>
      <c r="J66" s="228" t="s">
        <v>6635</v>
      </c>
      <c r="K66" s="228" t="s">
        <v>1539</v>
      </c>
      <c r="L66" s="264" t="s">
        <v>1963</v>
      </c>
      <c r="M66" s="225"/>
      <c r="N66" s="229"/>
      <c r="O66" s="229"/>
      <c r="P66" s="230"/>
      <c r="Q66" s="222"/>
      <c r="R66" s="222"/>
      <c r="S66" s="223"/>
      <c r="T66" s="223"/>
      <c r="U66" s="223"/>
      <c r="V66" s="223"/>
      <c r="W66" s="223"/>
      <c r="X66" s="223"/>
      <c r="Y66" s="223"/>
      <c r="Z66" s="223"/>
    </row>
    <row r="67" ht="15.75" customHeight="1">
      <c r="A67" s="227" t="s">
        <v>6636</v>
      </c>
      <c r="B67" s="225" t="s">
        <v>6458</v>
      </c>
      <c r="C67" s="224">
        <v>8.62921045760315E14</v>
      </c>
      <c r="D67" s="226" t="s">
        <v>6495</v>
      </c>
      <c r="E67" s="224"/>
      <c r="F67" s="227" t="s">
        <v>6465</v>
      </c>
      <c r="G67" s="227" t="s">
        <v>6465</v>
      </c>
      <c r="H67" s="227" t="s">
        <v>6465</v>
      </c>
      <c r="I67" s="258" t="s">
        <v>6637</v>
      </c>
      <c r="J67" s="228"/>
      <c r="K67" s="228"/>
      <c r="L67" s="225" t="s">
        <v>357</v>
      </c>
      <c r="M67" s="260" t="s">
        <v>6638</v>
      </c>
      <c r="N67" s="229"/>
      <c r="O67" s="229"/>
      <c r="P67" s="230"/>
      <c r="Q67" s="222"/>
      <c r="R67" s="222"/>
      <c r="S67" s="223"/>
      <c r="T67" s="223"/>
      <c r="U67" s="223"/>
      <c r="V67" s="223"/>
      <c r="W67" s="223"/>
      <c r="X67" s="223"/>
      <c r="Y67" s="223"/>
      <c r="Z67" s="223"/>
    </row>
    <row r="68" ht="15.75" customHeight="1">
      <c r="A68" s="227" t="s">
        <v>6581</v>
      </c>
      <c r="B68" s="225" t="s">
        <v>6458</v>
      </c>
      <c r="C68" s="224">
        <v>8.63857055633332E14</v>
      </c>
      <c r="D68" s="226" t="s">
        <v>6495</v>
      </c>
      <c r="E68" s="232" t="s">
        <v>6639</v>
      </c>
      <c r="F68" s="227" t="s">
        <v>6465</v>
      </c>
      <c r="G68" s="227" t="s">
        <v>6465</v>
      </c>
      <c r="H68" s="227" t="s">
        <v>6465</v>
      </c>
      <c r="I68" s="254" t="s">
        <v>1268</v>
      </c>
      <c r="J68" s="228" t="s">
        <v>6635</v>
      </c>
      <c r="K68" s="248" t="s">
        <v>1269</v>
      </c>
      <c r="L68" s="255" t="s">
        <v>6640</v>
      </c>
      <c r="M68" s="225"/>
      <c r="N68" s="229"/>
      <c r="O68" s="229" t="s">
        <v>6493</v>
      </c>
      <c r="P68" s="230"/>
      <c r="Q68" s="222"/>
      <c r="R68" s="222"/>
      <c r="S68" s="223"/>
      <c r="T68" s="223"/>
      <c r="U68" s="223"/>
      <c r="V68" s="223"/>
      <c r="W68" s="223"/>
      <c r="X68" s="223"/>
      <c r="Y68" s="223"/>
      <c r="Z68" s="223"/>
    </row>
    <row r="69" ht="15.75" customHeight="1">
      <c r="A69" s="227" t="s">
        <v>6641</v>
      </c>
      <c r="B69" s="225" t="s">
        <v>6458</v>
      </c>
      <c r="C69" s="224">
        <v>3.55766343704257E14</v>
      </c>
      <c r="D69" s="226" t="s">
        <v>6514</v>
      </c>
      <c r="E69" s="251" t="s">
        <v>6642</v>
      </c>
      <c r="F69" s="227" t="s">
        <v>6465</v>
      </c>
      <c r="G69" s="227" t="s">
        <v>6465</v>
      </c>
      <c r="H69" s="227" t="s">
        <v>6465</v>
      </c>
      <c r="I69" s="265" t="s">
        <v>1027</v>
      </c>
      <c r="J69" s="228" t="s">
        <v>6635</v>
      </c>
      <c r="K69" s="228" t="s">
        <v>1028</v>
      </c>
      <c r="L69" s="227" t="s">
        <v>6643</v>
      </c>
      <c r="M69" s="225" t="s">
        <v>6644</v>
      </c>
      <c r="N69" s="229"/>
      <c r="O69" s="229"/>
      <c r="P69" s="230"/>
      <c r="Q69" s="222"/>
      <c r="R69" s="222"/>
      <c r="S69" s="223"/>
      <c r="T69" s="223"/>
      <c r="U69" s="223"/>
      <c r="V69" s="223"/>
      <c r="W69" s="223"/>
      <c r="X69" s="223"/>
      <c r="Y69" s="223"/>
      <c r="Z69" s="223"/>
    </row>
    <row r="70" ht="15.75" customHeight="1">
      <c r="A70" s="227" t="s">
        <v>6533</v>
      </c>
      <c r="B70" s="225" t="s">
        <v>6458</v>
      </c>
      <c r="C70" s="224">
        <v>8.69054052404594E14</v>
      </c>
      <c r="D70" s="226" t="s">
        <v>6495</v>
      </c>
      <c r="E70" s="232" t="s">
        <v>6645</v>
      </c>
      <c r="F70" s="227" t="s">
        <v>6465</v>
      </c>
      <c r="G70" s="227" t="s">
        <v>6465</v>
      </c>
      <c r="H70" s="227" t="s">
        <v>6465</v>
      </c>
      <c r="I70" s="227" t="s">
        <v>377</v>
      </c>
      <c r="J70" s="250" t="s">
        <v>14</v>
      </c>
      <c r="K70" s="228" t="s">
        <v>378</v>
      </c>
      <c r="L70" s="225"/>
      <c r="M70" s="225"/>
      <c r="N70" s="229"/>
      <c r="O70" s="229"/>
      <c r="P70" s="230"/>
      <c r="Q70" s="222"/>
      <c r="R70" s="222"/>
      <c r="S70" s="223"/>
      <c r="T70" s="223"/>
      <c r="U70" s="223"/>
      <c r="V70" s="223"/>
      <c r="W70" s="223"/>
      <c r="X70" s="223"/>
      <c r="Y70" s="223"/>
      <c r="Z70" s="223"/>
    </row>
    <row r="71" ht="15.75" customHeight="1">
      <c r="A71" s="227" t="s">
        <v>6606</v>
      </c>
      <c r="B71" s="225" t="s">
        <v>6458</v>
      </c>
      <c r="C71" s="224">
        <v>3.56206203668051E14</v>
      </c>
      <c r="D71" s="226" t="s">
        <v>6495</v>
      </c>
      <c r="E71" s="232" t="s">
        <v>6646</v>
      </c>
      <c r="F71" s="227" t="s">
        <v>6467</v>
      </c>
      <c r="G71" s="227" t="s">
        <v>6530</v>
      </c>
      <c r="H71" s="227" t="s">
        <v>6467</v>
      </c>
      <c r="I71" s="227" t="s">
        <v>6467</v>
      </c>
      <c r="J71" s="228"/>
      <c r="K71" s="266"/>
      <c r="L71" s="227" t="s">
        <v>6647</v>
      </c>
      <c r="M71" s="225"/>
      <c r="N71" s="229"/>
      <c r="O71" s="229"/>
      <c r="P71" s="230"/>
      <c r="Q71" s="222"/>
      <c r="R71" s="222"/>
      <c r="S71" s="223"/>
      <c r="T71" s="223"/>
      <c r="U71" s="223"/>
      <c r="V71" s="223"/>
      <c r="W71" s="223"/>
      <c r="X71" s="223"/>
      <c r="Y71" s="223"/>
      <c r="Z71" s="223"/>
    </row>
    <row r="72" ht="15.75" customHeight="1">
      <c r="A72" s="227" t="s">
        <v>6490</v>
      </c>
      <c r="B72" s="225" t="s">
        <v>6458</v>
      </c>
      <c r="C72" s="224">
        <v>8.63857055076557E14</v>
      </c>
      <c r="D72" s="231" t="s">
        <v>6486</v>
      </c>
      <c r="E72" s="232" t="s">
        <v>6648</v>
      </c>
      <c r="F72" s="227" t="s">
        <v>6465</v>
      </c>
      <c r="G72" s="227" t="s">
        <v>6465</v>
      </c>
      <c r="H72" s="227" t="s">
        <v>6465</v>
      </c>
      <c r="I72" s="227" t="s">
        <v>391</v>
      </c>
      <c r="J72" s="228" t="s">
        <v>4088</v>
      </c>
      <c r="K72" s="228" t="s">
        <v>392</v>
      </c>
      <c r="L72" s="225"/>
      <c r="M72" s="225"/>
      <c r="N72" s="229"/>
      <c r="O72" s="229" t="s">
        <v>6493</v>
      </c>
      <c r="P72" s="230"/>
      <c r="Q72" s="222"/>
      <c r="R72" s="222"/>
      <c r="S72" s="223"/>
      <c r="T72" s="223"/>
      <c r="U72" s="223"/>
      <c r="V72" s="223"/>
      <c r="W72" s="223"/>
      <c r="X72" s="223"/>
      <c r="Y72" s="223"/>
      <c r="Z72" s="223"/>
    </row>
    <row r="73" ht="15.75" customHeight="1">
      <c r="A73" s="227" t="s">
        <v>6494</v>
      </c>
      <c r="B73" s="225" t="s">
        <v>6458</v>
      </c>
      <c r="C73" s="224">
        <v>3.56206203299733E14</v>
      </c>
      <c r="D73" s="231" t="s">
        <v>6486</v>
      </c>
      <c r="E73" s="257" t="s">
        <v>6649</v>
      </c>
      <c r="F73" s="227" t="s">
        <v>6465</v>
      </c>
      <c r="G73" s="227" t="s">
        <v>6465</v>
      </c>
      <c r="H73" s="227" t="s">
        <v>6465</v>
      </c>
      <c r="I73" s="227" t="s">
        <v>2126</v>
      </c>
      <c r="J73" s="228" t="s">
        <v>14</v>
      </c>
      <c r="K73" s="228" t="s">
        <v>2127</v>
      </c>
      <c r="L73" s="225"/>
      <c r="M73" s="225"/>
      <c r="N73" s="229"/>
      <c r="O73" s="229" t="s">
        <v>6650</v>
      </c>
      <c r="P73" s="230"/>
      <c r="Q73" s="222"/>
      <c r="R73" s="222"/>
      <c r="S73" s="223"/>
      <c r="T73" s="223"/>
      <c r="U73" s="223"/>
      <c r="V73" s="223"/>
      <c r="W73" s="223"/>
      <c r="X73" s="223"/>
      <c r="Y73" s="223"/>
      <c r="Z73" s="223"/>
    </row>
    <row r="74" ht="15.75" customHeight="1">
      <c r="A74" s="236" t="s">
        <v>6519</v>
      </c>
      <c r="B74" s="225" t="s">
        <v>6458</v>
      </c>
      <c r="C74" s="267">
        <v>8.64189053375271E14</v>
      </c>
      <c r="D74" s="226" t="s">
        <v>6514</v>
      </c>
      <c r="E74" s="257" t="s">
        <v>6651</v>
      </c>
      <c r="F74" s="227" t="s">
        <v>6465</v>
      </c>
      <c r="G74" s="227" t="s">
        <v>6465</v>
      </c>
      <c r="H74" s="227" t="s">
        <v>6465</v>
      </c>
      <c r="I74" s="227" t="s">
        <v>2126</v>
      </c>
      <c r="J74" s="228" t="s">
        <v>14</v>
      </c>
      <c r="K74" s="228" t="s">
        <v>2127</v>
      </c>
      <c r="L74" s="225"/>
      <c r="M74" s="225"/>
      <c r="N74" s="229"/>
      <c r="O74" s="229"/>
      <c r="P74" s="230"/>
      <c r="Q74" s="222"/>
      <c r="R74" s="222"/>
      <c r="S74" s="223"/>
      <c r="T74" s="223"/>
      <c r="U74" s="223"/>
      <c r="V74" s="223"/>
      <c r="W74" s="223"/>
      <c r="X74" s="223"/>
      <c r="Y74" s="223"/>
      <c r="Z74" s="223"/>
    </row>
    <row r="75" ht="15.75" customHeight="1">
      <c r="A75" s="227" t="s">
        <v>6494</v>
      </c>
      <c r="B75" s="225" t="s">
        <v>6458</v>
      </c>
      <c r="C75" s="224">
        <v>3.56206203154334E14</v>
      </c>
      <c r="D75" s="231" t="s">
        <v>6486</v>
      </c>
      <c r="E75" s="232" t="s">
        <v>6652</v>
      </c>
      <c r="F75" s="227" t="s">
        <v>6465</v>
      </c>
      <c r="G75" s="227" t="s">
        <v>6465</v>
      </c>
      <c r="H75" s="227" t="s">
        <v>6465</v>
      </c>
      <c r="I75" s="227" t="s">
        <v>1329</v>
      </c>
      <c r="J75" s="228" t="s">
        <v>14</v>
      </c>
      <c r="K75" s="228" t="s">
        <v>1330</v>
      </c>
      <c r="L75" s="225"/>
      <c r="M75" s="225"/>
      <c r="N75" s="229"/>
      <c r="O75" s="229"/>
      <c r="P75" s="230"/>
      <c r="Q75" s="222"/>
      <c r="R75" s="222"/>
      <c r="S75" s="223"/>
      <c r="T75" s="223"/>
      <c r="U75" s="223"/>
      <c r="V75" s="223"/>
      <c r="W75" s="223"/>
      <c r="X75" s="223"/>
      <c r="Y75" s="223"/>
      <c r="Z75" s="223"/>
    </row>
    <row r="76" ht="15.75" customHeight="1">
      <c r="A76" s="227" t="s">
        <v>6545</v>
      </c>
      <c r="B76" s="225" t="s">
        <v>6458</v>
      </c>
      <c r="C76" s="224">
        <v>3.50958030601798E14</v>
      </c>
      <c r="D76" s="226" t="s">
        <v>6501</v>
      </c>
      <c r="E76" s="227"/>
      <c r="F76" s="227" t="s">
        <v>6465</v>
      </c>
      <c r="G76" s="227" t="s">
        <v>6465</v>
      </c>
      <c r="H76" s="227" t="s">
        <v>6465</v>
      </c>
      <c r="I76" s="236" t="s">
        <v>6653</v>
      </c>
      <c r="J76" s="228" t="s">
        <v>14</v>
      </c>
      <c r="K76" s="228" t="s">
        <v>1959</v>
      </c>
      <c r="L76" s="225"/>
      <c r="M76" s="225"/>
      <c r="N76" s="229"/>
      <c r="O76" s="229"/>
      <c r="P76" s="230"/>
      <c r="Q76" s="222"/>
      <c r="R76" s="222"/>
      <c r="S76" s="223"/>
      <c r="T76" s="223"/>
      <c r="U76" s="223"/>
      <c r="V76" s="223"/>
      <c r="W76" s="223"/>
      <c r="X76" s="223"/>
      <c r="Y76" s="223"/>
      <c r="Z76" s="223"/>
    </row>
    <row r="77" ht="15.75" customHeight="1">
      <c r="A77" s="227" t="s">
        <v>6525</v>
      </c>
      <c r="B77" s="225" t="s">
        <v>6458</v>
      </c>
      <c r="C77" s="224">
        <v>3.56206203037893E14</v>
      </c>
      <c r="D77" s="231" t="s">
        <v>6486</v>
      </c>
      <c r="E77" s="251" t="s">
        <v>6654</v>
      </c>
      <c r="F77" s="227" t="s">
        <v>6465</v>
      </c>
      <c r="G77" s="227" t="s">
        <v>6465</v>
      </c>
      <c r="H77" s="227" t="s">
        <v>6465</v>
      </c>
      <c r="I77" s="227" t="s">
        <v>409</v>
      </c>
      <c r="J77" s="241" t="s">
        <v>1471</v>
      </c>
      <c r="K77" s="228" t="s">
        <v>410</v>
      </c>
      <c r="L77" s="225"/>
      <c r="M77" s="225"/>
      <c r="N77" s="229"/>
      <c r="O77" s="229" t="s">
        <v>6655</v>
      </c>
      <c r="P77" s="230"/>
      <c r="Q77" s="222"/>
      <c r="R77" s="222"/>
      <c r="S77" s="223"/>
      <c r="T77" s="223"/>
      <c r="U77" s="223"/>
      <c r="V77" s="223"/>
      <c r="W77" s="223"/>
      <c r="X77" s="223"/>
      <c r="Y77" s="223"/>
      <c r="Z77" s="223"/>
    </row>
    <row r="78" ht="15.75" customHeight="1">
      <c r="A78" s="227" t="s">
        <v>6494</v>
      </c>
      <c r="B78" s="225" t="s">
        <v>6458</v>
      </c>
      <c r="C78" s="224">
        <v>3.56206203036952E14</v>
      </c>
      <c r="D78" s="232" t="s">
        <v>6483</v>
      </c>
      <c r="E78" s="232" t="s">
        <v>6656</v>
      </c>
      <c r="F78" s="227" t="s">
        <v>6465</v>
      </c>
      <c r="G78" s="227" t="s">
        <v>6465</v>
      </c>
      <c r="H78" s="227" t="s">
        <v>6465</v>
      </c>
      <c r="I78" s="240" t="s">
        <v>2261</v>
      </c>
      <c r="J78" s="228" t="s">
        <v>22</v>
      </c>
      <c r="K78" s="268" t="s">
        <v>2262</v>
      </c>
      <c r="L78" s="229" t="s">
        <v>6574</v>
      </c>
      <c r="M78" s="225"/>
      <c r="N78" s="229"/>
      <c r="O78" s="229" t="s">
        <v>6657</v>
      </c>
      <c r="P78" s="230"/>
      <c r="Q78" s="222"/>
      <c r="R78" s="222"/>
      <c r="S78" s="223"/>
      <c r="T78" s="223"/>
      <c r="U78" s="223"/>
      <c r="V78" s="223"/>
      <c r="W78" s="223"/>
      <c r="X78" s="223"/>
      <c r="Y78" s="223"/>
      <c r="Z78" s="223"/>
    </row>
    <row r="79" ht="15.75" customHeight="1">
      <c r="A79" s="227" t="s">
        <v>6538</v>
      </c>
      <c r="B79" s="225" t="s">
        <v>6458</v>
      </c>
      <c r="C79" s="224">
        <v>8.68948054535712E14</v>
      </c>
      <c r="D79" s="232" t="s">
        <v>6483</v>
      </c>
      <c r="E79" s="232" t="s">
        <v>6658</v>
      </c>
      <c r="F79" s="227" t="s">
        <v>6465</v>
      </c>
      <c r="G79" s="227" t="s">
        <v>6465</v>
      </c>
      <c r="H79" s="227" t="s">
        <v>6465</v>
      </c>
      <c r="I79" s="269" t="s">
        <v>2050</v>
      </c>
      <c r="J79" s="228" t="s">
        <v>14</v>
      </c>
      <c r="K79" s="270" t="s">
        <v>2051</v>
      </c>
      <c r="L79" s="244" t="s">
        <v>143</v>
      </c>
      <c r="M79" s="225"/>
      <c r="N79" s="229" t="s">
        <v>6659</v>
      </c>
      <c r="O79" s="229"/>
      <c r="P79" s="230"/>
      <c r="Q79" s="222"/>
      <c r="R79" s="222"/>
      <c r="S79" s="223"/>
      <c r="T79" s="223"/>
      <c r="U79" s="223"/>
      <c r="V79" s="223"/>
      <c r="W79" s="223"/>
      <c r="X79" s="223"/>
      <c r="Y79" s="223"/>
      <c r="Z79" s="223"/>
    </row>
    <row r="80" ht="15.75" customHeight="1">
      <c r="A80" s="236" t="s">
        <v>6660</v>
      </c>
      <c r="B80" s="225" t="s">
        <v>6458</v>
      </c>
      <c r="C80" s="234">
        <v>8.61182048552065E14</v>
      </c>
      <c r="D80" s="226" t="s">
        <v>6501</v>
      </c>
      <c r="E80" s="236"/>
      <c r="F80" s="227" t="s">
        <v>6468</v>
      </c>
      <c r="G80" s="227" t="s">
        <v>6468</v>
      </c>
      <c r="H80" s="227" t="s">
        <v>6468</v>
      </c>
      <c r="I80" s="227" t="s">
        <v>1886</v>
      </c>
      <c r="J80" s="228" t="s">
        <v>14</v>
      </c>
      <c r="K80" s="228" t="s">
        <v>1887</v>
      </c>
      <c r="L80" s="225"/>
      <c r="M80" s="260" t="s">
        <v>6638</v>
      </c>
      <c r="N80" s="229"/>
      <c r="O80" s="229"/>
      <c r="P80" s="230"/>
      <c r="Q80" s="222"/>
      <c r="R80" s="222"/>
      <c r="S80" s="223"/>
      <c r="T80" s="223"/>
      <c r="U80" s="223"/>
      <c r="V80" s="223"/>
      <c r="W80" s="223"/>
      <c r="X80" s="223"/>
      <c r="Y80" s="223"/>
      <c r="Z80" s="223"/>
    </row>
    <row r="81" ht="15.75" customHeight="1">
      <c r="A81" s="227" t="s">
        <v>6661</v>
      </c>
      <c r="B81" s="225" t="s">
        <v>6458</v>
      </c>
      <c r="C81" s="224">
        <v>8.67621049341543E14</v>
      </c>
      <c r="D81" s="224" t="s">
        <v>6544</v>
      </c>
      <c r="E81" s="224" t="s">
        <v>6662</v>
      </c>
      <c r="F81" s="227" t="s">
        <v>6465</v>
      </c>
      <c r="G81" s="227" t="s">
        <v>6512</v>
      </c>
      <c r="H81" s="227" t="s">
        <v>6465</v>
      </c>
      <c r="I81" s="227" t="s">
        <v>6663</v>
      </c>
      <c r="J81" s="228" t="s">
        <v>28</v>
      </c>
      <c r="K81" s="228" t="s">
        <v>784</v>
      </c>
      <c r="L81" s="225" t="s">
        <v>217</v>
      </c>
      <c r="M81" s="225"/>
      <c r="N81" s="229"/>
      <c r="O81" s="229"/>
      <c r="P81" s="230"/>
      <c r="Q81" s="222"/>
      <c r="R81" s="222"/>
      <c r="S81" s="223"/>
      <c r="T81" s="223"/>
      <c r="U81" s="223"/>
      <c r="V81" s="223"/>
      <c r="W81" s="223"/>
      <c r="X81" s="223"/>
      <c r="Y81" s="223"/>
      <c r="Z81" s="223"/>
    </row>
    <row r="82" ht="15.75" customHeight="1">
      <c r="A82" s="227" t="s">
        <v>6664</v>
      </c>
      <c r="B82" s="225" t="s">
        <v>6458</v>
      </c>
      <c r="C82" s="237">
        <v>8.6905405682977E14</v>
      </c>
      <c r="D82" s="232" t="s">
        <v>6483</v>
      </c>
      <c r="E82" s="232" t="s">
        <v>6665</v>
      </c>
      <c r="F82" s="227" t="s">
        <v>6465</v>
      </c>
      <c r="G82" s="227" t="s">
        <v>6465</v>
      </c>
      <c r="H82" s="227" t="s">
        <v>6465</v>
      </c>
      <c r="I82" s="227" t="s">
        <v>1357</v>
      </c>
      <c r="J82" s="228" t="s">
        <v>14</v>
      </c>
      <c r="K82" s="228" t="s">
        <v>1358</v>
      </c>
      <c r="L82" s="225"/>
      <c r="M82" s="225"/>
      <c r="N82" s="229"/>
      <c r="O82" s="229"/>
      <c r="P82" s="230"/>
      <c r="Q82" s="222"/>
      <c r="R82" s="222"/>
      <c r="S82" s="223"/>
      <c r="T82" s="223"/>
      <c r="U82" s="223"/>
      <c r="V82" s="223"/>
      <c r="W82" s="223"/>
      <c r="X82" s="223"/>
      <c r="Y82" s="223"/>
      <c r="Z82" s="223"/>
    </row>
    <row r="83" ht="15.75" customHeight="1">
      <c r="A83" s="227" t="s">
        <v>6554</v>
      </c>
      <c r="B83" s="225" t="s">
        <v>6461</v>
      </c>
      <c r="C83" s="234">
        <v>3.53037119785595E14</v>
      </c>
      <c r="D83" s="232" t="s">
        <v>6666</v>
      </c>
      <c r="E83" s="234" t="s">
        <v>6667</v>
      </c>
      <c r="F83" s="227" t="s">
        <v>6465</v>
      </c>
      <c r="G83" s="227" t="s">
        <v>6465</v>
      </c>
      <c r="H83" s="227" t="s">
        <v>6465</v>
      </c>
      <c r="I83" s="227" t="s">
        <v>2050</v>
      </c>
      <c r="J83" s="228" t="s">
        <v>14</v>
      </c>
      <c r="K83" s="228" t="s">
        <v>2051</v>
      </c>
      <c r="L83" s="225" t="s">
        <v>1357</v>
      </c>
      <c r="M83" s="225"/>
      <c r="N83" s="229"/>
      <c r="O83" s="229"/>
      <c r="P83" s="230"/>
      <c r="Q83" s="222"/>
      <c r="R83" s="222"/>
      <c r="S83" s="223"/>
      <c r="T83" s="223"/>
      <c r="U83" s="223"/>
      <c r="V83" s="223"/>
      <c r="W83" s="223"/>
      <c r="X83" s="223"/>
      <c r="Y83" s="223"/>
      <c r="Z83" s="223"/>
    </row>
    <row r="84" ht="15.75" customHeight="1">
      <c r="A84" s="227" t="s">
        <v>6668</v>
      </c>
      <c r="B84" s="225" t="s">
        <v>6461</v>
      </c>
      <c r="C84" s="234">
        <v>3.53224104958706E14</v>
      </c>
      <c r="D84" s="232" t="s">
        <v>6669</v>
      </c>
      <c r="E84" s="232" t="s">
        <v>6670</v>
      </c>
      <c r="F84" s="227" t="s">
        <v>6467</v>
      </c>
      <c r="G84" s="227" t="s">
        <v>6671</v>
      </c>
      <c r="H84" s="227" t="s">
        <v>6467</v>
      </c>
      <c r="I84" s="227" t="s">
        <v>6467</v>
      </c>
      <c r="J84" s="228"/>
      <c r="K84" s="228"/>
      <c r="L84" s="225" t="s">
        <v>906</v>
      </c>
      <c r="M84" s="225"/>
      <c r="N84" s="229"/>
      <c r="O84" s="229"/>
      <c r="P84" s="230"/>
      <c r="Q84" s="222"/>
      <c r="R84" s="222"/>
      <c r="S84" s="223"/>
      <c r="T84" s="223"/>
      <c r="U84" s="223"/>
      <c r="V84" s="223"/>
      <c r="W84" s="223"/>
      <c r="X84" s="223"/>
      <c r="Y84" s="223"/>
      <c r="Z84" s="223"/>
    </row>
    <row r="85" ht="15.75" customHeight="1">
      <c r="A85" s="227" t="s">
        <v>6672</v>
      </c>
      <c r="B85" s="225" t="s">
        <v>6458</v>
      </c>
      <c r="C85" s="224">
        <v>3.55766344202194E14</v>
      </c>
      <c r="D85" s="232" t="s">
        <v>6486</v>
      </c>
      <c r="E85" s="271" t="s">
        <v>6673</v>
      </c>
      <c r="F85" s="227" t="s">
        <v>6465</v>
      </c>
      <c r="G85" s="227" t="s">
        <v>6465</v>
      </c>
      <c r="H85" s="227" t="s">
        <v>6465</v>
      </c>
      <c r="I85" s="253" t="s">
        <v>2387</v>
      </c>
      <c r="J85" s="241" t="s">
        <v>14</v>
      </c>
      <c r="K85" s="241" t="s">
        <v>2388</v>
      </c>
      <c r="L85" s="272" t="s">
        <v>365</v>
      </c>
      <c r="M85" s="225" t="s">
        <v>6505</v>
      </c>
      <c r="N85" s="229"/>
      <c r="O85" s="229"/>
      <c r="P85" s="230"/>
      <c r="Q85" s="222"/>
      <c r="R85" s="222"/>
      <c r="S85" s="223"/>
      <c r="T85" s="223"/>
      <c r="U85" s="223"/>
      <c r="V85" s="223"/>
      <c r="W85" s="223"/>
      <c r="X85" s="223"/>
      <c r="Y85" s="223"/>
      <c r="Z85" s="223"/>
    </row>
    <row r="86" ht="15.75" customHeight="1">
      <c r="A86" s="227" t="s">
        <v>6674</v>
      </c>
      <c r="B86" s="225" t="s">
        <v>6458</v>
      </c>
      <c r="C86" s="224">
        <v>3.55033115574123E14</v>
      </c>
      <c r="D86" s="232" t="s">
        <v>6559</v>
      </c>
      <c r="E86" s="232" t="s">
        <v>6675</v>
      </c>
      <c r="F86" s="227" t="s">
        <v>6465</v>
      </c>
      <c r="G86" s="227" t="s">
        <v>6465</v>
      </c>
      <c r="H86" s="227" t="s">
        <v>6465</v>
      </c>
      <c r="I86" s="227" t="s">
        <v>2038</v>
      </c>
      <c r="J86" s="228" t="s">
        <v>14</v>
      </c>
      <c r="K86" s="228" t="s">
        <v>2039</v>
      </c>
      <c r="L86" s="225"/>
      <c r="M86" s="225"/>
      <c r="N86" s="229"/>
      <c r="O86" s="229"/>
      <c r="P86" s="230"/>
      <c r="Q86" s="222"/>
      <c r="R86" s="222"/>
      <c r="S86" s="223"/>
      <c r="T86" s="223"/>
      <c r="U86" s="223"/>
      <c r="V86" s="223"/>
      <c r="W86" s="223"/>
      <c r="X86" s="223"/>
      <c r="Y86" s="223"/>
      <c r="Z86" s="223"/>
    </row>
    <row r="87" ht="15.75" customHeight="1">
      <c r="A87" s="227" t="s">
        <v>6641</v>
      </c>
      <c r="B87" s="225" t="s">
        <v>6458</v>
      </c>
      <c r="C87" s="224">
        <v>3.55766344218893E14</v>
      </c>
      <c r="D87" s="232" t="s">
        <v>6486</v>
      </c>
      <c r="E87" s="224" t="s">
        <v>6676</v>
      </c>
      <c r="F87" s="227" t="s">
        <v>6465</v>
      </c>
      <c r="G87" s="227" t="s">
        <v>6465</v>
      </c>
      <c r="H87" s="227" t="s">
        <v>6512</v>
      </c>
      <c r="I87" s="254" t="s">
        <v>407</v>
      </c>
      <c r="J87" s="228" t="s">
        <v>14</v>
      </c>
      <c r="K87" s="228" t="s">
        <v>408</v>
      </c>
      <c r="L87" s="255" t="s">
        <v>6677</v>
      </c>
      <c r="M87" s="225"/>
      <c r="N87" s="229"/>
      <c r="O87" s="229"/>
      <c r="P87" s="230"/>
      <c r="Q87" s="222"/>
      <c r="R87" s="222"/>
      <c r="S87" s="223"/>
      <c r="T87" s="223"/>
      <c r="U87" s="223"/>
      <c r="V87" s="223"/>
      <c r="W87" s="223"/>
      <c r="X87" s="223"/>
      <c r="Y87" s="223"/>
      <c r="Z87" s="223"/>
    </row>
    <row r="88" ht="15.75" customHeight="1">
      <c r="A88" s="227" t="s">
        <v>6528</v>
      </c>
      <c r="B88" s="225" t="s">
        <v>6458</v>
      </c>
      <c r="C88" s="224">
        <v>8.62065059042093E14</v>
      </c>
      <c r="D88" s="226" t="s">
        <v>6514</v>
      </c>
      <c r="E88" s="224" t="s">
        <v>6678</v>
      </c>
      <c r="F88" s="227" t="s">
        <v>6465</v>
      </c>
      <c r="G88" s="227" t="s">
        <v>6465</v>
      </c>
      <c r="H88" s="227" t="s">
        <v>6465</v>
      </c>
      <c r="I88" s="227" t="s">
        <v>443</v>
      </c>
      <c r="J88" s="228" t="s">
        <v>4080</v>
      </c>
      <c r="K88" s="228" t="s">
        <v>444</v>
      </c>
      <c r="L88" s="225"/>
      <c r="M88" s="225"/>
      <c r="N88" s="229"/>
      <c r="O88" s="229"/>
      <c r="P88" s="230"/>
      <c r="Q88" s="222"/>
      <c r="R88" s="222"/>
      <c r="S88" s="223"/>
      <c r="T88" s="223"/>
      <c r="U88" s="223"/>
      <c r="V88" s="223"/>
      <c r="W88" s="223"/>
      <c r="X88" s="223"/>
      <c r="Y88" s="223"/>
      <c r="Z88" s="223"/>
    </row>
    <row r="89" ht="15.75" customHeight="1">
      <c r="A89" s="227" t="s">
        <v>6590</v>
      </c>
      <c r="B89" s="225" t="s">
        <v>6458</v>
      </c>
      <c r="C89" s="224">
        <v>3.55766344204455E14</v>
      </c>
      <c r="D89" s="232" t="s">
        <v>6486</v>
      </c>
      <c r="E89" s="224" t="s">
        <v>6679</v>
      </c>
      <c r="F89" s="227" t="s">
        <v>6465</v>
      </c>
      <c r="G89" s="227" t="s">
        <v>6465</v>
      </c>
      <c r="H89" s="227" t="s">
        <v>6465</v>
      </c>
      <c r="I89" s="227" t="s">
        <v>2022</v>
      </c>
      <c r="J89" s="228" t="s">
        <v>14</v>
      </c>
      <c r="K89" s="228" t="s">
        <v>2023</v>
      </c>
      <c r="L89" s="225"/>
      <c r="M89" s="225"/>
      <c r="N89" s="229"/>
      <c r="O89" s="229"/>
      <c r="P89" s="230"/>
      <c r="Q89" s="222"/>
      <c r="R89" s="222"/>
      <c r="S89" s="223"/>
      <c r="T89" s="223"/>
      <c r="U89" s="223"/>
      <c r="V89" s="223"/>
      <c r="W89" s="223"/>
      <c r="X89" s="223"/>
      <c r="Y89" s="223"/>
      <c r="Z89" s="223"/>
    </row>
    <row r="90" ht="15.75" customHeight="1">
      <c r="A90" s="227" t="s">
        <v>6680</v>
      </c>
      <c r="B90" s="225" t="s">
        <v>6458</v>
      </c>
      <c r="C90" s="224">
        <v>8.64130050795954E14</v>
      </c>
      <c r="D90" s="232" t="s">
        <v>6486</v>
      </c>
      <c r="E90" s="224" t="s">
        <v>6681</v>
      </c>
      <c r="F90" s="227" t="s">
        <v>6465</v>
      </c>
      <c r="G90" s="227" t="s">
        <v>6465</v>
      </c>
      <c r="H90" s="227" t="s">
        <v>6465</v>
      </c>
      <c r="I90" s="227" t="s">
        <v>2101</v>
      </c>
      <c r="J90" s="228" t="s">
        <v>14</v>
      </c>
      <c r="K90" s="228" t="s">
        <v>2102</v>
      </c>
      <c r="L90" s="225"/>
      <c r="M90" s="225"/>
      <c r="N90" s="229"/>
      <c r="O90" s="229"/>
      <c r="P90" s="230"/>
      <c r="Q90" s="222"/>
      <c r="R90" s="222"/>
      <c r="S90" s="223"/>
      <c r="T90" s="223"/>
      <c r="U90" s="223"/>
      <c r="V90" s="223"/>
      <c r="W90" s="223"/>
      <c r="X90" s="223"/>
      <c r="Y90" s="223"/>
      <c r="Z90" s="223"/>
    </row>
    <row r="91" ht="15.75" customHeight="1">
      <c r="A91" s="234" t="s">
        <v>6521</v>
      </c>
      <c r="B91" s="225" t="s">
        <v>6458</v>
      </c>
      <c r="C91" s="234">
        <v>3.56206203667533E14</v>
      </c>
      <c r="D91" s="232" t="s">
        <v>6486</v>
      </c>
      <c r="E91" s="232" t="s">
        <v>6682</v>
      </c>
      <c r="F91" s="227" t="s">
        <v>6465</v>
      </c>
      <c r="G91" s="227" t="s">
        <v>6465</v>
      </c>
      <c r="H91" s="227" t="s">
        <v>6465</v>
      </c>
      <c r="I91" s="273" t="s">
        <v>1764</v>
      </c>
      <c r="J91" s="228" t="s">
        <v>6683</v>
      </c>
      <c r="K91" s="248" t="s">
        <v>1765</v>
      </c>
      <c r="L91" s="274" t="s">
        <v>631</v>
      </c>
      <c r="M91" s="225"/>
      <c r="N91" s="229"/>
      <c r="O91" s="229"/>
      <c r="P91" s="230"/>
      <c r="Q91" s="222"/>
      <c r="R91" s="222"/>
      <c r="S91" s="223"/>
      <c r="T91" s="223"/>
      <c r="U91" s="223"/>
      <c r="V91" s="223"/>
      <c r="W91" s="223"/>
      <c r="X91" s="223"/>
      <c r="Y91" s="223"/>
      <c r="Z91" s="223"/>
    </row>
    <row r="92" ht="15.75" customHeight="1">
      <c r="A92" s="224" t="s">
        <v>6606</v>
      </c>
      <c r="B92" s="225" t="s">
        <v>6458</v>
      </c>
      <c r="C92" s="224">
        <v>3.56206203668218E14</v>
      </c>
      <c r="D92" s="232" t="s">
        <v>6486</v>
      </c>
      <c r="E92" s="232" t="s">
        <v>6684</v>
      </c>
      <c r="F92" s="227" t="s">
        <v>6467</v>
      </c>
      <c r="G92" s="227" t="s">
        <v>6530</v>
      </c>
      <c r="H92" s="227" t="s">
        <v>6467</v>
      </c>
      <c r="I92" s="227" t="s">
        <v>6467</v>
      </c>
      <c r="J92" s="228"/>
      <c r="K92" s="275"/>
      <c r="L92" s="225" t="s">
        <v>898</v>
      </c>
      <c r="M92" s="225"/>
      <c r="N92" s="229"/>
      <c r="O92" s="229"/>
      <c r="P92" s="230"/>
      <c r="Q92" s="222"/>
      <c r="R92" s="222"/>
      <c r="S92" s="223"/>
      <c r="T92" s="223"/>
      <c r="U92" s="223"/>
      <c r="V92" s="223"/>
      <c r="W92" s="223"/>
      <c r="X92" s="223"/>
      <c r="Y92" s="223"/>
      <c r="Z92" s="223"/>
    </row>
    <row r="93" ht="15.75" customHeight="1">
      <c r="A93" s="234" t="s">
        <v>6685</v>
      </c>
      <c r="B93" s="225" t="s">
        <v>6461</v>
      </c>
      <c r="C93" s="234">
        <v>3.59220079518743E14</v>
      </c>
      <c r="D93" s="232" t="s">
        <v>6686</v>
      </c>
      <c r="E93" s="232" t="s">
        <v>6687</v>
      </c>
      <c r="F93" s="227" t="s">
        <v>6467</v>
      </c>
      <c r="G93" s="227" t="s">
        <v>6465</v>
      </c>
      <c r="H93" s="227" t="s">
        <v>6467</v>
      </c>
      <c r="I93" s="233" t="s">
        <v>6467</v>
      </c>
      <c r="J93" s="228"/>
      <c r="K93" s="228"/>
      <c r="L93" s="225" t="s">
        <v>6508</v>
      </c>
      <c r="M93" s="225"/>
      <c r="N93" s="229"/>
      <c r="O93" s="229"/>
      <c r="P93" s="230"/>
      <c r="Q93" s="222"/>
      <c r="R93" s="222"/>
      <c r="S93" s="223"/>
      <c r="T93" s="223"/>
      <c r="U93" s="223"/>
      <c r="V93" s="223"/>
      <c r="W93" s="223"/>
      <c r="X93" s="223"/>
      <c r="Y93" s="223"/>
      <c r="Z93" s="223"/>
    </row>
    <row r="94" ht="15.75" customHeight="1">
      <c r="A94" s="227" t="s">
        <v>6641</v>
      </c>
      <c r="B94" s="225" t="s">
        <v>6458</v>
      </c>
      <c r="C94" s="224">
        <v>3.55766344218976E14</v>
      </c>
      <c r="D94" s="232" t="s">
        <v>6486</v>
      </c>
      <c r="E94" s="227" t="s">
        <v>6688</v>
      </c>
      <c r="F94" s="227" t="s">
        <v>6465</v>
      </c>
      <c r="G94" s="227" t="s">
        <v>6465</v>
      </c>
      <c r="H94" s="227" t="s">
        <v>6689</v>
      </c>
      <c r="I94" s="227" t="s">
        <v>5919</v>
      </c>
      <c r="J94" s="228" t="s">
        <v>14</v>
      </c>
      <c r="K94" s="228" t="s">
        <v>3811</v>
      </c>
      <c r="L94" s="225" t="s">
        <v>475</v>
      </c>
      <c r="M94" s="225"/>
      <c r="N94" s="229"/>
      <c r="O94" s="229"/>
      <c r="P94" s="230"/>
      <c r="Q94" s="222"/>
      <c r="R94" s="222"/>
      <c r="S94" s="223"/>
      <c r="T94" s="223"/>
      <c r="U94" s="223"/>
      <c r="V94" s="223"/>
      <c r="W94" s="223"/>
      <c r="X94" s="223"/>
      <c r="Y94" s="223"/>
      <c r="Z94" s="223"/>
    </row>
    <row r="95" ht="15.75" customHeight="1">
      <c r="A95" s="227" t="s">
        <v>6690</v>
      </c>
      <c r="B95" s="225" t="s">
        <v>6458</v>
      </c>
      <c r="C95" s="224">
        <v>8.60377045104222E14</v>
      </c>
      <c r="D95" s="232" t="s">
        <v>6593</v>
      </c>
      <c r="E95" s="224" t="s">
        <v>6691</v>
      </c>
      <c r="F95" s="227" t="s">
        <v>6465</v>
      </c>
      <c r="G95" s="227" t="s">
        <v>6465</v>
      </c>
      <c r="H95" s="227" t="s">
        <v>6465</v>
      </c>
      <c r="I95" s="227" t="s">
        <v>3968</v>
      </c>
      <c r="J95" s="228" t="s">
        <v>14</v>
      </c>
      <c r="K95" s="228" t="s">
        <v>1423</v>
      </c>
      <c r="L95" s="225"/>
      <c r="M95" s="225"/>
      <c r="N95" s="229"/>
      <c r="O95" s="229"/>
      <c r="P95" s="230"/>
      <c r="Q95" s="222"/>
      <c r="R95" s="222"/>
      <c r="S95" s="223"/>
      <c r="T95" s="223"/>
      <c r="U95" s="223"/>
      <c r="V95" s="223"/>
      <c r="W95" s="223"/>
      <c r="X95" s="223"/>
      <c r="Y95" s="223"/>
      <c r="Z95" s="223"/>
    </row>
    <row r="96" ht="15.75" customHeight="1">
      <c r="A96" s="227" t="s">
        <v>6525</v>
      </c>
      <c r="B96" s="225" t="s">
        <v>6458</v>
      </c>
      <c r="C96" s="224">
        <v>3.56206203667491E14</v>
      </c>
      <c r="D96" s="232" t="s">
        <v>6486</v>
      </c>
      <c r="E96" s="232" t="s">
        <v>6692</v>
      </c>
      <c r="F96" s="227" t="s">
        <v>6465</v>
      </c>
      <c r="G96" s="227" t="s">
        <v>6465</v>
      </c>
      <c r="H96" s="227" t="s">
        <v>6465</v>
      </c>
      <c r="I96" s="227" t="s">
        <v>2072</v>
      </c>
      <c r="J96" s="228" t="s">
        <v>47</v>
      </c>
      <c r="K96" s="228" t="s">
        <v>2073</v>
      </c>
      <c r="L96" s="225"/>
      <c r="M96" s="225"/>
      <c r="N96" s="229"/>
      <c r="O96" s="229"/>
      <c r="P96" s="230"/>
      <c r="Q96" s="222"/>
      <c r="R96" s="222"/>
      <c r="S96" s="223"/>
      <c r="T96" s="223"/>
      <c r="U96" s="223"/>
      <c r="V96" s="223"/>
      <c r="W96" s="223"/>
      <c r="X96" s="223"/>
      <c r="Y96" s="223"/>
      <c r="Z96" s="223"/>
    </row>
    <row r="97" ht="15.75" customHeight="1">
      <c r="A97" s="224" t="s">
        <v>6525</v>
      </c>
      <c r="B97" s="225" t="s">
        <v>6458</v>
      </c>
      <c r="C97" s="224">
        <v>3.56206203667814E14</v>
      </c>
      <c r="D97" s="224" t="s">
        <v>6495</v>
      </c>
      <c r="E97" s="227" t="s">
        <v>6693</v>
      </c>
      <c r="F97" s="227" t="s">
        <v>6465</v>
      </c>
      <c r="G97" s="227" t="s">
        <v>6465</v>
      </c>
      <c r="H97" s="227" t="s">
        <v>6512</v>
      </c>
      <c r="I97" s="227" t="s">
        <v>6694</v>
      </c>
      <c r="J97" s="228" t="s">
        <v>39</v>
      </c>
      <c r="K97" s="228" t="s">
        <v>2159</v>
      </c>
      <c r="L97" s="255" t="s">
        <v>6695</v>
      </c>
      <c r="M97" s="225"/>
      <c r="N97" s="229"/>
      <c r="O97" s="229"/>
      <c r="P97" s="230"/>
      <c r="Q97" s="222"/>
      <c r="R97" s="222"/>
      <c r="S97" s="223"/>
      <c r="T97" s="223"/>
      <c r="U97" s="223"/>
      <c r="V97" s="223"/>
      <c r="W97" s="223"/>
      <c r="X97" s="223"/>
      <c r="Y97" s="223"/>
      <c r="Z97" s="223"/>
    </row>
    <row r="98" ht="15.75" customHeight="1">
      <c r="A98" s="227" t="s">
        <v>6696</v>
      </c>
      <c r="B98" s="225" t="s">
        <v>6458</v>
      </c>
      <c r="C98" s="224">
        <v>8.60377045459782E14</v>
      </c>
      <c r="D98" s="224" t="s">
        <v>6498</v>
      </c>
      <c r="E98" s="232" t="s">
        <v>6697</v>
      </c>
      <c r="F98" s="227" t="s">
        <v>6468</v>
      </c>
      <c r="G98" s="227" t="s">
        <v>6468</v>
      </c>
      <c r="H98" s="227" t="s">
        <v>6468</v>
      </c>
      <c r="I98" s="227" t="s">
        <v>1886</v>
      </c>
      <c r="J98" s="228" t="s">
        <v>14</v>
      </c>
      <c r="K98" s="228" t="s">
        <v>1887</v>
      </c>
      <c r="L98" s="225"/>
      <c r="M98" s="225"/>
      <c r="N98" s="229"/>
      <c r="O98" s="229"/>
      <c r="P98" s="230"/>
      <c r="Q98" s="222"/>
      <c r="R98" s="222"/>
      <c r="S98" s="223"/>
      <c r="T98" s="223"/>
      <c r="U98" s="223"/>
      <c r="V98" s="223"/>
      <c r="W98" s="223"/>
      <c r="X98" s="223"/>
      <c r="Y98" s="223"/>
      <c r="Z98" s="223"/>
    </row>
    <row r="99" ht="15.75" customHeight="1">
      <c r="A99" s="236" t="s">
        <v>6548</v>
      </c>
      <c r="B99" s="225" t="s">
        <v>6458</v>
      </c>
      <c r="C99" s="267">
        <v>8.69733051055099E14</v>
      </c>
      <c r="D99" s="224" t="s">
        <v>6495</v>
      </c>
      <c r="E99" s="224" t="s">
        <v>6698</v>
      </c>
      <c r="F99" s="227" t="s">
        <v>6465</v>
      </c>
      <c r="G99" s="227" t="s">
        <v>6465</v>
      </c>
      <c r="H99" s="227" t="s">
        <v>6465</v>
      </c>
      <c r="I99" s="227" t="s">
        <v>2008</v>
      </c>
      <c r="J99" s="228" t="s">
        <v>33</v>
      </c>
      <c r="K99" s="228" t="s">
        <v>2009</v>
      </c>
      <c r="L99" s="225"/>
      <c r="M99" s="225"/>
      <c r="N99" s="229"/>
      <c r="O99" s="229"/>
      <c r="P99" s="230"/>
      <c r="Q99" s="222"/>
      <c r="R99" s="222"/>
      <c r="S99" s="223"/>
      <c r="T99" s="223"/>
      <c r="U99" s="223"/>
      <c r="V99" s="223"/>
      <c r="W99" s="223"/>
      <c r="X99" s="223"/>
      <c r="Y99" s="223"/>
      <c r="Z99" s="223"/>
    </row>
    <row r="100" ht="15.75" customHeight="1">
      <c r="A100" s="227" t="s">
        <v>6699</v>
      </c>
      <c r="B100" s="225" t="s">
        <v>6458</v>
      </c>
      <c r="C100" s="224">
        <v>3.56206203150092E14</v>
      </c>
      <c r="D100" s="224" t="s">
        <v>6495</v>
      </c>
      <c r="E100" s="276" t="s">
        <v>6700</v>
      </c>
      <c r="F100" s="227" t="s">
        <v>6467</v>
      </c>
      <c r="G100" s="227" t="s">
        <v>6701</v>
      </c>
      <c r="H100" s="227" t="s">
        <v>6467</v>
      </c>
      <c r="I100" s="240" t="s">
        <v>6467</v>
      </c>
      <c r="J100" s="228"/>
      <c r="K100" s="228"/>
      <c r="L100" s="227" t="s">
        <v>1458</v>
      </c>
      <c r="M100" s="225" t="s">
        <v>6702</v>
      </c>
      <c r="N100" s="229"/>
      <c r="O100" s="229"/>
      <c r="P100" s="230"/>
      <c r="Q100" s="222"/>
      <c r="R100" s="222"/>
      <c r="S100" s="223"/>
      <c r="T100" s="223"/>
      <c r="U100" s="223"/>
      <c r="V100" s="223"/>
      <c r="W100" s="223"/>
      <c r="X100" s="223"/>
      <c r="Y100" s="223"/>
      <c r="Z100" s="223"/>
    </row>
    <row r="101" ht="15.75" customHeight="1">
      <c r="A101" s="227" t="s">
        <v>6494</v>
      </c>
      <c r="B101" s="225" t="s">
        <v>6458</v>
      </c>
      <c r="C101" s="224">
        <v>3.56206202973031E14</v>
      </c>
      <c r="D101" s="232" t="s">
        <v>6486</v>
      </c>
      <c r="E101" s="232" t="s">
        <v>6703</v>
      </c>
      <c r="F101" s="227" t="s">
        <v>6464</v>
      </c>
      <c r="G101" s="227" t="s">
        <v>6701</v>
      </c>
      <c r="H101" s="217" t="s">
        <v>6470</v>
      </c>
      <c r="I101" s="273"/>
      <c r="J101" s="248"/>
      <c r="K101" s="248"/>
      <c r="L101" s="273" t="s">
        <v>1764</v>
      </c>
      <c r="M101" s="225"/>
      <c r="N101" s="229"/>
      <c r="O101" s="229"/>
      <c r="P101" s="230"/>
      <c r="Q101" s="222"/>
      <c r="R101" s="222"/>
      <c r="S101" s="223"/>
      <c r="T101" s="223"/>
      <c r="U101" s="223"/>
      <c r="V101" s="223"/>
      <c r="W101" s="223"/>
      <c r="X101" s="223"/>
      <c r="Y101" s="223"/>
      <c r="Z101" s="223"/>
    </row>
    <row r="102" ht="15.75" customHeight="1">
      <c r="A102" s="227" t="s">
        <v>6533</v>
      </c>
      <c r="B102" s="225" t="s">
        <v>6458</v>
      </c>
      <c r="C102" s="224">
        <v>8.69054052396659E14</v>
      </c>
      <c r="D102" s="232" t="s">
        <v>6486</v>
      </c>
      <c r="E102" s="224" t="s">
        <v>6704</v>
      </c>
      <c r="F102" s="227" t="s">
        <v>6464</v>
      </c>
      <c r="G102" s="227" t="s">
        <v>6705</v>
      </c>
      <c r="H102" s="227" t="s">
        <v>6470</v>
      </c>
      <c r="I102" s="227"/>
      <c r="J102" s="228"/>
      <c r="K102" s="228"/>
      <c r="L102" s="227" t="s">
        <v>1939</v>
      </c>
      <c r="M102" s="225"/>
      <c r="N102" s="229"/>
      <c r="O102" s="229"/>
      <c r="P102" s="230"/>
      <c r="Q102" s="222"/>
      <c r="R102" s="222"/>
      <c r="S102" s="223"/>
      <c r="T102" s="223"/>
      <c r="U102" s="223"/>
      <c r="V102" s="223"/>
      <c r="W102" s="223"/>
      <c r="X102" s="223"/>
      <c r="Y102" s="223"/>
      <c r="Z102" s="223"/>
    </row>
    <row r="103" ht="15.75" customHeight="1">
      <c r="A103" s="227" t="s">
        <v>6706</v>
      </c>
      <c r="B103" s="225" t="s">
        <v>6458</v>
      </c>
      <c r="C103" s="224">
        <v>3.55690119561677E14</v>
      </c>
      <c r="D103" s="232" t="s">
        <v>6707</v>
      </c>
      <c r="E103" s="232" t="s">
        <v>6708</v>
      </c>
      <c r="F103" s="227" t="s">
        <v>6465</v>
      </c>
      <c r="G103" s="227" t="s">
        <v>6465</v>
      </c>
      <c r="H103" s="227" t="s">
        <v>6465</v>
      </c>
      <c r="I103" s="277" t="s">
        <v>6709</v>
      </c>
      <c r="J103" s="278" t="s">
        <v>4080</v>
      </c>
      <c r="K103" s="228" t="s">
        <v>1233</v>
      </c>
      <c r="L103" s="225" t="s">
        <v>6710</v>
      </c>
      <c r="M103" s="225" t="s">
        <v>6711</v>
      </c>
      <c r="N103" s="229"/>
      <c r="O103" s="229"/>
      <c r="P103" s="230"/>
      <c r="Q103" s="222"/>
      <c r="R103" s="222"/>
      <c r="S103" s="223"/>
      <c r="T103" s="223"/>
      <c r="U103" s="223"/>
      <c r="V103" s="223"/>
      <c r="W103" s="223"/>
      <c r="X103" s="223"/>
      <c r="Y103" s="223"/>
      <c r="Z103" s="223"/>
    </row>
    <row r="104" ht="15.75" customHeight="1">
      <c r="A104" s="227" t="s">
        <v>6712</v>
      </c>
      <c r="B104" s="225" t="s">
        <v>6458</v>
      </c>
      <c r="C104" s="224">
        <v>8.69054051059555E14</v>
      </c>
      <c r="D104" s="232" t="s">
        <v>6707</v>
      </c>
      <c r="E104" s="224" t="s">
        <v>6713</v>
      </c>
      <c r="F104" s="227" t="s">
        <v>6465</v>
      </c>
      <c r="G104" s="227" t="s">
        <v>6465</v>
      </c>
      <c r="H104" s="227" t="s">
        <v>6465</v>
      </c>
      <c r="I104" s="227" t="s">
        <v>1487</v>
      </c>
      <c r="J104" s="228" t="s">
        <v>14</v>
      </c>
      <c r="K104" s="228" t="s">
        <v>2037</v>
      </c>
      <c r="L104" s="225"/>
      <c r="M104" s="225"/>
      <c r="N104" s="229"/>
      <c r="O104" s="229"/>
      <c r="P104" s="230"/>
      <c r="Q104" s="222"/>
      <c r="R104" s="222"/>
      <c r="S104" s="223"/>
      <c r="T104" s="223"/>
      <c r="U104" s="223"/>
      <c r="V104" s="223"/>
      <c r="W104" s="223"/>
      <c r="X104" s="223"/>
      <c r="Y104" s="223"/>
      <c r="Z104" s="223"/>
    </row>
    <row r="105" ht="15.75" customHeight="1">
      <c r="A105" s="227" t="s">
        <v>6519</v>
      </c>
      <c r="B105" s="225" t="s">
        <v>6458</v>
      </c>
      <c r="C105" s="224">
        <v>8.64189053523672E14</v>
      </c>
      <c r="D105" s="279" t="s">
        <v>6495</v>
      </c>
      <c r="E105" s="279" t="s">
        <v>6714</v>
      </c>
      <c r="F105" s="227" t="s">
        <v>6465</v>
      </c>
      <c r="G105" s="227" t="s">
        <v>6465</v>
      </c>
      <c r="H105" s="227" t="s">
        <v>6465</v>
      </c>
      <c r="I105" s="227" t="s">
        <v>2104</v>
      </c>
      <c r="J105" s="228" t="s">
        <v>14</v>
      </c>
      <c r="K105" s="228" t="s">
        <v>2105</v>
      </c>
      <c r="L105" s="225"/>
      <c r="M105" s="225"/>
      <c r="N105" s="229"/>
      <c r="O105" s="229"/>
      <c r="P105" s="230"/>
      <c r="Q105" s="222"/>
      <c r="R105" s="222"/>
      <c r="S105" s="223"/>
      <c r="T105" s="223"/>
      <c r="U105" s="223"/>
      <c r="V105" s="223"/>
      <c r="W105" s="223"/>
      <c r="X105" s="223"/>
      <c r="Y105" s="223"/>
      <c r="Z105" s="223"/>
    </row>
    <row r="106" ht="15.75" customHeight="1">
      <c r="A106" s="227" t="s">
        <v>6715</v>
      </c>
      <c r="B106" s="225" t="s">
        <v>6458</v>
      </c>
      <c r="C106" s="224">
        <v>8.65481050663893E14</v>
      </c>
      <c r="D106" s="279" t="s">
        <v>6495</v>
      </c>
      <c r="E106" s="280"/>
      <c r="F106" s="227" t="s">
        <v>6465</v>
      </c>
      <c r="G106" s="227" t="s">
        <v>6465</v>
      </c>
      <c r="H106" s="227" t="s">
        <v>6465</v>
      </c>
      <c r="I106" s="227" t="s">
        <v>1504</v>
      </c>
      <c r="J106" s="228" t="s">
        <v>4108</v>
      </c>
      <c r="K106" s="228" t="s">
        <v>1505</v>
      </c>
      <c r="L106" s="225"/>
      <c r="M106" s="256" t="s">
        <v>6716</v>
      </c>
      <c r="N106" s="229"/>
      <c r="O106" s="229"/>
      <c r="P106" s="230"/>
      <c r="Q106" s="222"/>
      <c r="R106" s="222"/>
      <c r="S106" s="223"/>
      <c r="T106" s="223"/>
      <c r="U106" s="223"/>
      <c r="V106" s="223"/>
      <c r="W106" s="223"/>
      <c r="X106" s="223"/>
      <c r="Y106" s="223"/>
      <c r="Z106" s="223"/>
    </row>
    <row r="107" ht="15.75" customHeight="1">
      <c r="A107" s="227" t="s">
        <v>6717</v>
      </c>
      <c r="B107" s="225" t="s">
        <v>6458</v>
      </c>
      <c r="C107" s="224">
        <v>3.55766344218836E14</v>
      </c>
      <c r="D107" s="279" t="s">
        <v>6514</v>
      </c>
      <c r="E107" s="227" t="s">
        <v>6718</v>
      </c>
      <c r="F107" s="227" t="s">
        <v>6465</v>
      </c>
      <c r="G107" s="227" t="s">
        <v>6465</v>
      </c>
      <c r="H107" s="227" t="s">
        <v>6465</v>
      </c>
      <c r="I107" s="227" t="s">
        <v>3928</v>
      </c>
      <c r="J107" s="228" t="s">
        <v>6683</v>
      </c>
      <c r="K107" s="228" t="s">
        <v>1431</v>
      </c>
      <c r="L107" s="225"/>
      <c r="M107" s="225"/>
      <c r="N107" s="229"/>
      <c r="O107" s="229"/>
      <c r="P107" s="230"/>
      <c r="Q107" s="222"/>
      <c r="R107" s="222"/>
      <c r="S107" s="223"/>
      <c r="T107" s="223"/>
      <c r="U107" s="223"/>
      <c r="V107" s="223"/>
      <c r="W107" s="223"/>
      <c r="X107" s="223"/>
      <c r="Y107" s="223"/>
      <c r="Z107" s="223"/>
    </row>
    <row r="108" ht="15.75" customHeight="1">
      <c r="A108" s="227" t="s">
        <v>6719</v>
      </c>
      <c r="B108" s="225" t="s">
        <v>6458</v>
      </c>
      <c r="C108" s="224">
        <v>3.55766344203317E14</v>
      </c>
      <c r="D108" s="279" t="s">
        <v>6495</v>
      </c>
      <c r="E108" s="224" t="s">
        <v>6720</v>
      </c>
      <c r="F108" s="227" t="s">
        <v>6465</v>
      </c>
      <c r="G108" s="227" t="s">
        <v>6465</v>
      </c>
      <c r="H108" s="227" t="s">
        <v>6465</v>
      </c>
      <c r="I108" s="253" t="s">
        <v>6721</v>
      </c>
      <c r="J108" s="281" t="s">
        <v>4088</v>
      </c>
      <c r="K108" s="228" t="s">
        <v>2452</v>
      </c>
      <c r="L108" s="227" t="s">
        <v>2097</v>
      </c>
      <c r="M108" s="225"/>
      <c r="N108" s="229"/>
      <c r="O108" s="229"/>
      <c r="P108" s="230"/>
      <c r="Q108" s="222"/>
      <c r="R108" s="222"/>
      <c r="S108" s="223"/>
      <c r="T108" s="223"/>
      <c r="U108" s="223"/>
      <c r="V108" s="223"/>
      <c r="W108" s="223"/>
      <c r="X108" s="223"/>
      <c r="Y108" s="223"/>
      <c r="Z108" s="223"/>
    </row>
    <row r="109" ht="15.75" customHeight="1">
      <c r="A109" s="227" t="s">
        <v>6548</v>
      </c>
      <c r="B109" s="225" t="s">
        <v>6458</v>
      </c>
      <c r="C109" s="224">
        <v>8.69733051211916E14</v>
      </c>
      <c r="D109" s="279" t="s">
        <v>6495</v>
      </c>
      <c r="E109" s="232" t="s">
        <v>6722</v>
      </c>
      <c r="F109" s="227" t="s">
        <v>6465</v>
      </c>
      <c r="G109" s="227" t="s">
        <v>6465</v>
      </c>
      <c r="H109" s="227" t="s">
        <v>6465</v>
      </c>
      <c r="I109" s="227" t="s">
        <v>791</v>
      </c>
      <c r="J109" s="228" t="s">
        <v>14</v>
      </c>
      <c r="K109" s="228" t="s">
        <v>792</v>
      </c>
      <c r="L109" s="225" t="s">
        <v>6723</v>
      </c>
      <c r="M109" s="225"/>
      <c r="N109" s="229"/>
      <c r="O109" s="229"/>
      <c r="P109" s="230"/>
      <c r="Q109" s="222"/>
      <c r="R109" s="222"/>
      <c r="S109" s="223"/>
      <c r="T109" s="223"/>
      <c r="U109" s="223"/>
      <c r="V109" s="223"/>
      <c r="W109" s="223"/>
      <c r="X109" s="223"/>
      <c r="Y109" s="223"/>
      <c r="Z109" s="223"/>
    </row>
    <row r="110" ht="15.75" customHeight="1">
      <c r="A110" s="227" t="s">
        <v>6724</v>
      </c>
      <c r="B110" s="225" t="s">
        <v>6461</v>
      </c>
      <c r="C110" s="224">
        <v>3.53778089921138E14</v>
      </c>
      <c r="D110" s="224" t="s">
        <v>6725</v>
      </c>
      <c r="E110" s="224" t="s">
        <v>6726</v>
      </c>
      <c r="F110" s="227" t="s">
        <v>6467</v>
      </c>
      <c r="G110" s="227" t="s">
        <v>6727</v>
      </c>
      <c r="H110" s="227" t="s">
        <v>6467</v>
      </c>
      <c r="I110" s="227" t="s">
        <v>6467</v>
      </c>
      <c r="J110" s="228"/>
      <c r="K110" s="228"/>
      <c r="L110" s="225" t="s">
        <v>1143</v>
      </c>
      <c r="M110" s="225"/>
      <c r="N110" s="229"/>
      <c r="O110" s="229"/>
      <c r="P110" s="230"/>
      <c r="Q110" s="222"/>
      <c r="R110" s="222"/>
      <c r="S110" s="223"/>
      <c r="T110" s="223"/>
      <c r="U110" s="223"/>
      <c r="V110" s="223"/>
      <c r="W110" s="223"/>
      <c r="X110" s="223"/>
      <c r="Y110" s="223"/>
      <c r="Z110" s="223"/>
    </row>
    <row r="111" ht="15.75" customHeight="1">
      <c r="A111" s="227" t="s">
        <v>6494</v>
      </c>
      <c r="B111" s="225" t="s">
        <v>6458</v>
      </c>
      <c r="C111" s="224">
        <v>3.56206204065539E14</v>
      </c>
      <c r="D111" s="279" t="s">
        <v>6495</v>
      </c>
      <c r="E111" s="224" t="s">
        <v>6728</v>
      </c>
      <c r="F111" s="227" t="s">
        <v>6465</v>
      </c>
      <c r="G111" s="227" t="s">
        <v>6465</v>
      </c>
      <c r="H111" s="227" t="s">
        <v>6465</v>
      </c>
      <c r="I111" s="227" t="s">
        <v>1920</v>
      </c>
      <c r="J111" s="228" t="s">
        <v>14</v>
      </c>
      <c r="K111" s="228" t="s">
        <v>1486</v>
      </c>
      <c r="L111" s="225"/>
      <c r="M111" s="225"/>
      <c r="N111" s="229"/>
      <c r="O111" s="229" t="s">
        <v>6729</v>
      </c>
      <c r="P111" s="230"/>
      <c r="Q111" s="222"/>
      <c r="R111" s="222"/>
      <c r="S111" s="223"/>
      <c r="T111" s="223"/>
      <c r="U111" s="223"/>
      <c r="V111" s="223"/>
      <c r="W111" s="223"/>
      <c r="X111" s="223"/>
      <c r="Y111" s="223"/>
      <c r="Z111" s="223"/>
    </row>
    <row r="112" ht="15.75" customHeight="1">
      <c r="A112" s="227" t="s">
        <v>6730</v>
      </c>
      <c r="B112" s="225" t="s">
        <v>6458</v>
      </c>
      <c r="C112" s="224" t="s">
        <v>6731</v>
      </c>
      <c r="D112" s="279" t="s">
        <v>6732</v>
      </c>
      <c r="E112" s="232" t="s">
        <v>6733</v>
      </c>
      <c r="F112" s="227" t="s">
        <v>6465</v>
      </c>
      <c r="G112" s="227" t="s">
        <v>6465</v>
      </c>
      <c r="H112" s="227" t="s">
        <v>6465</v>
      </c>
      <c r="I112" s="227" t="s">
        <v>956</v>
      </c>
      <c r="J112" s="228" t="s">
        <v>14</v>
      </c>
      <c r="K112" s="228" t="s">
        <v>957</v>
      </c>
      <c r="L112" s="225" t="s">
        <v>2075</v>
      </c>
      <c r="M112" s="225"/>
      <c r="N112" s="229"/>
      <c r="O112" s="229"/>
      <c r="P112" s="230"/>
      <c r="Q112" s="222"/>
      <c r="R112" s="222"/>
      <c r="S112" s="223"/>
      <c r="T112" s="223"/>
      <c r="U112" s="223"/>
      <c r="V112" s="223"/>
      <c r="W112" s="223"/>
      <c r="X112" s="223"/>
      <c r="Y112" s="223"/>
      <c r="Z112" s="223"/>
    </row>
    <row r="113" ht="15.75" customHeight="1">
      <c r="A113" s="224" t="s">
        <v>6538</v>
      </c>
      <c r="B113" s="225" t="s">
        <v>6458</v>
      </c>
      <c r="C113" s="224">
        <v>8.64023053356959E14</v>
      </c>
      <c r="D113" s="224" t="s">
        <v>6495</v>
      </c>
      <c r="E113" s="250" t="s">
        <v>6734</v>
      </c>
      <c r="F113" s="227" t="s">
        <v>6465</v>
      </c>
      <c r="G113" s="227" t="s">
        <v>6465</v>
      </c>
      <c r="H113" s="227" t="s">
        <v>6465</v>
      </c>
      <c r="I113" s="227" t="s">
        <v>6735</v>
      </c>
      <c r="J113" s="228" t="s">
        <v>14</v>
      </c>
      <c r="K113" s="228" t="s">
        <v>1147</v>
      </c>
      <c r="L113" s="225"/>
      <c r="M113" s="225"/>
      <c r="N113" s="229"/>
      <c r="O113" s="229"/>
      <c r="P113" s="230"/>
      <c r="Q113" s="222"/>
      <c r="R113" s="222"/>
      <c r="S113" s="223"/>
      <c r="T113" s="223"/>
      <c r="U113" s="223"/>
      <c r="V113" s="223"/>
      <c r="W113" s="223"/>
      <c r="X113" s="223"/>
      <c r="Y113" s="223"/>
      <c r="Z113" s="223"/>
    </row>
    <row r="114" ht="15.75" customHeight="1">
      <c r="A114" s="234" t="s">
        <v>6736</v>
      </c>
      <c r="B114" s="225" t="s">
        <v>6458</v>
      </c>
      <c r="C114" s="239">
        <v>3.58870669847687E14</v>
      </c>
      <c r="D114" s="233" t="s">
        <v>6514</v>
      </c>
      <c r="E114" s="233" t="s">
        <v>6737</v>
      </c>
      <c r="F114" s="227" t="s">
        <v>6465</v>
      </c>
      <c r="G114" s="227" t="s">
        <v>6465</v>
      </c>
      <c r="H114" s="227" t="s">
        <v>6465</v>
      </c>
      <c r="I114" s="253" t="s">
        <v>1204</v>
      </c>
      <c r="J114" s="241" t="s">
        <v>14</v>
      </c>
      <c r="K114" s="241" t="s">
        <v>1036</v>
      </c>
      <c r="L114" s="282" t="s">
        <v>2366</v>
      </c>
      <c r="M114" s="225" t="s">
        <v>6505</v>
      </c>
      <c r="N114" s="229"/>
      <c r="O114" s="229"/>
      <c r="P114" s="230"/>
      <c r="Q114" s="222"/>
      <c r="R114" s="222"/>
      <c r="S114" s="223"/>
      <c r="T114" s="223"/>
      <c r="U114" s="223"/>
      <c r="V114" s="223"/>
      <c r="W114" s="223"/>
      <c r="X114" s="223"/>
      <c r="Y114" s="223"/>
      <c r="Z114" s="223"/>
    </row>
    <row r="115" ht="15.75" customHeight="1">
      <c r="A115" s="225" t="s">
        <v>6738</v>
      </c>
      <c r="B115" s="225" t="s">
        <v>6461</v>
      </c>
      <c r="C115" s="237">
        <v>3.5657510385583E14</v>
      </c>
      <c r="D115" s="224" t="s">
        <v>6495</v>
      </c>
      <c r="E115" s="224" t="s">
        <v>6739</v>
      </c>
      <c r="F115" s="283" t="s">
        <v>6466</v>
      </c>
      <c r="G115" s="283" t="s">
        <v>6466</v>
      </c>
      <c r="H115" s="227" t="s">
        <v>6465</v>
      </c>
      <c r="I115" s="227" t="s">
        <v>865</v>
      </c>
      <c r="J115" s="228" t="s">
        <v>14</v>
      </c>
      <c r="K115" s="228" t="s">
        <v>866</v>
      </c>
      <c r="L115" s="225" t="s">
        <v>2165</v>
      </c>
      <c r="M115" s="225"/>
      <c r="N115" s="229"/>
      <c r="O115" s="229"/>
      <c r="P115" s="230"/>
      <c r="Q115" s="222"/>
      <c r="R115" s="222"/>
      <c r="S115" s="223"/>
      <c r="T115" s="223"/>
      <c r="U115" s="223"/>
      <c r="V115" s="223"/>
      <c r="W115" s="223"/>
      <c r="X115" s="223"/>
      <c r="Y115" s="223"/>
      <c r="Z115" s="223"/>
    </row>
    <row r="116" ht="15.75" customHeight="1">
      <c r="A116" s="227" t="s">
        <v>6696</v>
      </c>
      <c r="B116" s="225" t="s">
        <v>6458</v>
      </c>
      <c r="C116" s="224">
        <v>8.62024053846876E14</v>
      </c>
      <c r="D116" s="224" t="s">
        <v>6498</v>
      </c>
      <c r="E116" s="232" t="s">
        <v>6740</v>
      </c>
      <c r="F116" s="227" t="s">
        <v>6465</v>
      </c>
      <c r="G116" s="227" t="s">
        <v>6465</v>
      </c>
      <c r="H116" s="227" t="s">
        <v>6465</v>
      </c>
      <c r="I116" s="227" t="s">
        <v>2165</v>
      </c>
      <c r="J116" s="228" t="s">
        <v>14</v>
      </c>
      <c r="K116" s="228" t="s">
        <v>2166</v>
      </c>
      <c r="L116" s="225"/>
      <c r="M116" s="225"/>
      <c r="N116" s="229"/>
      <c r="O116" s="229"/>
      <c r="P116" s="230"/>
      <c r="Q116" s="222"/>
      <c r="R116" s="222"/>
      <c r="S116" s="223"/>
      <c r="T116" s="223"/>
      <c r="U116" s="223"/>
      <c r="V116" s="223"/>
      <c r="W116" s="223"/>
      <c r="X116" s="223"/>
      <c r="Y116" s="223"/>
      <c r="Z116" s="223"/>
    </row>
    <row r="117" ht="15.75" customHeight="1">
      <c r="A117" s="227" t="s">
        <v>6741</v>
      </c>
      <c r="B117" s="225" t="s">
        <v>6458</v>
      </c>
      <c r="C117" s="224">
        <v>3.5576634421739E14</v>
      </c>
      <c r="D117" s="224" t="s">
        <v>6514</v>
      </c>
      <c r="E117" s="251" t="s">
        <v>6742</v>
      </c>
      <c r="F117" s="283" t="s">
        <v>6466</v>
      </c>
      <c r="G117" s="283" t="s">
        <v>6466</v>
      </c>
      <c r="H117" s="227" t="s">
        <v>6465</v>
      </c>
      <c r="I117" s="240" t="s">
        <v>6743</v>
      </c>
      <c r="J117" s="228" t="s">
        <v>6744</v>
      </c>
      <c r="K117" s="284" t="s">
        <v>913</v>
      </c>
      <c r="L117" s="227" t="s">
        <v>613</v>
      </c>
      <c r="M117" s="225" t="s">
        <v>6505</v>
      </c>
      <c r="N117" s="229"/>
      <c r="O117" s="229"/>
      <c r="P117" s="230"/>
      <c r="Q117" s="222"/>
      <c r="R117" s="222"/>
      <c r="S117" s="223"/>
      <c r="T117" s="223"/>
      <c r="U117" s="223"/>
      <c r="V117" s="223"/>
      <c r="W117" s="223"/>
      <c r="X117" s="223"/>
      <c r="Y117" s="223"/>
      <c r="Z117" s="223"/>
    </row>
    <row r="118" ht="15.75" customHeight="1">
      <c r="A118" s="227" t="s">
        <v>6545</v>
      </c>
      <c r="B118" s="225" t="s">
        <v>6458</v>
      </c>
      <c r="C118" s="224">
        <v>3.55692119329642E14</v>
      </c>
      <c r="D118" s="226" t="s">
        <v>6501</v>
      </c>
      <c r="E118" s="224"/>
      <c r="F118" s="227" t="s">
        <v>6465</v>
      </c>
      <c r="G118" s="227" t="s">
        <v>6465</v>
      </c>
      <c r="H118" s="227" t="s">
        <v>6465</v>
      </c>
      <c r="I118" s="227" t="s">
        <v>1889</v>
      </c>
      <c r="J118" s="228" t="s">
        <v>47</v>
      </c>
      <c r="K118" s="228" t="s">
        <v>1510</v>
      </c>
      <c r="L118" s="225"/>
      <c r="M118" s="225"/>
      <c r="N118" s="229"/>
      <c r="O118" s="229"/>
      <c r="P118" s="230"/>
      <c r="Q118" s="222"/>
      <c r="R118" s="222"/>
      <c r="S118" s="223"/>
      <c r="T118" s="223"/>
      <c r="U118" s="223"/>
      <c r="V118" s="223"/>
      <c r="W118" s="223"/>
      <c r="X118" s="223"/>
      <c r="Y118" s="223"/>
      <c r="Z118" s="223"/>
    </row>
    <row r="119" ht="15.75" customHeight="1">
      <c r="A119" s="227" t="s">
        <v>6525</v>
      </c>
      <c r="B119" s="225" t="s">
        <v>6458</v>
      </c>
      <c r="C119" s="224">
        <v>3.56206203435253E14</v>
      </c>
      <c r="D119" s="279" t="s">
        <v>6495</v>
      </c>
      <c r="E119" s="224" t="s">
        <v>6745</v>
      </c>
      <c r="F119" s="227" t="s">
        <v>6465</v>
      </c>
      <c r="G119" s="227" t="s">
        <v>6465</v>
      </c>
      <c r="H119" s="227" t="s">
        <v>6465</v>
      </c>
      <c r="I119" s="227" t="s">
        <v>2101</v>
      </c>
      <c r="J119" s="228" t="s">
        <v>14</v>
      </c>
      <c r="K119" s="228" t="s">
        <v>2102</v>
      </c>
      <c r="L119" s="225"/>
      <c r="M119" s="225"/>
      <c r="N119" s="229"/>
      <c r="O119" s="229" t="s">
        <v>6746</v>
      </c>
      <c r="P119" s="230"/>
      <c r="Q119" s="222"/>
      <c r="R119" s="222"/>
      <c r="S119" s="223"/>
      <c r="T119" s="223"/>
      <c r="U119" s="223"/>
      <c r="V119" s="223"/>
      <c r="W119" s="223"/>
      <c r="X119" s="223"/>
      <c r="Y119" s="223"/>
      <c r="Z119" s="223"/>
    </row>
    <row r="120" ht="15.75" customHeight="1">
      <c r="A120" s="227" t="s">
        <v>6747</v>
      </c>
      <c r="B120" s="225" t="s">
        <v>6458</v>
      </c>
      <c r="C120" s="224" t="s">
        <v>6748</v>
      </c>
      <c r="D120" s="227" t="s">
        <v>6483</v>
      </c>
      <c r="E120" s="224" t="s">
        <v>6749</v>
      </c>
      <c r="F120" s="227" t="s">
        <v>6465</v>
      </c>
      <c r="G120" s="227" t="s">
        <v>6465</v>
      </c>
      <c r="H120" s="227" t="s">
        <v>6465</v>
      </c>
      <c r="I120" s="227" t="s">
        <v>865</v>
      </c>
      <c r="J120" s="228" t="s">
        <v>14</v>
      </c>
      <c r="K120" s="228" t="s">
        <v>866</v>
      </c>
      <c r="L120" s="227" t="s">
        <v>6750</v>
      </c>
      <c r="M120" s="225"/>
      <c r="N120" s="229"/>
      <c r="O120" s="229"/>
      <c r="P120" s="230"/>
      <c r="Q120" s="222"/>
      <c r="R120" s="222"/>
      <c r="S120" s="223"/>
      <c r="T120" s="223"/>
      <c r="U120" s="223"/>
      <c r="V120" s="223"/>
      <c r="W120" s="223"/>
      <c r="X120" s="223"/>
      <c r="Y120" s="223"/>
      <c r="Z120" s="223"/>
    </row>
    <row r="121" ht="15.75" customHeight="1">
      <c r="A121" s="227" t="s">
        <v>6696</v>
      </c>
      <c r="B121" s="225" t="s">
        <v>6458</v>
      </c>
      <c r="C121" s="224">
        <v>8.61258049061809E14</v>
      </c>
      <c r="D121" s="224" t="s">
        <v>6498</v>
      </c>
      <c r="E121" s="251" t="s">
        <v>6751</v>
      </c>
      <c r="F121" s="227" t="s">
        <v>6465</v>
      </c>
      <c r="G121" s="227" t="s">
        <v>6465</v>
      </c>
      <c r="H121" s="227" t="s">
        <v>6465</v>
      </c>
      <c r="I121" s="227" t="s">
        <v>2043</v>
      </c>
      <c r="J121" s="228" t="s">
        <v>14</v>
      </c>
      <c r="K121" s="228" t="s">
        <v>2044</v>
      </c>
      <c r="L121" s="225"/>
      <c r="M121" s="225"/>
      <c r="N121" s="229"/>
      <c r="O121" s="229"/>
      <c r="P121" s="230"/>
      <c r="Q121" s="222"/>
      <c r="R121" s="222"/>
      <c r="S121" s="223"/>
      <c r="T121" s="223"/>
      <c r="U121" s="223"/>
      <c r="V121" s="223"/>
      <c r="W121" s="223"/>
      <c r="X121" s="223"/>
      <c r="Y121" s="223"/>
      <c r="Z121" s="223"/>
    </row>
    <row r="122" ht="15.75" customHeight="1">
      <c r="A122" s="235" t="s">
        <v>6614</v>
      </c>
      <c r="B122" s="225" t="s">
        <v>6458</v>
      </c>
      <c r="C122" s="224">
        <v>8.69054050660155E14</v>
      </c>
      <c r="D122" s="232" t="s">
        <v>6486</v>
      </c>
      <c r="E122" s="224" t="s">
        <v>6752</v>
      </c>
      <c r="F122" s="227" t="s">
        <v>6465</v>
      </c>
      <c r="G122" s="227" t="s">
        <v>6465</v>
      </c>
      <c r="H122" s="227" t="s">
        <v>6465</v>
      </c>
      <c r="I122" s="235" t="s">
        <v>6753</v>
      </c>
      <c r="J122" s="228" t="s">
        <v>14</v>
      </c>
      <c r="K122" s="228" t="s">
        <v>1029</v>
      </c>
      <c r="L122" s="225"/>
      <c r="M122" s="225"/>
      <c r="N122" s="229"/>
      <c r="O122" s="229"/>
      <c r="P122" s="230"/>
      <c r="Q122" s="222"/>
      <c r="R122" s="222"/>
      <c r="S122" s="223"/>
      <c r="T122" s="223"/>
      <c r="U122" s="223"/>
      <c r="V122" s="223"/>
      <c r="W122" s="223"/>
      <c r="X122" s="223"/>
      <c r="Y122" s="223"/>
      <c r="Z122" s="223"/>
    </row>
    <row r="123" ht="15.75" customHeight="1">
      <c r="A123" s="227" t="s">
        <v>6754</v>
      </c>
      <c r="B123" s="225" t="s">
        <v>6458</v>
      </c>
      <c r="C123" s="224">
        <v>8.63857055638836E14</v>
      </c>
      <c r="D123" s="232" t="s">
        <v>6486</v>
      </c>
      <c r="E123" s="232" t="s">
        <v>6755</v>
      </c>
      <c r="F123" s="227" t="s">
        <v>6465</v>
      </c>
      <c r="G123" s="227" t="s">
        <v>6465</v>
      </c>
      <c r="H123" s="227" t="s">
        <v>6465</v>
      </c>
      <c r="I123" s="227" t="s">
        <v>2059</v>
      </c>
      <c r="J123" s="228" t="s">
        <v>4080</v>
      </c>
      <c r="K123" s="228" t="s">
        <v>1226</v>
      </c>
      <c r="L123" s="225"/>
      <c r="M123" s="225"/>
      <c r="N123" s="229"/>
      <c r="O123" s="229" t="s">
        <v>6493</v>
      </c>
      <c r="P123" s="230"/>
      <c r="Q123" s="222"/>
      <c r="R123" s="222"/>
      <c r="S123" s="223"/>
      <c r="T123" s="223"/>
      <c r="U123" s="223"/>
      <c r="V123" s="223"/>
      <c r="W123" s="223"/>
      <c r="X123" s="223"/>
      <c r="Y123" s="223"/>
      <c r="Z123" s="223"/>
    </row>
    <row r="124" ht="15.75" customHeight="1">
      <c r="A124" s="227" t="s">
        <v>6756</v>
      </c>
      <c r="B124" s="225" t="s">
        <v>6458</v>
      </c>
      <c r="C124" s="224">
        <v>8.64264054890659E14</v>
      </c>
      <c r="D124" s="227" t="s">
        <v>6483</v>
      </c>
      <c r="E124" s="257" t="s">
        <v>6757</v>
      </c>
      <c r="F124" s="283" t="s">
        <v>6466</v>
      </c>
      <c r="G124" s="283" t="s">
        <v>6466</v>
      </c>
      <c r="H124" s="227" t="s">
        <v>6512</v>
      </c>
      <c r="I124" s="244" t="s">
        <v>1818</v>
      </c>
      <c r="J124" s="228" t="s">
        <v>1471</v>
      </c>
      <c r="K124" s="228" t="s">
        <v>1819</v>
      </c>
      <c r="L124" s="255" t="s">
        <v>1903</v>
      </c>
      <c r="M124" s="225"/>
      <c r="N124" s="229"/>
      <c r="O124" s="229"/>
      <c r="P124" s="230"/>
      <c r="Q124" s="222"/>
      <c r="R124" s="222"/>
      <c r="S124" s="223"/>
      <c r="T124" s="223"/>
      <c r="U124" s="223"/>
      <c r="V124" s="223"/>
      <c r="W124" s="223"/>
      <c r="X124" s="223"/>
      <c r="Y124" s="223"/>
      <c r="Z124" s="223"/>
    </row>
    <row r="125" ht="15.75" customHeight="1">
      <c r="A125" s="227" t="s">
        <v>6519</v>
      </c>
      <c r="B125" s="225" t="s">
        <v>6458</v>
      </c>
      <c r="C125" s="224">
        <v>8.61573058309653E14</v>
      </c>
      <c r="D125" s="232" t="s">
        <v>6483</v>
      </c>
      <c r="E125" s="232" t="s">
        <v>6758</v>
      </c>
      <c r="F125" s="227" t="s">
        <v>6465</v>
      </c>
      <c r="G125" s="227" t="s">
        <v>6465</v>
      </c>
      <c r="H125" s="227" t="s">
        <v>6512</v>
      </c>
      <c r="I125" s="285" t="s">
        <v>1993</v>
      </c>
      <c r="J125" s="228" t="s">
        <v>47</v>
      </c>
      <c r="K125" s="286" t="s">
        <v>1397</v>
      </c>
      <c r="L125" s="255" t="s">
        <v>865</v>
      </c>
      <c r="M125" s="225"/>
      <c r="N125" s="229"/>
      <c r="O125" s="229"/>
      <c r="P125" s="230"/>
      <c r="Q125" s="222"/>
      <c r="R125" s="222"/>
      <c r="S125" s="223"/>
      <c r="T125" s="223"/>
      <c r="U125" s="223"/>
      <c r="V125" s="223"/>
      <c r="W125" s="223"/>
      <c r="X125" s="223"/>
      <c r="Y125" s="223"/>
      <c r="Z125" s="223"/>
    </row>
    <row r="126" ht="15.75" customHeight="1">
      <c r="A126" s="258" t="s">
        <v>6759</v>
      </c>
      <c r="B126" s="225" t="s">
        <v>6461</v>
      </c>
      <c r="C126" s="259">
        <v>3.50135023155526E14</v>
      </c>
      <c r="D126" s="224" t="s">
        <v>6666</v>
      </c>
      <c r="E126" s="287" t="s">
        <v>6760</v>
      </c>
      <c r="F126" s="227" t="s">
        <v>6467</v>
      </c>
      <c r="G126" s="227" t="s">
        <v>6530</v>
      </c>
      <c r="H126" s="227" t="s">
        <v>6467</v>
      </c>
      <c r="I126" s="258" t="s">
        <v>6467</v>
      </c>
      <c r="J126" s="261" t="s">
        <v>6530</v>
      </c>
      <c r="K126" s="261"/>
      <c r="L126" s="256" t="s">
        <v>2150</v>
      </c>
      <c r="M126" s="225"/>
      <c r="N126" s="229"/>
      <c r="O126" s="229"/>
      <c r="P126" s="230"/>
      <c r="Q126" s="222"/>
      <c r="R126" s="222"/>
      <c r="S126" s="223"/>
      <c r="T126" s="223"/>
      <c r="U126" s="223"/>
      <c r="V126" s="223"/>
      <c r="W126" s="223"/>
      <c r="X126" s="223"/>
      <c r="Y126" s="223"/>
      <c r="Z126" s="223"/>
    </row>
    <row r="127" ht="15.75" customHeight="1">
      <c r="A127" s="227" t="s">
        <v>6606</v>
      </c>
      <c r="B127" s="225" t="s">
        <v>6458</v>
      </c>
      <c r="C127" s="224">
        <v>3.5620620366797E14</v>
      </c>
      <c r="D127" s="224" t="s">
        <v>6486</v>
      </c>
      <c r="E127" s="224" t="s">
        <v>6761</v>
      </c>
      <c r="F127" s="227" t="s">
        <v>6464</v>
      </c>
      <c r="G127" s="227" t="s">
        <v>6530</v>
      </c>
      <c r="H127" s="227" t="s">
        <v>6470</v>
      </c>
      <c r="I127" s="227" t="s">
        <v>6464</v>
      </c>
      <c r="J127" s="228"/>
      <c r="K127" s="228"/>
      <c r="L127" s="229" t="s">
        <v>6762</v>
      </c>
      <c r="M127" s="225" t="s">
        <v>6763</v>
      </c>
      <c r="N127" s="229"/>
      <c r="O127" s="229"/>
      <c r="P127" s="230"/>
      <c r="Q127" s="222"/>
      <c r="R127" s="222"/>
      <c r="S127" s="223"/>
      <c r="T127" s="223"/>
      <c r="U127" s="223"/>
      <c r="V127" s="223"/>
      <c r="W127" s="223"/>
      <c r="X127" s="223"/>
      <c r="Y127" s="223"/>
      <c r="Z127" s="223"/>
    </row>
    <row r="128" ht="15.75" customHeight="1">
      <c r="A128" s="227" t="s">
        <v>6525</v>
      </c>
      <c r="B128" s="225" t="s">
        <v>6458</v>
      </c>
      <c r="C128" s="224">
        <v>3.56206203321834E14</v>
      </c>
      <c r="D128" s="224" t="s">
        <v>6486</v>
      </c>
      <c r="E128" s="232" t="s">
        <v>6764</v>
      </c>
      <c r="F128" s="227" t="s">
        <v>6465</v>
      </c>
      <c r="G128" s="227" t="s">
        <v>6465</v>
      </c>
      <c r="H128" s="227" t="s">
        <v>6465</v>
      </c>
      <c r="I128" s="227" t="s">
        <v>2069</v>
      </c>
      <c r="J128" s="228" t="s">
        <v>14</v>
      </c>
      <c r="K128" s="228" t="s">
        <v>2070</v>
      </c>
      <c r="L128" s="225"/>
      <c r="M128" s="225"/>
      <c r="N128" s="229"/>
      <c r="O128" s="229" t="s">
        <v>6746</v>
      </c>
      <c r="P128" s="230"/>
      <c r="Q128" s="222"/>
      <c r="R128" s="222"/>
      <c r="S128" s="223"/>
      <c r="T128" s="223"/>
      <c r="U128" s="223"/>
      <c r="V128" s="223"/>
      <c r="W128" s="223"/>
      <c r="X128" s="223"/>
      <c r="Y128" s="223"/>
      <c r="Z128" s="223"/>
    </row>
    <row r="129" ht="15.75" customHeight="1">
      <c r="A129" s="227" t="s">
        <v>6765</v>
      </c>
      <c r="B129" s="225" t="s">
        <v>6458</v>
      </c>
      <c r="C129" s="224">
        <v>3.55766344219057E14</v>
      </c>
      <c r="D129" s="232" t="s">
        <v>6486</v>
      </c>
      <c r="E129" s="232" t="s">
        <v>6766</v>
      </c>
      <c r="F129" s="227" t="s">
        <v>6465</v>
      </c>
      <c r="G129" s="227" t="s">
        <v>6465</v>
      </c>
      <c r="H129" s="227" t="s">
        <v>6465</v>
      </c>
      <c r="I129" s="227" t="s">
        <v>711</v>
      </c>
      <c r="J129" s="228" t="s">
        <v>14</v>
      </c>
      <c r="K129" s="228" t="s">
        <v>712</v>
      </c>
      <c r="L129" s="225"/>
      <c r="M129" s="225"/>
      <c r="N129" s="229"/>
      <c r="O129" s="229"/>
      <c r="P129" s="230"/>
      <c r="Q129" s="222"/>
      <c r="R129" s="222"/>
      <c r="S129" s="223"/>
      <c r="T129" s="223"/>
      <c r="U129" s="223"/>
      <c r="V129" s="223"/>
      <c r="W129" s="223"/>
      <c r="X129" s="223"/>
      <c r="Y129" s="223"/>
      <c r="Z129" s="223"/>
    </row>
    <row r="130" ht="15.75" customHeight="1">
      <c r="A130" s="227" t="s">
        <v>6608</v>
      </c>
      <c r="B130" s="225" t="s">
        <v>6458</v>
      </c>
      <c r="C130" s="224">
        <v>3.55766344203838E14</v>
      </c>
      <c r="D130" s="232" t="s">
        <v>6486</v>
      </c>
      <c r="E130" s="257" t="s">
        <v>6767</v>
      </c>
      <c r="F130" s="227" t="s">
        <v>6465</v>
      </c>
      <c r="G130" s="227" t="s">
        <v>6465</v>
      </c>
      <c r="H130" s="227" t="s">
        <v>6465</v>
      </c>
      <c r="I130" s="227" t="s">
        <v>2034</v>
      </c>
      <c r="J130" s="228" t="s">
        <v>14</v>
      </c>
      <c r="K130" s="228" t="s">
        <v>2035</v>
      </c>
      <c r="L130" s="225"/>
      <c r="M130" s="225"/>
      <c r="N130" s="229"/>
      <c r="O130" s="229"/>
      <c r="P130" s="230"/>
      <c r="Q130" s="222"/>
      <c r="R130" s="222"/>
      <c r="S130" s="223"/>
      <c r="T130" s="223"/>
      <c r="U130" s="223"/>
      <c r="V130" s="223"/>
      <c r="W130" s="223"/>
      <c r="X130" s="223"/>
      <c r="Y130" s="223"/>
      <c r="Z130" s="223"/>
    </row>
    <row r="131" ht="15.75" customHeight="1">
      <c r="A131" s="227" t="s">
        <v>6533</v>
      </c>
      <c r="B131" s="225" t="s">
        <v>6458</v>
      </c>
      <c r="C131" s="224">
        <v>8.69054058142073E14</v>
      </c>
      <c r="D131" s="232" t="s">
        <v>6486</v>
      </c>
      <c r="E131" s="257" t="s">
        <v>6768</v>
      </c>
      <c r="F131" s="227" t="s">
        <v>6465</v>
      </c>
      <c r="G131" s="227" t="s">
        <v>6465</v>
      </c>
      <c r="H131" s="227" t="s">
        <v>6465</v>
      </c>
      <c r="I131" s="227" t="s">
        <v>2010</v>
      </c>
      <c r="J131" s="228" t="s">
        <v>14</v>
      </c>
      <c r="K131" s="228" t="s">
        <v>1264</v>
      </c>
      <c r="L131" s="225"/>
      <c r="M131" s="225"/>
      <c r="N131" s="229"/>
      <c r="O131" s="229"/>
      <c r="P131" s="230"/>
      <c r="Q131" s="222"/>
      <c r="R131" s="222"/>
      <c r="S131" s="223"/>
      <c r="T131" s="223"/>
      <c r="U131" s="223"/>
      <c r="V131" s="223"/>
      <c r="W131" s="223"/>
      <c r="X131" s="223"/>
      <c r="Y131" s="223"/>
      <c r="Z131" s="223"/>
    </row>
    <row r="132" ht="15.75" customHeight="1">
      <c r="A132" s="236" t="s">
        <v>6730</v>
      </c>
      <c r="B132" s="225" t="s">
        <v>6458</v>
      </c>
      <c r="C132" s="237">
        <v>8.64717040740437E14</v>
      </c>
      <c r="D132" s="279" t="s">
        <v>6707</v>
      </c>
      <c r="E132" s="250" t="s">
        <v>6769</v>
      </c>
      <c r="F132" s="227" t="s">
        <v>6465</v>
      </c>
      <c r="G132" s="227" t="s">
        <v>6465</v>
      </c>
      <c r="H132" s="227" t="s">
        <v>6465</v>
      </c>
      <c r="I132" s="240" t="s">
        <v>6508</v>
      </c>
      <c r="J132" s="248" t="s">
        <v>14</v>
      </c>
      <c r="K132" s="248" t="s">
        <v>502</v>
      </c>
      <c r="L132" s="227" t="s">
        <v>757</v>
      </c>
      <c r="M132" s="225" t="s">
        <v>6505</v>
      </c>
      <c r="N132" s="229"/>
      <c r="O132" s="229"/>
      <c r="P132" s="230"/>
      <c r="Q132" s="222"/>
      <c r="R132" s="222"/>
      <c r="S132" s="223"/>
      <c r="T132" s="223"/>
      <c r="U132" s="223"/>
      <c r="V132" s="223"/>
      <c r="W132" s="223"/>
      <c r="X132" s="223"/>
      <c r="Y132" s="223"/>
      <c r="Z132" s="223"/>
    </row>
    <row r="133" ht="15.75" customHeight="1">
      <c r="A133" s="227" t="s">
        <v>6528</v>
      </c>
      <c r="B133" s="225" t="s">
        <v>6458</v>
      </c>
      <c r="C133" s="224">
        <v>8.62065059335935E14</v>
      </c>
      <c r="D133" s="226" t="s">
        <v>6514</v>
      </c>
      <c r="E133" s="224" t="s">
        <v>6770</v>
      </c>
      <c r="F133" s="227" t="s">
        <v>6465</v>
      </c>
      <c r="G133" s="227" t="s">
        <v>6465</v>
      </c>
      <c r="H133" s="227" t="s">
        <v>6465</v>
      </c>
      <c r="I133" s="227" t="s">
        <v>2092</v>
      </c>
      <c r="J133" s="228" t="s">
        <v>4088</v>
      </c>
      <c r="K133" s="228" t="s">
        <v>2093</v>
      </c>
      <c r="L133" s="225"/>
      <c r="M133" s="225"/>
      <c r="N133" s="229"/>
      <c r="O133" s="229"/>
      <c r="P133" s="230"/>
      <c r="Q133" s="222"/>
      <c r="R133" s="222"/>
      <c r="S133" s="223"/>
      <c r="T133" s="223"/>
      <c r="U133" s="223"/>
      <c r="V133" s="223"/>
      <c r="W133" s="223"/>
      <c r="X133" s="223"/>
      <c r="Y133" s="223"/>
      <c r="Z133" s="223"/>
    </row>
    <row r="134" ht="15.75" customHeight="1">
      <c r="A134" s="227" t="s">
        <v>6606</v>
      </c>
      <c r="B134" s="225" t="s">
        <v>6458</v>
      </c>
      <c r="C134" s="224">
        <v>3.56206203762078E14</v>
      </c>
      <c r="D134" s="224" t="s">
        <v>6486</v>
      </c>
      <c r="E134" s="232" t="s">
        <v>6771</v>
      </c>
      <c r="F134" s="227" t="s">
        <v>6465</v>
      </c>
      <c r="G134" s="227" t="s">
        <v>6465</v>
      </c>
      <c r="H134" s="227" t="s">
        <v>6465</v>
      </c>
      <c r="I134" s="288" t="s">
        <v>2408</v>
      </c>
      <c r="J134" s="228" t="s">
        <v>6683</v>
      </c>
      <c r="K134" s="228" t="s">
        <v>2409</v>
      </c>
      <c r="L134" s="225"/>
      <c r="M134" s="225" t="s">
        <v>6772</v>
      </c>
      <c r="N134" s="229"/>
      <c r="O134" s="229"/>
      <c r="P134" s="230"/>
      <c r="Q134" s="222"/>
      <c r="R134" s="222"/>
      <c r="S134" s="223"/>
      <c r="T134" s="223"/>
      <c r="U134" s="223"/>
      <c r="V134" s="223"/>
      <c r="W134" s="223"/>
      <c r="X134" s="223"/>
      <c r="Y134" s="223"/>
      <c r="Z134" s="223"/>
    </row>
    <row r="135" ht="15.75" customHeight="1">
      <c r="A135" s="227" t="s">
        <v>6773</v>
      </c>
      <c r="B135" s="225" t="s">
        <v>6458</v>
      </c>
      <c r="C135" s="224">
        <v>3.50179385306491E14</v>
      </c>
      <c r="D135" s="224" t="s">
        <v>6501</v>
      </c>
      <c r="E135" s="232" t="s">
        <v>6774</v>
      </c>
      <c r="F135" s="227" t="s">
        <v>6465</v>
      </c>
      <c r="G135" s="227" t="s">
        <v>6465</v>
      </c>
      <c r="H135" s="227" t="s">
        <v>6465</v>
      </c>
      <c r="I135" s="227" t="s">
        <v>1997</v>
      </c>
      <c r="J135" s="228" t="s">
        <v>4080</v>
      </c>
      <c r="K135" s="228" t="s">
        <v>1243</v>
      </c>
      <c r="L135" s="225"/>
      <c r="M135" s="225"/>
      <c r="N135" s="229"/>
      <c r="O135" s="229"/>
      <c r="P135" s="230"/>
      <c r="Q135" s="222"/>
      <c r="R135" s="222"/>
      <c r="S135" s="223"/>
      <c r="T135" s="223"/>
      <c r="U135" s="223"/>
      <c r="V135" s="223"/>
      <c r="W135" s="223"/>
      <c r="X135" s="223"/>
      <c r="Y135" s="223"/>
      <c r="Z135" s="223"/>
    </row>
    <row r="136" ht="15.75" customHeight="1">
      <c r="A136" s="227" t="s">
        <v>6606</v>
      </c>
      <c r="B136" s="225" t="s">
        <v>6458</v>
      </c>
      <c r="C136" s="224">
        <v>3.56206203667012E14</v>
      </c>
      <c r="D136" s="224" t="s">
        <v>6486</v>
      </c>
      <c r="E136" s="250" t="s">
        <v>6775</v>
      </c>
      <c r="F136" s="227" t="s">
        <v>6465</v>
      </c>
      <c r="G136" s="227" t="s">
        <v>6465</v>
      </c>
      <c r="H136" s="227" t="s">
        <v>6465</v>
      </c>
      <c r="I136" s="227" t="s">
        <v>2113</v>
      </c>
      <c r="J136" s="228" t="s">
        <v>14</v>
      </c>
      <c r="K136" s="228" t="s">
        <v>2114</v>
      </c>
      <c r="L136" s="225"/>
      <c r="M136" s="225"/>
      <c r="N136" s="229"/>
      <c r="O136" s="229"/>
      <c r="P136" s="230"/>
      <c r="Q136" s="222"/>
      <c r="R136" s="222"/>
      <c r="S136" s="223"/>
      <c r="T136" s="223"/>
      <c r="U136" s="223"/>
      <c r="V136" s="223"/>
      <c r="W136" s="223"/>
      <c r="X136" s="223"/>
      <c r="Y136" s="223"/>
      <c r="Z136" s="223"/>
    </row>
    <row r="137" ht="15.75" customHeight="1">
      <c r="A137" s="236" t="s">
        <v>6776</v>
      </c>
      <c r="B137" s="225" t="s">
        <v>6461</v>
      </c>
      <c r="C137" s="237">
        <v>3.53002099783267E14</v>
      </c>
      <c r="D137" s="224" t="s">
        <v>6777</v>
      </c>
      <c r="E137" s="250" t="s">
        <v>6778</v>
      </c>
      <c r="F137" s="227" t="s">
        <v>6465</v>
      </c>
      <c r="G137" s="227" t="s">
        <v>6465</v>
      </c>
      <c r="H137" s="227" t="s">
        <v>6465</v>
      </c>
      <c r="I137" s="227" t="s">
        <v>2113</v>
      </c>
      <c r="J137" s="228" t="s">
        <v>14</v>
      </c>
      <c r="K137" s="228" t="s">
        <v>2114</v>
      </c>
      <c r="L137" s="225"/>
      <c r="M137" s="225"/>
      <c r="N137" s="229"/>
      <c r="O137" s="229"/>
      <c r="P137" s="230"/>
      <c r="Q137" s="222"/>
      <c r="R137" s="222"/>
      <c r="S137" s="223"/>
      <c r="T137" s="223"/>
      <c r="U137" s="223"/>
      <c r="V137" s="223"/>
      <c r="W137" s="223"/>
      <c r="X137" s="223"/>
      <c r="Y137" s="223"/>
      <c r="Z137" s="223"/>
    </row>
    <row r="138" ht="15.75" customHeight="1">
      <c r="A138" s="236" t="s">
        <v>6533</v>
      </c>
      <c r="B138" s="225" t="s">
        <v>6458</v>
      </c>
      <c r="C138" s="234">
        <v>8.69054052395917E14</v>
      </c>
      <c r="D138" s="224" t="s">
        <v>6486</v>
      </c>
      <c r="E138" s="250" t="s">
        <v>6779</v>
      </c>
      <c r="F138" s="227" t="s">
        <v>6465</v>
      </c>
      <c r="G138" s="227" t="s">
        <v>6465</v>
      </c>
      <c r="H138" s="227" t="s">
        <v>6465</v>
      </c>
      <c r="I138" s="227" t="s">
        <v>2113</v>
      </c>
      <c r="J138" s="228" t="s">
        <v>14</v>
      </c>
      <c r="K138" s="228" t="s">
        <v>2114</v>
      </c>
      <c r="L138" s="225"/>
      <c r="M138" s="225"/>
      <c r="N138" s="229"/>
      <c r="O138" s="229"/>
      <c r="P138" s="230"/>
      <c r="Q138" s="222"/>
      <c r="R138" s="222"/>
      <c r="S138" s="223"/>
      <c r="T138" s="223"/>
      <c r="U138" s="223"/>
      <c r="V138" s="223"/>
      <c r="W138" s="223"/>
      <c r="X138" s="223"/>
      <c r="Y138" s="223"/>
      <c r="Z138" s="223"/>
    </row>
    <row r="139" ht="15.75" customHeight="1">
      <c r="A139" s="227" t="s">
        <v>6780</v>
      </c>
      <c r="B139" s="225" t="s">
        <v>6458</v>
      </c>
      <c r="C139" s="224">
        <v>8.65715049778233E14</v>
      </c>
      <c r="D139" s="224" t="s">
        <v>6486</v>
      </c>
      <c r="E139" s="250" t="s">
        <v>6781</v>
      </c>
      <c r="F139" s="227" t="s">
        <v>6465</v>
      </c>
      <c r="G139" s="227" t="s">
        <v>6465</v>
      </c>
      <c r="H139" s="227" t="s">
        <v>6465</v>
      </c>
      <c r="I139" s="240" t="s">
        <v>1986</v>
      </c>
      <c r="J139" s="248" t="s">
        <v>14</v>
      </c>
      <c r="K139" s="248" t="s">
        <v>1987</v>
      </c>
      <c r="L139" s="255" t="s">
        <v>757</v>
      </c>
      <c r="M139" s="225" t="s">
        <v>6505</v>
      </c>
      <c r="N139" s="229"/>
      <c r="O139" s="229"/>
      <c r="P139" s="230"/>
      <c r="Q139" s="222"/>
      <c r="R139" s="222"/>
      <c r="S139" s="223"/>
      <c r="T139" s="223"/>
      <c r="U139" s="223"/>
      <c r="V139" s="223"/>
      <c r="W139" s="223"/>
      <c r="X139" s="223"/>
      <c r="Y139" s="223"/>
      <c r="Z139" s="223"/>
    </row>
    <row r="140" ht="15.75" customHeight="1">
      <c r="A140" s="224" t="s">
        <v>6782</v>
      </c>
      <c r="B140" s="225" t="s">
        <v>6458</v>
      </c>
      <c r="C140" s="224">
        <v>3.53935642103568E14</v>
      </c>
      <c r="D140" s="232" t="s">
        <v>6486</v>
      </c>
      <c r="E140" s="232" t="s">
        <v>6783</v>
      </c>
      <c r="F140" s="227" t="s">
        <v>6465</v>
      </c>
      <c r="G140" s="227" t="s">
        <v>6465</v>
      </c>
      <c r="H140" s="227" t="s">
        <v>6465</v>
      </c>
      <c r="I140" s="240" t="s">
        <v>2310</v>
      </c>
      <c r="J140" s="228" t="s">
        <v>14</v>
      </c>
      <c r="K140" s="228" t="s">
        <v>2311</v>
      </c>
      <c r="L140" s="227" t="s">
        <v>920</v>
      </c>
      <c r="M140" s="225"/>
      <c r="N140" s="229"/>
      <c r="O140" s="229"/>
      <c r="P140" s="230"/>
      <c r="Q140" s="222"/>
      <c r="R140" s="222"/>
      <c r="S140" s="223"/>
      <c r="T140" s="223"/>
      <c r="U140" s="223"/>
      <c r="V140" s="223"/>
      <c r="W140" s="223"/>
      <c r="X140" s="223"/>
      <c r="Y140" s="223"/>
      <c r="Z140" s="223"/>
    </row>
    <row r="141" ht="15.75" customHeight="1">
      <c r="A141" s="227" t="s">
        <v>6494</v>
      </c>
      <c r="B141" s="225" t="s">
        <v>6458</v>
      </c>
      <c r="C141" s="224">
        <v>3.56206203038479E14</v>
      </c>
      <c r="D141" s="279" t="s">
        <v>6495</v>
      </c>
      <c r="E141" s="224" t="s">
        <v>6784</v>
      </c>
      <c r="F141" s="227" t="s">
        <v>6465</v>
      </c>
      <c r="G141" s="227" t="s">
        <v>6465</v>
      </c>
      <c r="H141" s="227" t="s">
        <v>6465</v>
      </c>
      <c r="I141" s="227" t="s">
        <v>1684</v>
      </c>
      <c r="J141" s="228" t="s">
        <v>14</v>
      </c>
      <c r="K141" s="228" t="s">
        <v>1297</v>
      </c>
      <c r="L141" s="225"/>
      <c r="M141" s="225"/>
      <c r="N141" s="229"/>
      <c r="O141" s="229" t="s">
        <v>6785</v>
      </c>
      <c r="P141" s="230"/>
      <c r="Q141" s="222"/>
      <c r="R141" s="222"/>
      <c r="S141" s="223"/>
      <c r="T141" s="223"/>
      <c r="U141" s="223"/>
      <c r="V141" s="223"/>
      <c r="W141" s="223"/>
      <c r="X141" s="223"/>
      <c r="Y141" s="223"/>
      <c r="Z141" s="223"/>
    </row>
    <row r="142" ht="15.75" customHeight="1">
      <c r="A142" s="227" t="s">
        <v>6606</v>
      </c>
      <c r="B142" s="225" t="s">
        <v>6458</v>
      </c>
      <c r="C142" s="224">
        <v>3.56206202552439E14</v>
      </c>
      <c r="D142" s="279" t="s">
        <v>6495</v>
      </c>
      <c r="E142" s="224"/>
      <c r="F142" s="227" t="s">
        <v>6465</v>
      </c>
      <c r="G142" s="227" t="s">
        <v>6465</v>
      </c>
      <c r="H142" s="227" t="s">
        <v>6465</v>
      </c>
      <c r="I142" s="227" t="s">
        <v>2077</v>
      </c>
      <c r="J142" s="228" t="s">
        <v>14</v>
      </c>
      <c r="K142" s="228" t="s">
        <v>1026</v>
      </c>
      <c r="L142" s="225"/>
      <c r="M142" s="256" t="s">
        <v>6786</v>
      </c>
      <c r="N142" s="229"/>
      <c r="O142" s="229" t="s">
        <v>6787</v>
      </c>
      <c r="P142" s="230"/>
      <c r="Q142" s="222"/>
      <c r="R142" s="222"/>
      <c r="S142" s="223"/>
      <c r="T142" s="223"/>
      <c r="U142" s="223"/>
      <c r="V142" s="223"/>
      <c r="W142" s="223"/>
      <c r="X142" s="223"/>
      <c r="Y142" s="223"/>
      <c r="Z142" s="223"/>
    </row>
    <row r="143" ht="15.75" customHeight="1">
      <c r="A143" s="227" t="s">
        <v>6516</v>
      </c>
      <c r="B143" s="225" t="s">
        <v>6458</v>
      </c>
      <c r="C143" s="224">
        <v>8.62324050803775E14</v>
      </c>
      <c r="D143" s="224" t="s">
        <v>6495</v>
      </c>
      <c r="E143" s="250" t="s">
        <v>6788</v>
      </c>
      <c r="F143" s="227" t="s">
        <v>6465</v>
      </c>
      <c r="G143" s="227" t="s">
        <v>6465</v>
      </c>
      <c r="H143" s="227" t="s">
        <v>6465</v>
      </c>
      <c r="I143" s="227" t="s">
        <v>1874</v>
      </c>
      <c r="J143" s="228" t="s">
        <v>14</v>
      </c>
      <c r="K143" s="228" t="s">
        <v>1875</v>
      </c>
      <c r="L143" s="225"/>
      <c r="M143" s="225"/>
      <c r="N143" s="229"/>
      <c r="O143" s="229"/>
      <c r="P143" s="230"/>
      <c r="Q143" s="222"/>
      <c r="R143" s="222"/>
      <c r="S143" s="223"/>
      <c r="T143" s="223"/>
      <c r="U143" s="223"/>
      <c r="V143" s="223"/>
      <c r="W143" s="223"/>
      <c r="X143" s="223"/>
      <c r="Y143" s="223"/>
      <c r="Z143" s="223"/>
    </row>
    <row r="144" ht="15.75" customHeight="1">
      <c r="A144" s="236" t="s">
        <v>6789</v>
      </c>
      <c r="B144" s="225" t="s">
        <v>6458</v>
      </c>
      <c r="C144" s="234">
        <v>3.55368114123005E14</v>
      </c>
      <c r="D144" s="224" t="s">
        <v>6501</v>
      </c>
      <c r="E144" s="234" t="s">
        <v>6790</v>
      </c>
      <c r="F144" s="227" t="s">
        <v>6465</v>
      </c>
      <c r="G144" s="227" t="s">
        <v>6465</v>
      </c>
      <c r="H144" s="227" t="s">
        <v>6465</v>
      </c>
      <c r="I144" s="227" t="s">
        <v>1874</v>
      </c>
      <c r="J144" s="228" t="s">
        <v>14</v>
      </c>
      <c r="K144" s="228" t="s">
        <v>1875</v>
      </c>
      <c r="L144" s="225"/>
      <c r="M144" s="225"/>
      <c r="N144" s="229"/>
      <c r="O144" s="229"/>
      <c r="P144" s="230"/>
      <c r="Q144" s="222"/>
      <c r="R144" s="222"/>
      <c r="S144" s="223"/>
      <c r="T144" s="223"/>
      <c r="U144" s="223"/>
      <c r="V144" s="223"/>
      <c r="W144" s="223"/>
      <c r="X144" s="223"/>
      <c r="Y144" s="223"/>
      <c r="Z144" s="223"/>
    </row>
    <row r="145" ht="15.75" customHeight="1">
      <c r="A145" s="227" t="s">
        <v>6791</v>
      </c>
      <c r="B145" s="225" t="s">
        <v>6458</v>
      </c>
      <c r="C145" s="224">
        <v>8.66751032618507E14</v>
      </c>
      <c r="D145" s="232" t="s">
        <v>6486</v>
      </c>
      <c r="E145" s="232" t="s">
        <v>6792</v>
      </c>
      <c r="F145" s="227" t="s">
        <v>6465</v>
      </c>
      <c r="G145" s="227" t="s">
        <v>6465</v>
      </c>
      <c r="H145" s="227" t="s">
        <v>6465</v>
      </c>
      <c r="I145" s="240" t="s">
        <v>1466</v>
      </c>
      <c r="J145" s="228" t="s">
        <v>14</v>
      </c>
      <c r="K145" s="248" t="s">
        <v>1467</v>
      </c>
      <c r="L145" s="240" t="s">
        <v>1706</v>
      </c>
      <c r="M145" s="225"/>
      <c r="N145" s="229"/>
      <c r="O145" s="229"/>
      <c r="P145" s="230"/>
      <c r="Q145" s="222"/>
      <c r="R145" s="222"/>
      <c r="S145" s="223"/>
      <c r="T145" s="223"/>
      <c r="U145" s="223"/>
      <c r="V145" s="223"/>
      <c r="W145" s="223"/>
      <c r="X145" s="223"/>
      <c r="Y145" s="223"/>
      <c r="Z145" s="223"/>
    </row>
    <row r="146" ht="15.75" customHeight="1">
      <c r="A146" s="227" t="s">
        <v>6776</v>
      </c>
      <c r="B146" s="225" t="s">
        <v>6461</v>
      </c>
      <c r="C146" s="289">
        <v>3.5322110226497E14</v>
      </c>
      <c r="D146" s="224" t="s">
        <v>6578</v>
      </c>
      <c r="E146" s="232" t="s">
        <v>6793</v>
      </c>
      <c r="F146" s="227" t="s">
        <v>6465</v>
      </c>
      <c r="G146" s="227" t="s">
        <v>6465</v>
      </c>
      <c r="H146" s="227" t="s">
        <v>6465</v>
      </c>
      <c r="I146" s="227" t="s">
        <v>1874</v>
      </c>
      <c r="J146" s="228" t="s">
        <v>14</v>
      </c>
      <c r="K146" s="228" t="s">
        <v>1875</v>
      </c>
      <c r="L146" s="225"/>
      <c r="M146" s="225"/>
      <c r="N146" s="229"/>
      <c r="O146" s="229"/>
      <c r="P146" s="230"/>
      <c r="Q146" s="222"/>
      <c r="R146" s="222"/>
      <c r="S146" s="223"/>
      <c r="T146" s="223"/>
      <c r="U146" s="223"/>
      <c r="V146" s="223"/>
      <c r="W146" s="223"/>
      <c r="X146" s="223"/>
      <c r="Y146" s="223"/>
      <c r="Z146" s="223"/>
    </row>
    <row r="147" ht="15.75" customHeight="1">
      <c r="A147" s="227" t="s">
        <v>6525</v>
      </c>
      <c r="B147" s="225" t="s">
        <v>6458</v>
      </c>
      <c r="C147" s="224">
        <v>3.55766343706393E14</v>
      </c>
      <c r="D147" s="232" t="s">
        <v>6486</v>
      </c>
      <c r="E147" s="232" t="s">
        <v>6794</v>
      </c>
      <c r="F147" s="227" t="s">
        <v>6465</v>
      </c>
      <c r="G147" s="227" t="s">
        <v>6465</v>
      </c>
      <c r="H147" s="227" t="s">
        <v>6465</v>
      </c>
      <c r="I147" s="227" t="s">
        <v>6795</v>
      </c>
      <c r="J147" s="228" t="s">
        <v>14</v>
      </c>
      <c r="K147" s="228" t="s">
        <v>1969</v>
      </c>
      <c r="L147" s="225"/>
      <c r="M147" s="225"/>
      <c r="N147" s="229"/>
      <c r="O147" s="229"/>
      <c r="P147" s="230"/>
      <c r="Q147" s="222"/>
      <c r="R147" s="222"/>
      <c r="S147" s="223"/>
      <c r="T147" s="223"/>
      <c r="U147" s="223"/>
      <c r="V147" s="223"/>
      <c r="W147" s="223"/>
      <c r="X147" s="223"/>
      <c r="Y147" s="223"/>
      <c r="Z147" s="223"/>
    </row>
    <row r="148" ht="15.75" customHeight="1">
      <c r="A148" s="227" t="s">
        <v>6525</v>
      </c>
      <c r="B148" s="225" t="s">
        <v>6458</v>
      </c>
      <c r="C148" s="224">
        <v>3.56206203328078E14</v>
      </c>
      <c r="D148" s="232" t="s">
        <v>6486</v>
      </c>
      <c r="E148" s="224"/>
      <c r="F148" s="227" t="s">
        <v>6465</v>
      </c>
      <c r="G148" s="227" t="s">
        <v>6465</v>
      </c>
      <c r="H148" s="227" t="s">
        <v>6465</v>
      </c>
      <c r="I148" s="227" t="s">
        <v>6796</v>
      </c>
      <c r="J148" s="241" t="s">
        <v>1471</v>
      </c>
      <c r="K148" s="228" t="s">
        <v>782</v>
      </c>
      <c r="L148" s="225"/>
      <c r="M148" s="256" t="s">
        <v>6797</v>
      </c>
      <c r="N148" s="229"/>
      <c r="O148" s="229" t="s">
        <v>6746</v>
      </c>
      <c r="P148" s="230"/>
      <c r="Q148" s="222"/>
      <c r="R148" s="222"/>
      <c r="S148" s="223"/>
      <c r="T148" s="223"/>
      <c r="U148" s="223"/>
      <c r="V148" s="223"/>
      <c r="W148" s="223"/>
      <c r="X148" s="223"/>
      <c r="Y148" s="223"/>
      <c r="Z148" s="223"/>
    </row>
    <row r="149" ht="15.75" customHeight="1">
      <c r="A149" s="227" t="s">
        <v>6798</v>
      </c>
      <c r="B149" s="225" t="s">
        <v>6458</v>
      </c>
      <c r="C149" s="224">
        <v>3.55766344203473E14</v>
      </c>
      <c r="D149" s="232" t="s">
        <v>6486</v>
      </c>
      <c r="E149" s="224" t="s">
        <v>6799</v>
      </c>
      <c r="F149" s="227" t="s">
        <v>6465</v>
      </c>
      <c r="G149" s="227" t="s">
        <v>6465</v>
      </c>
      <c r="H149" s="227" t="s">
        <v>6465</v>
      </c>
      <c r="I149" s="227" t="s">
        <v>1693</v>
      </c>
      <c r="J149" s="228" t="s">
        <v>14</v>
      </c>
      <c r="K149" s="228" t="s">
        <v>1694</v>
      </c>
      <c r="L149" s="225"/>
      <c r="M149" s="225"/>
      <c r="N149" s="229"/>
      <c r="O149" s="229"/>
      <c r="P149" s="230"/>
      <c r="Q149" s="222"/>
      <c r="R149" s="222"/>
      <c r="S149" s="223"/>
      <c r="T149" s="223"/>
      <c r="U149" s="223"/>
      <c r="V149" s="223"/>
      <c r="W149" s="223"/>
      <c r="X149" s="223"/>
      <c r="Y149" s="223"/>
      <c r="Z149" s="223"/>
    </row>
    <row r="150" ht="15.75" customHeight="1">
      <c r="A150" s="227" t="s">
        <v>6800</v>
      </c>
      <c r="B150" s="225" t="s">
        <v>6458</v>
      </c>
      <c r="C150" s="224">
        <v>8.65236043899479E14</v>
      </c>
      <c r="D150" s="224" t="s">
        <v>6501</v>
      </c>
      <c r="E150" s="232" t="s">
        <v>6801</v>
      </c>
      <c r="F150" s="227" t="s">
        <v>6465</v>
      </c>
      <c r="G150" s="227" t="s">
        <v>6465</v>
      </c>
      <c r="H150" s="227" t="s">
        <v>6465</v>
      </c>
      <c r="I150" s="227" t="s">
        <v>185</v>
      </c>
      <c r="J150" s="228" t="s">
        <v>39</v>
      </c>
      <c r="K150" s="228" t="s">
        <v>186</v>
      </c>
      <c r="L150" s="227" t="s">
        <v>1143</v>
      </c>
      <c r="M150" s="225"/>
      <c r="N150" s="229"/>
      <c r="O150" s="229"/>
      <c r="P150" s="230"/>
      <c r="Q150" s="222"/>
      <c r="R150" s="222"/>
      <c r="S150" s="223"/>
      <c r="T150" s="223"/>
      <c r="U150" s="223"/>
      <c r="V150" s="223"/>
      <c r="W150" s="223"/>
      <c r="X150" s="223"/>
      <c r="Y150" s="223"/>
      <c r="Z150" s="223"/>
    </row>
    <row r="151" ht="15.75" customHeight="1">
      <c r="A151" s="227" t="s">
        <v>6494</v>
      </c>
      <c r="B151" s="225" t="s">
        <v>6458</v>
      </c>
      <c r="C151" s="224">
        <v>3.56206202553411E14</v>
      </c>
      <c r="D151" s="224" t="s">
        <v>6495</v>
      </c>
      <c r="E151" s="232" t="s">
        <v>6802</v>
      </c>
      <c r="F151" s="227" t="s">
        <v>6465</v>
      </c>
      <c r="G151" s="227" t="s">
        <v>6465</v>
      </c>
      <c r="H151" s="227" t="s">
        <v>6465</v>
      </c>
      <c r="I151" s="240" t="s">
        <v>2383</v>
      </c>
      <c r="J151" s="248" t="s">
        <v>14</v>
      </c>
      <c r="K151" s="248" t="s">
        <v>2384</v>
      </c>
      <c r="L151" s="266" t="s">
        <v>365</v>
      </c>
      <c r="M151" s="225"/>
      <c r="N151" s="229"/>
      <c r="O151" s="229" t="s">
        <v>6803</v>
      </c>
      <c r="P151" s="230"/>
      <c r="Q151" s="222"/>
      <c r="R151" s="222"/>
      <c r="S151" s="223"/>
      <c r="T151" s="223"/>
      <c r="U151" s="223"/>
      <c r="V151" s="223"/>
      <c r="W151" s="223"/>
      <c r="X151" s="223"/>
      <c r="Y151" s="223"/>
      <c r="Z151" s="223"/>
    </row>
    <row r="152" ht="15.75" customHeight="1">
      <c r="A152" s="227" t="s">
        <v>6804</v>
      </c>
      <c r="B152" s="225" t="s">
        <v>6458</v>
      </c>
      <c r="C152" s="224">
        <v>3.52231104495929E14</v>
      </c>
      <c r="D152" s="227" t="s">
        <v>6805</v>
      </c>
      <c r="E152" s="227" t="s">
        <v>6806</v>
      </c>
      <c r="F152" s="227" t="s">
        <v>6464</v>
      </c>
      <c r="G152" s="227" t="s">
        <v>6464</v>
      </c>
      <c r="H152" s="290" t="s">
        <v>6470</v>
      </c>
      <c r="I152" s="240"/>
      <c r="J152" s="248"/>
      <c r="K152" s="248"/>
      <c r="L152" s="240" t="s">
        <v>6807</v>
      </c>
      <c r="M152" s="225"/>
      <c r="N152" s="229"/>
      <c r="O152" s="229"/>
      <c r="P152" s="230"/>
      <c r="Q152" s="222"/>
      <c r="R152" s="222"/>
      <c r="S152" s="223"/>
      <c r="T152" s="223"/>
      <c r="U152" s="223"/>
      <c r="V152" s="223"/>
      <c r="W152" s="223"/>
      <c r="X152" s="223"/>
      <c r="Y152" s="223"/>
      <c r="Z152" s="223"/>
    </row>
    <row r="153" ht="15.75" customHeight="1">
      <c r="A153" s="236" t="s">
        <v>6808</v>
      </c>
      <c r="B153" s="225" t="s">
        <v>6458</v>
      </c>
      <c r="C153" s="234">
        <v>8.69342051133359E14</v>
      </c>
      <c r="D153" s="224" t="s">
        <v>6555</v>
      </c>
      <c r="E153" s="224" t="s">
        <v>6809</v>
      </c>
      <c r="F153" s="227" t="s">
        <v>6465</v>
      </c>
      <c r="G153" s="227" t="s">
        <v>6465</v>
      </c>
      <c r="H153" s="227" t="s">
        <v>6465</v>
      </c>
      <c r="I153" s="291" t="s">
        <v>2518</v>
      </c>
      <c r="J153" s="228" t="s">
        <v>6683</v>
      </c>
      <c r="K153" s="228" t="s">
        <v>2519</v>
      </c>
      <c r="L153" s="227" t="s">
        <v>827</v>
      </c>
      <c r="M153" s="225" t="s">
        <v>6505</v>
      </c>
      <c r="N153" s="229"/>
      <c r="O153" s="229"/>
      <c r="P153" s="230"/>
      <c r="Q153" s="222"/>
      <c r="R153" s="222"/>
      <c r="S153" s="223"/>
      <c r="T153" s="223"/>
      <c r="U153" s="223"/>
      <c r="V153" s="223"/>
      <c r="W153" s="223"/>
      <c r="X153" s="223"/>
      <c r="Y153" s="223"/>
      <c r="Z153" s="223"/>
    </row>
    <row r="154" ht="15.75" customHeight="1">
      <c r="A154" s="236" t="s">
        <v>6810</v>
      </c>
      <c r="B154" s="225" t="s">
        <v>6458</v>
      </c>
      <c r="C154" s="224">
        <v>8.69054051059811E14</v>
      </c>
      <c r="D154" s="224" t="s">
        <v>6495</v>
      </c>
      <c r="E154" s="224" t="s">
        <v>6811</v>
      </c>
      <c r="F154" s="227" t="s">
        <v>6465</v>
      </c>
      <c r="G154" s="227" t="s">
        <v>6465</v>
      </c>
      <c r="H154" s="227" t="s">
        <v>6465</v>
      </c>
      <c r="I154" s="292" t="s">
        <v>1282</v>
      </c>
      <c r="J154" s="228" t="s">
        <v>6683</v>
      </c>
      <c r="K154" s="228" t="s">
        <v>6812</v>
      </c>
      <c r="L154" s="225"/>
      <c r="M154" s="225" t="s">
        <v>6813</v>
      </c>
      <c r="N154" s="229"/>
      <c r="O154" s="229"/>
      <c r="P154" s="230"/>
      <c r="Q154" s="222"/>
      <c r="R154" s="222"/>
      <c r="S154" s="223"/>
      <c r="T154" s="223"/>
      <c r="U154" s="223"/>
      <c r="V154" s="223"/>
      <c r="W154" s="223"/>
      <c r="X154" s="223"/>
      <c r="Y154" s="223"/>
      <c r="Z154" s="223"/>
    </row>
    <row r="155" ht="15.75" customHeight="1">
      <c r="A155" s="236" t="s">
        <v>6814</v>
      </c>
      <c r="B155" s="225" t="s">
        <v>6458</v>
      </c>
      <c r="C155" s="224">
        <v>8.60567056045278E14</v>
      </c>
      <c r="D155" s="224" t="s">
        <v>6555</v>
      </c>
      <c r="E155" s="224" t="s">
        <v>6815</v>
      </c>
      <c r="F155" s="227" t="s">
        <v>6465</v>
      </c>
      <c r="G155" s="227" t="s">
        <v>6465</v>
      </c>
      <c r="H155" s="227" t="s">
        <v>6465</v>
      </c>
      <c r="I155" s="292" t="s">
        <v>6816</v>
      </c>
      <c r="J155" s="228" t="s">
        <v>6683</v>
      </c>
      <c r="K155" s="228" t="s">
        <v>2311</v>
      </c>
      <c r="L155" s="225"/>
      <c r="M155" s="225"/>
      <c r="N155" s="229"/>
      <c r="O155" s="229"/>
      <c r="P155" s="230"/>
      <c r="Q155" s="222"/>
      <c r="R155" s="222"/>
      <c r="S155" s="223"/>
      <c r="T155" s="223"/>
      <c r="U155" s="223"/>
      <c r="V155" s="223"/>
      <c r="W155" s="223"/>
      <c r="X155" s="223"/>
      <c r="Y155" s="223"/>
      <c r="Z155" s="223"/>
    </row>
    <row r="156" ht="15.75" customHeight="1">
      <c r="A156" s="224" t="s">
        <v>6494</v>
      </c>
      <c r="B156" s="225" t="s">
        <v>6458</v>
      </c>
      <c r="C156" s="224">
        <v>3.56206203666212E14</v>
      </c>
      <c r="D156" s="224" t="s">
        <v>6495</v>
      </c>
      <c r="E156" s="224"/>
      <c r="F156" s="227" t="s">
        <v>6465</v>
      </c>
      <c r="G156" s="227" t="s">
        <v>6465</v>
      </c>
      <c r="H156" s="227" t="s">
        <v>6465</v>
      </c>
      <c r="I156" s="227" t="s">
        <v>1723</v>
      </c>
      <c r="J156" s="228" t="s">
        <v>14</v>
      </c>
      <c r="K156" s="228" t="s">
        <v>1724</v>
      </c>
      <c r="L156" s="225"/>
      <c r="M156" s="225"/>
      <c r="N156" s="229"/>
      <c r="O156" s="229"/>
      <c r="P156" s="230"/>
      <c r="Q156" s="222"/>
      <c r="R156" s="222"/>
      <c r="S156" s="223"/>
      <c r="T156" s="223"/>
      <c r="U156" s="223"/>
      <c r="V156" s="223"/>
      <c r="W156" s="223"/>
      <c r="X156" s="223"/>
      <c r="Y156" s="223"/>
      <c r="Z156" s="223"/>
    </row>
    <row r="157" ht="15.75" customHeight="1">
      <c r="A157" s="227" t="s">
        <v>6817</v>
      </c>
      <c r="B157" s="225" t="s">
        <v>6458</v>
      </c>
      <c r="C157" s="224">
        <v>8.69232042134055E14</v>
      </c>
      <c r="D157" s="227" t="s">
        <v>6498</v>
      </c>
      <c r="E157" s="232" t="s">
        <v>6818</v>
      </c>
      <c r="F157" s="227" t="s">
        <v>6465</v>
      </c>
      <c r="G157" s="227" t="s">
        <v>6465</v>
      </c>
      <c r="H157" s="227" t="s">
        <v>6465</v>
      </c>
      <c r="I157" s="227" t="s">
        <v>1864</v>
      </c>
      <c r="J157" s="228" t="s">
        <v>6613</v>
      </c>
      <c r="K157" s="228" t="s">
        <v>1056</v>
      </c>
      <c r="L157" s="225" t="s">
        <v>841</v>
      </c>
      <c r="M157" s="225" t="s">
        <v>6819</v>
      </c>
      <c r="N157" s="229"/>
      <c r="O157" s="229"/>
      <c r="P157" s="230"/>
      <c r="Q157" s="222"/>
      <c r="R157" s="222"/>
      <c r="S157" s="223"/>
      <c r="T157" s="223"/>
      <c r="U157" s="223"/>
      <c r="V157" s="223"/>
      <c r="W157" s="223"/>
      <c r="X157" s="223"/>
      <c r="Y157" s="223"/>
      <c r="Z157" s="223"/>
    </row>
    <row r="158" ht="15.75" customHeight="1">
      <c r="A158" s="227" t="s">
        <v>6525</v>
      </c>
      <c r="B158" s="225" t="s">
        <v>6458</v>
      </c>
      <c r="C158" s="224">
        <v>3.55766343704091E14</v>
      </c>
      <c r="D158" s="224" t="s">
        <v>6495</v>
      </c>
      <c r="E158" s="232" t="s">
        <v>6820</v>
      </c>
      <c r="F158" s="227" t="s">
        <v>6465</v>
      </c>
      <c r="G158" s="227" t="s">
        <v>6465</v>
      </c>
      <c r="H158" s="227" t="s">
        <v>6465</v>
      </c>
      <c r="I158" s="227" t="s">
        <v>1504</v>
      </c>
      <c r="J158" s="228" t="s">
        <v>4108</v>
      </c>
      <c r="K158" s="228" t="s">
        <v>1505</v>
      </c>
      <c r="L158" s="225"/>
      <c r="M158" s="225"/>
      <c r="N158" s="229"/>
      <c r="O158" s="229"/>
      <c r="P158" s="230"/>
      <c r="Q158" s="222"/>
      <c r="R158" s="222"/>
      <c r="S158" s="223"/>
      <c r="T158" s="223"/>
      <c r="U158" s="223"/>
      <c r="V158" s="223"/>
      <c r="W158" s="223"/>
      <c r="X158" s="223"/>
      <c r="Y158" s="223"/>
      <c r="Z158" s="223"/>
    </row>
    <row r="159" ht="15.75" customHeight="1">
      <c r="A159" s="227" t="s">
        <v>6738</v>
      </c>
      <c r="B159" s="225" t="s">
        <v>6461</v>
      </c>
      <c r="C159" s="237">
        <v>3.53993103787841E14</v>
      </c>
      <c r="D159" s="224" t="s">
        <v>6495</v>
      </c>
      <c r="E159" s="227" t="s">
        <v>6821</v>
      </c>
      <c r="F159" s="227" t="s">
        <v>6465</v>
      </c>
      <c r="G159" s="227" t="s">
        <v>6465</v>
      </c>
      <c r="H159" s="227" t="s">
        <v>6465</v>
      </c>
      <c r="I159" s="227" t="s">
        <v>2126</v>
      </c>
      <c r="J159" s="228" t="s">
        <v>14</v>
      </c>
      <c r="K159" s="228" t="s">
        <v>2127</v>
      </c>
      <c r="L159" s="225"/>
      <c r="M159" s="225"/>
      <c r="N159" s="229"/>
      <c r="O159" s="229"/>
      <c r="P159" s="230"/>
      <c r="Q159" s="222"/>
      <c r="R159" s="222"/>
      <c r="S159" s="223"/>
      <c r="T159" s="223"/>
      <c r="U159" s="223"/>
      <c r="V159" s="223"/>
      <c r="W159" s="223"/>
      <c r="X159" s="223"/>
      <c r="Y159" s="223"/>
      <c r="Z159" s="223"/>
    </row>
    <row r="160" ht="15.75" customHeight="1">
      <c r="A160" s="236" t="s">
        <v>6525</v>
      </c>
      <c r="B160" s="225" t="s">
        <v>6458</v>
      </c>
      <c r="C160" s="234" t="s">
        <v>6822</v>
      </c>
      <c r="D160" s="227" t="s">
        <v>6495</v>
      </c>
      <c r="E160" s="227" t="s">
        <v>6823</v>
      </c>
      <c r="F160" s="227" t="s">
        <v>6465</v>
      </c>
      <c r="G160" s="227" t="s">
        <v>6512</v>
      </c>
      <c r="H160" s="227" t="s">
        <v>6465</v>
      </c>
      <c r="I160" s="227" t="s">
        <v>6561</v>
      </c>
      <c r="J160" s="228" t="s">
        <v>14</v>
      </c>
      <c r="K160" s="228" t="s">
        <v>1033</v>
      </c>
      <c r="L160" s="227" t="s">
        <v>803</v>
      </c>
      <c r="M160" s="225"/>
      <c r="N160" s="229"/>
      <c r="O160" s="229"/>
      <c r="P160" s="230"/>
      <c r="Q160" s="222"/>
      <c r="R160" s="222"/>
      <c r="S160" s="223"/>
      <c r="T160" s="223"/>
      <c r="U160" s="223"/>
      <c r="V160" s="223"/>
      <c r="W160" s="223"/>
      <c r="X160" s="223"/>
      <c r="Y160" s="223"/>
      <c r="Z160" s="223"/>
    </row>
    <row r="161" ht="15.75" customHeight="1">
      <c r="A161" s="235" t="s">
        <v>6590</v>
      </c>
      <c r="B161" s="225" t="s">
        <v>6458</v>
      </c>
      <c r="C161" s="252">
        <v>3.55766343710353E14</v>
      </c>
      <c r="D161" s="227" t="s">
        <v>6495</v>
      </c>
      <c r="E161" s="227" t="s">
        <v>6824</v>
      </c>
      <c r="F161" s="227" t="s">
        <v>6464</v>
      </c>
      <c r="G161" s="227" t="s">
        <v>6464</v>
      </c>
      <c r="H161" s="227" t="s">
        <v>6464</v>
      </c>
      <c r="I161" s="244"/>
      <c r="J161" s="228"/>
      <c r="K161" s="228"/>
      <c r="L161" s="244" t="s">
        <v>1221</v>
      </c>
      <c r="M161" s="225"/>
      <c r="N161" s="229"/>
      <c r="O161" s="229"/>
      <c r="P161" s="230"/>
      <c r="Q161" s="222"/>
      <c r="R161" s="222"/>
      <c r="S161" s="223"/>
      <c r="T161" s="223"/>
      <c r="U161" s="223"/>
      <c r="V161" s="223"/>
      <c r="W161" s="223"/>
      <c r="X161" s="223"/>
      <c r="Y161" s="223"/>
      <c r="Z161" s="223"/>
    </row>
    <row r="162" ht="15.75" customHeight="1">
      <c r="A162" s="236" t="s">
        <v>6825</v>
      </c>
      <c r="B162" s="225" t="s">
        <v>6461</v>
      </c>
      <c r="C162" s="234">
        <v>3.56696119981772E14</v>
      </c>
      <c r="D162" s="227" t="s">
        <v>6510</v>
      </c>
      <c r="E162" s="232" t="s">
        <v>6826</v>
      </c>
      <c r="F162" s="227" t="s">
        <v>6465</v>
      </c>
      <c r="G162" s="227" t="s">
        <v>6465</v>
      </c>
      <c r="H162" s="227" t="s">
        <v>6465</v>
      </c>
      <c r="I162" s="227" t="s">
        <v>1986</v>
      </c>
      <c r="J162" s="228" t="s">
        <v>14</v>
      </c>
      <c r="K162" s="228" t="s">
        <v>1987</v>
      </c>
      <c r="L162" s="225"/>
      <c r="M162" s="225"/>
      <c r="N162" s="229"/>
      <c r="O162" s="229"/>
      <c r="P162" s="230"/>
      <c r="Q162" s="222"/>
      <c r="R162" s="222"/>
      <c r="S162" s="223"/>
      <c r="T162" s="223"/>
      <c r="U162" s="223"/>
      <c r="V162" s="223"/>
      <c r="W162" s="223"/>
      <c r="X162" s="223"/>
      <c r="Y162" s="223"/>
      <c r="Z162" s="223"/>
    </row>
    <row r="163" ht="15.75" customHeight="1">
      <c r="A163" s="227" t="s">
        <v>6827</v>
      </c>
      <c r="B163" s="225" t="s">
        <v>6458</v>
      </c>
      <c r="C163" s="224">
        <v>3.5576634370419E14</v>
      </c>
      <c r="D163" s="227" t="s">
        <v>6514</v>
      </c>
      <c r="E163" s="227" t="s">
        <v>6828</v>
      </c>
      <c r="F163" s="227" t="s">
        <v>6465</v>
      </c>
      <c r="G163" s="227" t="s">
        <v>6465</v>
      </c>
      <c r="H163" s="227" t="s">
        <v>6465</v>
      </c>
      <c r="I163" s="227" t="s">
        <v>1898</v>
      </c>
      <c r="J163" s="228" t="s">
        <v>14</v>
      </c>
      <c r="K163" s="228" t="s">
        <v>1695</v>
      </c>
      <c r="L163" s="225"/>
      <c r="M163" s="225"/>
      <c r="N163" s="229"/>
      <c r="O163" s="229"/>
      <c r="P163" s="230"/>
      <c r="Q163" s="222"/>
      <c r="R163" s="222"/>
      <c r="S163" s="223"/>
      <c r="T163" s="223"/>
      <c r="U163" s="223"/>
      <c r="V163" s="223"/>
      <c r="W163" s="223"/>
      <c r="X163" s="223"/>
      <c r="Y163" s="223"/>
      <c r="Z163" s="223"/>
    </row>
    <row r="164" ht="15.75" customHeight="1">
      <c r="A164" s="227" t="s">
        <v>6829</v>
      </c>
      <c r="B164" s="225" t="s">
        <v>6458</v>
      </c>
      <c r="C164" s="224">
        <v>3.56206202977479E14</v>
      </c>
      <c r="D164" s="227" t="s">
        <v>6495</v>
      </c>
      <c r="E164" s="251" t="s">
        <v>6830</v>
      </c>
      <c r="F164" s="227" t="s">
        <v>6465</v>
      </c>
      <c r="G164" s="227" t="s">
        <v>6465</v>
      </c>
      <c r="H164" s="227" t="s">
        <v>6465</v>
      </c>
      <c r="I164" s="227" t="s">
        <v>1475</v>
      </c>
      <c r="J164" s="227" t="s">
        <v>14</v>
      </c>
      <c r="K164" s="225" t="s">
        <v>1476</v>
      </c>
      <c r="L164" s="225"/>
      <c r="M164" s="225"/>
      <c r="N164" s="229"/>
      <c r="O164" s="229"/>
      <c r="P164" s="230"/>
      <c r="Q164" s="222"/>
      <c r="R164" s="222"/>
      <c r="S164" s="223"/>
      <c r="T164" s="223"/>
      <c r="U164" s="223"/>
      <c r="V164" s="223"/>
      <c r="W164" s="223"/>
      <c r="X164" s="223"/>
      <c r="Y164" s="223"/>
      <c r="Z164" s="223"/>
    </row>
    <row r="165" ht="15.75" customHeight="1">
      <c r="A165" s="224" t="s">
        <v>6664</v>
      </c>
      <c r="B165" s="225" t="s">
        <v>6458</v>
      </c>
      <c r="C165" s="224"/>
      <c r="D165" s="224"/>
      <c r="E165" s="227"/>
      <c r="F165" s="227" t="s">
        <v>6465</v>
      </c>
      <c r="G165" s="227" t="s">
        <v>6465</v>
      </c>
      <c r="H165" s="227" t="s">
        <v>6465</v>
      </c>
      <c r="I165" s="227" t="s">
        <v>1985</v>
      </c>
      <c r="J165" s="227" t="s">
        <v>14</v>
      </c>
      <c r="K165" s="225" t="s">
        <v>1725</v>
      </c>
      <c r="L165" s="225"/>
      <c r="M165" s="256" t="s">
        <v>6786</v>
      </c>
      <c r="N165" s="229"/>
      <c r="O165" s="229"/>
      <c r="P165" s="230"/>
      <c r="Q165" s="222"/>
      <c r="R165" s="222"/>
      <c r="S165" s="223"/>
      <c r="T165" s="223"/>
      <c r="U165" s="223"/>
      <c r="V165" s="223"/>
      <c r="W165" s="223"/>
      <c r="X165" s="223"/>
      <c r="Y165" s="223"/>
      <c r="Z165" s="223"/>
    </row>
    <row r="166" ht="15.75" customHeight="1">
      <c r="A166" s="227" t="s">
        <v>6482</v>
      </c>
      <c r="B166" s="225" t="s">
        <v>6458</v>
      </c>
      <c r="C166" s="224">
        <v>3.56206203154318E14</v>
      </c>
      <c r="D166" s="224" t="s">
        <v>6495</v>
      </c>
      <c r="E166" s="227" t="s">
        <v>6831</v>
      </c>
      <c r="F166" s="227" t="s">
        <v>6465</v>
      </c>
      <c r="G166" s="227" t="s">
        <v>6465</v>
      </c>
      <c r="H166" s="227" t="s">
        <v>6465</v>
      </c>
      <c r="I166" s="241" t="s">
        <v>1316</v>
      </c>
      <c r="J166" s="241" t="s">
        <v>4088</v>
      </c>
      <c r="K166" s="241" t="s">
        <v>1317</v>
      </c>
      <c r="L166" s="227" t="s">
        <v>3866</v>
      </c>
      <c r="M166" s="225"/>
      <c r="N166" s="229"/>
      <c r="O166" s="229"/>
      <c r="P166" s="230"/>
      <c r="Q166" s="222"/>
      <c r="R166" s="222"/>
      <c r="S166" s="223"/>
      <c r="T166" s="223"/>
      <c r="U166" s="223"/>
      <c r="V166" s="223"/>
      <c r="W166" s="223"/>
      <c r="X166" s="223"/>
      <c r="Y166" s="223"/>
      <c r="Z166" s="223"/>
    </row>
    <row r="167" ht="15.75" customHeight="1">
      <c r="A167" s="236" t="s">
        <v>6545</v>
      </c>
      <c r="B167" s="225" t="s">
        <v>6458</v>
      </c>
      <c r="C167" s="224">
        <v>3.55692111215823E14</v>
      </c>
      <c r="D167" s="226" t="s">
        <v>6501</v>
      </c>
      <c r="E167" s="227" t="s">
        <v>6832</v>
      </c>
      <c r="F167" s="227" t="s">
        <v>6465</v>
      </c>
      <c r="G167" s="227" t="s">
        <v>6465</v>
      </c>
      <c r="H167" s="227" t="s">
        <v>6465</v>
      </c>
      <c r="I167" s="227" t="s">
        <v>6833</v>
      </c>
      <c r="J167" s="241" t="s">
        <v>1471</v>
      </c>
      <c r="K167" s="228" t="s">
        <v>1187</v>
      </c>
      <c r="L167" s="227" t="s">
        <v>3866</v>
      </c>
      <c r="M167" s="225"/>
      <c r="N167" s="229"/>
      <c r="O167" s="229"/>
      <c r="P167" s="230"/>
      <c r="Q167" s="222"/>
      <c r="R167" s="222"/>
      <c r="S167" s="223"/>
      <c r="T167" s="223"/>
      <c r="U167" s="223"/>
      <c r="V167" s="223"/>
      <c r="W167" s="223"/>
      <c r="X167" s="223"/>
      <c r="Y167" s="223"/>
      <c r="Z167" s="223"/>
    </row>
    <row r="168" ht="15.75" customHeight="1">
      <c r="A168" s="227" t="s">
        <v>6525</v>
      </c>
      <c r="B168" s="225" t="s">
        <v>6458</v>
      </c>
      <c r="C168" s="224">
        <v>3.56206203297836E14</v>
      </c>
      <c r="D168" s="224" t="s">
        <v>6495</v>
      </c>
      <c r="E168" s="227" t="s">
        <v>6834</v>
      </c>
      <c r="F168" s="227" t="s">
        <v>6467</v>
      </c>
      <c r="G168" s="227" t="s">
        <v>6530</v>
      </c>
      <c r="H168" s="227" t="s">
        <v>6467</v>
      </c>
      <c r="I168" s="233" t="s">
        <v>6467</v>
      </c>
      <c r="J168" s="228"/>
      <c r="K168" s="228"/>
      <c r="L168" s="227" t="s">
        <v>900</v>
      </c>
      <c r="M168" s="225"/>
      <c r="N168" s="229"/>
      <c r="O168" s="229" t="s">
        <v>6746</v>
      </c>
      <c r="P168" s="230"/>
      <c r="Q168" s="222"/>
      <c r="R168" s="222"/>
      <c r="S168" s="223"/>
      <c r="T168" s="223"/>
      <c r="U168" s="223"/>
      <c r="V168" s="223"/>
      <c r="W168" s="223"/>
      <c r="X168" s="223"/>
      <c r="Y168" s="223"/>
      <c r="Z168" s="223"/>
    </row>
    <row r="169" ht="15.75" customHeight="1">
      <c r="A169" s="227" t="s">
        <v>6513</v>
      </c>
      <c r="B169" s="225" t="s">
        <v>6458</v>
      </c>
      <c r="C169" s="224">
        <v>3.55766343703275E14</v>
      </c>
      <c r="D169" s="224" t="s">
        <v>6495</v>
      </c>
      <c r="E169" s="232" t="s">
        <v>6835</v>
      </c>
      <c r="F169" s="227" t="s">
        <v>6465</v>
      </c>
      <c r="G169" s="227" t="s">
        <v>6465</v>
      </c>
      <c r="H169" s="227" t="s">
        <v>6465</v>
      </c>
      <c r="I169" s="227" t="s">
        <v>1772</v>
      </c>
      <c r="J169" s="228" t="s">
        <v>14</v>
      </c>
      <c r="K169" s="228" t="s">
        <v>1773</v>
      </c>
      <c r="L169" s="225"/>
      <c r="M169" s="225"/>
      <c r="N169" s="229"/>
      <c r="O169" s="229"/>
      <c r="P169" s="230"/>
      <c r="Q169" s="222"/>
      <c r="R169" s="222"/>
      <c r="S169" s="223"/>
      <c r="T169" s="223"/>
      <c r="U169" s="223"/>
      <c r="V169" s="223"/>
      <c r="W169" s="223"/>
      <c r="X169" s="223"/>
      <c r="Y169" s="223"/>
      <c r="Z169" s="223"/>
    </row>
    <row r="170" ht="15.75" customHeight="1">
      <c r="A170" s="227" t="s">
        <v>6525</v>
      </c>
      <c r="B170" s="225" t="s">
        <v>6458</v>
      </c>
      <c r="C170" s="237">
        <v>3.56206202977776E14</v>
      </c>
      <c r="D170" s="224" t="s">
        <v>6495</v>
      </c>
      <c r="E170" s="232" t="s">
        <v>6836</v>
      </c>
      <c r="F170" s="227" t="s">
        <v>6465</v>
      </c>
      <c r="G170" s="227" t="s">
        <v>6465</v>
      </c>
      <c r="H170" s="227" t="s">
        <v>6465</v>
      </c>
      <c r="I170" s="233" t="s">
        <v>1845</v>
      </c>
      <c r="J170" s="228" t="s">
        <v>14</v>
      </c>
      <c r="K170" s="228" t="s">
        <v>1846</v>
      </c>
      <c r="L170" s="255" t="s">
        <v>6837</v>
      </c>
      <c r="M170" s="293" t="s">
        <v>6838</v>
      </c>
      <c r="N170" s="229"/>
      <c r="O170" s="229"/>
      <c r="P170" s="230"/>
      <c r="Q170" s="222"/>
      <c r="R170" s="222"/>
      <c r="S170" s="223"/>
      <c r="T170" s="223"/>
      <c r="U170" s="223"/>
      <c r="V170" s="223"/>
      <c r="W170" s="223"/>
      <c r="X170" s="223"/>
      <c r="Y170" s="223"/>
      <c r="Z170" s="223"/>
    </row>
    <row r="171" ht="15.75" customHeight="1">
      <c r="A171" s="227" t="s">
        <v>6581</v>
      </c>
      <c r="B171" s="225" t="s">
        <v>6458</v>
      </c>
      <c r="C171" s="224">
        <v>8.6385705446769E14</v>
      </c>
      <c r="D171" s="226" t="s">
        <v>6495</v>
      </c>
      <c r="E171" s="232" t="s">
        <v>6839</v>
      </c>
      <c r="F171" s="227" t="s">
        <v>6464</v>
      </c>
      <c r="G171" s="227" t="s">
        <v>6464</v>
      </c>
      <c r="H171" s="227" t="s">
        <v>6464</v>
      </c>
      <c r="I171" s="227" t="s">
        <v>6464</v>
      </c>
      <c r="J171" s="228"/>
      <c r="K171" s="228"/>
      <c r="L171" s="227" t="s">
        <v>6840</v>
      </c>
      <c r="M171" s="225"/>
      <c r="N171" s="229"/>
      <c r="O171" s="229" t="s">
        <v>6493</v>
      </c>
      <c r="P171" s="230"/>
      <c r="Q171" s="222"/>
      <c r="R171" s="222"/>
      <c r="S171" s="223"/>
      <c r="T171" s="223"/>
      <c r="U171" s="223"/>
      <c r="V171" s="223"/>
      <c r="W171" s="223"/>
      <c r="X171" s="223"/>
      <c r="Y171" s="223"/>
      <c r="Z171" s="223"/>
    </row>
    <row r="172" ht="15.75" customHeight="1">
      <c r="A172" s="236" t="s">
        <v>6841</v>
      </c>
      <c r="B172" s="225" t="s">
        <v>6458</v>
      </c>
      <c r="C172" s="237">
        <v>8.65899043466092E14</v>
      </c>
      <c r="D172" s="224" t="s">
        <v>6501</v>
      </c>
      <c r="E172" s="227" t="s">
        <v>6842</v>
      </c>
      <c r="F172" s="227" t="s">
        <v>6465</v>
      </c>
      <c r="G172" s="227" t="s">
        <v>6465</v>
      </c>
      <c r="H172" s="227" t="s">
        <v>6465</v>
      </c>
      <c r="I172" s="227" t="s">
        <v>2150</v>
      </c>
      <c r="J172" s="255" t="s">
        <v>14</v>
      </c>
      <c r="K172" s="255" t="s">
        <v>2129</v>
      </c>
      <c r="L172" s="225"/>
      <c r="M172" s="225"/>
      <c r="N172" s="229"/>
      <c r="O172" s="229" t="s">
        <v>6843</v>
      </c>
      <c r="P172" s="230"/>
      <c r="Q172" s="222"/>
      <c r="R172" s="222"/>
      <c r="S172" s="223"/>
      <c r="T172" s="223"/>
      <c r="U172" s="223"/>
      <c r="V172" s="223"/>
      <c r="W172" s="223"/>
      <c r="X172" s="223"/>
      <c r="Y172" s="223"/>
      <c r="Z172" s="223"/>
    </row>
    <row r="173" ht="15.75" customHeight="1">
      <c r="A173" s="227" t="s">
        <v>6519</v>
      </c>
      <c r="B173" s="225" t="s">
        <v>6458</v>
      </c>
      <c r="C173" s="224">
        <v>8.6418905352943E14</v>
      </c>
      <c r="D173" s="224" t="s">
        <v>6514</v>
      </c>
      <c r="E173" s="232" t="s">
        <v>6844</v>
      </c>
      <c r="F173" s="227" t="s">
        <v>6465</v>
      </c>
      <c r="G173" s="227" t="s">
        <v>6465</v>
      </c>
      <c r="H173" s="227" t="s">
        <v>6465</v>
      </c>
      <c r="I173" s="227" t="s">
        <v>2140</v>
      </c>
      <c r="J173" s="228" t="s">
        <v>14</v>
      </c>
      <c r="K173" s="228" t="s">
        <v>2141</v>
      </c>
      <c r="L173" s="225"/>
      <c r="M173" s="225"/>
      <c r="N173" s="229"/>
      <c r="O173" s="229"/>
      <c r="P173" s="230"/>
      <c r="Q173" s="222"/>
      <c r="R173" s="222"/>
      <c r="S173" s="223"/>
      <c r="T173" s="223"/>
      <c r="U173" s="223"/>
      <c r="V173" s="223"/>
      <c r="W173" s="223"/>
      <c r="X173" s="223"/>
      <c r="Y173" s="223"/>
      <c r="Z173" s="223"/>
    </row>
    <row r="174" ht="15.75" customHeight="1">
      <c r="A174" s="227" t="s">
        <v>6494</v>
      </c>
      <c r="B174" s="225" t="s">
        <v>6458</v>
      </c>
      <c r="C174" s="224">
        <v>3.56206203039295E14</v>
      </c>
      <c r="D174" s="294" t="s">
        <v>6483</v>
      </c>
      <c r="E174" s="224" t="s">
        <v>6845</v>
      </c>
      <c r="F174" s="227" t="s">
        <v>6465</v>
      </c>
      <c r="G174" s="227" t="s">
        <v>6465</v>
      </c>
      <c r="H174" s="227" t="s">
        <v>6465</v>
      </c>
      <c r="I174" s="227" t="s">
        <v>2048</v>
      </c>
      <c r="J174" s="228" t="s">
        <v>14</v>
      </c>
      <c r="K174" s="228" t="s">
        <v>2049</v>
      </c>
      <c r="L174" s="225"/>
      <c r="M174" s="225"/>
      <c r="N174" s="229"/>
      <c r="O174" s="229" t="s">
        <v>6846</v>
      </c>
      <c r="P174" s="230"/>
      <c r="Q174" s="222"/>
      <c r="R174" s="222"/>
      <c r="S174" s="223"/>
      <c r="T174" s="223"/>
      <c r="U174" s="223"/>
      <c r="V174" s="223"/>
      <c r="W174" s="223"/>
      <c r="X174" s="223"/>
      <c r="Y174" s="223"/>
      <c r="Z174" s="223"/>
    </row>
    <row r="175" ht="15.75" customHeight="1">
      <c r="A175" s="227" t="s">
        <v>6519</v>
      </c>
      <c r="B175" s="225" t="s">
        <v>6458</v>
      </c>
      <c r="C175" s="224">
        <v>8.64189053527855E14</v>
      </c>
      <c r="D175" s="294" t="s">
        <v>6847</v>
      </c>
      <c r="E175" s="234" t="s">
        <v>6848</v>
      </c>
      <c r="F175" s="227" t="s">
        <v>6465</v>
      </c>
      <c r="G175" s="227" t="s">
        <v>6465</v>
      </c>
      <c r="H175" s="227" t="s">
        <v>6465</v>
      </c>
      <c r="I175" s="227" t="s">
        <v>956</v>
      </c>
      <c r="J175" s="228" t="s">
        <v>14</v>
      </c>
      <c r="K175" s="228" t="s">
        <v>957</v>
      </c>
      <c r="L175" s="225"/>
      <c r="M175" s="225"/>
      <c r="N175" s="229"/>
      <c r="O175" s="229"/>
      <c r="P175" s="230"/>
      <c r="Q175" s="222"/>
      <c r="R175" s="222"/>
      <c r="S175" s="223"/>
      <c r="T175" s="223"/>
      <c r="U175" s="223"/>
      <c r="V175" s="223"/>
      <c r="W175" s="223"/>
      <c r="X175" s="223"/>
      <c r="Y175" s="223"/>
      <c r="Z175" s="223"/>
    </row>
    <row r="176" ht="15.75" customHeight="1">
      <c r="A176" s="234" t="s">
        <v>6545</v>
      </c>
      <c r="B176" s="225" t="s">
        <v>6458</v>
      </c>
      <c r="C176" s="224">
        <v>3.54025412740127E14</v>
      </c>
      <c r="D176" s="226" t="s">
        <v>6849</v>
      </c>
      <c r="E176" s="234" t="s">
        <v>6850</v>
      </c>
      <c r="F176" s="227" t="s">
        <v>6465</v>
      </c>
      <c r="G176" s="227" t="s">
        <v>6465</v>
      </c>
      <c r="H176" s="227" t="s">
        <v>6465</v>
      </c>
      <c r="I176" s="227" t="s">
        <v>1259</v>
      </c>
      <c r="J176" s="228" t="s">
        <v>1471</v>
      </c>
      <c r="K176" s="228" t="s">
        <v>1260</v>
      </c>
      <c r="L176" s="227" t="s">
        <v>813</v>
      </c>
      <c r="M176" s="225"/>
      <c r="N176" s="229"/>
      <c r="O176" s="229"/>
      <c r="P176" s="230"/>
      <c r="Q176" s="222"/>
      <c r="R176" s="222"/>
      <c r="S176" s="223"/>
      <c r="T176" s="223"/>
      <c r="U176" s="223"/>
      <c r="V176" s="223"/>
      <c r="W176" s="223"/>
      <c r="X176" s="223"/>
      <c r="Y176" s="223"/>
      <c r="Z176" s="223"/>
    </row>
    <row r="177" ht="15.75" customHeight="1">
      <c r="A177" s="227" t="s">
        <v>6851</v>
      </c>
      <c r="B177" s="225" t="s">
        <v>6458</v>
      </c>
      <c r="C177" s="224">
        <v>8.67496043467614E14</v>
      </c>
      <c r="D177" s="295" t="s">
        <v>6852</v>
      </c>
      <c r="E177" s="232" t="s">
        <v>6853</v>
      </c>
      <c r="F177" s="227" t="s">
        <v>6465</v>
      </c>
      <c r="G177" s="227" t="s">
        <v>6465</v>
      </c>
      <c r="H177" s="227" t="s">
        <v>6465</v>
      </c>
      <c r="I177" s="227" t="s">
        <v>6854</v>
      </c>
      <c r="J177" s="228" t="s">
        <v>4108</v>
      </c>
      <c r="K177" s="228" t="s">
        <v>1017</v>
      </c>
      <c r="L177" s="225" t="s">
        <v>1814</v>
      </c>
      <c r="M177" s="225"/>
      <c r="N177" s="229"/>
      <c r="O177" s="229"/>
      <c r="P177" s="230"/>
      <c r="Q177" s="222"/>
      <c r="R177" s="222"/>
      <c r="S177" s="223"/>
      <c r="T177" s="223"/>
      <c r="U177" s="223"/>
      <c r="V177" s="223"/>
      <c r="W177" s="223"/>
      <c r="X177" s="223"/>
      <c r="Y177" s="223"/>
      <c r="Z177" s="223"/>
    </row>
    <row r="178" ht="15.75" customHeight="1">
      <c r="A178" s="227" t="s">
        <v>6494</v>
      </c>
      <c r="B178" s="225" t="s">
        <v>6458</v>
      </c>
      <c r="C178" s="224">
        <v>3.56206203025773E14</v>
      </c>
      <c r="D178" s="294" t="s">
        <v>6855</v>
      </c>
      <c r="E178" s="232" t="s">
        <v>6856</v>
      </c>
      <c r="F178" s="227" t="s">
        <v>6465</v>
      </c>
      <c r="G178" s="227" t="s">
        <v>6465</v>
      </c>
      <c r="H178" s="227" t="s">
        <v>6465</v>
      </c>
      <c r="I178" s="227" t="s">
        <v>2050</v>
      </c>
      <c r="J178" s="228" t="s">
        <v>14</v>
      </c>
      <c r="K178" s="228" t="s">
        <v>2051</v>
      </c>
      <c r="L178" s="225"/>
      <c r="M178" s="225" t="s">
        <v>6857</v>
      </c>
      <c r="N178" s="229"/>
      <c r="O178" s="229" t="s">
        <v>6858</v>
      </c>
      <c r="P178" s="230"/>
      <c r="Q178" s="222"/>
      <c r="R178" s="222"/>
      <c r="S178" s="223"/>
      <c r="T178" s="223"/>
      <c r="U178" s="223"/>
      <c r="V178" s="223"/>
      <c r="W178" s="223"/>
      <c r="X178" s="223"/>
      <c r="Y178" s="223"/>
      <c r="Z178" s="223"/>
    </row>
    <row r="179" ht="15.75" customHeight="1">
      <c r="A179" s="224" t="s">
        <v>6533</v>
      </c>
      <c r="B179" s="225" t="s">
        <v>6458</v>
      </c>
      <c r="C179" s="224">
        <v>8.69054056050435E14</v>
      </c>
      <c r="D179" s="295" t="s">
        <v>6483</v>
      </c>
      <c r="E179" s="232" t="s">
        <v>6859</v>
      </c>
      <c r="F179" s="227" t="s">
        <v>6465</v>
      </c>
      <c r="G179" s="227" t="s">
        <v>6465</v>
      </c>
      <c r="H179" s="227" t="s">
        <v>6465</v>
      </c>
      <c r="I179" s="227" t="s">
        <v>2180</v>
      </c>
      <c r="J179" s="228" t="s">
        <v>14</v>
      </c>
      <c r="K179" s="228" t="s">
        <v>2181</v>
      </c>
      <c r="L179" s="225" t="s">
        <v>6860</v>
      </c>
      <c r="M179" s="225"/>
      <c r="N179" s="229"/>
      <c r="O179" s="229"/>
      <c r="P179" s="230"/>
      <c r="Q179" s="222"/>
      <c r="R179" s="222"/>
      <c r="S179" s="223"/>
      <c r="T179" s="223"/>
      <c r="U179" s="223"/>
      <c r="V179" s="223"/>
      <c r="W179" s="223"/>
      <c r="X179" s="223"/>
      <c r="Y179" s="223"/>
      <c r="Z179" s="223"/>
    </row>
    <row r="180" ht="15.75" customHeight="1">
      <c r="A180" s="227" t="s">
        <v>6606</v>
      </c>
      <c r="B180" s="225" t="s">
        <v>6458</v>
      </c>
      <c r="C180" s="224">
        <v>3.56206204065471E14</v>
      </c>
      <c r="D180" s="294" t="s">
        <v>6483</v>
      </c>
      <c r="E180" s="236" t="s">
        <v>6861</v>
      </c>
      <c r="F180" s="227" t="s">
        <v>6465</v>
      </c>
      <c r="G180" s="227" t="s">
        <v>6465</v>
      </c>
      <c r="H180" s="227" t="s">
        <v>6465</v>
      </c>
      <c r="I180" s="227" t="s">
        <v>978</v>
      </c>
      <c r="J180" s="228" t="s">
        <v>14</v>
      </c>
      <c r="K180" s="228" t="s">
        <v>979</v>
      </c>
      <c r="L180" s="225"/>
      <c r="M180" s="225"/>
      <c r="N180" s="229"/>
      <c r="O180" s="229" t="s">
        <v>6862</v>
      </c>
      <c r="P180" s="230"/>
      <c r="Q180" s="222"/>
      <c r="R180" s="222"/>
      <c r="S180" s="223"/>
      <c r="T180" s="223"/>
      <c r="U180" s="223"/>
      <c r="V180" s="223"/>
      <c r="W180" s="223"/>
      <c r="X180" s="223"/>
      <c r="Y180" s="223"/>
      <c r="Z180" s="223"/>
    </row>
    <row r="181" ht="21.0" customHeight="1">
      <c r="A181" s="224" t="s">
        <v>6863</v>
      </c>
      <c r="B181" s="225" t="s">
        <v>6458</v>
      </c>
      <c r="C181" s="234">
        <v>8.64189053373813E14</v>
      </c>
      <c r="D181" s="296" t="s">
        <v>6847</v>
      </c>
      <c r="E181" s="236" t="s">
        <v>6864</v>
      </c>
      <c r="F181" s="227" t="s">
        <v>6465</v>
      </c>
      <c r="G181" s="227" t="s">
        <v>6465</v>
      </c>
      <c r="H181" s="227" t="s">
        <v>6465</v>
      </c>
      <c r="I181" s="227" t="s">
        <v>978</v>
      </c>
      <c r="J181" s="228" t="s">
        <v>14</v>
      </c>
      <c r="K181" s="228" t="s">
        <v>979</v>
      </c>
      <c r="L181" s="225"/>
      <c r="M181" s="225"/>
      <c r="N181" s="229"/>
      <c r="O181" s="229"/>
      <c r="P181" s="230"/>
      <c r="Q181" s="222"/>
      <c r="R181" s="222"/>
      <c r="S181" s="223"/>
      <c r="T181" s="223"/>
      <c r="U181" s="223"/>
      <c r="V181" s="223"/>
      <c r="W181" s="223"/>
      <c r="X181" s="223"/>
      <c r="Y181" s="223"/>
      <c r="Z181" s="223"/>
    </row>
    <row r="182" ht="15.75" customHeight="1">
      <c r="A182" s="227" t="s">
        <v>6865</v>
      </c>
      <c r="B182" s="225" t="s">
        <v>6458</v>
      </c>
      <c r="C182" s="224">
        <v>8.60162055618372E14</v>
      </c>
      <c r="D182" s="296" t="s">
        <v>6847</v>
      </c>
      <c r="E182" s="227" t="s">
        <v>6866</v>
      </c>
      <c r="F182" s="227" t="s">
        <v>6465</v>
      </c>
      <c r="G182" s="227" t="s">
        <v>6465</v>
      </c>
      <c r="H182" s="227" t="s">
        <v>6465</v>
      </c>
      <c r="I182" s="227" t="s">
        <v>261</v>
      </c>
      <c r="J182" s="227" t="s">
        <v>14</v>
      </c>
      <c r="K182" s="225" t="s">
        <v>262</v>
      </c>
      <c r="L182" s="225" t="s">
        <v>429</v>
      </c>
      <c r="M182" s="225"/>
      <c r="N182" s="229"/>
      <c r="O182" s="229"/>
      <c r="P182" s="230"/>
      <c r="Q182" s="222"/>
      <c r="R182" s="222"/>
      <c r="S182" s="223"/>
      <c r="T182" s="223"/>
      <c r="U182" s="223"/>
      <c r="V182" s="223"/>
      <c r="W182" s="223"/>
      <c r="X182" s="223"/>
      <c r="Y182" s="223"/>
      <c r="Z182" s="223"/>
    </row>
    <row r="183" ht="15.75" customHeight="1">
      <c r="A183" s="227" t="s">
        <v>6867</v>
      </c>
      <c r="B183" s="225" t="s">
        <v>6458</v>
      </c>
      <c r="C183" s="224">
        <v>8.60430059044071E14</v>
      </c>
      <c r="D183" s="295" t="s">
        <v>6868</v>
      </c>
      <c r="E183" s="232" t="s">
        <v>6869</v>
      </c>
      <c r="F183" s="227" t="s">
        <v>6465</v>
      </c>
      <c r="G183" s="227" t="s">
        <v>6465</v>
      </c>
      <c r="H183" s="227" t="s">
        <v>6465</v>
      </c>
      <c r="I183" s="227" t="s">
        <v>1927</v>
      </c>
      <c r="J183" s="228" t="s">
        <v>14</v>
      </c>
      <c r="K183" s="228" t="s">
        <v>1044</v>
      </c>
      <c r="L183" s="225"/>
      <c r="M183" s="225"/>
      <c r="N183" s="229"/>
      <c r="O183" s="229"/>
      <c r="P183" s="230"/>
      <c r="Q183" s="222"/>
      <c r="R183" s="222"/>
      <c r="S183" s="223"/>
      <c r="T183" s="223"/>
      <c r="U183" s="223"/>
      <c r="V183" s="223"/>
      <c r="W183" s="223"/>
      <c r="X183" s="223"/>
      <c r="Y183" s="223"/>
      <c r="Z183" s="223"/>
    </row>
    <row r="184" ht="15.75" customHeight="1">
      <c r="A184" s="236" t="s">
        <v>6870</v>
      </c>
      <c r="B184" s="225" t="s">
        <v>6458</v>
      </c>
      <c r="C184" s="234">
        <v>8.60386047297892E14</v>
      </c>
      <c r="D184" s="295" t="s">
        <v>6871</v>
      </c>
      <c r="E184" s="232" t="s">
        <v>6872</v>
      </c>
      <c r="F184" s="227" t="s">
        <v>6464</v>
      </c>
      <c r="G184" s="248" t="s">
        <v>6873</v>
      </c>
      <c r="H184" s="248" t="s">
        <v>6470</v>
      </c>
      <c r="I184" s="227"/>
      <c r="J184" s="228"/>
      <c r="K184" s="228"/>
      <c r="L184" s="255" t="s">
        <v>1927</v>
      </c>
      <c r="M184" s="225"/>
      <c r="N184" s="229"/>
      <c r="O184" s="229"/>
      <c r="P184" s="230"/>
      <c r="Q184" s="222"/>
      <c r="R184" s="222"/>
      <c r="S184" s="223"/>
      <c r="T184" s="223"/>
      <c r="U184" s="223"/>
      <c r="V184" s="223"/>
      <c r="W184" s="223"/>
      <c r="X184" s="223"/>
      <c r="Y184" s="223"/>
      <c r="Z184" s="223"/>
    </row>
    <row r="185" ht="15.75" customHeight="1">
      <c r="A185" s="236" t="s">
        <v>6497</v>
      </c>
      <c r="B185" s="225" t="s">
        <v>6461</v>
      </c>
      <c r="C185" s="234" t="s">
        <v>6874</v>
      </c>
      <c r="D185" s="249"/>
      <c r="E185" s="232" t="s">
        <v>6875</v>
      </c>
      <c r="F185" s="227" t="s">
        <v>6465</v>
      </c>
      <c r="G185" s="227" t="s">
        <v>6465</v>
      </c>
      <c r="H185" s="227" t="s">
        <v>6465</v>
      </c>
      <c r="I185" s="292" t="s">
        <v>6876</v>
      </c>
      <c r="J185" s="228" t="s">
        <v>6683</v>
      </c>
      <c r="K185" s="228" t="s">
        <v>2409</v>
      </c>
      <c r="L185" s="225"/>
      <c r="M185" s="225"/>
      <c r="N185" s="229"/>
      <c r="O185" s="229"/>
      <c r="P185" s="230"/>
      <c r="Q185" s="222"/>
      <c r="R185" s="222"/>
      <c r="S185" s="223"/>
      <c r="T185" s="223"/>
      <c r="U185" s="223"/>
      <c r="V185" s="223"/>
      <c r="W185" s="223"/>
      <c r="X185" s="223"/>
      <c r="Y185" s="223"/>
      <c r="Z185" s="223"/>
    </row>
    <row r="186" ht="15.75" customHeight="1">
      <c r="A186" s="227" t="s">
        <v>6606</v>
      </c>
      <c r="B186" s="225" t="s">
        <v>6458</v>
      </c>
      <c r="C186" s="224">
        <v>3.56206203668135E14</v>
      </c>
      <c r="D186" s="294" t="s">
        <v>6483</v>
      </c>
      <c r="E186" s="232" t="s">
        <v>6877</v>
      </c>
      <c r="F186" s="227" t="s">
        <v>6465</v>
      </c>
      <c r="G186" s="227" t="s">
        <v>6465</v>
      </c>
      <c r="H186" s="227" t="s">
        <v>6465</v>
      </c>
      <c r="I186" s="227" t="s">
        <v>6878</v>
      </c>
      <c r="J186" s="228" t="s">
        <v>14</v>
      </c>
      <c r="K186" s="228" t="s">
        <v>1613</v>
      </c>
      <c r="L186" s="227" t="s">
        <v>2086</v>
      </c>
      <c r="M186" s="225" t="s">
        <v>6505</v>
      </c>
      <c r="N186" s="229"/>
      <c r="O186" s="229" t="s">
        <v>6879</v>
      </c>
      <c r="P186" s="230"/>
      <c r="Q186" s="222"/>
      <c r="R186" s="222"/>
      <c r="S186" s="223"/>
      <c r="T186" s="223"/>
      <c r="U186" s="223"/>
      <c r="V186" s="223"/>
      <c r="W186" s="223"/>
      <c r="X186" s="223"/>
      <c r="Y186" s="223"/>
      <c r="Z186" s="223"/>
    </row>
    <row r="187" ht="15.75" customHeight="1">
      <c r="A187" s="227" t="s">
        <v>6521</v>
      </c>
      <c r="B187" s="225" t="s">
        <v>6458</v>
      </c>
      <c r="C187" s="224">
        <v>3.5620620366759E14</v>
      </c>
      <c r="D187" s="294" t="s">
        <v>6483</v>
      </c>
      <c r="E187" s="232" t="s">
        <v>6880</v>
      </c>
      <c r="F187" s="227" t="s">
        <v>6465</v>
      </c>
      <c r="G187" s="227" t="s">
        <v>6465</v>
      </c>
      <c r="H187" s="227" t="s">
        <v>6465</v>
      </c>
      <c r="I187" s="227" t="s">
        <v>2055</v>
      </c>
      <c r="J187" s="228" t="s">
        <v>14</v>
      </c>
      <c r="K187" s="228" t="s">
        <v>2056</v>
      </c>
      <c r="L187" s="225"/>
      <c r="M187" s="225"/>
      <c r="N187" s="229"/>
      <c r="O187" s="229"/>
      <c r="P187" s="230"/>
      <c r="Q187" s="222"/>
      <c r="R187" s="222"/>
      <c r="S187" s="223"/>
      <c r="T187" s="223"/>
      <c r="U187" s="223"/>
      <c r="V187" s="223"/>
      <c r="W187" s="223"/>
      <c r="X187" s="223"/>
      <c r="Y187" s="223"/>
      <c r="Z187" s="223"/>
    </row>
    <row r="188" ht="15.75" customHeight="1">
      <c r="A188" s="227" t="s">
        <v>6550</v>
      </c>
      <c r="B188" s="225" t="s">
        <v>6458</v>
      </c>
      <c r="C188" s="224">
        <v>3.55766343703853E14</v>
      </c>
      <c r="D188" s="294" t="s">
        <v>6847</v>
      </c>
      <c r="E188" s="224" t="s">
        <v>6881</v>
      </c>
      <c r="F188" s="227" t="s">
        <v>6465</v>
      </c>
      <c r="G188" s="227" t="s">
        <v>6465</v>
      </c>
      <c r="H188" s="227" t="s">
        <v>6465</v>
      </c>
      <c r="I188" s="227" t="s">
        <v>1601</v>
      </c>
      <c r="J188" s="228" t="s">
        <v>14</v>
      </c>
      <c r="K188" s="228" t="s">
        <v>1602</v>
      </c>
      <c r="L188" s="225" t="s">
        <v>6882</v>
      </c>
      <c r="M188" s="225"/>
      <c r="N188" s="229"/>
      <c r="O188" s="229"/>
      <c r="P188" s="230"/>
      <c r="Q188" s="222"/>
      <c r="R188" s="222"/>
      <c r="S188" s="223"/>
      <c r="T188" s="223"/>
      <c r="U188" s="223"/>
      <c r="V188" s="223"/>
      <c r="W188" s="223"/>
      <c r="X188" s="223"/>
      <c r="Y188" s="223"/>
      <c r="Z188" s="223"/>
    </row>
    <row r="189" ht="15.75" customHeight="1">
      <c r="A189" s="227" t="s">
        <v>6490</v>
      </c>
      <c r="B189" s="225" t="s">
        <v>6458</v>
      </c>
      <c r="C189" s="224">
        <v>8.63857055135734E14</v>
      </c>
      <c r="D189" s="295" t="s">
        <v>6483</v>
      </c>
      <c r="E189" s="232" t="s">
        <v>6883</v>
      </c>
      <c r="F189" s="227" t="s">
        <v>6465</v>
      </c>
      <c r="G189" s="227" t="s">
        <v>6465</v>
      </c>
      <c r="H189" s="227" t="s">
        <v>6465</v>
      </c>
      <c r="I189" s="233" t="s">
        <v>131</v>
      </c>
      <c r="J189" s="228" t="s">
        <v>14</v>
      </c>
      <c r="K189" s="228" t="s">
        <v>132</v>
      </c>
      <c r="L189" s="225"/>
      <c r="M189" s="225"/>
      <c r="N189" s="229"/>
      <c r="O189" s="229" t="s">
        <v>6493</v>
      </c>
      <c r="P189" s="230"/>
      <c r="Q189" s="222"/>
      <c r="R189" s="222"/>
      <c r="S189" s="223"/>
      <c r="T189" s="223"/>
      <c r="U189" s="223"/>
      <c r="V189" s="223"/>
      <c r="W189" s="223"/>
      <c r="X189" s="223"/>
      <c r="Y189" s="223"/>
      <c r="Z189" s="223"/>
    </row>
    <row r="190" ht="15.75" customHeight="1">
      <c r="A190" s="224" t="s">
        <v>6490</v>
      </c>
      <c r="B190" s="225" t="s">
        <v>6458</v>
      </c>
      <c r="C190" s="224">
        <v>8.63857055080419E14</v>
      </c>
      <c r="D190" s="295" t="s">
        <v>6483</v>
      </c>
      <c r="E190" s="232" t="s">
        <v>6884</v>
      </c>
      <c r="F190" s="227" t="s">
        <v>6465</v>
      </c>
      <c r="G190" s="227" t="s">
        <v>6465</v>
      </c>
      <c r="H190" s="227" t="s">
        <v>6465</v>
      </c>
      <c r="I190" s="233" t="s">
        <v>1057</v>
      </c>
      <c r="J190" s="225" t="s">
        <v>14</v>
      </c>
      <c r="K190" s="228" t="s">
        <v>1058</v>
      </c>
      <c r="L190" s="225"/>
      <c r="M190" s="225"/>
      <c r="N190" s="229"/>
      <c r="O190" s="229" t="s">
        <v>6493</v>
      </c>
      <c r="P190" s="230"/>
      <c r="Q190" s="222"/>
      <c r="R190" s="222"/>
      <c r="S190" s="223"/>
      <c r="T190" s="223"/>
      <c r="U190" s="223"/>
      <c r="V190" s="223"/>
      <c r="W190" s="223"/>
      <c r="X190" s="223"/>
      <c r="Y190" s="223"/>
      <c r="Z190" s="223"/>
    </row>
    <row r="191" ht="15.75" customHeight="1">
      <c r="A191" s="227" t="s">
        <v>6490</v>
      </c>
      <c r="B191" s="225" t="s">
        <v>6458</v>
      </c>
      <c r="C191" s="224">
        <v>8.63857055350473E14</v>
      </c>
      <c r="D191" s="295" t="s">
        <v>6483</v>
      </c>
      <c r="E191" s="232" t="s">
        <v>6885</v>
      </c>
      <c r="F191" s="227" t="s">
        <v>6465</v>
      </c>
      <c r="G191" s="227" t="s">
        <v>6465</v>
      </c>
      <c r="H191" s="227" t="s">
        <v>6465</v>
      </c>
      <c r="I191" s="227" t="s">
        <v>2264</v>
      </c>
      <c r="J191" s="228" t="s">
        <v>14</v>
      </c>
      <c r="K191" s="228" t="s">
        <v>2265</v>
      </c>
      <c r="L191" s="225" t="s">
        <v>1357</v>
      </c>
      <c r="M191" s="225"/>
      <c r="N191" s="229"/>
      <c r="O191" s="229" t="s">
        <v>6493</v>
      </c>
      <c r="P191" s="230"/>
      <c r="Q191" s="222"/>
      <c r="R191" s="222"/>
      <c r="S191" s="223"/>
      <c r="T191" s="223"/>
      <c r="U191" s="223"/>
      <c r="V191" s="223"/>
      <c r="W191" s="223"/>
      <c r="X191" s="223"/>
      <c r="Y191" s="223"/>
      <c r="Z191" s="223"/>
    </row>
    <row r="192" ht="15.75" customHeight="1">
      <c r="A192" s="235" t="s">
        <v>6614</v>
      </c>
      <c r="B192" s="225" t="s">
        <v>6458</v>
      </c>
      <c r="C192" s="252">
        <v>8.69054057174234E14</v>
      </c>
      <c r="D192" s="231" t="s">
        <v>6486</v>
      </c>
      <c r="E192" s="232" t="s">
        <v>6886</v>
      </c>
      <c r="F192" s="227" t="s">
        <v>6465</v>
      </c>
      <c r="G192" s="227" t="s">
        <v>6465</v>
      </c>
      <c r="H192" s="227" t="s">
        <v>6512</v>
      </c>
      <c r="I192" s="268" t="s">
        <v>2338</v>
      </c>
      <c r="J192" s="225" t="s">
        <v>6887</v>
      </c>
      <c r="K192" s="225" t="s">
        <v>2339</v>
      </c>
      <c r="L192" s="225" t="s">
        <v>519</v>
      </c>
      <c r="M192" s="225" t="s">
        <v>6888</v>
      </c>
      <c r="N192" s="229"/>
      <c r="O192" s="229"/>
      <c r="P192" s="230"/>
      <c r="Q192" s="222"/>
      <c r="R192" s="222"/>
      <c r="S192" s="223"/>
      <c r="T192" s="223"/>
      <c r="U192" s="223"/>
      <c r="V192" s="223"/>
      <c r="W192" s="223"/>
      <c r="X192" s="223"/>
      <c r="Y192" s="223"/>
      <c r="Z192" s="223"/>
    </row>
    <row r="193" ht="15.75" customHeight="1">
      <c r="A193" s="227" t="s">
        <v>6889</v>
      </c>
      <c r="B193" s="225" t="s">
        <v>6458</v>
      </c>
      <c r="C193" s="224">
        <v>3.55390116468659E14</v>
      </c>
      <c r="D193" s="295" t="s">
        <v>6483</v>
      </c>
      <c r="E193" s="232" t="s">
        <v>6890</v>
      </c>
      <c r="F193" s="227" t="s">
        <v>6465</v>
      </c>
      <c r="G193" s="227" t="s">
        <v>6465</v>
      </c>
      <c r="H193" s="227" t="s">
        <v>6465</v>
      </c>
      <c r="I193" s="233" t="s">
        <v>1948</v>
      </c>
      <c r="J193" s="228" t="s">
        <v>47</v>
      </c>
      <c r="K193" s="225" t="s">
        <v>1210</v>
      </c>
      <c r="L193" s="225"/>
      <c r="M193" s="225"/>
      <c r="N193" s="229"/>
      <c r="O193" s="229"/>
      <c r="P193" s="230"/>
      <c r="Q193" s="222"/>
      <c r="R193" s="222"/>
      <c r="S193" s="223"/>
      <c r="T193" s="223"/>
      <c r="U193" s="223"/>
      <c r="V193" s="223"/>
      <c r="W193" s="223"/>
      <c r="X193" s="223"/>
      <c r="Y193" s="223"/>
      <c r="Z193" s="223"/>
    </row>
    <row r="194" ht="15.75" customHeight="1">
      <c r="A194" s="250" t="s">
        <v>6891</v>
      </c>
      <c r="B194" s="225" t="s">
        <v>6458</v>
      </c>
      <c r="C194" s="297">
        <v>3.53544568279301E14</v>
      </c>
      <c r="D194" s="298" t="s">
        <v>6892</v>
      </c>
      <c r="E194" s="299" t="s">
        <v>6893</v>
      </c>
      <c r="F194" s="227" t="s">
        <v>6465</v>
      </c>
      <c r="G194" s="227" t="s">
        <v>6465</v>
      </c>
      <c r="H194" s="227" t="s">
        <v>6465</v>
      </c>
      <c r="I194" s="241" t="s">
        <v>6894</v>
      </c>
      <c r="J194" s="241" t="s">
        <v>14</v>
      </c>
      <c r="K194" s="241" t="s">
        <v>1429</v>
      </c>
      <c r="L194" s="300" t="s">
        <v>6895</v>
      </c>
      <c r="M194" s="225"/>
      <c r="N194" s="229"/>
      <c r="O194" s="229"/>
      <c r="P194" s="230"/>
      <c r="Q194" s="222"/>
      <c r="R194" s="222"/>
      <c r="S194" s="223"/>
      <c r="T194" s="223"/>
      <c r="U194" s="223"/>
      <c r="V194" s="223"/>
      <c r="W194" s="223"/>
      <c r="X194" s="223"/>
      <c r="Y194" s="223"/>
      <c r="Z194" s="223"/>
    </row>
    <row r="195" ht="15.75" customHeight="1">
      <c r="A195" s="227" t="s">
        <v>6494</v>
      </c>
      <c r="B195" s="225" t="s">
        <v>6458</v>
      </c>
      <c r="C195" s="224">
        <v>3.56206203038255E14</v>
      </c>
      <c r="D195" s="295" t="s">
        <v>6483</v>
      </c>
      <c r="E195" s="232" t="s">
        <v>6896</v>
      </c>
      <c r="F195" s="227" t="s">
        <v>6465</v>
      </c>
      <c r="G195" s="227" t="s">
        <v>6465</v>
      </c>
      <c r="H195" s="227" t="s">
        <v>6465</v>
      </c>
      <c r="I195" s="233" t="s">
        <v>6897</v>
      </c>
      <c r="J195" s="225" t="s">
        <v>12</v>
      </c>
      <c r="K195" s="225" t="s">
        <v>1491</v>
      </c>
      <c r="L195" s="225"/>
      <c r="M195" s="225"/>
      <c r="N195" s="229"/>
      <c r="O195" s="229" t="s">
        <v>6898</v>
      </c>
      <c r="P195" s="230"/>
      <c r="Q195" s="222"/>
      <c r="R195" s="222"/>
      <c r="S195" s="223"/>
      <c r="T195" s="223"/>
      <c r="U195" s="223"/>
      <c r="V195" s="223"/>
      <c r="W195" s="223"/>
      <c r="X195" s="223"/>
      <c r="Y195" s="223"/>
      <c r="Z195" s="223"/>
    </row>
    <row r="196" ht="15.75" customHeight="1">
      <c r="A196" s="224" t="s">
        <v>6500</v>
      </c>
      <c r="B196" s="225" t="s">
        <v>6458</v>
      </c>
      <c r="C196" s="224">
        <v>3.54025412822511E14</v>
      </c>
      <c r="D196" s="231" t="s">
        <v>6593</v>
      </c>
      <c r="E196" s="232" t="s">
        <v>6899</v>
      </c>
      <c r="F196" s="227" t="s">
        <v>6465</v>
      </c>
      <c r="G196" s="227" t="s">
        <v>6465</v>
      </c>
      <c r="H196" s="227" t="s">
        <v>6465</v>
      </c>
      <c r="I196" s="244" t="s">
        <v>6900</v>
      </c>
      <c r="J196" s="241" t="s">
        <v>1471</v>
      </c>
      <c r="K196" s="301" t="s">
        <v>2349</v>
      </c>
      <c r="L196" s="302" t="s">
        <v>1788</v>
      </c>
      <c r="M196" s="225"/>
      <c r="N196" s="229"/>
      <c r="O196" s="229"/>
      <c r="P196" s="230"/>
      <c r="Q196" s="222"/>
      <c r="R196" s="222"/>
      <c r="S196" s="223"/>
      <c r="T196" s="223"/>
      <c r="U196" s="223"/>
      <c r="V196" s="223"/>
      <c r="W196" s="223"/>
      <c r="X196" s="223"/>
      <c r="Y196" s="223"/>
      <c r="Z196" s="223"/>
    </row>
    <row r="197" ht="15.75" customHeight="1">
      <c r="A197" s="235" t="s">
        <v>6901</v>
      </c>
      <c r="B197" s="225" t="s">
        <v>6458</v>
      </c>
      <c r="C197" s="252">
        <v>3.52906102913912E14</v>
      </c>
      <c r="D197" s="231" t="s">
        <v>6847</v>
      </c>
      <c r="E197" s="232" t="s">
        <v>6902</v>
      </c>
      <c r="F197" s="227" t="s">
        <v>6465</v>
      </c>
      <c r="G197" s="227" t="s">
        <v>6465</v>
      </c>
      <c r="H197" s="227" t="s">
        <v>6465</v>
      </c>
      <c r="I197" s="240" t="s">
        <v>6903</v>
      </c>
      <c r="J197" s="248" t="s">
        <v>14</v>
      </c>
      <c r="K197" s="248" t="s">
        <v>1283</v>
      </c>
      <c r="L197" s="302" t="s">
        <v>6904</v>
      </c>
      <c r="M197" s="225"/>
      <c r="N197" s="229"/>
      <c r="O197" s="229"/>
      <c r="P197" s="230"/>
      <c r="Q197" s="222"/>
      <c r="R197" s="222"/>
      <c r="S197" s="223"/>
      <c r="T197" s="223"/>
      <c r="U197" s="223"/>
      <c r="V197" s="223"/>
      <c r="W197" s="223"/>
      <c r="X197" s="223"/>
      <c r="Y197" s="223"/>
      <c r="Z197" s="223"/>
    </row>
    <row r="198" ht="15.75" customHeight="1">
      <c r="A198" s="235" t="s">
        <v>6905</v>
      </c>
      <c r="B198" s="225" t="s">
        <v>6458</v>
      </c>
      <c r="C198" s="224">
        <v>8.64717040776936E14</v>
      </c>
      <c r="D198" s="295" t="s">
        <v>6732</v>
      </c>
      <c r="E198" s="232" t="s">
        <v>6906</v>
      </c>
      <c r="F198" s="227" t="s">
        <v>6465</v>
      </c>
      <c r="G198" s="227" t="s">
        <v>6465</v>
      </c>
      <c r="H198" s="227" t="s">
        <v>6465</v>
      </c>
      <c r="I198" s="233" t="s">
        <v>6907</v>
      </c>
      <c r="J198" s="225" t="s">
        <v>14</v>
      </c>
      <c r="K198" s="225" t="s">
        <v>2191</v>
      </c>
      <c r="L198" s="225"/>
      <c r="M198" s="225"/>
      <c r="N198" s="229"/>
      <c r="O198" s="229"/>
      <c r="P198" s="230"/>
      <c r="Q198" s="222"/>
      <c r="R198" s="222"/>
      <c r="S198" s="223"/>
      <c r="T198" s="223"/>
      <c r="U198" s="223"/>
      <c r="V198" s="223"/>
      <c r="W198" s="223"/>
      <c r="X198" s="223"/>
      <c r="Y198" s="223"/>
      <c r="Z198" s="223"/>
    </row>
    <row r="199" ht="15.75" customHeight="1">
      <c r="A199" s="232" t="s">
        <v>6548</v>
      </c>
      <c r="B199" s="225" t="s">
        <v>6458</v>
      </c>
      <c r="C199" s="224">
        <v>8.69733053042798E14</v>
      </c>
      <c r="D199" s="295" t="s">
        <v>6483</v>
      </c>
      <c r="E199" s="232" t="s">
        <v>6908</v>
      </c>
      <c r="F199" s="227" t="s">
        <v>6465</v>
      </c>
      <c r="G199" s="227" t="s">
        <v>6465</v>
      </c>
      <c r="H199" s="227" t="s">
        <v>6465</v>
      </c>
      <c r="I199" s="227" t="s">
        <v>2208</v>
      </c>
      <c r="J199" s="228" t="s">
        <v>14</v>
      </c>
      <c r="K199" s="228" t="s">
        <v>2209</v>
      </c>
      <c r="L199" s="225" t="s">
        <v>6909</v>
      </c>
      <c r="M199" s="225"/>
      <c r="N199" s="229"/>
      <c r="O199" s="229"/>
      <c r="P199" s="230"/>
      <c r="Q199" s="222"/>
      <c r="R199" s="222"/>
      <c r="S199" s="223"/>
      <c r="T199" s="223"/>
      <c r="U199" s="223"/>
      <c r="V199" s="223"/>
      <c r="W199" s="223"/>
      <c r="X199" s="223"/>
      <c r="Y199" s="223"/>
      <c r="Z199" s="223"/>
    </row>
    <row r="200" ht="15.75" customHeight="1">
      <c r="A200" s="227" t="s">
        <v>6910</v>
      </c>
      <c r="B200" s="225" t="s">
        <v>6461</v>
      </c>
      <c r="C200" s="224">
        <v>3.52037066973864E14</v>
      </c>
      <c r="D200" s="231" t="s">
        <v>6911</v>
      </c>
      <c r="E200" s="232" t="s">
        <v>6912</v>
      </c>
      <c r="F200" s="227" t="s">
        <v>6467</v>
      </c>
      <c r="G200" s="227" t="s">
        <v>6512</v>
      </c>
      <c r="H200" s="227" t="s">
        <v>6467</v>
      </c>
      <c r="I200" s="233" t="s">
        <v>6467</v>
      </c>
      <c r="J200" s="225"/>
      <c r="K200" s="225"/>
      <c r="L200" s="303" t="s">
        <v>1143</v>
      </c>
      <c r="M200" s="225"/>
      <c r="N200" s="229"/>
      <c r="O200" s="229"/>
      <c r="P200" s="230"/>
      <c r="Q200" s="222"/>
      <c r="R200" s="222"/>
      <c r="S200" s="223"/>
      <c r="T200" s="223"/>
      <c r="U200" s="223"/>
      <c r="V200" s="223"/>
      <c r="W200" s="223"/>
      <c r="X200" s="223"/>
      <c r="Y200" s="223"/>
      <c r="Z200" s="223"/>
    </row>
    <row r="201" ht="15.75" customHeight="1">
      <c r="A201" s="227" t="s">
        <v>6590</v>
      </c>
      <c r="B201" s="225" t="s">
        <v>6458</v>
      </c>
      <c r="C201" s="224">
        <v>3.55766343706211E14</v>
      </c>
      <c r="D201" s="295" t="s">
        <v>6847</v>
      </c>
      <c r="E201" s="232" t="s">
        <v>6913</v>
      </c>
      <c r="F201" s="227" t="s">
        <v>6465</v>
      </c>
      <c r="G201" s="227" t="s">
        <v>6465</v>
      </c>
      <c r="H201" s="227" t="s">
        <v>6465</v>
      </c>
      <c r="I201" s="233" t="s">
        <v>1671</v>
      </c>
      <c r="J201" s="228" t="s">
        <v>4108</v>
      </c>
      <c r="K201" s="225" t="s">
        <v>1672</v>
      </c>
      <c r="L201" s="225" t="s">
        <v>1736</v>
      </c>
      <c r="M201" s="225"/>
      <c r="N201" s="229"/>
      <c r="O201" s="229"/>
      <c r="P201" s="230"/>
      <c r="Q201" s="222"/>
      <c r="R201" s="222"/>
      <c r="S201" s="223"/>
      <c r="T201" s="223"/>
      <c r="U201" s="223"/>
      <c r="V201" s="223"/>
      <c r="W201" s="223"/>
      <c r="X201" s="223"/>
      <c r="Y201" s="223"/>
      <c r="Z201" s="223"/>
    </row>
    <row r="202" ht="15.75" customHeight="1">
      <c r="A202" s="304" t="s">
        <v>6914</v>
      </c>
      <c r="B202" s="225" t="s">
        <v>6458</v>
      </c>
      <c r="C202" s="305">
        <v>3.55743861875439E14</v>
      </c>
      <c r="D202" s="231" t="s">
        <v>6510</v>
      </c>
      <c r="E202" s="263" t="s">
        <v>6915</v>
      </c>
      <c r="F202" s="227" t="s">
        <v>6465</v>
      </c>
      <c r="G202" s="227" t="s">
        <v>6465</v>
      </c>
      <c r="H202" s="227" t="s">
        <v>6512</v>
      </c>
      <c r="I202" s="236" t="s">
        <v>2012</v>
      </c>
      <c r="J202" s="228" t="s">
        <v>28</v>
      </c>
      <c r="K202" s="228" t="s">
        <v>1077</v>
      </c>
      <c r="L202" s="306" t="s">
        <v>205</v>
      </c>
      <c r="M202" s="225"/>
      <c r="N202" s="229"/>
      <c r="O202" s="229"/>
      <c r="P202" s="230"/>
      <c r="Q202" s="222"/>
      <c r="R202" s="222"/>
      <c r="S202" s="223"/>
      <c r="T202" s="223"/>
      <c r="U202" s="223"/>
      <c r="V202" s="223"/>
      <c r="W202" s="223"/>
      <c r="X202" s="223"/>
      <c r="Y202" s="223"/>
      <c r="Z202" s="223"/>
    </row>
    <row r="203" ht="15.75" customHeight="1">
      <c r="A203" s="227" t="s">
        <v>6490</v>
      </c>
      <c r="B203" s="225" t="s">
        <v>6458</v>
      </c>
      <c r="C203" s="224">
        <v>8.64130055298673E14</v>
      </c>
      <c r="D203" s="295" t="s">
        <v>6483</v>
      </c>
      <c r="E203" s="232" t="s">
        <v>6916</v>
      </c>
      <c r="F203" s="227" t="s">
        <v>6465</v>
      </c>
      <c r="G203" s="227" t="s">
        <v>6465</v>
      </c>
      <c r="H203" s="227" t="s">
        <v>6512</v>
      </c>
      <c r="I203" s="240" t="s">
        <v>6917</v>
      </c>
      <c r="J203" s="248" t="s">
        <v>14</v>
      </c>
      <c r="K203" s="248" t="s">
        <v>2382</v>
      </c>
      <c r="L203" s="247" t="s">
        <v>2257</v>
      </c>
      <c r="M203" s="307" t="s">
        <v>6918</v>
      </c>
      <c r="N203" s="229"/>
      <c r="O203" s="229" t="s">
        <v>6493</v>
      </c>
      <c r="P203" s="230"/>
      <c r="Q203" s="222"/>
      <c r="R203" s="222"/>
      <c r="S203" s="223"/>
      <c r="T203" s="223"/>
      <c r="U203" s="223"/>
      <c r="V203" s="223"/>
      <c r="W203" s="223"/>
      <c r="X203" s="223"/>
      <c r="Y203" s="223"/>
      <c r="Z203" s="223"/>
    </row>
    <row r="204" ht="15.75" customHeight="1">
      <c r="A204" s="227" t="s">
        <v>6919</v>
      </c>
      <c r="B204" s="225" t="s">
        <v>6461</v>
      </c>
      <c r="C204" s="224">
        <v>3.52086071520046E14</v>
      </c>
      <c r="D204" s="231" t="s">
        <v>6920</v>
      </c>
      <c r="E204" s="232" t="s">
        <v>6921</v>
      </c>
      <c r="F204" s="227" t="s">
        <v>6467</v>
      </c>
      <c r="G204" s="227" t="s">
        <v>6922</v>
      </c>
      <c r="H204" s="227" t="s">
        <v>6467</v>
      </c>
      <c r="I204" s="233" t="s">
        <v>6467</v>
      </c>
      <c r="J204" s="225"/>
      <c r="K204" s="225"/>
      <c r="L204" s="225"/>
      <c r="M204" s="225"/>
      <c r="N204" s="229"/>
      <c r="O204" s="229"/>
      <c r="P204" s="230"/>
      <c r="Q204" s="222"/>
      <c r="R204" s="222"/>
      <c r="S204" s="223"/>
      <c r="T204" s="223"/>
      <c r="U204" s="223"/>
      <c r="V204" s="223"/>
      <c r="W204" s="223"/>
      <c r="X204" s="223"/>
      <c r="Y204" s="223"/>
      <c r="Z204" s="223"/>
    </row>
    <row r="205" ht="15.75" customHeight="1">
      <c r="A205" s="227" t="s">
        <v>6519</v>
      </c>
      <c r="B205" s="225" t="s">
        <v>6458</v>
      </c>
      <c r="C205" s="224">
        <v>8.6385705513283E14</v>
      </c>
      <c r="D205" s="295" t="s">
        <v>6483</v>
      </c>
      <c r="E205" s="232" t="s">
        <v>6923</v>
      </c>
      <c r="F205" s="227" t="s">
        <v>6465</v>
      </c>
      <c r="G205" s="227" t="s">
        <v>6465</v>
      </c>
      <c r="H205" s="227" t="s">
        <v>6465</v>
      </c>
      <c r="I205" s="233" t="s">
        <v>865</v>
      </c>
      <c r="J205" s="225" t="s">
        <v>14</v>
      </c>
      <c r="K205" s="225" t="s">
        <v>866</v>
      </c>
      <c r="L205" s="225"/>
      <c r="M205" s="225"/>
      <c r="N205" s="229"/>
      <c r="O205" s="229" t="s">
        <v>6493</v>
      </c>
      <c r="P205" s="230"/>
      <c r="Q205" s="222"/>
      <c r="R205" s="222"/>
      <c r="S205" s="223"/>
      <c r="T205" s="223"/>
      <c r="U205" s="223"/>
      <c r="V205" s="223"/>
      <c r="W205" s="223"/>
      <c r="X205" s="223"/>
      <c r="Y205" s="223"/>
      <c r="Z205" s="223"/>
    </row>
    <row r="206" ht="15.75" customHeight="1">
      <c r="A206" s="227" t="s">
        <v>6490</v>
      </c>
      <c r="B206" s="225" t="s">
        <v>6458</v>
      </c>
      <c r="C206" s="224">
        <v>8.64130055421176E14</v>
      </c>
      <c r="D206" s="295" t="s">
        <v>6483</v>
      </c>
      <c r="E206" s="232" t="s">
        <v>6924</v>
      </c>
      <c r="F206" s="227" t="s">
        <v>6465</v>
      </c>
      <c r="G206" s="227" t="s">
        <v>6465</v>
      </c>
      <c r="H206" s="227" t="s">
        <v>6465</v>
      </c>
      <c r="I206" s="233" t="s">
        <v>2183</v>
      </c>
      <c r="J206" s="225" t="s">
        <v>14</v>
      </c>
      <c r="K206" s="225" t="s">
        <v>1206</v>
      </c>
      <c r="L206" s="225"/>
      <c r="M206" s="225"/>
      <c r="N206" s="229"/>
      <c r="O206" s="229" t="s">
        <v>6493</v>
      </c>
      <c r="P206" s="230"/>
      <c r="Q206" s="222"/>
      <c r="R206" s="222"/>
      <c r="S206" s="223"/>
      <c r="T206" s="223"/>
      <c r="U206" s="223"/>
      <c r="V206" s="223"/>
      <c r="W206" s="223"/>
      <c r="X206" s="223"/>
      <c r="Y206" s="223"/>
      <c r="Z206" s="223"/>
    </row>
    <row r="207" ht="15.75" customHeight="1">
      <c r="A207" s="227" t="s">
        <v>6490</v>
      </c>
      <c r="B207" s="225" t="s">
        <v>6458</v>
      </c>
      <c r="C207" s="224">
        <v>8.64130055369078E14</v>
      </c>
      <c r="D207" s="231" t="s">
        <v>6495</v>
      </c>
      <c r="E207" s="232" t="s">
        <v>6925</v>
      </c>
      <c r="F207" s="227" t="s">
        <v>6465</v>
      </c>
      <c r="G207" s="227" t="s">
        <v>6465</v>
      </c>
      <c r="H207" s="227" t="s">
        <v>6465</v>
      </c>
      <c r="I207" s="233" t="s">
        <v>2222</v>
      </c>
      <c r="J207" s="228" t="s">
        <v>47</v>
      </c>
      <c r="K207" s="225" t="s">
        <v>2223</v>
      </c>
      <c r="L207" s="225" t="s">
        <v>2210</v>
      </c>
      <c r="M207" s="225"/>
      <c r="N207" s="229"/>
      <c r="O207" s="229" t="s">
        <v>6493</v>
      </c>
      <c r="P207" s="230"/>
      <c r="Q207" s="222"/>
      <c r="R207" s="222"/>
      <c r="S207" s="223"/>
      <c r="T207" s="223"/>
      <c r="U207" s="223"/>
      <c r="V207" s="223"/>
      <c r="W207" s="223"/>
      <c r="X207" s="223"/>
      <c r="Y207" s="223"/>
      <c r="Z207" s="223"/>
    </row>
    <row r="208" ht="15.75" customHeight="1">
      <c r="A208" s="227" t="s">
        <v>6738</v>
      </c>
      <c r="B208" s="225" t="s">
        <v>6461</v>
      </c>
      <c r="C208" s="224">
        <v>3.53989107441088E14</v>
      </c>
      <c r="D208" s="295" t="s">
        <v>6483</v>
      </c>
      <c r="E208" s="232" t="s">
        <v>6926</v>
      </c>
      <c r="F208" s="227" t="s">
        <v>6467</v>
      </c>
      <c r="G208" s="227" t="s">
        <v>6530</v>
      </c>
      <c r="H208" s="227" t="s">
        <v>6467</v>
      </c>
      <c r="I208" s="233" t="s">
        <v>6467</v>
      </c>
      <c r="J208" s="225"/>
      <c r="K208" s="225"/>
      <c r="L208" s="225" t="s">
        <v>273</v>
      </c>
      <c r="M208" s="225"/>
      <c r="N208" s="229"/>
      <c r="O208" s="229"/>
      <c r="P208" s="230"/>
      <c r="Q208" s="222"/>
      <c r="R208" s="222"/>
      <c r="S208" s="223"/>
      <c r="T208" s="223"/>
      <c r="U208" s="223"/>
      <c r="V208" s="223"/>
      <c r="W208" s="223"/>
      <c r="X208" s="223"/>
      <c r="Y208" s="223"/>
      <c r="Z208" s="223"/>
    </row>
    <row r="209" ht="15.75" customHeight="1">
      <c r="A209" s="227" t="s">
        <v>6927</v>
      </c>
      <c r="B209" s="227" t="s">
        <v>6462</v>
      </c>
      <c r="C209" s="224">
        <v>3.52157523100222E14</v>
      </c>
      <c r="D209" s="231" t="s">
        <v>6928</v>
      </c>
      <c r="E209" s="232" t="s">
        <v>6929</v>
      </c>
      <c r="F209" s="227" t="s">
        <v>6464</v>
      </c>
      <c r="G209" s="227" t="s">
        <v>6464</v>
      </c>
      <c r="H209" s="217" t="s">
        <v>6470</v>
      </c>
      <c r="I209" s="233" t="s">
        <v>6464</v>
      </c>
      <c r="J209" s="225"/>
      <c r="K209" s="225"/>
      <c r="L209" s="225"/>
      <c r="M209" s="225"/>
      <c r="N209" s="229"/>
      <c r="O209" s="229"/>
      <c r="P209" s="230"/>
      <c r="Q209" s="222"/>
      <c r="R209" s="222"/>
      <c r="S209" s="223"/>
      <c r="T209" s="223"/>
      <c r="U209" s="223"/>
      <c r="V209" s="223"/>
      <c r="W209" s="223"/>
      <c r="X209" s="223"/>
      <c r="Y209" s="223"/>
      <c r="Z209" s="223"/>
    </row>
    <row r="210" ht="15.75" customHeight="1">
      <c r="A210" s="227" t="s">
        <v>6927</v>
      </c>
      <c r="B210" s="227" t="s">
        <v>6462</v>
      </c>
      <c r="C210" s="224">
        <v>3.51486163999648E14</v>
      </c>
      <c r="D210" s="231" t="s">
        <v>6928</v>
      </c>
      <c r="E210" s="232" t="s">
        <v>6930</v>
      </c>
      <c r="F210" s="227" t="s">
        <v>6464</v>
      </c>
      <c r="G210" s="227" t="s">
        <v>6464</v>
      </c>
      <c r="H210" s="217" t="s">
        <v>6470</v>
      </c>
      <c r="I210" s="233" t="s">
        <v>6464</v>
      </c>
      <c r="J210" s="225"/>
      <c r="K210" s="225"/>
      <c r="L210" s="225"/>
      <c r="M210" s="225"/>
      <c r="N210" s="229"/>
      <c r="O210" s="229"/>
      <c r="P210" s="230"/>
      <c r="Q210" s="222"/>
      <c r="R210" s="222"/>
      <c r="S210" s="223"/>
      <c r="T210" s="223"/>
      <c r="U210" s="223"/>
      <c r="V210" s="223"/>
      <c r="W210" s="223"/>
      <c r="X210" s="223"/>
      <c r="Y210" s="223"/>
      <c r="Z210" s="223"/>
    </row>
    <row r="211" ht="15.75" customHeight="1">
      <c r="A211" s="227" t="s">
        <v>6927</v>
      </c>
      <c r="B211" s="227" t="s">
        <v>6462</v>
      </c>
      <c r="C211" s="224">
        <v>3.51486164001766E14</v>
      </c>
      <c r="D211" s="231" t="s">
        <v>6928</v>
      </c>
      <c r="E211" s="232" t="s">
        <v>6931</v>
      </c>
      <c r="F211" s="227" t="s">
        <v>6464</v>
      </c>
      <c r="G211" s="227" t="s">
        <v>6464</v>
      </c>
      <c r="H211" s="217" t="s">
        <v>6470</v>
      </c>
      <c r="I211" s="233" t="s">
        <v>6932</v>
      </c>
      <c r="J211" s="225"/>
      <c r="K211" s="225"/>
      <c r="L211" s="225"/>
      <c r="M211" s="225"/>
      <c r="N211" s="229"/>
      <c r="O211" s="229"/>
      <c r="P211" s="230"/>
      <c r="Q211" s="222"/>
      <c r="R211" s="222"/>
      <c r="S211" s="223"/>
      <c r="T211" s="223"/>
      <c r="U211" s="223"/>
      <c r="V211" s="223"/>
      <c r="W211" s="223"/>
      <c r="X211" s="223"/>
      <c r="Y211" s="223"/>
      <c r="Z211" s="223"/>
    </row>
    <row r="212" ht="15.75" customHeight="1">
      <c r="A212" s="227" t="s">
        <v>6927</v>
      </c>
      <c r="B212" s="227" t="s">
        <v>6462</v>
      </c>
      <c r="C212" s="224">
        <v>3.5215752310136E14</v>
      </c>
      <c r="D212" s="231" t="s">
        <v>6928</v>
      </c>
      <c r="E212" s="232" t="s">
        <v>6933</v>
      </c>
      <c r="F212" s="227" t="s">
        <v>6464</v>
      </c>
      <c r="G212" s="227" t="s">
        <v>6464</v>
      </c>
      <c r="H212" s="217" t="s">
        <v>6470</v>
      </c>
      <c r="I212" s="233" t="s">
        <v>6464</v>
      </c>
      <c r="J212" s="225"/>
      <c r="K212" s="225"/>
      <c r="L212" s="225"/>
      <c r="M212" s="225"/>
      <c r="N212" s="229"/>
      <c r="O212" s="229"/>
      <c r="P212" s="230"/>
      <c r="Q212" s="222"/>
      <c r="R212" s="222"/>
      <c r="S212" s="223"/>
      <c r="T212" s="223"/>
      <c r="U212" s="223"/>
      <c r="V212" s="223"/>
      <c r="W212" s="223"/>
      <c r="X212" s="223"/>
      <c r="Y212" s="223"/>
      <c r="Z212" s="223"/>
    </row>
    <row r="213" ht="15.75" customHeight="1">
      <c r="A213" s="227" t="s">
        <v>6927</v>
      </c>
      <c r="B213" s="227" t="s">
        <v>6462</v>
      </c>
      <c r="C213" s="224">
        <v>3.52157523100065E14</v>
      </c>
      <c r="D213" s="231" t="s">
        <v>6928</v>
      </c>
      <c r="E213" s="232" t="s">
        <v>6934</v>
      </c>
      <c r="F213" s="227" t="s">
        <v>6464</v>
      </c>
      <c r="G213" s="227" t="s">
        <v>6464</v>
      </c>
      <c r="H213" s="217" t="s">
        <v>6470</v>
      </c>
      <c r="I213" s="233" t="s">
        <v>6464</v>
      </c>
      <c r="J213" s="225"/>
      <c r="K213" s="225"/>
      <c r="L213" s="225"/>
      <c r="M213" s="225"/>
      <c r="N213" s="229"/>
      <c r="O213" s="229"/>
      <c r="P213" s="230"/>
      <c r="Q213" s="222"/>
      <c r="R213" s="222"/>
      <c r="S213" s="223"/>
      <c r="T213" s="223"/>
      <c r="U213" s="223"/>
      <c r="V213" s="223"/>
      <c r="W213" s="223"/>
      <c r="X213" s="223"/>
      <c r="Y213" s="223"/>
      <c r="Z213" s="223"/>
    </row>
    <row r="214" ht="15.75" customHeight="1">
      <c r="A214" s="227" t="s">
        <v>6927</v>
      </c>
      <c r="B214" s="227" t="s">
        <v>6462</v>
      </c>
      <c r="C214" s="224">
        <v>3.5215752310513E14</v>
      </c>
      <c r="D214" s="231" t="s">
        <v>6928</v>
      </c>
      <c r="E214" s="232" t="s">
        <v>6935</v>
      </c>
      <c r="F214" s="227" t="s">
        <v>6464</v>
      </c>
      <c r="G214" s="227" t="s">
        <v>6464</v>
      </c>
      <c r="H214" s="217" t="s">
        <v>6470</v>
      </c>
      <c r="I214" s="233" t="s">
        <v>6464</v>
      </c>
      <c r="J214" s="225"/>
      <c r="K214" s="225"/>
      <c r="L214" s="225"/>
      <c r="M214" s="225"/>
      <c r="N214" s="229"/>
      <c r="O214" s="229"/>
      <c r="P214" s="230"/>
      <c r="Q214" s="222"/>
      <c r="R214" s="222"/>
      <c r="S214" s="223"/>
      <c r="T214" s="223"/>
      <c r="U214" s="223"/>
      <c r="V214" s="223"/>
      <c r="W214" s="223"/>
      <c r="X214" s="223"/>
      <c r="Y214" s="223"/>
      <c r="Z214" s="223"/>
    </row>
    <row r="215" ht="15.75" customHeight="1">
      <c r="A215" s="227" t="s">
        <v>6936</v>
      </c>
      <c r="B215" s="225" t="s">
        <v>6458</v>
      </c>
      <c r="C215" s="224">
        <v>8.64712053061912E14</v>
      </c>
      <c r="D215" s="295" t="s">
        <v>6483</v>
      </c>
      <c r="E215" s="232" t="s">
        <v>6937</v>
      </c>
      <c r="F215" s="227" t="s">
        <v>6465</v>
      </c>
      <c r="G215" s="227" t="s">
        <v>6465</v>
      </c>
      <c r="H215" s="227" t="s">
        <v>6465</v>
      </c>
      <c r="I215" s="233" t="s">
        <v>867</v>
      </c>
      <c r="J215" s="225" t="s">
        <v>4088</v>
      </c>
      <c r="K215" s="225" t="s">
        <v>868</v>
      </c>
      <c r="L215" s="225"/>
      <c r="M215" s="225"/>
      <c r="N215" s="229"/>
      <c r="O215" s="229"/>
      <c r="P215" s="230"/>
      <c r="Q215" s="222"/>
      <c r="R215" s="222"/>
      <c r="S215" s="223"/>
      <c r="T215" s="223"/>
      <c r="U215" s="223"/>
      <c r="V215" s="223"/>
      <c r="W215" s="223"/>
      <c r="X215" s="223"/>
      <c r="Y215" s="223"/>
      <c r="Z215" s="223"/>
    </row>
    <row r="216" ht="15.75" customHeight="1">
      <c r="A216" s="224" t="s">
        <v>6938</v>
      </c>
      <c r="B216" s="225" t="s">
        <v>6458</v>
      </c>
      <c r="C216" s="239">
        <v>8.67965047558073E14</v>
      </c>
      <c r="D216" s="231" t="s">
        <v>6939</v>
      </c>
      <c r="E216" s="232" t="s">
        <v>6940</v>
      </c>
      <c r="F216" s="227" t="s">
        <v>6465</v>
      </c>
      <c r="G216" s="227" t="s">
        <v>6512</v>
      </c>
      <c r="H216" s="227" t="s">
        <v>6512</v>
      </c>
      <c r="I216" s="233" t="s">
        <v>2121</v>
      </c>
      <c r="J216" s="308" t="s">
        <v>4088</v>
      </c>
      <c r="K216" s="225" t="s">
        <v>6941</v>
      </c>
      <c r="L216" s="225" t="s">
        <v>6574</v>
      </c>
      <c r="M216" s="225"/>
      <c r="N216" s="229"/>
      <c r="O216" s="229"/>
      <c r="P216" s="230"/>
      <c r="Q216" s="222"/>
      <c r="R216" s="222"/>
      <c r="S216" s="223"/>
      <c r="T216" s="223"/>
      <c r="U216" s="223"/>
      <c r="V216" s="223"/>
      <c r="W216" s="223"/>
      <c r="X216" s="223"/>
      <c r="Y216" s="223"/>
      <c r="Z216" s="223"/>
    </row>
    <row r="217" ht="15.75" customHeight="1">
      <c r="A217" s="227" t="s">
        <v>6942</v>
      </c>
      <c r="B217" s="225" t="s">
        <v>6458</v>
      </c>
      <c r="C217" s="224">
        <v>8.65687033926484E14</v>
      </c>
      <c r="D217" s="231" t="s">
        <v>6514</v>
      </c>
      <c r="E217" s="232" t="s">
        <v>6943</v>
      </c>
      <c r="F217" s="227" t="s">
        <v>6467</v>
      </c>
      <c r="G217" s="227" t="s">
        <v>6705</v>
      </c>
      <c r="H217" s="227" t="s">
        <v>6467</v>
      </c>
      <c r="I217" s="233" t="s">
        <v>6467</v>
      </c>
      <c r="J217" s="225"/>
      <c r="K217" s="225"/>
      <c r="L217" s="225"/>
      <c r="M217" s="225"/>
      <c r="N217" s="229"/>
      <c r="O217" s="229"/>
      <c r="P217" s="230"/>
      <c r="Q217" s="222"/>
      <c r="R217" s="222"/>
      <c r="S217" s="223"/>
      <c r="T217" s="223"/>
      <c r="U217" s="223"/>
      <c r="V217" s="223"/>
      <c r="W217" s="223"/>
      <c r="X217" s="223"/>
      <c r="Y217" s="223"/>
      <c r="Z217" s="223"/>
    </row>
    <row r="218" ht="15.75" customHeight="1">
      <c r="A218" s="227" t="s">
        <v>6944</v>
      </c>
      <c r="B218" s="225" t="s">
        <v>6458</v>
      </c>
      <c r="C218" s="224">
        <v>3.54025412822248E14</v>
      </c>
      <c r="D218" s="295" t="s">
        <v>6849</v>
      </c>
      <c r="E218" s="232" t="s">
        <v>6945</v>
      </c>
      <c r="F218" s="227" t="s">
        <v>6465</v>
      </c>
      <c r="G218" s="227" t="s">
        <v>6465</v>
      </c>
      <c r="H218" s="227" t="s">
        <v>6465</v>
      </c>
      <c r="I218" s="227" t="s">
        <v>2275</v>
      </c>
      <c r="J218" s="228" t="s">
        <v>14</v>
      </c>
      <c r="K218" s="228" t="s">
        <v>2276</v>
      </c>
      <c r="L218" s="225" t="s">
        <v>6946</v>
      </c>
      <c r="M218" s="225"/>
      <c r="N218" s="229"/>
      <c r="O218" s="229"/>
      <c r="P218" s="230"/>
      <c r="Q218" s="222"/>
      <c r="R218" s="222"/>
      <c r="S218" s="223"/>
      <c r="T218" s="223"/>
      <c r="U218" s="223"/>
      <c r="V218" s="223"/>
      <c r="W218" s="223"/>
      <c r="X218" s="223"/>
      <c r="Y218" s="223"/>
      <c r="Z218" s="223"/>
    </row>
    <row r="219" ht="15.75" customHeight="1">
      <c r="A219" s="233" t="s">
        <v>6533</v>
      </c>
      <c r="B219" s="225" t="s">
        <v>6458</v>
      </c>
      <c r="C219" s="309">
        <v>8.63723059199318E14</v>
      </c>
      <c r="D219" s="296" t="s">
        <v>6483</v>
      </c>
      <c r="E219" s="232" t="s">
        <v>6947</v>
      </c>
      <c r="F219" s="227" t="s">
        <v>6465</v>
      </c>
      <c r="G219" s="227" t="s">
        <v>6465</v>
      </c>
      <c r="H219" s="227" t="s">
        <v>6465</v>
      </c>
      <c r="I219" s="227" t="s">
        <v>6948</v>
      </c>
      <c r="J219" s="225" t="s">
        <v>1471</v>
      </c>
      <c r="K219" s="225" t="s">
        <v>1819</v>
      </c>
      <c r="L219" s="227" t="s">
        <v>131</v>
      </c>
      <c r="M219" s="225"/>
      <c r="N219" s="229"/>
      <c r="O219" s="229"/>
      <c r="P219" s="230"/>
      <c r="Q219" s="222"/>
      <c r="R219" s="222"/>
      <c r="S219" s="223"/>
      <c r="T219" s="223"/>
      <c r="U219" s="223"/>
      <c r="V219" s="223"/>
      <c r="W219" s="223"/>
      <c r="X219" s="223"/>
      <c r="Y219" s="223"/>
      <c r="Z219" s="223"/>
    </row>
    <row r="220" ht="15.75" customHeight="1">
      <c r="A220" s="233" t="s">
        <v>6949</v>
      </c>
      <c r="B220" s="225" t="s">
        <v>6458</v>
      </c>
      <c r="C220" s="310">
        <v>8.61520062424937E14</v>
      </c>
      <c r="D220" s="231" t="s">
        <v>6939</v>
      </c>
      <c r="E220" s="232" t="s">
        <v>6950</v>
      </c>
      <c r="F220" s="227" t="s">
        <v>6465</v>
      </c>
      <c r="G220" s="227" t="s">
        <v>6512</v>
      </c>
      <c r="H220" s="227" t="s">
        <v>6512</v>
      </c>
      <c r="I220" s="244" t="s">
        <v>1738</v>
      </c>
      <c r="J220" s="225" t="s">
        <v>14</v>
      </c>
      <c r="K220" s="225" t="s">
        <v>1739</v>
      </c>
      <c r="L220" s="225" t="s">
        <v>265</v>
      </c>
      <c r="M220" s="225" t="s">
        <v>6951</v>
      </c>
      <c r="N220" s="229"/>
      <c r="O220" s="229"/>
      <c r="P220" s="230"/>
      <c r="Q220" s="222"/>
      <c r="R220" s="222"/>
      <c r="S220" s="223"/>
      <c r="T220" s="223"/>
      <c r="U220" s="223"/>
      <c r="V220" s="223"/>
      <c r="W220" s="223"/>
      <c r="X220" s="223"/>
      <c r="Y220" s="223"/>
      <c r="Z220" s="223"/>
    </row>
    <row r="221" ht="15.75" customHeight="1">
      <c r="A221" s="233" t="s">
        <v>6865</v>
      </c>
      <c r="B221" s="225" t="s">
        <v>6458</v>
      </c>
      <c r="C221" s="224">
        <v>8.64264053165756E14</v>
      </c>
      <c r="D221" s="295" t="s">
        <v>6483</v>
      </c>
      <c r="E221" s="232" t="s">
        <v>6952</v>
      </c>
      <c r="F221" s="227" t="s">
        <v>6465</v>
      </c>
      <c r="G221" s="227" t="s">
        <v>6465</v>
      </c>
      <c r="H221" s="227" t="s">
        <v>6465</v>
      </c>
      <c r="I221" s="227" t="s">
        <v>6953</v>
      </c>
      <c r="J221" s="225" t="s">
        <v>6635</v>
      </c>
      <c r="K221" s="225" t="s">
        <v>2076</v>
      </c>
      <c r="L221" s="225" t="s">
        <v>6954</v>
      </c>
      <c r="M221" s="225"/>
      <c r="N221" s="229"/>
      <c r="O221" s="229"/>
      <c r="P221" s="230"/>
      <c r="Q221" s="222"/>
      <c r="R221" s="222"/>
      <c r="S221" s="223"/>
      <c r="T221" s="223"/>
      <c r="U221" s="223"/>
      <c r="V221" s="223"/>
      <c r="W221" s="223"/>
      <c r="X221" s="223"/>
      <c r="Y221" s="223"/>
      <c r="Z221" s="223"/>
    </row>
    <row r="222" ht="15.75" customHeight="1">
      <c r="A222" s="233" t="s">
        <v>6696</v>
      </c>
      <c r="B222" s="225" t="s">
        <v>6458</v>
      </c>
      <c r="C222" s="311">
        <v>8.60377045438463E14</v>
      </c>
      <c r="D222" s="295" t="s">
        <v>6955</v>
      </c>
      <c r="E222" s="232" t="s">
        <v>6956</v>
      </c>
      <c r="F222" s="227" t="s">
        <v>6465</v>
      </c>
      <c r="G222" s="227" t="s">
        <v>6465</v>
      </c>
      <c r="H222" s="227" t="s">
        <v>6465</v>
      </c>
      <c r="I222" s="227" t="s">
        <v>1906</v>
      </c>
      <c r="J222" s="228" t="s">
        <v>6572</v>
      </c>
      <c r="K222" s="228" t="s">
        <v>1549</v>
      </c>
      <c r="L222" s="225" t="s">
        <v>6957</v>
      </c>
      <c r="M222" s="225"/>
      <c r="N222" s="229"/>
      <c r="O222" s="229"/>
      <c r="P222" s="230"/>
      <c r="Q222" s="222"/>
      <c r="R222" s="222"/>
      <c r="S222" s="223"/>
      <c r="T222" s="223"/>
      <c r="U222" s="223"/>
      <c r="V222" s="223"/>
      <c r="W222" s="223"/>
      <c r="X222" s="223"/>
      <c r="Y222" s="223"/>
      <c r="Z222" s="223"/>
    </row>
    <row r="223" ht="15.75" customHeight="1">
      <c r="A223" s="233" t="s">
        <v>6958</v>
      </c>
      <c r="B223" s="225" t="s">
        <v>6461</v>
      </c>
      <c r="C223" s="234">
        <v>3.56429100286625E14</v>
      </c>
      <c r="D223" s="296" t="s">
        <v>6955</v>
      </c>
      <c r="E223" s="298" t="s">
        <v>6959</v>
      </c>
      <c r="F223" s="227" t="s">
        <v>6465</v>
      </c>
      <c r="G223" s="227" t="s">
        <v>6465</v>
      </c>
      <c r="H223" s="227" t="s">
        <v>6465</v>
      </c>
      <c r="I223" s="240" t="s">
        <v>6960</v>
      </c>
      <c r="J223" s="225" t="s">
        <v>14</v>
      </c>
      <c r="K223" s="225" t="s">
        <v>176</v>
      </c>
      <c r="L223" s="225" t="s">
        <v>6961</v>
      </c>
      <c r="M223" s="225"/>
      <c r="N223" s="229"/>
      <c r="O223" s="229"/>
      <c r="P223" s="230"/>
      <c r="Q223" s="222"/>
      <c r="R223" s="222"/>
      <c r="S223" s="223"/>
      <c r="T223" s="223"/>
      <c r="U223" s="223"/>
      <c r="V223" s="223"/>
      <c r="W223" s="223"/>
      <c r="X223" s="223"/>
      <c r="Y223" s="223"/>
      <c r="Z223" s="223"/>
    </row>
    <row r="224" ht="15.75" customHeight="1">
      <c r="A224" s="233" t="s">
        <v>6590</v>
      </c>
      <c r="B224" s="225" t="s">
        <v>6458</v>
      </c>
      <c r="C224" s="224">
        <v>3.55766343706195E14</v>
      </c>
      <c r="D224" s="296" t="s">
        <v>6847</v>
      </c>
      <c r="E224" s="251" t="s">
        <v>6962</v>
      </c>
      <c r="F224" s="227" t="s">
        <v>6465</v>
      </c>
      <c r="G224" s="227" t="s">
        <v>6465</v>
      </c>
      <c r="H224" s="227" t="s">
        <v>6465</v>
      </c>
      <c r="I224" s="233" t="s">
        <v>225</v>
      </c>
      <c r="J224" s="225" t="s">
        <v>4080</v>
      </c>
      <c r="K224" s="225" t="s">
        <v>226</v>
      </c>
      <c r="L224" s="225"/>
      <c r="M224" s="225"/>
      <c r="N224" s="229"/>
      <c r="O224" s="229"/>
      <c r="P224" s="230"/>
      <c r="Q224" s="222"/>
      <c r="R224" s="222"/>
      <c r="S224" s="223"/>
      <c r="T224" s="223"/>
      <c r="U224" s="223"/>
      <c r="V224" s="223"/>
      <c r="W224" s="223"/>
      <c r="X224" s="223"/>
      <c r="Y224" s="223"/>
      <c r="Z224" s="223"/>
    </row>
    <row r="225" ht="15.75" customHeight="1">
      <c r="A225" s="227" t="s">
        <v>6963</v>
      </c>
      <c r="B225" s="225" t="s">
        <v>6458</v>
      </c>
      <c r="C225" s="224">
        <v>8.68218056189409E14</v>
      </c>
      <c r="D225" s="296" t="s">
        <v>6892</v>
      </c>
      <c r="E225" s="233"/>
      <c r="F225" s="227" t="s">
        <v>6465</v>
      </c>
      <c r="G225" s="227" t="s">
        <v>6465</v>
      </c>
      <c r="H225" s="227" t="s">
        <v>6465</v>
      </c>
      <c r="I225" s="233" t="s">
        <v>1864</v>
      </c>
      <c r="J225" s="228" t="s">
        <v>6613</v>
      </c>
      <c r="K225" s="312" t="s">
        <v>1056</v>
      </c>
      <c r="L225" s="225" t="s">
        <v>6964</v>
      </c>
      <c r="M225" s="225"/>
      <c r="N225" s="229"/>
      <c r="O225" s="229"/>
      <c r="P225" s="230"/>
      <c r="Q225" s="222"/>
      <c r="R225" s="222"/>
      <c r="S225" s="223"/>
      <c r="T225" s="223"/>
      <c r="U225" s="223"/>
      <c r="V225" s="223"/>
      <c r="W225" s="223"/>
      <c r="X225" s="223"/>
      <c r="Y225" s="223"/>
      <c r="Z225" s="223"/>
    </row>
    <row r="226" ht="15.75" customHeight="1">
      <c r="A226" s="227" t="s">
        <v>6965</v>
      </c>
      <c r="B226" s="225" t="s">
        <v>6461</v>
      </c>
      <c r="C226" s="224" t="s">
        <v>6966</v>
      </c>
      <c r="D226" s="240" t="s">
        <v>6967</v>
      </c>
      <c r="E226" s="233" t="s">
        <v>6968</v>
      </c>
      <c r="F226" s="227" t="s">
        <v>6465</v>
      </c>
      <c r="G226" s="227" t="s">
        <v>6465</v>
      </c>
      <c r="H226" s="227" t="s">
        <v>6465</v>
      </c>
      <c r="I226" s="233" t="s">
        <v>6897</v>
      </c>
      <c r="J226" s="225" t="s">
        <v>12</v>
      </c>
      <c r="K226" s="248" t="s">
        <v>6969</v>
      </c>
      <c r="L226" s="225" t="s">
        <v>6970</v>
      </c>
      <c r="M226" s="225"/>
      <c r="N226" s="229"/>
      <c r="O226" s="229"/>
      <c r="P226" s="230"/>
      <c r="Q226" s="222"/>
      <c r="R226" s="222"/>
      <c r="S226" s="223"/>
      <c r="T226" s="223"/>
      <c r="U226" s="223"/>
      <c r="V226" s="223"/>
      <c r="W226" s="223"/>
      <c r="X226" s="223"/>
      <c r="Y226" s="223"/>
      <c r="Z226" s="223"/>
    </row>
    <row r="227" ht="15.75" customHeight="1">
      <c r="A227" s="227" t="s">
        <v>6965</v>
      </c>
      <c r="B227" s="225" t="s">
        <v>6461</v>
      </c>
      <c r="C227" s="224" t="s">
        <v>6971</v>
      </c>
      <c r="D227" s="240" t="s">
        <v>6967</v>
      </c>
      <c r="E227" s="233" t="s">
        <v>6972</v>
      </c>
      <c r="F227" s="227" t="s">
        <v>6464</v>
      </c>
      <c r="G227" s="227" t="s">
        <v>6464</v>
      </c>
      <c r="H227" s="233" t="s">
        <v>6464</v>
      </c>
      <c r="I227" s="233" t="s">
        <v>6464</v>
      </c>
      <c r="J227" s="225"/>
      <c r="K227" s="225"/>
      <c r="L227" s="225" t="s">
        <v>6970</v>
      </c>
      <c r="M227" s="225"/>
      <c r="N227" s="229"/>
      <c r="O227" s="229"/>
      <c r="P227" s="230"/>
      <c r="Q227" s="222"/>
      <c r="R227" s="222"/>
      <c r="S227" s="223"/>
      <c r="T227" s="223"/>
      <c r="U227" s="223"/>
      <c r="V227" s="223"/>
      <c r="W227" s="223"/>
      <c r="X227" s="223"/>
      <c r="Y227" s="223"/>
      <c r="Z227" s="223"/>
    </row>
    <row r="228" ht="15.75" customHeight="1">
      <c r="A228" s="227" t="s">
        <v>6973</v>
      </c>
      <c r="B228" s="225" t="s">
        <v>6458</v>
      </c>
      <c r="C228" s="224">
        <v>8.6379304506334E14</v>
      </c>
      <c r="D228" s="296" t="s">
        <v>6849</v>
      </c>
      <c r="E228" s="232" t="s">
        <v>6974</v>
      </c>
      <c r="F228" s="227" t="s">
        <v>6465</v>
      </c>
      <c r="G228" s="227" t="s">
        <v>6465</v>
      </c>
      <c r="H228" s="227" t="s">
        <v>6465</v>
      </c>
      <c r="I228" s="233" t="s">
        <v>6975</v>
      </c>
      <c r="J228" s="225" t="s">
        <v>14</v>
      </c>
      <c r="K228" s="225" t="s">
        <v>2046</v>
      </c>
      <c r="L228" s="225"/>
      <c r="M228" s="225"/>
      <c r="N228" s="229"/>
      <c r="O228" s="229"/>
      <c r="P228" s="230"/>
      <c r="Q228" s="222"/>
      <c r="R228" s="222"/>
      <c r="S228" s="223"/>
      <c r="T228" s="223"/>
      <c r="U228" s="223"/>
      <c r="V228" s="223"/>
      <c r="W228" s="223"/>
      <c r="X228" s="223"/>
      <c r="Y228" s="223"/>
      <c r="Z228" s="223"/>
    </row>
    <row r="229" ht="15.75" customHeight="1">
      <c r="A229" s="224" t="s">
        <v>6627</v>
      </c>
      <c r="B229" s="225" t="s">
        <v>6461</v>
      </c>
      <c r="C229" s="224">
        <v>3.56452108477889E14</v>
      </c>
      <c r="D229" s="240" t="s">
        <v>6967</v>
      </c>
      <c r="E229" s="232" t="s">
        <v>6976</v>
      </c>
      <c r="F229" s="227" t="s">
        <v>6465</v>
      </c>
      <c r="G229" s="227" t="s">
        <v>6977</v>
      </c>
      <c r="H229" s="227" t="s">
        <v>6465</v>
      </c>
      <c r="I229" s="227" t="s">
        <v>6978</v>
      </c>
      <c r="J229" s="228" t="s">
        <v>14</v>
      </c>
      <c r="K229" s="228" t="s">
        <v>2209</v>
      </c>
      <c r="L229" s="255" t="s">
        <v>6979</v>
      </c>
      <c r="M229" s="225"/>
      <c r="N229" s="229"/>
      <c r="O229" s="229"/>
      <c r="P229" s="230"/>
      <c r="Q229" s="222"/>
      <c r="R229" s="222"/>
      <c r="S229" s="223"/>
      <c r="T229" s="223"/>
      <c r="U229" s="223"/>
      <c r="V229" s="223"/>
      <c r="W229" s="223"/>
      <c r="X229" s="223"/>
      <c r="Y229" s="223"/>
      <c r="Z229" s="223"/>
    </row>
    <row r="230" ht="15.75" customHeight="1">
      <c r="A230" s="233" t="s">
        <v>6980</v>
      </c>
      <c r="B230" s="225" t="s">
        <v>6461</v>
      </c>
      <c r="C230" s="239">
        <v>3.53779081533491E14</v>
      </c>
      <c r="D230" s="296" t="s">
        <v>6725</v>
      </c>
      <c r="E230" s="233" t="s">
        <v>6981</v>
      </c>
      <c r="F230" s="227" t="s">
        <v>6465</v>
      </c>
      <c r="G230" s="227" t="s">
        <v>6465</v>
      </c>
      <c r="H230" s="227" t="s">
        <v>6465</v>
      </c>
      <c r="I230" s="233" t="s">
        <v>2101</v>
      </c>
      <c r="J230" s="225" t="s">
        <v>4080</v>
      </c>
      <c r="K230" s="225" t="s">
        <v>2102</v>
      </c>
      <c r="L230" s="225" t="s">
        <v>6982</v>
      </c>
      <c r="M230" s="225"/>
      <c r="N230" s="229"/>
      <c r="O230" s="229"/>
      <c r="P230" s="230"/>
      <c r="Q230" s="222"/>
      <c r="R230" s="222"/>
      <c r="S230" s="223"/>
      <c r="T230" s="223"/>
      <c r="U230" s="223"/>
      <c r="V230" s="223"/>
      <c r="W230" s="223"/>
      <c r="X230" s="223"/>
      <c r="Y230" s="223"/>
      <c r="Z230" s="223"/>
    </row>
    <row r="231" ht="15.75" customHeight="1">
      <c r="A231" s="233" t="s">
        <v>6983</v>
      </c>
      <c r="B231" s="225" t="s">
        <v>6461</v>
      </c>
      <c r="C231" s="239">
        <v>3.54855091640796E14</v>
      </c>
      <c r="D231" s="296" t="s">
        <v>6955</v>
      </c>
      <c r="E231" s="233" t="s">
        <v>6984</v>
      </c>
      <c r="F231" s="227" t="s">
        <v>6465</v>
      </c>
      <c r="G231" s="227" t="s">
        <v>6465</v>
      </c>
      <c r="H231" s="227" t="s">
        <v>6465</v>
      </c>
      <c r="I231" s="233" t="s">
        <v>1906</v>
      </c>
      <c r="J231" s="228" t="s">
        <v>6572</v>
      </c>
      <c r="K231" s="225" t="s">
        <v>1549</v>
      </c>
      <c r="L231" s="225" t="s">
        <v>6985</v>
      </c>
      <c r="M231" s="225"/>
      <c r="N231" s="229"/>
      <c r="O231" s="229"/>
      <c r="P231" s="230"/>
      <c r="Q231" s="222"/>
      <c r="R231" s="222"/>
      <c r="S231" s="223"/>
      <c r="T231" s="223"/>
      <c r="U231" s="223"/>
      <c r="V231" s="223"/>
      <c r="W231" s="223"/>
      <c r="X231" s="223"/>
      <c r="Y231" s="223"/>
      <c r="Z231" s="223"/>
    </row>
    <row r="232" ht="15.75" customHeight="1">
      <c r="A232" s="233" t="s">
        <v>6983</v>
      </c>
      <c r="B232" s="225" t="s">
        <v>6461</v>
      </c>
      <c r="C232" s="239">
        <v>0.0</v>
      </c>
      <c r="D232" s="296" t="s">
        <v>5616</v>
      </c>
      <c r="E232" s="233" t="s">
        <v>6986</v>
      </c>
      <c r="F232" s="227" t="s">
        <v>6467</v>
      </c>
      <c r="G232" s="227" t="s">
        <v>6530</v>
      </c>
      <c r="H232" s="227" t="s">
        <v>6467</v>
      </c>
      <c r="I232" s="233" t="s">
        <v>6467</v>
      </c>
      <c r="J232" s="225"/>
      <c r="K232" s="225"/>
      <c r="L232" s="225" t="s">
        <v>6985</v>
      </c>
      <c r="M232" s="225"/>
      <c r="N232" s="229"/>
      <c r="O232" s="229"/>
      <c r="P232" s="230"/>
      <c r="Q232" s="222"/>
      <c r="R232" s="222"/>
      <c r="S232" s="223"/>
      <c r="T232" s="223"/>
      <c r="U232" s="223"/>
      <c r="V232" s="223"/>
      <c r="W232" s="223"/>
      <c r="X232" s="223"/>
      <c r="Y232" s="223"/>
      <c r="Z232" s="223"/>
    </row>
    <row r="233" ht="15.75" customHeight="1">
      <c r="A233" s="233" t="s">
        <v>6987</v>
      </c>
      <c r="B233" s="225" t="s">
        <v>6461</v>
      </c>
      <c r="C233" s="239">
        <v>3.56702084728675E14</v>
      </c>
      <c r="D233" s="296" t="s">
        <v>6669</v>
      </c>
      <c r="E233" s="227" t="s">
        <v>6988</v>
      </c>
      <c r="F233" s="227" t="s">
        <v>6465</v>
      </c>
      <c r="G233" s="227" t="s">
        <v>6465</v>
      </c>
      <c r="H233" s="227" t="s">
        <v>6465</v>
      </c>
      <c r="I233" s="233" t="s">
        <v>2080</v>
      </c>
      <c r="J233" s="225" t="s">
        <v>14</v>
      </c>
      <c r="K233" s="225" t="s">
        <v>1197</v>
      </c>
      <c r="L233" s="228" t="s">
        <v>3905</v>
      </c>
      <c r="M233" s="225"/>
      <c r="N233" s="229"/>
      <c r="O233" s="229"/>
      <c r="P233" s="230"/>
      <c r="Q233" s="222"/>
      <c r="R233" s="222"/>
      <c r="S233" s="223"/>
      <c r="T233" s="223"/>
      <c r="U233" s="223"/>
      <c r="V233" s="223"/>
      <c r="W233" s="223"/>
      <c r="X233" s="223"/>
      <c r="Y233" s="223"/>
      <c r="Z233" s="223"/>
    </row>
    <row r="234" ht="15.75" customHeight="1">
      <c r="A234" s="233" t="s">
        <v>6989</v>
      </c>
      <c r="B234" s="225" t="s">
        <v>6461</v>
      </c>
      <c r="C234" s="239">
        <v>3.52681235166825E14</v>
      </c>
      <c r="D234" s="296" t="s">
        <v>6483</v>
      </c>
      <c r="E234" s="227" t="s">
        <v>6990</v>
      </c>
      <c r="F234" s="227" t="s">
        <v>6465</v>
      </c>
      <c r="G234" s="227" t="s">
        <v>6465</v>
      </c>
      <c r="H234" s="227" t="s">
        <v>6465</v>
      </c>
      <c r="I234" s="233" t="s">
        <v>2264</v>
      </c>
      <c r="J234" s="225" t="s">
        <v>14</v>
      </c>
      <c r="K234" s="228" t="s">
        <v>2265</v>
      </c>
      <c r="L234" s="225" t="s">
        <v>333</v>
      </c>
      <c r="M234" s="225"/>
      <c r="N234" s="229"/>
      <c r="O234" s="229"/>
      <c r="P234" s="230"/>
      <c r="Q234" s="222"/>
      <c r="R234" s="222"/>
      <c r="S234" s="223"/>
      <c r="T234" s="223"/>
      <c r="U234" s="223"/>
      <c r="V234" s="223"/>
      <c r="W234" s="223"/>
      <c r="X234" s="223"/>
      <c r="Y234" s="223"/>
      <c r="Z234" s="223"/>
    </row>
    <row r="235" ht="15.75" customHeight="1">
      <c r="A235" s="233" t="s">
        <v>6991</v>
      </c>
      <c r="B235" s="225" t="s">
        <v>6458</v>
      </c>
      <c r="C235" s="239">
        <v>3.50778867975606E14</v>
      </c>
      <c r="D235" s="296" t="s">
        <v>6992</v>
      </c>
      <c r="E235" s="233" t="s">
        <v>6993</v>
      </c>
      <c r="F235" s="227" t="s">
        <v>6465</v>
      </c>
      <c r="G235" s="227" t="s">
        <v>6465</v>
      </c>
      <c r="H235" s="227" t="s">
        <v>6465</v>
      </c>
      <c r="I235" s="233" t="s">
        <v>1807</v>
      </c>
      <c r="J235" s="228" t="s">
        <v>4108</v>
      </c>
      <c r="K235" s="225" t="s">
        <v>6226</v>
      </c>
      <c r="L235" s="225"/>
      <c r="M235" s="225"/>
      <c r="N235" s="229"/>
      <c r="O235" s="229"/>
      <c r="P235" s="230"/>
      <c r="Q235" s="222"/>
      <c r="R235" s="222"/>
      <c r="S235" s="223"/>
      <c r="T235" s="223"/>
      <c r="U235" s="223"/>
      <c r="V235" s="223"/>
      <c r="W235" s="223"/>
      <c r="X235" s="223"/>
      <c r="Y235" s="223"/>
      <c r="Z235" s="223"/>
    </row>
    <row r="236" ht="15.75" customHeight="1">
      <c r="A236" s="233" t="s">
        <v>6994</v>
      </c>
      <c r="B236" s="225" t="s">
        <v>6461</v>
      </c>
      <c r="C236" s="239">
        <v>3.5611409490881E14</v>
      </c>
      <c r="D236" s="296" t="s">
        <v>6955</v>
      </c>
      <c r="E236" s="233" t="s">
        <v>6995</v>
      </c>
      <c r="F236" s="227" t="s">
        <v>6465</v>
      </c>
      <c r="G236" s="227" t="s">
        <v>6465</v>
      </c>
      <c r="H236" s="227" t="s">
        <v>6465</v>
      </c>
      <c r="I236" s="233" t="s">
        <v>2310</v>
      </c>
      <c r="J236" s="225" t="s">
        <v>14</v>
      </c>
      <c r="K236" s="225" t="s">
        <v>2311</v>
      </c>
      <c r="L236" s="225" t="s">
        <v>6996</v>
      </c>
      <c r="M236" s="225"/>
      <c r="N236" s="229"/>
      <c r="O236" s="229"/>
      <c r="P236" s="230"/>
      <c r="Q236" s="222"/>
      <c r="R236" s="222"/>
      <c r="S236" s="223"/>
      <c r="T236" s="223"/>
      <c r="U236" s="223"/>
      <c r="V236" s="223"/>
      <c r="W236" s="223"/>
      <c r="X236" s="223"/>
      <c r="Y236" s="223"/>
      <c r="Z236" s="223"/>
    </row>
    <row r="237" ht="15.75" customHeight="1">
      <c r="A237" s="233" t="s">
        <v>6497</v>
      </c>
      <c r="B237" s="225" t="s">
        <v>6461</v>
      </c>
      <c r="C237" s="239">
        <v>3.56725089335386E14</v>
      </c>
      <c r="D237" s="240" t="s">
        <v>6967</v>
      </c>
      <c r="E237" s="233" t="s">
        <v>6997</v>
      </c>
      <c r="F237" s="227" t="s">
        <v>6465</v>
      </c>
      <c r="G237" s="227" t="s">
        <v>6465</v>
      </c>
      <c r="H237" s="227" t="s">
        <v>6465</v>
      </c>
      <c r="I237" s="233" t="s">
        <v>956</v>
      </c>
      <c r="J237" s="225" t="s">
        <v>14</v>
      </c>
      <c r="K237" s="225" t="s">
        <v>957</v>
      </c>
      <c r="L237" s="225"/>
      <c r="M237" s="225"/>
      <c r="N237" s="229"/>
      <c r="O237" s="229"/>
      <c r="P237" s="230"/>
      <c r="Q237" s="222"/>
      <c r="R237" s="222"/>
      <c r="S237" s="223"/>
      <c r="T237" s="223"/>
      <c r="U237" s="223"/>
      <c r="V237" s="223"/>
      <c r="W237" s="223"/>
      <c r="X237" s="223"/>
      <c r="Y237" s="223"/>
      <c r="Z237" s="223"/>
    </row>
    <row r="238" ht="15.75" customHeight="1">
      <c r="A238" s="227" t="s">
        <v>6998</v>
      </c>
      <c r="B238" s="225" t="s">
        <v>6458</v>
      </c>
      <c r="C238" s="239">
        <v>3.56206203442051E14</v>
      </c>
      <c r="D238" s="296" t="s">
        <v>6483</v>
      </c>
      <c r="E238" s="251" t="s">
        <v>6999</v>
      </c>
      <c r="F238" s="227" t="s">
        <v>6465</v>
      </c>
      <c r="G238" s="227" t="s">
        <v>6465</v>
      </c>
      <c r="H238" s="227" t="s">
        <v>6465</v>
      </c>
      <c r="I238" s="233" t="s">
        <v>7000</v>
      </c>
      <c r="J238" s="225" t="s">
        <v>14</v>
      </c>
      <c r="K238" s="225" t="s">
        <v>1747</v>
      </c>
      <c r="L238" s="225"/>
      <c r="M238" s="225"/>
      <c r="N238" s="229"/>
      <c r="O238" s="229"/>
      <c r="P238" s="230"/>
      <c r="Q238" s="222"/>
      <c r="R238" s="222"/>
      <c r="S238" s="223"/>
      <c r="T238" s="223"/>
      <c r="U238" s="223"/>
      <c r="V238" s="223"/>
      <c r="W238" s="223"/>
      <c r="X238" s="223"/>
      <c r="Y238" s="223"/>
      <c r="Z238" s="223"/>
    </row>
    <row r="239" ht="15.75" customHeight="1">
      <c r="A239" s="233" t="s">
        <v>7001</v>
      </c>
      <c r="B239" s="225" t="s">
        <v>6458</v>
      </c>
      <c r="C239" s="239">
        <v>3.57559824168565E14</v>
      </c>
      <c r="D239" s="296" t="s">
        <v>6847</v>
      </c>
      <c r="E239" s="233" t="s">
        <v>7002</v>
      </c>
      <c r="F239" s="227" t="s">
        <v>6467</v>
      </c>
      <c r="G239" s="227" t="s">
        <v>6464</v>
      </c>
      <c r="H239" s="227" t="s">
        <v>6467</v>
      </c>
      <c r="I239" s="240" t="s">
        <v>6467</v>
      </c>
      <c r="J239" s="248"/>
      <c r="K239" s="248"/>
      <c r="L239" s="248" t="s">
        <v>1335</v>
      </c>
      <c r="M239" s="225"/>
      <c r="N239" s="229"/>
      <c r="O239" s="229"/>
      <c r="P239" s="230"/>
      <c r="Q239" s="222"/>
      <c r="R239" s="222"/>
      <c r="S239" s="223"/>
      <c r="T239" s="223"/>
      <c r="U239" s="223"/>
      <c r="V239" s="223"/>
      <c r="W239" s="223"/>
      <c r="X239" s="223"/>
      <c r="Y239" s="223"/>
      <c r="Z239" s="223"/>
    </row>
    <row r="240" ht="15.75" customHeight="1">
      <c r="A240" s="233" t="s">
        <v>7003</v>
      </c>
      <c r="B240" s="225" t="s">
        <v>6458</v>
      </c>
      <c r="C240" s="239">
        <v>8.6955406626701E14</v>
      </c>
      <c r="D240" s="296" t="s">
        <v>6483</v>
      </c>
      <c r="E240" s="233" t="s">
        <v>7004</v>
      </c>
      <c r="F240" s="227" t="s">
        <v>6465</v>
      </c>
      <c r="G240" s="227" t="s">
        <v>6465</v>
      </c>
      <c r="H240" s="227" t="s">
        <v>6465</v>
      </c>
      <c r="I240" s="233" t="s">
        <v>2257</v>
      </c>
      <c r="J240" s="233" t="s">
        <v>14</v>
      </c>
      <c r="K240" s="233" t="s">
        <v>2258</v>
      </c>
      <c r="L240" s="233"/>
      <c r="M240" s="225"/>
      <c r="N240" s="229"/>
      <c r="O240" s="229"/>
      <c r="P240" s="230"/>
      <c r="Q240" s="222"/>
      <c r="R240" s="222"/>
      <c r="S240" s="223"/>
      <c r="T240" s="223"/>
      <c r="U240" s="223"/>
      <c r="V240" s="223"/>
      <c r="W240" s="223"/>
      <c r="X240" s="223"/>
      <c r="Y240" s="223"/>
      <c r="Z240" s="223"/>
    </row>
    <row r="241" ht="15.75" customHeight="1">
      <c r="A241" s="233" t="s">
        <v>6577</v>
      </c>
      <c r="B241" s="225" t="s">
        <v>6461</v>
      </c>
      <c r="C241" s="239">
        <v>3.5609809571142E13</v>
      </c>
      <c r="D241" s="240" t="s">
        <v>6967</v>
      </c>
      <c r="E241" s="233" t="s">
        <v>7005</v>
      </c>
      <c r="F241" s="227" t="s">
        <v>6465</v>
      </c>
      <c r="G241" s="227" t="s">
        <v>6465</v>
      </c>
      <c r="H241" s="227" t="s">
        <v>6465</v>
      </c>
      <c r="I241" s="233" t="s">
        <v>1143</v>
      </c>
      <c r="J241" s="233" t="s">
        <v>14</v>
      </c>
      <c r="K241" s="233" t="s">
        <v>1144</v>
      </c>
      <c r="L241" s="233" t="s">
        <v>865</v>
      </c>
      <c r="M241" s="225"/>
      <c r="N241" s="229"/>
      <c r="O241" s="229"/>
      <c r="P241" s="230"/>
      <c r="Q241" s="222"/>
      <c r="R241" s="222"/>
      <c r="S241" s="223"/>
      <c r="T241" s="223"/>
      <c r="U241" s="223"/>
      <c r="V241" s="223"/>
      <c r="W241" s="223"/>
      <c r="X241" s="223"/>
      <c r="Y241" s="223"/>
      <c r="Z241" s="223"/>
    </row>
    <row r="242" ht="15.75" customHeight="1">
      <c r="A242" s="233" t="s">
        <v>7006</v>
      </c>
      <c r="B242" s="233" t="s">
        <v>6460</v>
      </c>
      <c r="C242" s="239">
        <v>3.50162898203926E14</v>
      </c>
      <c r="D242" s="240" t="s">
        <v>6510</v>
      </c>
      <c r="E242" s="233" t="s">
        <v>7007</v>
      </c>
      <c r="F242" s="227" t="s">
        <v>6465</v>
      </c>
      <c r="G242" s="227" t="s">
        <v>6465</v>
      </c>
      <c r="H242" s="227" t="s">
        <v>6465</v>
      </c>
      <c r="I242" s="233" t="s">
        <v>6735</v>
      </c>
      <c r="J242" s="233" t="s">
        <v>14</v>
      </c>
      <c r="K242" s="233" t="s">
        <v>1147</v>
      </c>
      <c r="L242" s="233"/>
      <c r="M242" s="225"/>
      <c r="N242" s="229"/>
      <c r="O242" s="229"/>
      <c r="P242" s="230"/>
      <c r="Q242" s="222"/>
      <c r="R242" s="222"/>
      <c r="S242" s="223"/>
      <c r="T242" s="223"/>
      <c r="U242" s="223"/>
      <c r="V242" s="223"/>
      <c r="W242" s="223"/>
      <c r="X242" s="223"/>
      <c r="Y242" s="223"/>
      <c r="Z242" s="223"/>
    </row>
    <row r="243" ht="15.75" customHeight="1">
      <c r="A243" s="225" t="s">
        <v>7008</v>
      </c>
      <c r="B243" s="225" t="s">
        <v>6461</v>
      </c>
      <c r="C243" s="237">
        <v>3.5707816996391E14</v>
      </c>
      <c r="D243" s="296" t="s">
        <v>6868</v>
      </c>
      <c r="E243" s="233" t="s">
        <v>7009</v>
      </c>
      <c r="F243" s="227" t="s">
        <v>6465</v>
      </c>
      <c r="G243" s="227" t="s">
        <v>6465</v>
      </c>
      <c r="H243" s="227" t="s">
        <v>6465</v>
      </c>
      <c r="I243" s="233" t="s">
        <v>7010</v>
      </c>
      <c r="J243" s="225" t="s">
        <v>14</v>
      </c>
      <c r="K243" s="225" t="s">
        <v>1208</v>
      </c>
      <c r="L243" s="225"/>
      <c r="M243" s="225"/>
      <c r="N243" s="229"/>
      <c r="O243" s="229"/>
      <c r="P243" s="230"/>
      <c r="Q243" s="222"/>
      <c r="R243" s="222"/>
      <c r="S243" s="223"/>
      <c r="T243" s="223"/>
      <c r="U243" s="223"/>
      <c r="V243" s="223"/>
      <c r="W243" s="223"/>
      <c r="X243" s="223"/>
      <c r="Y243" s="223"/>
      <c r="Z243" s="223"/>
    </row>
    <row r="244" ht="15.75" customHeight="1">
      <c r="A244" s="225" t="s">
        <v>7011</v>
      </c>
      <c r="B244" s="225" t="s">
        <v>6458</v>
      </c>
      <c r="C244" s="234">
        <v>8.69912044571194E14</v>
      </c>
      <c r="D244" s="229" t="s">
        <v>6501</v>
      </c>
      <c r="E244" s="250" t="s">
        <v>7012</v>
      </c>
      <c r="F244" s="227" t="s">
        <v>6465</v>
      </c>
      <c r="G244" s="227" t="s">
        <v>6465</v>
      </c>
      <c r="H244" s="227" t="s">
        <v>6465</v>
      </c>
      <c r="I244" s="233" t="s">
        <v>6735</v>
      </c>
      <c r="J244" s="225" t="s">
        <v>14</v>
      </c>
      <c r="K244" s="225" t="s">
        <v>1147</v>
      </c>
      <c r="L244" s="225" t="s">
        <v>1974</v>
      </c>
      <c r="M244" s="225"/>
      <c r="N244" s="229"/>
      <c r="O244" s="229"/>
      <c r="P244" s="230"/>
      <c r="Q244" s="222"/>
      <c r="R244" s="222"/>
      <c r="S244" s="223"/>
      <c r="T244" s="223"/>
      <c r="U244" s="223"/>
      <c r="V244" s="223"/>
      <c r="W244" s="223"/>
      <c r="X244" s="223"/>
      <c r="Y244" s="223"/>
      <c r="Z244" s="223"/>
    </row>
    <row r="245" ht="15.75" customHeight="1">
      <c r="A245" s="225" t="s">
        <v>7013</v>
      </c>
      <c r="B245" s="225" t="s">
        <v>6458</v>
      </c>
      <c r="C245" s="237">
        <v>3.56350645459453E14</v>
      </c>
      <c r="D245" s="248" t="s">
        <v>6892</v>
      </c>
      <c r="E245" s="225" t="s">
        <v>7014</v>
      </c>
      <c r="F245" s="227" t="s">
        <v>6465</v>
      </c>
      <c r="G245" s="227" t="s">
        <v>6465</v>
      </c>
      <c r="H245" s="227" t="s">
        <v>6465</v>
      </c>
      <c r="I245" s="233" t="s">
        <v>2235</v>
      </c>
      <c r="J245" s="225" t="s">
        <v>14</v>
      </c>
      <c r="K245" s="225" t="s">
        <v>7015</v>
      </c>
      <c r="L245" s="225"/>
      <c r="M245" s="225"/>
      <c r="N245" s="229"/>
      <c r="O245" s="229"/>
      <c r="P245" s="230"/>
      <c r="Q245" s="222"/>
      <c r="R245" s="222"/>
      <c r="S245" s="223"/>
      <c r="T245" s="223"/>
      <c r="U245" s="223"/>
      <c r="V245" s="223"/>
      <c r="W245" s="223"/>
      <c r="X245" s="223"/>
      <c r="Y245" s="223"/>
      <c r="Z245" s="223"/>
    </row>
    <row r="246" ht="15.75" customHeight="1">
      <c r="A246" s="225" t="s">
        <v>7016</v>
      </c>
      <c r="B246" s="225" t="s">
        <v>6461</v>
      </c>
      <c r="C246" s="227">
        <v>3.52485859834084E14</v>
      </c>
      <c r="D246" s="229">
        <v>128.0</v>
      </c>
      <c r="E246" s="225" t="s">
        <v>7017</v>
      </c>
      <c r="F246" s="227" t="s">
        <v>6465</v>
      </c>
      <c r="G246" s="224" t="s">
        <v>6465</v>
      </c>
      <c r="H246" s="224" t="s">
        <v>6465</v>
      </c>
      <c r="I246" s="233" t="s">
        <v>956</v>
      </c>
      <c r="J246" s="225" t="s">
        <v>14</v>
      </c>
      <c r="K246" s="225" t="s">
        <v>957</v>
      </c>
      <c r="L246" s="225"/>
      <c r="M246" s="225"/>
      <c r="N246" s="229"/>
      <c r="O246" s="229" t="s">
        <v>7018</v>
      </c>
      <c r="P246" s="230"/>
      <c r="Q246" s="222"/>
      <c r="R246" s="222"/>
      <c r="S246" s="223"/>
      <c r="T246" s="223"/>
      <c r="U246" s="223"/>
      <c r="V246" s="223"/>
      <c r="W246" s="223"/>
      <c r="X246" s="223"/>
      <c r="Y246" s="223"/>
      <c r="Z246" s="223"/>
    </row>
    <row r="247" ht="15.75" customHeight="1">
      <c r="A247" s="225" t="s">
        <v>6827</v>
      </c>
      <c r="B247" s="225" t="s">
        <v>6458</v>
      </c>
      <c r="C247" s="225">
        <v>3.55766343704356E14</v>
      </c>
      <c r="D247" s="248" t="s">
        <v>6847</v>
      </c>
      <c r="E247" s="251" t="s">
        <v>7019</v>
      </c>
      <c r="F247" s="227" t="s">
        <v>6465</v>
      </c>
      <c r="G247" s="225" t="s">
        <v>6465</v>
      </c>
      <c r="H247" s="225" t="s">
        <v>6465</v>
      </c>
      <c r="I247" s="233" t="s">
        <v>1254</v>
      </c>
      <c r="J247" s="225" t="s">
        <v>14</v>
      </c>
      <c r="K247" s="225" t="s">
        <v>1255</v>
      </c>
      <c r="L247" s="225"/>
      <c r="M247" s="225"/>
      <c r="N247" s="229"/>
      <c r="O247" s="229"/>
      <c r="P247" s="230"/>
      <c r="Q247" s="222"/>
      <c r="R247" s="222"/>
      <c r="S247" s="223"/>
      <c r="T247" s="223"/>
      <c r="U247" s="223"/>
      <c r="V247" s="223"/>
      <c r="W247" s="223"/>
      <c r="X247" s="223"/>
      <c r="Y247" s="223"/>
      <c r="Z247" s="223"/>
    </row>
    <row r="248" ht="15.75" customHeight="1">
      <c r="A248" s="225" t="s">
        <v>7020</v>
      </c>
      <c r="B248" s="225" t="s">
        <v>6458</v>
      </c>
      <c r="C248" s="225">
        <v>3.57718898841834E14</v>
      </c>
      <c r="D248" s="229" t="s">
        <v>7021</v>
      </c>
      <c r="E248" s="225" t="s">
        <v>7022</v>
      </c>
      <c r="F248" s="227" t="s">
        <v>6465</v>
      </c>
      <c r="G248" s="227" t="s">
        <v>6465</v>
      </c>
      <c r="H248" s="227" t="s">
        <v>6465</v>
      </c>
      <c r="I248" s="233" t="s">
        <v>7023</v>
      </c>
      <c r="J248" s="225" t="s">
        <v>12</v>
      </c>
      <c r="K248" s="225" t="s">
        <v>2428</v>
      </c>
      <c r="L248" s="225" t="s">
        <v>7024</v>
      </c>
      <c r="M248" s="225"/>
      <c r="N248" s="229" t="s">
        <v>7025</v>
      </c>
      <c r="O248" s="229"/>
      <c r="P248" s="230"/>
      <c r="Q248" s="222"/>
      <c r="R248" s="222"/>
      <c r="S248" s="223"/>
      <c r="T248" s="223"/>
      <c r="U248" s="223"/>
      <c r="V248" s="223"/>
      <c r="W248" s="223"/>
      <c r="X248" s="223"/>
      <c r="Y248" s="223"/>
      <c r="Z248" s="223"/>
    </row>
    <row r="249" ht="15.75" customHeight="1">
      <c r="A249" s="225" t="s">
        <v>6627</v>
      </c>
      <c r="B249" s="225" t="s">
        <v>6461</v>
      </c>
      <c r="C249" s="225">
        <v>3.57360092089736E14</v>
      </c>
      <c r="D249" s="248" t="s">
        <v>6955</v>
      </c>
      <c r="E249" s="225" t="s">
        <v>7026</v>
      </c>
      <c r="F249" s="225" t="s">
        <v>6465</v>
      </c>
      <c r="G249" s="225" t="s">
        <v>6465</v>
      </c>
      <c r="H249" s="225" t="s">
        <v>6465</v>
      </c>
      <c r="I249" s="313" t="s">
        <v>263</v>
      </c>
      <c r="J249" s="228" t="s">
        <v>39</v>
      </c>
      <c r="K249" s="264" t="s">
        <v>264</v>
      </c>
      <c r="L249" s="225"/>
      <c r="M249" s="225"/>
      <c r="N249" s="229"/>
      <c r="O249" s="229"/>
      <c r="P249" s="230"/>
      <c r="Q249" s="222"/>
      <c r="R249" s="222"/>
      <c r="S249" s="223"/>
      <c r="T249" s="223"/>
      <c r="U249" s="223"/>
      <c r="V249" s="223"/>
      <c r="W249" s="223"/>
      <c r="X249" s="223"/>
      <c r="Y249" s="223"/>
      <c r="Z249" s="223"/>
    </row>
    <row r="250" ht="15.75" customHeight="1">
      <c r="A250" s="225" t="s">
        <v>7027</v>
      </c>
      <c r="B250" s="225" t="s">
        <v>6463</v>
      </c>
      <c r="C250" s="225" t="s">
        <v>7028</v>
      </c>
      <c r="D250" s="217"/>
      <c r="E250" s="225" t="s">
        <v>7029</v>
      </c>
      <c r="F250" s="225" t="s">
        <v>7030</v>
      </c>
      <c r="G250" s="225" t="s">
        <v>7031</v>
      </c>
      <c r="H250" s="225" t="s">
        <v>6465</v>
      </c>
      <c r="I250" s="314" t="s">
        <v>1324</v>
      </c>
      <c r="J250" s="315" t="s">
        <v>17</v>
      </c>
      <c r="K250" s="316" t="s">
        <v>1325</v>
      </c>
      <c r="L250" s="225"/>
      <c r="M250" s="225"/>
      <c r="N250" s="229"/>
      <c r="O250" s="229"/>
      <c r="P250" s="230"/>
      <c r="Q250" s="222"/>
      <c r="R250" s="222"/>
      <c r="S250" s="223"/>
      <c r="T250" s="223"/>
      <c r="U250" s="223"/>
      <c r="V250" s="223"/>
      <c r="W250" s="223"/>
      <c r="X250" s="223"/>
      <c r="Y250" s="223"/>
      <c r="Z250" s="223"/>
    </row>
    <row r="251" ht="15.75" customHeight="1">
      <c r="A251" s="225" t="s">
        <v>7032</v>
      </c>
      <c r="B251" s="225" t="s">
        <v>6459</v>
      </c>
      <c r="C251" s="225" t="s">
        <v>7033</v>
      </c>
      <c r="D251" s="217"/>
      <c r="E251" s="225" t="s">
        <v>7034</v>
      </c>
      <c r="F251" s="225" t="s">
        <v>7030</v>
      </c>
      <c r="G251" s="225" t="s">
        <v>7031</v>
      </c>
      <c r="H251" s="225" t="s">
        <v>6465</v>
      </c>
      <c r="I251" s="313" t="s">
        <v>1316</v>
      </c>
      <c r="J251" s="264" t="s">
        <v>4088</v>
      </c>
      <c r="K251" s="264" t="s">
        <v>1317</v>
      </c>
      <c r="L251" s="225"/>
      <c r="M251" s="225"/>
      <c r="N251" s="229"/>
      <c r="O251" s="229" t="s">
        <v>7035</v>
      </c>
      <c r="P251" s="230"/>
      <c r="Q251" s="222"/>
      <c r="R251" s="222"/>
      <c r="S251" s="223"/>
      <c r="T251" s="223"/>
      <c r="U251" s="223"/>
      <c r="V251" s="223"/>
      <c r="W251" s="223"/>
      <c r="X251" s="223"/>
      <c r="Y251" s="223"/>
      <c r="Z251" s="223"/>
    </row>
    <row r="252" ht="15.75" customHeight="1">
      <c r="A252" s="225" t="s">
        <v>7036</v>
      </c>
      <c r="B252" s="225" t="s">
        <v>6461</v>
      </c>
      <c r="C252" s="225">
        <v>3.56955701086212E14</v>
      </c>
      <c r="D252" s="229" t="s">
        <v>7021</v>
      </c>
      <c r="E252" s="225" t="s">
        <v>7037</v>
      </c>
      <c r="F252" s="225" t="s">
        <v>7030</v>
      </c>
      <c r="G252" s="225" t="s">
        <v>7030</v>
      </c>
      <c r="H252" s="227" t="s">
        <v>6512</v>
      </c>
      <c r="I252" s="317" t="s">
        <v>1864</v>
      </c>
      <c r="J252" s="228" t="s">
        <v>6613</v>
      </c>
      <c r="K252" s="318" t="s">
        <v>1056</v>
      </c>
      <c r="L252" s="319" t="s">
        <v>561</v>
      </c>
      <c r="M252" s="225"/>
      <c r="N252" s="229"/>
      <c r="O252" s="229"/>
      <c r="P252" s="230"/>
      <c r="Q252" s="222"/>
      <c r="R252" s="222"/>
      <c r="S252" s="223"/>
      <c r="T252" s="223"/>
      <c r="U252" s="223"/>
      <c r="V252" s="223"/>
      <c r="W252" s="223"/>
      <c r="X252" s="223"/>
      <c r="Y252" s="223"/>
      <c r="Z252" s="223"/>
    </row>
    <row r="253" ht="15.75" customHeight="1">
      <c r="A253" s="225" t="s">
        <v>7038</v>
      </c>
      <c r="B253" s="225" t="s">
        <v>6461</v>
      </c>
      <c r="C253" s="225">
        <v>3.55611224135173E14</v>
      </c>
      <c r="D253" s="229" t="s">
        <v>7021</v>
      </c>
      <c r="E253" s="225" t="s">
        <v>7039</v>
      </c>
      <c r="F253" s="225" t="s">
        <v>7030</v>
      </c>
      <c r="G253" s="225" t="s">
        <v>7031</v>
      </c>
      <c r="H253" s="225" t="s">
        <v>6465</v>
      </c>
      <c r="I253" s="320" t="s">
        <v>2328</v>
      </c>
      <c r="J253" s="264" t="s">
        <v>6887</v>
      </c>
      <c r="K253" s="264" t="s">
        <v>2329</v>
      </c>
      <c r="L253" s="225"/>
      <c r="M253" s="225"/>
      <c r="N253" s="229"/>
      <c r="O253" s="229"/>
      <c r="P253" s="230"/>
      <c r="Q253" s="222"/>
      <c r="R253" s="222"/>
      <c r="S253" s="223"/>
      <c r="T253" s="223"/>
      <c r="U253" s="223"/>
      <c r="V253" s="223"/>
      <c r="W253" s="223"/>
      <c r="X253" s="223"/>
      <c r="Y253" s="223"/>
      <c r="Z253" s="223"/>
    </row>
    <row r="254" ht="15.75" customHeight="1">
      <c r="A254" s="225" t="s">
        <v>7040</v>
      </c>
      <c r="B254" s="225" t="s">
        <v>6461</v>
      </c>
      <c r="C254" s="225">
        <v>3.53092224591842E14</v>
      </c>
      <c r="D254" s="229" t="s">
        <v>7021</v>
      </c>
      <c r="E254" s="225" t="s">
        <v>7041</v>
      </c>
      <c r="F254" s="225" t="s">
        <v>7030</v>
      </c>
      <c r="G254" s="225" t="s">
        <v>7030</v>
      </c>
      <c r="H254" s="225" t="s">
        <v>6465</v>
      </c>
      <c r="I254" s="320" t="s">
        <v>391</v>
      </c>
      <c r="J254" s="315" t="s">
        <v>4088</v>
      </c>
      <c r="K254" s="264" t="s">
        <v>392</v>
      </c>
      <c r="L254" s="225"/>
      <c r="M254" s="225"/>
      <c r="N254" s="229"/>
      <c r="O254" s="229" t="s">
        <v>7042</v>
      </c>
      <c r="P254" s="230"/>
      <c r="Q254" s="222"/>
      <c r="R254" s="222"/>
      <c r="S254" s="223"/>
      <c r="T254" s="223"/>
      <c r="U254" s="223"/>
      <c r="V254" s="223"/>
      <c r="W254" s="223"/>
      <c r="X254" s="223"/>
      <c r="Y254" s="223"/>
      <c r="Z254" s="223"/>
    </row>
    <row r="255" ht="15.75" customHeight="1">
      <c r="A255" s="225" t="s">
        <v>7040</v>
      </c>
      <c r="B255" s="225" t="s">
        <v>6461</v>
      </c>
      <c r="C255" s="225" t="s">
        <v>7043</v>
      </c>
      <c r="D255" s="229" t="s">
        <v>7021</v>
      </c>
      <c r="E255" s="225" t="s">
        <v>7044</v>
      </c>
      <c r="F255" s="225" t="s">
        <v>7030</v>
      </c>
      <c r="G255" s="225" t="s">
        <v>7030</v>
      </c>
      <c r="H255" s="225" t="s">
        <v>6465</v>
      </c>
      <c r="I255" s="320" t="s">
        <v>2325</v>
      </c>
      <c r="J255" s="264" t="s">
        <v>6887</v>
      </c>
      <c r="K255" s="264" t="s">
        <v>2326</v>
      </c>
      <c r="L255" s="225"/>
      <c r="M255" s="225"/>
      <c r="N255" s="229"/>
      <c r="O255" s="229" t="s">
        <v>7045</v>
      </c>
      <c r="P255" s="230"/>
      <c r="Q255" s="222"/>
      <c r="R255" s="222"/>
      <c r="S255" s="223"/>
      <c r="T255" s="223"/>
      <c r="U255" s="223"/>
      <c r="V255" s="223"/>
      <c r="W255" s="223"/>
      <c r="X255" s="223"/>
      <c r="Y255" s="223"/>
      <c r="Z255" s="223"/>
    </row>
    <row r="256" ht="15.75" customHeight="1">
      <c r="A256" s="225" t="s">
        <v>7046</v>
      </c>
      <c r="B256" s="225" t="s">
        <v>6461</v>
      </c>
      <c r="C256" s="225" t="s">
        <v>7047</v>
      </c>
      <c r="D256" s="229" t="s">
        <v>7021</v>
      </c>
      <c r="E256" s="225" t="s">
        <v>7048</v>
      </c>
      <c r="F256" s="225" t="s">
        <v>7030</v>
      </c>
      <c r="G256" s="225" t="s">
        <v>7030</v>
      </c>
      <c r="H256" s="225" t="s">
        <v>6465</v>
      </c>
      <c r="I256" s="236" t="s">
        <v>2257</v>
      </c>
      <c r="J256" s="228" t="s">
        <v>14</v>
      </c>
      <c r="K256" s="228" t="s">
        <v>2258</v>
      </c>
      <c r="L256" s="225"/>
      <c r="M256" s="225" t="s">
        <v>6951</v>
      </c>
      <c r="N256" s="230"/>
      <c r="O256" s="229" t="s">
        <v>7049</v>
      </c>
      <c r="P256" s="230"/>
      <c r="Q256" s="222"/>
      <c r="R256" s="222"/>
      <c r="S256" s="223"/>
      <c r="T256" s="223"/>
      <c r="U256" s="223"/>
      <c r="V256" s="223"/>
      <c r="W256" s="223"/>
      <c r="X256" s="223"/>
      <c r="Y256" s="223"/>
      <c r="Z256" s="223"/>
    </row>
    <row r="257" ht="15.75" customHeight="1">
      <c r="A257" s="225" t="s">
        <v>7050</v>
      </c>
      <c r="B257" s="225" t="s">
        <v>6458</v>
      </c>
      <c r="C257" s="225">
        <v>3.53994850643013E14</v>
      </c>
      <c r="D257" s="229" t="s">
        <v>7021</v>
      </c>
      <c r="E257" s="225" t="s">
        <v>7051</v>
      </c>
      <c r="F257" s="225" t="s">
        <v>6465</v>
      </c>
      <c r="G257" s="225" t="s">
        <v>6465</v>
      </c>
      <c r="H257" s="225" t="s">
        <v>6465</v>
      </c>
      <c r="I257" s="233" t="s">
        <v>6762</v>
      </c>
      <c r="J257" s="225" t="s">
        <v>33</v>
      </c>
      <c r="K257" s="225" t="s">
        <v>890</v>
      </c>
      <c r="L257" s="225"/>
      <c r="M257" s="225" t="s">
        <v>6951</v>
      </c>
      <c r="N257" s="230"/>
      <c r="O257" s="229" t="s">
        <v>7052</v>
      </c>
      <c r="P257" s="230"/>
      <c r="Q257" s="222"/>
      <c r="R257" s="222"/>
      <c r="S257" s="223"/>
      <c r="T257" s="223"/>
      <c r="U257" s="223"/>
      <c r="V257" s="223"/>
      <c r="W257" s="223"/>
      <c r="X257" s="223"/>
      <c r="Y257" s="223"/>
      <c r="Z257" s="223"/>
    </row>
    <row r="258" ht="15.75" customHeight="1">
      <c r="A258" s="225" t="s">
        <v>7053</v>
      </c>
      <c r="B258" s="225" t="s">
        <v>6458</v>
      </c>
      <c r="C258" s="321">
        <v>8.61515070282541E14</v>
      </c>
      <c r="D258" s="225" t="s">
        <v>7054</v>
      </c>
      <c r="E258" s="225" t="s">
        <v>7055</v>
      </c>
      <c r="F258" s="225" t="s">
        <v>7030</v>
      </c>
      <c r="G258" s="225" t="s">
        <v>7030</v>
      </c>
      <c r="H258" s="225" t="s">
        <v>7030</v>
      </c>
      <c r="I258" s="236" t="s">
        <v>2257</v>
      </c>
      <c r="J258" s="228" t="s">
        <v>14</v>
      </c>
      <c r="K258" s="228" t="s">
        <v>2258</v>
      </c>
      <c r="L258" s="225"/>
      <c r="M258" s="225" t="s">
        <v>6951</v>
      </c>
      <c r="N258" s="230"/>
      <c r="O258" s="229" t="s">
        <v>7056</v>
      </c>
      <c r="P258" s="230"/>
      <c r="Q258" s="222"/>
      <c r="R258" s="222"/>
      <c r="S258" s="223"/>
      <c r="T258" s="223"/>
      <c r="U258" s="223"/>
      <c r="V258" s="223"/>
      <c r="W258" s="223"/>
      <c r="X258" s="223"/>
      <c r="Y258" s="223"/>
      <c r="Z258" s="223"/>
    </row>
    <row r="259" ht="15.75" customHeight="1">
      <c r="A259" s="225" t="s">
        <v>7057</v>
      </c>
      <c r="B259" s="225" t="s">
        <v>6458</v>
      </c>
      <c r="C259" s="225" t="s">
        <v>7058</v>
      </c>
      <c r="D259" s="225" t="s">
        <v>7059</v>
      </c>
      <c r="E259" s="225" t="s">
        <v>7060</v>
      </c>
      <c r="F259" s="225" t="s">
        <v>7030</v>
      </c>
      <c r="G259" s="225" t="s">
        <v>7030</v>
      </c>
      <c r="H259" s="225" t="s">
        <v>7030</v>
      </c>
      <c r="I259" s="240" t="s">
        <v>333</v>
      </c>
      <c r="J259" s="228" t="s">
        <v>14</v>
      </c>
      <c r="K259" s="248" t="s">
        <v>334</v>
      </c>
      <c r="L259" s="225"/>
      <c r="M259" s="225" t="s">
        <v>6951</v>
      </c>
      <c r="N259" s="230"/>
      <c r="O259" s="229" t="s">
        <v>7061</v>
      </c>
      <c r="P259" s="230"/>
      <c r="Q259" s="222"/>
      <c r="R259" s="222"/>
      <c r="S259" s="223"/>
      <c r="T259" s="223"/>
      <c r="U259" s="223"/>
      <c r="V259" s="223"/>
      <c r="W259" s="223"/>
      <c r="X259" s="223"/>
      <c r="Y259" s="223"/>
      <c r="Z259" s="223"/>
    </row>
    <row r="260" ht="15.75" customHeight="1">
      <c r="A260" s="225" t="s">
        <v>7062</v>
      </c>
      <c r="B260" s="225" t="s">
        <v>6458</v>
      </c>
      <c r="C260" s="225" t="s">
        <v>7063</v>
      </c>
      <c r="D260" s="229" t="s">
        <v>7021</v>
      </c>
      <c r="E260" s="225" t="s">
        <v>7064</v>
      </c>
      <c r="F260" s="225" t="s">
        <v>7030</v>
      </c>
      <c r="G260" s="225" t="s">
        <v>7030</v>
      </c>
      <c r="H260" s="225" t="s">
        <v>7030</v>
      </c>
      <c r="I260" s="240" t="s">
        <v>1357</v>
      </c>
      <c r="J260" s="248" t="s">
        <v>14</v>
      </c>
      <c r="K260" s="248" t="s">
        <v>1358</v>
      </c>
      <c r="L260" s="225"/>
      <c r="M260" s="225" t="s">
        <v>6951</v>
      </c>
      <c r="N260" s="230"/>
      <c r="O260" s="229" t="s">
        <v>7065</v>
      </c>
      <c r="P260" s="322">
        <v>45471.0</v>
      </c>
      <c r="Q260" s="222"/>
      <c r="R260" s="222"/>
      <c r="S260" s="223"/>
      <c r="T260" s="223"/>
      <c r="U260" s="223"/>
      <c r="V260" s="223"/>
      <c r="W260" s="223"/>
      <c r="X260" s="223"/>
      <c r="Y260" s="223"/>
      <c r="Z260" s="223"/>
    </row>
    <row r="261" ht="15.75" customHeight="1">
      <c r="A261" s="225" t="s">
        <v>7066</v>
      </c>
      <c r="B261" s="225" t="s">
        <v>6458</v>
      </c>
      <c r="C261" s="225" t="s">
        <v>7067</v>
      </c>
      <c r="D261" s="229" t="s">
        <v>7068</v>
      </c>
      <c r="E261" s="225" t="s">
        <v>7069</v>
      </c>
      <c r="F261" s="225" t="s">
        <v>7030</v>
      </c>
      <c r="G261" s="225" t="s">
        <v>7030</v>
      </c>
      <c r="H261" s="225" t="s">
        <v>7030</v>
      </c>
      <c r="I261" s="240" t="s">
        <v>7070</v>
      </c>
      <c r="J261" s="248" t="s">
        <v>33</v>
      </c>
      <c r="K261" s="248" t="s">
        <v>1380</v>
      </c>
      <c r="L261" s="225"/>
      <c r="M261" s="225" t="s">
        <v>6951</v>
      </c>
      <c r="N261" s="230"/>
      <c r="O261" s="229" t="s">
        <v>7071</v>
      </c>
      <c r="P261" s="322">
        <v>45481.0</v>
      </c>
      <c r="Q261" s="222"/>
      <c r="R261" s="222"/>
      <c r="S261" s="223"/>
      <c r="T261" s="223"/>
      <c r="U261" s="223"/>
      <c r="V261" s="223"/>
      <c r="W261" s="223"/>
      <c r="X261" s="223"/>
      <c r="Y261" s="223"/>
      <c r="Z261" s="223"/>
    </row>
    <row r="262" ht="15.75" customHeight="1">
      <c r="A262" s="225" t="s">
        <v>7050</v>
      </c>
      <c r="B262" s="225" t="s">
        <v>6458</v>
      </c>
      <c r="C262" s="225" t="s">
        <v>7072</v>
      </c>
      <c r="D262" s="229" t="s">
        <v>7021</v>
      </c>
      <c r="E262" s="225" t="s">
        <v>7073</v>
      </c>
      <c r="F262" s="225" t="s">
        <v>7030</v>
      </c>
      <c r="G262" s="225" t="s">
        <v>7030</v>
      </c>
      <c r="H262" s="225" t="s">
        <v>7030</v>
      </c>
      <c r="I262" s="244" t="s">
        <v>1997</v>
      </c>
      <c r="J262" s="228" t="s">
        <v>22</v>
      </c>
      <c r="K262" s="225" t="s">
        <v>1243</v>
      </c>
      <c r="L262" s="225"/>
      <c r="M262" s="225" t="s">
        <v>7074</v>
      </c>
      <c r="N262" s="230"/>
      <c r="O262" s="229" t="s">
        <v>7075</v>
      </c>
      <c r="P262" s="322">
        <v>45488.0</v>
      </c>
      <c r="Q262" s="222"/>
      <c r="R262" s="222"/>
      <c r="S262" s="223"/>
      <c r="T262" s="223"/>
      <c r="U262" s="223"/>
      <c r="V262" s="223"/>
      <c r="W262" s="223"/>
      <c r="X262" s="223"/>
      <c r="Y262" s="223"/>
      <c r="Z262" s="223"/>
    </row>
    <row r="263" ht="15.75" customHeight="1">
      <c r="A263" s="225" t="s">
        <v>7050</v>
      </c>
      <c r="B263" s="225" t="s">
        <v>6458</v>
      </c>
      <c r="C263" s="225" t="s">
        <v>7076</v>
      </c>
      <c r="D263" s="229" t="s">
        <v>7021</v>
      </c>
      <c r="E263" s="225" t="s">
        <v>7077</v>
      </c>
      <c r="F263" s="225" t="s">
        <v>7030</v>
      </c>
      <c r="G263" s="225" t="s">
        <v>7030</v>
      </c>
      <c r="H263" s="225" t="s">
        <v>7030</v>
      </c>
      <c r="I263" s="240" t="s">
        <v>2404</v>
      </c>
      <c r="J263" s="248" t="s">
        <v>7078</v>
      </c>
      <c r="K263" s="248" t="s">
        <v>2405</v>
      </c>
      <c r="L263" s="225"/>
      <c r="M263" s="225" t="s">
        <v>7074</v>
      </c>
      <c r="N263" s="230"/>
      <c r="O263" s="229" t="s">
        <v>7079</v>
      </c>
      <c r="P263" s="322">
        <v>45495.0</v>
      </c>
      <c r="Q263" s="222"/>
      <c r="R263" s="222"/>
      <c r="S263" s="223"/>
      <c r="T263" s="223"/>
      <c r="U263" s="223"/>
      <c r="V263" s="223"/>
      <c r="W263" s="223"/>
      <c r="X263" s="223"/>
      <c r="Y263" s="223"/>
      <c r="Z263" s="223"/>
    </row>
    <row r="264" ht="15.75" customHeight="1">
      <c r="A264" s="225" t="s">
        <v>7080</v>
      </c>
      <c r="B264" s="225" t="s">
        <v>6458</v>
      </c>
      <c r="C264" s="225" t="s">
        <v>7081</v>
      </c>
      <c r="D264" s="225" t="s">
        <v>7082</v>
      </c>
      <c r="E264" s="225" t="s">
        <v>7083</v>
      </c>
      <c r="F264" s="225" t="s">
        <v>7030</v>
      </c>
      <c r="G264" s="225" t="s">
        <v>7030</v>
      </c>
      <c r="H264" s="225" t="s">
        <v>7030</v>
      </c>
      <c r="I264" s="317" t="s">
        <v>2430</v>
      </c>
      <c r="J264" s="225" t="s">
        <v>14</v>
      </c>
      <c r="K264" s="225" t="s">
        <v>2431</v>
      </c>
      <c r="L264" s="225"/>
      <c r="M264" s="225" t="s">
        <v>7074</v>
      </c>
      <c r="N264" s="230"/>
      <c r="O264" s="229" t="s">
        <v>7084</v>
      </c>
      <c r="P264" s="322">
        <v>45524.0</v>
      </c>
      <c r="Q264" s="222"/>
      <c r="R264" s="222"/>
      <c r="S264" s="223"/>
      <c r="T264" s="223"/>
      <c r="U264" s="223"/>
      <c r="V264" s="223"/>
      <c r="W264" s="223"/>
      <c r="X264" s="223"/>
      <c r="Y264" s="223"/>
      <c r="Z264" s="223"/>
    </row>
    <row r="265" ht="15.75" customHeight="1">
      <c r="A265" s="225" t="s">
        <v>7080</v>
      </c>
      <c r="B265" s="225" t="s">
        <v>6458</v>
      </c>
      <c r="C265" s="225" t="s">
        <v>7085</v>
      </c>
      <c r="D265" s="225" t="s">
        <v>7082</v>
      </c>
      <c r="E265" s="225" t="s">
        <v>7086</v>
      </c>
      <c r="F265" s="225" t="s">
        <v>7030</v>
      </c>
      <c r="G265" s="225" t="s">
        <v>7030</v>
      </c>
      <c r="H265" s="225" t="s">
        <v>7030</v>
      </c>
      <c r="I265" s="240" t="s">
        <v>7087</v>
      </c>
      <c r="J265" s="228" t="s">
        <v>4108</v>
      </c>
      <c r="K265" s="225" t="s">
        <v>726</v>
      </c>
      <c r="L265" s="225"/>
      <c r="M265" s="225" t="s">
        <v>7074</v>
      </c>
      <c r="N265" s="230"/>
      <c r="O265" s="229" t="s">
        <v>7088</v>
      </c>
      <c r="P265" s="322">
        <v>45527.0</v>
      </c>
      <c r="Q265" s="222"/>
      <c r="R265" s="222"/>
      <c r="S265" s="223"/>
      <c r="T265" s="223"/>
      <c r="U265" s="223"/>
      <c r="V265" s="223"/>
      <c r="W265" s="223"/>
      <c r="X265" s="223"/>
      <c r="Y265" s="223"/>
      <c r="Z265" s="223"/>
    </row>
    <row r="266" ht="15.75" customHeight="1">
      <c r="A266" s="225" t="s">
        <v>7080</v>
      </c>
      <c r="B266" s="225" t="s">
        <v>6458</v>
      </c>
      <c r="C266" s="225" t="s">
        <v>7089</v>
      </c>
      <c r="D266" s="225" t="s">
        <v>7082</v>
      </c>
      <c r="E266" s="225" t="s">
        <v>7090</v>
      </c>
      <c r="F266" s="225" t="s">
        <v>7030</v>
      </c>
      <c r="G266" s="225" t="s">
        <v>7030</v>
      </c>
      <c r="H266" s="225" t="s">
        <v>7030</v>
      </c>
      <c r="I266" s="240" t="s">
        <v>2289</v>
      </c>
      <c r="J266" s="228" t="s">
        <v>47</v>
      </c>
      <c r="K266" s="248" t="s">
        <v>2290</v>
      </c>
      <c r="L266" s="225"/>
      <c r="M266" s="225" t="s">
        <v>7074</v>
      </c>
      <c r="N266" s="230"/>
      <c r="O266" s="229" t="s">
        <v>7091</v>
      </c>
      <c r="P266" s="322">
        <v>45530.0</v>
      </c>
      <c r="Q266" s="222"/>
      <c r="R266" s="222"/>
      <c r="S266" s="223"/>
      <c r="T266" s="223"/>
      <c r="U266" s="223"/>
      <c r="V266" s="223"/>
      <c r="W266" s="223"/>
      <c r="X266" s="223"/>
      <c r="Y266" s="223"/>
      <c r="Z266" s="223"/>
    </row>
    <row r="267" ht="15.75" customHeight="1">
      <c r="A267" s="225" t="s">
        <v>7092</v>
      </c>
      <c r="B267" s="225" t="s">
        <v>6458</v>
      </c>
      <c r="C267" s="225" t="s">
        <v>7093</v>
      </c>
      <c r="D267" s="225" t="s">
        <v>7082</v>
      </c>
      <c r="E267" s="225" t="s">
        <v>7094</v>
      </c>
      <c r="F267" s="225" t="s">
        <v>7030</v>
      </c>
      <c r="G267" s="225" t="s">
        <v>7030</v>
      </c>
      <c r="H267" s="225" t="s">
        <v>7030</v>
      </c>
      <c r="I267" s="240" t="s">
        <v>1507</v>
      </c>
      <c r="J267" s="228" t="s">
        <v>6572</v>
      </c>
      <c r="K267" s="248" t="s">
        <v>7095</v>
      </c>
      <c r="L267" s="225"/>
      <c r="M267" s="225" t="s">
        <v>6951</v>
      </c>
      <c r="N267" s="229">
        <v>78.0</v>
      </c>
      <c r="O267" s="229" t="s">
        <v>7096</v>
      </c>
      <c r="P267" s="322">
        <v>45534.0</v>
      </c>
      <c r="Q267" s="222"/>
      <c r="R267" s="222"/>
      <c r="S267" s="223"/>
      <c r="T267" s="223"/>
      <c r="U267" s="223"/>
      <c r="V267" s="223"/>
      <c r="W267" s="223"/>
      <c r="X267" s="223"/>
      <c r="Y267" s="223"/>
      <c r="Z267" s="223"/>
    </row>
    <row r="268" ht="15.75" customHeight="1">
      <c r="A268" s="225" t="s">
        <v>7092</v>
      </c>
      <c r="B268" s="225" t="s">
        <v>6458</v>
      </c>
      <c r="C268" s="225" t="s">
        <v>7097</v>
      </c>
      <c r="D268" s="225" t="s">
        <v>7082</v>
      </c>
      <c r="E268" s="225" t="s">
        <v>7098</v>
      </c>
      <c r="F268" s="225" t="s">
        <v>7030</v>
      </c>
      <c r="G268" s="225" t="s">
        <v>7030</v>
      </c>
      <c r="H268" s="225" t="s">
        <v>7030</v>
      </c>
      <c r="I268" s="233" t="s">
        <v>2418</v>
      </c>
      <c r="J268" s="248" t="s">
        <v>7099</v>
      </c>
      <c r="K268" s="323" t="s">
        <v>7100</v>
      </c>
      <c r="L268" s="225"/>
      <c r="M268" s="225" t="s">
        <v>6951</v>
      </c>
      <c r="N268" s="229">
        <v>78.0</v>
      </c>
      <c r="O268" s="229" t="s">
        <v>7096</v>
      </c>
      <c r="P268" s="322">
        <v>45534.0</v>
      </c>
      <c r="Q268" s="222"/>
      <c r="R268" s="222"/>
      <c r="S268" s="223"/>
      <c r="T268" s="223"/>
      <c r="U268" s="223"/>
      <c r="V268" s="223"/>
      <c r="W268" s="223"/>
      <c r="X268" s="223"/>
      <c r="Y268" s="223"/>
      <c r="Z268" s="223"/>
    </row>
    <row r="269" ht="15.75" customHeight="1">
      <c r="A269" s="225" t="s">
        <v>7092</v>
      </c>
      <c r="B269" s="225" t="s">
        <v>6458</v>
      </c>
      <c r="C269" s="225" t="s">
        <v>7101</v>
      </c>
      <c r="D269" s="225" t="s">
        <v>7082</v>
      </c>
      <c r="E269" s="225" t="s">
        <v>7102</v>
      </c>
      <c r="F269" s="225" t="s">
        <v>7030</v>
      </c>
      <c r="G269" s="225" t="s">
        <v>7030</v>
      </c>
      <c r="H269" s="225" t="s">
        <v>7030</v>
      </c>
      <c r="I269" s="240" t="s">
        <v>7070</v>
      </c>
      <c r="J269" s="248" t="s">
        <v>33</v>
      </c>
      <c r="K269" s="248" t="s">
        <v>1380</v>
      </c>
      <c r="L269" s="225"/>
      <c r="M269" s="225" t="s">
        <v>6951</v>
      </c>
      <c r="N269" s="229">
        <v>78.0</v>
      </c>
      <c r="O269" s="229" t="s">
        <v>7096</v>
      </c>
      <c r="P269" s="322">
        <v>45534.0</v>
      </c>
      <c r="Q269" s="222"/>
      <c r="R269" s="222"/>
      <c r="S269" s="223"/>
      <c r="T269" s="223"/>
      <c r="U269" s="223"/>
      <c r="V269" s="223"/>
      <c r="W269" s="223"/>
      <c r="X269" s="223"/>
      <c r="Y269" s="223"/>
      <c r="Z269" s="223"/>
    </row>
    <row r="270" ht="15.75" customHeight="1">
      <c r="A270" s="225" t="s">
        <v>7092</v>
      </c>
      <c r="B270" s="225" t="s">
        <v>6458</v>
      </c>
      <c r="C270" s="225" t="s">
        <v>7103</v>
      </c>
      <c r="D270" s="225" t="s">
        <v>7082</v>
      </c>
      <c r="E270" s="225" t="s">
        <v>7104</v>
      </c>
      <c r="F270" s="225" t="s">
        <v>7030</v>
      </c>
      <c r="G270" s="225" t="s">
        <v>7030</v>
      </c>
      <c r="H270" s="225" t="s">
        <v>7030</v>
      </c>
      <c r="I270" s="240" t="s">
        <v>7105</v>
      </c>
      <c r="J270" s="248" t="s">
        <v>14</v>
      </c>
      <c r="K270" s="248" t="s">
        <v>1427</v>
      </c>
      <c r="L270" s="225"/>
      <c r="M270" s="225" t="s">
        <v>6951</v>
      </c>
      <c r="N270" s="229">
        <v>78.0</v>
      </c>
      <c r="O270" s="229" t="s">
        <v>7096</v>
      </c>
      <c r="P270" s="322">
        <v>45534.0</v>
      </c>
      <c r="Q270" s="222"/>
      <c r="R270" s="222"/>
      <c r="S270" s="223"/>
      <c r="T270" s="223"/>
      <c r="U270" s="223"/>
      <c r="V270" s="223"/>
      <c r="W270" s="223"/>
      <c r="X270" s="223"/>
      <c r="Y270" s="223"/>
      <c r="Z270" s="223"/>
    </row>
    <row r="271" ht="15.75" customHeight="1">
      <c r="A271" s="225" t="s">
        <v>7092</v>
      </c>
      <c r="B271" s="225" t="s">
        <v>6458</v>
      </c>
      <c r="C271" s="225">
        <v>8.69580057728082E14</v>
      </c>
      <c r="D271" s="225" t="s">
        <v>7082</v>
      </c>
      <c r="E271" s="225" t="s">
        <v>7106</v>
      </c>
      <c r="F271" s="225" t="s">
        <v>7030</v>
      </c>
      <c r="G271" s="225" t="s">
        <v>7030</v>
      </c>
      <c r="H271" s="225" t="s">
        <v>7030</v>
      </c>
      <c r="I271" s="240" t="s">
        <v>7107</v>
      </c>
      <c r="J271" s="248" t="s">
        <v>14</v>
      </c>
      <c r="K271" s="248" t="s">
        <v>7108</v>
      </c>
      <c r="L271" s="225"/>
      <c r="M271" s="225" t="s">
        <v>6951</v>
      </c>
      <c r="N271" s="229">
        <v>78.0</v>
      </c>
      <c r="O271" s="229" t="s">
        <v>7096</v>
      </c>
      <c r="P271" s="322">
        <v>45534.0</v>
      </c>
      <c r="Q271" s="222"/>
      <c r="R271" s="222"/>
      <c r="S271" s="223"/>
      <c r="T271" s="223"/>
      <c r="U271" s="223"/>
      <c r="V271" s="223"/>
      <c r="W271" s="223"/>
      <c r="X271" s="223"/>
      <c r="Y271" s="223"/>
      <c r="Z271" s="223"/>
    </row>
    <row r="272" ht="15.75" customHeight="1">
      <c r="A272" s="225" t="s">
        <v>7109</v>
      </c>
      <c r="B272" s="225" t="s">
        <v>6458</v>
      </c>
      <c r="C272" s="225" t="s">
        <v>7110</v>
      </c>
      <c r="D272" s="225" t="s">
        <v>7082</v>
      </c>
      <c r="E272" s="225" t="s">
        <v>7111</v>
      </c>
      <c r="F272" s="225" t="s">
        <v>7030</v>
      </c>
      <c r="G272" s="225" t="s">
        <v>7030</v>
      </c>
      <c r="H272" s="225" t="s">
        <v>7030</v>
      </c>
      <c r="I272" s="240" t="s">
        <v>7112</v>
      </c>
      <c r="J272" s="228" t="s">
        <v>6683</v>
      </c>
      <c r="K272" s="248" t="s">
        <v>2455</v>
      </c>
      <c r="L272" s="225"/>
      <c r="M272" s="225" t="s">
        <v>6772</v>
      </c>
      <c r="N272" s="248">
        <v>79.0</v>
      </c>
      <c r="O272" s="229" t="s">
        <v>7113</v>
      </c>
      <c r="P272" s="322">
        <v>45537.0</v>
      </c>
      <c r="Q272" s="222"/>
      <c r="R272" s="222"/>
      <c r="S272" s="223"/>
      <c r="T272" s="223"/>
      <c r="U272" s="223"/>
      <c r="V272" s="223"/>
      <c r="W272" s="223"/>
      <c r="X272" s="223"/>
      <c r="Y272" s="223"/>
      <c r="Z272" s="223"/>
    </row>
    <row r="273" ht="15.75" customHeight="1">
      <c r="A273" s="225" t="s">
        <v>7109</v>
      </c>
      <c r="B273" s="225" t="s">
        <v>6458</v>
      </c>
      <c r="C273" s="324" t="s">
        <v>7114</v>
      </c>
      <c r="D273" s="225" t="s">
        <v>7082</v>
      </c>
      <c r="E273" s="225" t="s">
        <v>7115</v>
      </c>
      <c r="F273" s="225" t="s">
        <v>7030</v>
      </c>
      <c r="G273" s="225" t="s">
        <v>7030</v>
      </c>
      <c r="H273" s="225" t="s">
        <v>7030</v>
      </c>
      <c r="I273" s="240" t="s">
        <v>7116</v>
      </c>
      <c r="J273" s="225" t="s">
        <v>4088</v>
      </c>
      <c r="K273" s="225" t="s">
        <v>1848</v>
      </c>
      <c r="L273" s="225"/>
      <c r="M273" s="225" t="s">
        <v>6772</v>
      </c>
      <c r="N273" s="248">
        <v>79.0</v>
      </c>
      <c r="O273" s="229" t="s">
        <v>7117</v>
      </c>
      <c r="P273" s="322">
        <v>45537.0</v>
      </c>
      <c r="Q273" s="222"/>
      <c r="R273" s="222"/>
      <c r="S273" s="223"/>
      <c r="T273" s="223"/>
      <c r="U273" s="223"/>
      <c r="V273" s="223"/>
      <c r="W273" s="223"/>
      <c r="X273" s="223"/>
      <c r="Y273" s="223"/>
      <c r="Z273" s="223"/>
    </row>
    <row r="274" ht="15.75" customHeight="1">
      <c r="A274" s="225" t="s">
        <v>7109</v>
      </c>
      <c r="B274" s="225" t="s">
        <v>6458</v>
      </c>
      <c r="C274" s="302" t="s">
        <v>7118</v>
      </c>
      <c r="D274" s="225" t="s">
        <v>7082</v>
      </c>
      <c r="E274" s="225" t="s">
        <v>7119</v>
      </c>
      <c r="F274" s="225" t="s">
        <v>6465</v>
      </c>
      <c r="G274" s="225" t="s">
        <v>6465</v>
      </c>
      <c r="H274" s="225" t="s">
        <v>6465</v>
      </c>
      <c r="I274" s="241" t="s">
        <v>1685</v>
      </c>
      <c r="J274" s="228" t="s">
        <v>6683</v>
      </c>
      <c r="K274" s="325" t="s">
        <v>1686</v>
      </c>
      <c r="L274" s="225"/>
      <c r="M274" s="225" t="s">
        <v>6772</v>
      </c>
      <c r="N274" s="248">
        <v>79.0</v>
      </c>
      <c r="O274" s="229" t="s">
        <v>7120</v>
      </c>
      <c r="P274" s="322">
        <v>45537.0</v>
      </c>
      <c r="Q274" s="222"/>
      <c r="R274" s="222"/>
      <c r="S274" s="223"/>
      <c r="T274" s="223"/>
      <c r="U274" s="223"/>
      <c r="V274" s="223"/>
      <c r="W274" s="223"/>
      <c r="X274" s="223"/>
      <c r="Y274" s="223"/>
      <c r="Z274" s="223"/>
    </row>
    <row r="275" ht="15.75" customHeight="1">
      <c r="A275" s="225" t="s">
        <v>7109</v>
      </c>
      <c r="B275" s="225" t="s">
        <v>6458</v>
      </c>
      <c r="C275" s="225" t="s">
        <v>7121</v>
      </c>
      <c r="D275" s="225" t="s">
        <v>7082</v>
      </c>
      <c r="E275" s="225" t="s">
        <v>7122</v>
      </c>
      <c r="F275" s="225" t="s">
        <v>6465</v>
      </c>
      <c r="G275" s="225" t="s">
        <v>6465</v>
      </c>
      <c r="H275" s="225" t="s">
        <v>6465</v>
      </c>
      <c r="I275" s="240" t="s">
        <v>2449</v>
      </c>
      <c r="J275" s="248" t="s">
        <v>14</v>
      </c>
      <c r="K275" s="248" t="s">
        <v>1094</v>
      </c>
      <c r="L275" s="225"/>
      <c r="M275" s="225" t="s">
        <v>6772</v>
      </c>
      <c r="N275" s="248">
        <v>79.0</v>
      </c>
      <c r="O275" s="229" t="s">
        <v>7123</v>
      </c>
      <c r="P275" s="322">
        <v>45537.0</v>
      </c>
      <c r="Q275" s="222"/>
      <c r="R275" s="222"/>
      <c r="S275" s="223"/>
      <c r="T275" s="223"/>
      <c r="U275" s="223"/>
      <c r="V275" s="223"/>
      <c r="W275" s="223"/>
      <c r="X275" s="223"/>
      <c r="Y275" s="223"/>
      <c r="Z275" s="223"/>
    </row>
    <row r="276" ht="15.75" customHeight="1">
      <c r="A276" s="225" t="s">
        <v>7124</v>
      </c>
      <c r="B276" s="225" t="s">
        <v>6458</v>
      </c>
      <c r="C276" s="302" t="s">
        <v>7125</v>
      </c>
      <c r="D276" s="225" t="s">
        <v>7082</v>
      </c>
      <c r="E276" s="225" t="s">
        <v>7126</v>
      </c>
      <c r="F276" s="225" t="s">
        <v>6465</v>
      </c>
      <c r="G276" s="225" t="s">
        <v>6465</v>
      </c>
      <c r="H276" s="225" t="s">
        <v>6465</v>
      </c>
      <c r="I276" s="240" t="s">
        <v>7127</v>
      </c>
      <c r="J276" s="228" t="s">
        <v>6683</v>
      </c>
      <c r="K276" s="225" t="s">
        <v>1713</v>
      </c>
      <c r="L276" s="225"/>
      <c r="M276" s="225" t="s">
        <v>6951</v>
      </c>
      <c r="N276" s="248">
        <v>79.0</v>
      </c>
      <c r="O276" s="229" t="s">
        <v>7128</v>
      </c>
      <c r="P276" s="322">
        <v>45537.0</v>
      </c>
      <c r="Q276" s="222"/>
      <c r="R276" s="222"/>
      <c r="S276" s="223"/>
      <c r="T276" s="223"/>
      <c r="U276" s="223"/>
      <c r="V276" s="223"/>
      <c r="W276" s="223"/>
      <c r="X276" s="223"/>
      <c r="Y276" s="223"/>
      <c r="Z276" s="223"/>
    </row>
    <row r="277" ht="15.75" customHeight="1">
      <c r="A277" s="225" t="s">
        <v>7124</v>
      </c>
      <c r="B277" s="225" t="s">
        <v>6458</v>
      </c>
      <c r="C277" s="302" t="s">
        <v>7129</v>
      </c>
      <c r="D277" s="225" t="s">
        <v>7082</v>
      </c>
      <c r="E277" s="225" t="s">
        <v>7130</v>
      </c>
      <c r="F277" s="225" t="s">
        <v>6465</v>
      </c>
      <c r="G277" s="225" t="s">
        <v>6465</v>
      </c>
      <c r="H277" s="225" t="s">
        <v>6465</v>
      </c>
      <c r="I277" s="233" t="s">
        <v>2243</v>
      </c>
      <c r="J277" s="248" t="s">
        <v>14</v>
      </c>
      <c r="K277" s="225" t="s">
        <v>2244</v>
      </c>
      <c r="L277" s="225"/>
      <c r="M277" s="225"/>
      <c r="N277" s="248">
        <v>79.0</v>
      </c>
      <c r="O277" s="229" t="s">
        <v>7131</v>
      </c>
      <c r="P277" s="322">
        <v>45537.0</v>
      </c>
      <c r="Q277" s="222"/>
      <c r="R277" s="222"/>
      <c r="S277" s="223"/>
      <c r="T277" s="223"/>
      <c r="U277" s="223"/>
      <c r="V277" s="223"/>
      <c r="W277" s="223"/>
      <c r="X277" s="223"/>
      <c r="Y277" s="223"/>
      <c r="Z277" s="223"/>
    </row>
    <row r="278" ht="15.75" customHeight="1">
      <c r="A278" s="225" t="s">
        <v>7124</v>
      </c>
      <c r="B278" s="225" t="s">
        <v>6458</v>
      </c>
      <c r="C278" s="225" t="s">
        <v>7132</v>
      </c>
      <c r="D278" s="225" t="s">
        <v>7082</v>
      </c>
      <c r="E278" s="225" t="s">
        <v>7133</v>
      </c>
      <c r="F278" s="225" t="s">
        <v>6465</v>
      </c>
      <c r="G278" s="225" t="s">
        <v>6465</v>
      </c>
      <c r="H278" s="225" t="s">
        <v>6465</v>
      </c>
      <c r="I278" s="240" t="s">
        <v>7134</v>
      </c>
      <c r="J278" s="228" t="s">
        <v>39</v>
      </c>
      <c r="K278" s="225" t="s">
        <v>1534</v>
      </c>
      <c r="L278" s="225"/>
      <c r="M278" s="225" t="s">
        <v>6951</v>
      </c>
      <c r="N278" s="248">
        <v>79.0</v>
      </c>
      <c r="O278" s="229" t="s">
        <v>7135</v>
      </c>
      <c r="P278" s="322">
        <v>45537.0</v>
      </c>
      <c r="Q278" s="222"/>
      <c r="R278" s="222"/>
      <c r="S278" s="223"/>
      <c r="T278" s="223"/>
      <c r="U278" s="223"/>
      <c r="V278" s="223"/>
      <c r="W278" s="223"/>
      <c r="X278" s="223"/>
      <c r="Y278" s="223"/>
      <c r="Z278" s="223"/>
    </row>
    <row r="279" ht="15.75" customHeight="1">
      <c r="A279" s="225" t="s">
        <v>7124</v>
      </c>
      <c r="B279" s="225" t="s">
        <v>6458</v>
      </c>
      <c r="C279" s="225" t="s">
        <v>7136</v>
      </c>
      <c r="D279" s="225" t="s">
        <v>7082</v>
      </c>
      <c r="E279" s="225" t="s">
        <v>7137</v>
      </c>
      <c r="F279" s="225" t="s">
        <v>6465</v>
      </c>
      <c r="G279" s="225" t="s">
        <v>6465</v>
      </c>
      <c r="H279" s="225" t="s">
        <v>6465</v>
      </c>
      <c r="I279" s="326" t="s">
        <v>1834</v>
      </c>
      <c r="J279" s="248" t="s">
        <v>14</v>
      </c>
      <c r="K279" s="225" t="s">
        <v>7138</v>
      </c>
      <c r="L279" s="225"/>
      <c r="M279" s="225" t="s">
        <v>6951</v>
      </c>
      <c r="N279" s="248">
        <v>79.0</v>
      </c>
      <c r="O279" s="229" t="s">
        <v>7139</v>
      </c>
      <c r="P279" s="322">
        <v>45537.0</v>
      </c>
      <c r="Q279" s="222"/>
      <c r="R279" s="222"/>
      <c r="S279" s="223"/>
      <c r="T279" s="223"/>
      <c r="U279" s="223"/>
      <c r="V279" s="223"/>
      <c r="W279" s="223"/>
      <c r="X279" s="223"/>
      <c r="Y279" s="223"/>
      <c r="Z279" s="223"/>
    </row>
    <row r="280" ht="15.75" customHeight="1">
      <c r="A280" s="327" t="s">
        <v>7140</v>
      </c>
      <c r="B280" s="225" t="s">
        <v>6458</v>
      </c>
      <c r="C280" s="225" t="s">
        <v>7141</v>
      </c>
      <c r="D280" s="225" t="s">
        <v>7082</v>
      </c>
      <c r="E280" s="225" t="s">
        <v>7142</v>
      </c>
      <c r="F280" s="225" t="s">
        <v>6465</v>
      </c>
      <c r="G280" s="225" t="s">
        <v>6465</v>
      </c>
      <c r="H280" s="225" t="s">
        <v>6465</v>
      </c>
      <c r="I280" s="248" t="s">
        <v>2496</v>
      </c>
      <c r="J280" s="228" t="s">
        <v>47</v>
      </c>
      <c r="K280" s="248" t="s">
        <v>2497</v>
      </c>
      <c r="L280" s="225"/>
      <c r="M280" s="225" t="s">
        <v>6951</v>
      </c>
      <c r="N280" s="248">
        <v>79.0</v>
      </c>
      <c r="O280" s="229" t="s">
        <v>7143</v>
      </c>
      <c r="P280" s="322">
        <v>45537.0</v>
      </c>
      <c r="Q280" s="222"/>
      <c r="R280" s="222"/>
      <c r="S280" s="223"/>
      <c r="T280" s="223"/>
      <c r="U280" s="223"/>
      <c r="V280" s="223"/>
      <c r="W280" s="223"/>
      <c r="X280" s="223"/>
      <c r="Y280" s="223"/>
      <c r="Z280" s="223"/>
    </row>
    <row r="281" ht="15.75" customHeight="1">
      <c r="A281" s="327" t="s">
        <v>7140</v>
      </c>
      <c r="B281" s="225" t="s">
        <v>6458</v>
      </c>
      <c r="C281" s="225" t="s">
        <v>7144</v>
      </c>
      <c r="D281" s="225" t="s">
        <v>7082</v>
      </c>
      <c r="E281" s="225" t="s">
        <v>7145</v>
      </c>
      <c r="F281" s="225" t="s">
        <v>6465</v>
      </c>
      <c r="G281" s="225" t="s">
        <v>6465</v>
      </c>
      <c r="H281" s="225" t="s">
        <v>6465</v>
      </c>
      <c r="I281" s="240" t="s">
        <v>7146</v>
      </c>
      <c r="J281" s="225" t="s">
        <v>14</v>
      </c>
      <c r="K281" s="248" t="s">
        <v>7147</v>
      </c>
      <c r="L281" s="225"/>
      <c r="M281" s="225" t="s">
        <v>6951</v>
      </c>
      <c r="N281" s="248">
        <v>79.0</v>
      </c>
      <c r="O281" s="229" t="s">
        <v>7148</v>
      </c>
      <c r="P281" s="322">
        <v>45537.0</v>
      </c>
      <c r="Q281" s="222"/>
      <c r="R281" s="222"/>
      <c r="S281" s="223"/>
      <c r="T281" s="223"/>
      <c r="U281" s="223"/>
      <c r="V281" s="223"/>
      <c r="W281" s="223"/>
      <c r="X281" s="223"/>
      <c r="Y281" s="223"/>
      <c r="Z281" s="223"/>
    </row>
    <row r="282" ht="15.75" customHeight="1">
      <c r="A282" s="327" t="s">
        <v>7140</v>
      </c>
      <c r="B282" s="225" t="s">
        <v>6458</v>
      </c>
      <c r="C282" s="225" t="s">
        <v>7149</v>
      </c>
      <c r="D282" s="225" t="s">
        <v>7082</v>
      </c>
      <c r="E282" s="225" t="s">
        <v>7150</v>
      </c>
      <c r="F282" s="225" t="s">
        <v>6465</v>
      </c>
      <c r="G282" s="225" t="s">
        <v>6465</v>
      </c>
      <c r="H282" s="225" t="s">
        <v>6465</v>
      </c>
      <c r="I282" s="227" t="s">
        <v>2081</v>
      </c>
      <c r="J282" s="225" t="s">
        <v>14</v>
      </c>
      <c r="K282" s="225" t="s">
        <v>1479</v>
      </c>
      <c r="L282" s="225"/>
      <c r="M282" s="225" t="s">
        <v>6951</v>
      </c>
      <c r="N282" s="248">
        <v>79.0</v>
      </c>
      <c r="O282" s="229" t="s">
        <v>7151</v>
      </c>
      <c r="P282" s="322">
        <v>45537.0</v>
      </c>
      <c r="Q282" s="222"/>
      <c r="R282" s="222"/>
      <c r="S282" s="223"/>
      <c r="T282" s="223"/>
      <c r="U282" s="223"/>
      <c r="V282" s="223"/>
      <c r="W282" s="223"/>
      <c r="X282" s="223"/>
      <c r="Y282" s="223"/>
      <c r="Z282" s="223"/>
    </row>
    <row r="283" ht="15.75" customHeight="1">
      <c r="A283" s="327" t="s">
        <v>7140</v>
      </c>
      <c r="B283" s="225" t="s">
        <v>6458</v>
      </c>
      <c r="C283" s="302" t="s">
        <v>7152</v>
      </c>
      <c r="D283" s="225" t="s">
        <v>7082</v>
      </c>
      <c r="E283" s="225" t="s">
        <v>7153</v>
      </c>
      <c r="F283" s="225" t="s">
        <v>6465</v>
      </c>
      <c r="G283" s="225" t="s">
        <v>6465</v>
      </c>
      <c r="H283" s="225" t="s">
        <v>6465</v>
      </c>
      <c r="I283" s="241" t="s">
        <v>7154</v>
      </c>
      <c r="J283" s="225" t="s">
        <v>14</v>
      </c>
      <c r="K283" s="225" t="s">
        <v>1423</v>
      </c>
      <c r="L283" s="225"/>
      <c r="M283" s="225" t="s">
        <v>6951</v>
      </c>
      <c r="N283" s="248">
        <v>79.0</v>
      </c>
      <c r="O283" s="229" t="s">
        <v>7155</v>
      </c>
      <c r="P283" s="322">
        <v>45537.0</v>
      </c>
      <c r="Q283" s="222"/>
      <c r="R283" s="222"/>
      <c r="S283" s="223"/>
      <c r="T283" s="223"/>
      <c r="U283" s="223"/>
      <c r="V283" s="223"/>
      <c r="W283" s="223"/>
      <c r="X283" s="223"/>
      <c r="Y283" s="223"/>
      <c r="Z283" s="223"/>
    </row>
    <row r="284" ht="15.75" customHeight="1">
      <c r="A284" s="225" t="s">
        <v>7156</v>
      </c>
      <c r="B284" s="225" t="s">
        <v>6458</v>
      </c>
      <c r="C284" s="225" t="s">
        <v>7157</v>
      </c>
      <c r="D284" s="225" t="s">
        <v>7082</v>
      </c>
      <c r="E284" s="225" t="s">
        <v>7158</v>
      </c>
      <c r="F284" s="225" t="s">
        <v>6465</v>
      </c>
      <c r="G284" s="225" t="s">
        <v>6465</v>
      </c>
      <c r="H284" s="225" t="s">
        <v>6465</v>
      </c>
      <c r="I284" s="241" t="s">
        <v>7159</v>
      </c>
      <c r="J284" s="228" t="s">
        <v>7160</v>
      </c>
      <c r="K284" s="241" t="s">
        <v>2386</v>
      </c>
      <c r="L284" s="225"/>
      <c r="M284" s="225" t="s">
        <v>7161</v>
      </c>
      <c r="N284" s="229">
        <v>77.0</v>
      </c>
      <c r="O284" s="229" t="s">
        <v>7162</v>
      </c>
      <c r="P284" s="322">
        <v>45538.0</v>
      </c>
      <c r="Q284" s="222"/>
      <c r="R284" s="222"/>
      <c r="S284" s="223"/>
      <c r="T284" s="223"/>
      <c r="U284" s="223"/>
      <c r="V284" s="223"/>
      <c r="W284" s="223"/>
      <c r="X284" s="223"/>
      <c r="Y284" s="223"/>
      <c r="Z284" s="223"/>
    </row>
    <row r="285" ht="15.75" customHeight="1">
      <c r="A285" s="225" t="s">
        <v>7156</v>
      </c>
      <c r="B285" s="225" t="s">
        <v>6458</v>
      </c>
      <c r="C285" s="225" t="s">
        <v>7163</v>
      </c>
      <c r="D285" s="225" t="s">
        <v>7082</v>
      </c>
      <c r="E285" s="225" t="s">
        <v>7164</v>
      </c>
      <c r="F285" s="225" t="s">
        <v>6465</v>
      </c>
      <c r="G285" s="225" t="s">
        <v>6465</v>
      </c>
      <c r="H285" s="225" t="s">
        <v>6465</v>
      </c>
      <c r="I285" s="233" t="s">
        <v>2249</v>
      </c>
      <c r="J285" s="228" t="s">
        <v>4108</v>
      </c>
      <c r="K285" s="228" t="s">
        <v>2250</v>
      </c>
      <c r="L285" s="227" t="s">
        <v>1906</v>
      </c>
      <c r="M285" s="225" t="s">
        <v>7161</v>
      </c>
      <c r="N285" s="229">
        <v>77.0</v>
      </c>
      <c r="O285" s="229" t="s">
        <v>7162</v>
      </c>
      <c r="P285" s="322">
        <v>45538.0</v>
      </c>
      <c r="Q285" s="222"/>
      <c r="R285" s="222"/>
      <c r="S285" s="223"/>
      <c r="T285" s="223"/>
      <c r="U285" s="223"/>
      <c r="V285" s="223"/>
      <c r="W285" s="223"/>
      <c r="X285" s="223"/>
      <c r="Y285" s="223"/>
      <c r="Z285" s="223"/>
    </row>
    <row r="286" ht="15.75" customHeight="1">
      <c r="A286" s="225" t="s">
        <v>7156</v>
      </c>
      <c r="B286" s="225" t="s">
        <v>6458</v>
      </c>
      <c r="C286" s="225" t="s">
        <v>7165</v>
      </c>
      <c r="D286" s="225" t="s">
        <v>7082</v>
      </c>
      <c r="E286" s="225" t="s">
        <v>7166</v>
      </c>
      <c r="F286" s="225" t="s">
        <v>6465</v>
      </c>
      <c r="G286" s="225" t="s">
        <v>6465</v>
      </c>
      <c r="H286" s="225" t="s">
        <v>6465</v>
      </c>
      <c r="I286" s="233" t="s">
        <v>912</v>
      </c>
      <c r="J286" s="228" t="s">
        <v>7160</v>
      </c>
      <c r="K286" s="225" t="s">
        <v>913</v>
      </c>
      <c r="L286" s="225"/>
      <c r="M286" s="225" t="s">
        <v>7161</v>
      </c>
      <c r="N286" s="229">
        <v>77.0</v>
      </c>
      <c r="O286" s="229" t="s">
        <v>7162</v>
      </c>
      <c r="P286" s="322">
        <v>45538.0</v>
      </c>
      <c r="Q286" s="222"/>
      <c r="R286" s="222"/>
      <c r="S286" s="223"/>
      <c r="T286" s="223"/>
      <c r="U286" s="223"/>
      <c r="V286" s="223"/>
      <c r="W286" s="223"/>
      <c r="X286" s="223"/>
      <c r="Y286" s="223"/>
      <c r="Z286" s="223"/>
    </row>
    <row r="287" ht="15.75" customHeight="1">
      <c r="A287" s="225" t="s">
        <v>7156</v>
      </c>
      <c r="B287" s="225" t="s">
        <v>6458</v>
      </c>
      <c r="C287" s="225" t="s">
        <v>7167</v>
      </c>
      <c r="D287" s="225" t="s">
        <v>7082</v>
      </c>
      <c r="E287" s="225" t="s">
        <v>7168</v>
      </c>
      <c r="F287" s="225" t="s">
        <v>6465</v>
      </c>
      <c r="G287" s="225" t="s">
        <v>6465</v>
      </c>
      <c r="H287" s="225" t="s">
        <v>6465</v>
      </c>
      <c r="I287" s="248" t="s">
        <v>7169</v>
      </c>
      <c r="J287" s="241" t="s">
        <v>1471</v>
      </c>
      <c r="K287" s="248" t="s">
        <v>1336</v>
      </c>
      <c r="L287" s="225"/>
      <c r="M287" s="225" t="s">
        <v>7161</v>
      </c>
      <c r="N287" s="229">
        <v>77.0</v>
      </c>
      <c r="O287" s="229" t="s">
        <v>7162</v>
      </c>
      <c r="P287" s="322">
        <v>45538.0</v>
      </c>
      <c r="Q287" s="222"/>
      <c r="R287" s="222"/>
      <c r="S287" s="223"/>
      <c r="T287" s="223"/>
      <c r="U287" s="223"/>
      <c r="V287" s="223"/>
      <c r="W287" s="223"/>
      <c r="X287" s="223"/>
      <c r="Y287" s="223"/>
      <c r="Z287" s="223"/>
    </row>
    <row r="288" ht="15.75" customHeight="1">
      <c r="A288" s="225" t="s">
        <v>7156</v>
      </c>
      <c r="B288" s="225" t="s">
        <v>6458</v>
      </c>
      <c r="C288" s="225" t="s">
        <v>7170</v>
      </c>
      <c r="D288" s="225" t="s">
        <v>7082</v>
      </c>
      <c r="E288" s="225" t="s">
        <v>7171</v>
      </c>
      <c r="F288" s="225" t="s">
        <v>6465</v>
      </c>
      <c r="G288" s="225" t="s">
        <v>6465</v>
      </c>
      <c r="H288" s="225" t="s">
        <v>6465</v>
      </c>
      <c r="I288" s="248" t="s">
        <v>7172</v>
      </c>
      <c r="J288" s="241" t="s">
        <v>1471</v>
      </c>
      <c r="K288" s="248" t="s">
        <v>2302</v>
      </c>
      <c r="L288" s="225"/>
      <c r="M288" s="225" t="s">
        <v>7161</v>
      </c>
      <c r="N288" s="229">
        <v>77.0</v>
      </c>
      <c r="O288" s="229" t="s">
        <v>7162</v>
      </c>
      <c r="P288" s="322">
        <v>45538.0</v>
      </c>
      <c r="Q288" s="222"/>
      <c r="R288" s="222"/>
      <c r="S288" s="223"/>
      <c r="T288" s="223"/>
      <c r="U288" s="223"/>
      <c r="V288" s="223"/>
      <c r="W288" s="223"/>
      <c r="X288" s="223"/>
      <c r="Y288" s="223"/>
      <c r="Z288" s="223"/>
    </row>
    <row r="289" ht="15.75" customHeight="1">
      <c r="A289" s="225" t="s">
        <v>7156</v>
      </c>
      <c r="B289" s="225" t="s">
        <v>6458</v>
      </c>
      <c r="C289" s="225" t="s">
        <v>7173</v>
      </c>
      <c r="D289" s="225" t="s">
        <v>7082</v>
      </c>
      <c r="E289" s="225" t="s">
        <v>7174</v>
      </c>
      <c r="F289" s="225" t="s">
        <v>6465</v>
      </c>
      <c r="G289" s="225" t="s">
        <v>6465</v>
      </c>
      <c r="H289" s="225" t="s">
        <v>6465</v>
      </c>
      <c r="I289" s="240" t="s">
        <v>1706</v>
      </c>
      <c r="J289" s="241" t="s">
        <v>1471</v>
      </c>
      <c r="K289" s="328" t="s">
        <v>1187</v>
      </c>
      <c r="L289" s="225" t="s">
        <v>7175</v>
      </c>
      <c r="M289" s="225" t="s">
        <v>7161</v>
      </c>
      <c r="N289" s="229">
        <v>77.0</v>
      </c>
      <c r="O289" s="229" t="s">
        <v>7162</v>
      </c>
      <c r="P289" s="322">
        <v>45538.0</v>
      </c>
      <c r="Q289" s="222"/>
      <c r="R289" s="222"/>
      <c r="S289" s="223"/>
      <c r="T289" s="223"/>
      <c r="U289" s="223"/>
      <c r="V289" s="223"/>
      <c r="W289" s="223"/>
      <c r="X289" s="223"/>
      <c r="Y289" s="223"/>
      <c r="Z289" s="223"/>
    </row>
    <row r="290" ht="15.75" customHeight="1">
      <c r="A290" s="225" t="s">
        <v>7156</v>
      </c>
      <c r="B290" s="225" t="s">
        <v>6458</v>
      </c>
      <c r="C290" s="225" t="s">
        <v>7176</v>
      </c>
      <c r="D290" s="225" t="s">
        <v>7082</v>
      </c>
      <c r="E290" s="225" t="s">
        <v>7177</v>
      </c>
      <c r="F290" s="225" t="s">
        <v>6465</v>
      </c>
      <c r="G290" s="225" t="s">
        <v>6465</v>
      </c>
      <c r="H290" s="225" t="s">
        <v>6465</v>
      </c>
      <c r="I290" s="317" t="s">
        <v>2460</v>
      </c>
      <c r="J290" s="241" t="s">
        <v>1471</v>
      </c>
      <c r="K290" s="323" t="s">
        <v>7178</v>
      </c>
      <c r="L290" s="225"/>
      <c r="M290" s="225" t="s">
        <v>7161</v>
      </c>
      <c r="N290" s="229">
        <v>77.0</v>
      </c>
      <c r="O290" s="229" t="s">
        <v>7162</v>
      </c>
      <c r="P290" s="322">
        <v>45538.0</v>
      </c>
      <c r="Q290" s="222"/>
      <c r="R290" s="222"/>
      <c r="S290" s="223"/>
      <c r="T290" s="223"/>
      <c r="U290" s="223"/>
      <c r="V290" s="223"/>
      <c r="W290" s="223"/>
      <c r="X290" s="223"/>
      <c r="Y290" s="223"/>
      <c r="Z290" s="223"/>
    </row>
    <row r="291" ht="15.75" customHeight="1">
      <c r="A291" s="225" t="s">
        <v>7156</v>
      </c>
      <c r="B291" s="225" t="s">
        <v>6458</v>
      </c>
      <c r="C291" s="225" t="s">
        <v>7179</v>
      </c>
      <c r="D291" s="225" t="s">
        <v>7082</v>
      </c>
      <c r="E291" s="225" t="s">
        <v>7180</v>
      </c>
      <c r="F291" s="225" t="s">
        <v>6465</v>
      </c>
      <c r="G291" s="225" t="s">
        <v>6465</v>
      </c>
      <c r="H291" s="225" t="s">
        <v>6465</v>
      </c>
      <c r="I291" s="317" t="s">
        <v>2462</v>
      </c>
      <c r="J291" s="241" t="s">
        <v>1471</v>
      </c>
      <c r="K291" s="323" t="s">
        <v>7181</v>
      </c>
      <c r="L291" s="225"/>
      <c r="M291" s="225" t="s">
        <v>7161</v>
      </c>
      <c r="N291" s="229">
        <v>77.0</v>
      </c>
      <c r="O291" s="229" t="s">
        <v>7162</v>
      </c>
      <c r="P291" s="322">
        <v>45538.0</v>
      </c>
      <c r="Q291" s="222"/>
      <c r="R291" s="222"/>
      <c r="S291" s="223"/>
      <c r="T291" s="223"/>
      <c r="U291" s="223"/>
      <c r="V291" s="223"/>
      <c r="W291" s="223"/>
      <c r="X291" s="223"/>
      <c r="Y291" s="223"/>
      <c r="Z291" s="223"/>
    </row>
    <row r="292" ht="15.75" customHeight="1">
      <c r="A292" s="225" t="s">
        <v>7156</v>
      </c>
      <c r="B292" s="225" t="s">
        <v>6458</v>
      </c>
      <c r="C292" s="225" t="s">
        <v>7182</v>
      </c>
      <c r="D292" s="225" t="s">
        <v>7082</v>
      </c>
      <c r="E292" s="225" t="s">
        <v>7183</v>
      </c>
      <c r="F292" s="225" t="s">
        <v>6465</v>
      </c>
      <c r="G292" s="225" t="s">
        <v>6465</v>
      </c>
      <c r="H292" s="225" t="s">
        <v>6465</v>
      </c>
      <c r="I292" s="329" t="s">
        <v>1637</v>
      </c>
      <c r="J292" s="241" t="s">
        <v>1471</v>
      </c>
      <c r="K292" s="323" t="s">
        <v>7184</v>
      </c>
      <c r="L292" s="225"/>
      <c r="M292" s="225" t="s">
        <v>7161</v>
      </c>
      <c r="N292" s="229">
        <v>77.0</v>
      </c>
      <c r="O292" s="229" t="s">
        <v>7162</v>
      </c>
      <c r="P292" s="322">
        <v>45538.0</v>
      </c>
      <c r="Q292" s="222"/>
      <c r="R292" s="222"/>
      <c r="S292" s="223"/>
      <c r="T292" s="223"/>
      <c r="U292" s="223"/>
      <c r="V292" s="223"/>
      <c r="W292" s="223"/>
      <c r="X292" s="223"/>
      <c r="Y292" s="223"/>
      <c r="Z292" s="223"/>
    </row>
    <row r="293" ht="15.75" customHeight="1">
      <c r="A293" s="225" t="s">
        <v>7156</v>
      </c>
      <c r="B293" s="225" t="s">
        <v>6458</v>
      </c>
      <c r="C293" s="225" t="s">
        <v>7185</v>
      </c>
      <c r="D293" s="225" t="s">
        <v>7082</v>
      </c>
      <c r="E293" s="225" t="s">
        <v>7186</v>
      </c>
      <c r="F293" s="225" t="s">
        <v>6465</v>
      </c>
      <c r="G293" s="225" t="s">
        <v>6465</v>
      </c>
      <c r="H293" s="225" t="s">
        <v>6465</v>
      </c>
      <c r="I293" s="248" t="s">
        <v>7187</v>
      </c>
      <c r="J293" s="241" t="s">
        <v>1471</v>
      </c>
      <c r="K293" s="248" t="s">
        <v>1503</v>
      </c>
      <c r="L293" s="225"/>
      <c r="M293" s="225" t="s">
        <v>7161</v>
      </c>
      <c r="N293" s="229">
        <v>77.0</v>
      </c>
      <c r="O293" s="229" t="s">
        <v>7162</v>
      </c>
      <c r="P293" s="322">
        <v>45538.0</v>
      </c>
      <c r="Q293" s="222"/>
      <c r="R293" s="222"/>
      <c r="S293" s="223"/>
      <c r="T293" s="223"/>
      <c r="U293" s="223"/>
      <c r="V293" s="223"/>
      <c r="W293" s="223"/>
      <c r="X293" s="223"/>
      <c r="Y293" s="223"/>
      <c r="Z293" s="223"/>
    </row>
    <row r="294" ht="15.75" customHeight="1">
      <c r="A294" s="225" t="s">
        <v>7156</v>
      </c>
      <c r="B294" s="225" t="s">
        <v>6458</v>
      </c>
      <c r="C294" s="225" t="s">
        <v>7188</v>
      </c>
      <c r="D294" s="225" t="s">
        <v>7082</v>
      </c>
      <c r="E294" s="225" t="s">
        <v>7189</v>
      </c>
      <c r="F294" s="330" t="s">
        <v>6466</v>
      </c>
      <c r="G294" s="330" t="s">
        <v>6466</v>
      </c>
      <c r="H294" s="225" t="s">
        <v>6465</v>
      </c>
      <c r="I294" s="248" t="s">
        <v>6948</v>
      </c>
      <c r="J294" s="241" t="s">
        <v>1471</v>
      </c>
      <c r="K294" s="248" t="s">
        <v>1819</v>
      </c>
      <c r="L294" s="225"/>
      <c r="M294" s="225" t="s">
        <v>7161</v>
      </c>
      <c r="N294" s="229">
        <v>77.0</v>
      </c>
      <c r="O294" s="229" t="s">
        <v>7162</v>
      </c>
      <c r="P294" s="322">
        <v>45538.0</v>
      </c>
      <c r="Q294" s="222"/>
      <c r="R294" s="222"/>
      <c r="S294" s="223"/>
      <c r="T294" s="223"/>
      <c r="U294" s="223"/>
      <c r="V294" s="223"/>
      <c r="W294" s="223"/>
      <c r="X294" s="223"/>
      <c r="Y294" s="223"/>
      <c r="Z294" s="223"/>
    </row>
    <row r="295" ht="15.75" customHeight="1">
      <c r="A295" s="225" t="s">
        <v>7156</v>
      </c>
      <c r="B295" s="225" t="s">
        <v>6458</v>
      </c>
      <c r="C295" s="225" t="s">
        <v>7190</v>
      </c>
      <c r="D295" s="225" t="s">
        <v>7082</v>
      </c>
      <c r="E295" s="225" t="s">
        <v>7191</v>
      </c>
      <c r="F295" s="225" t="s">
        <v>6465</v>
      </c>
      <c r="G295" s="225" t="s">
        <v>6465</v>
      </c>
      <c r="H295" s="225" t="s">
        <v>6465</v>
      </c>
      <c r="I295" s="248" t="s">
        <v>7192</v>
      </c>
      <c r="J295" s="241" t="s">
        <v>1471</v>
      </c>
      <c r="K295" s="248" t="s">
        <v>1789</v>
      </c>
      <c r="L295" s="225"/>
      <c r="M295" s="225" t="s">
        <v>7161</v>
      </c>
      <c r="N295" s="229">
        <v>77.0</v>
      </c>
      <c r="O295" s="229" t="s">
        <v>7162</v>
      </c>
      <c r="P295" s="322">
        <v>45538.0</v>
      </c>
      <c r="Q295" s="222"/>
      <c r="R295" s="222"/>
      <c r="S295" s="223"/>
      <c r="T295" s="223"/>
      <c r="U295" s="223"/>
      <c r="V295" s="223"/>
      <c r="W295" s="223"/>
      <c r="X295" s="223"/>
      <c r="Y295" s="223"/>
      <c r="Z295" s="223"/>
    </row>
    <row r="296" ht="15.75" customHeight="1">
      <c r="A296" s="225" t="s">
        <v>7156</v>
      </c>
      <c r="B296" s="225" t="s">
        <v>6458</v>
      </c>
      <c r="C296" s="225" t="s">
        <v>7193</v>
      </c>
      <c r="D296" s="225" t="s">
        <v>7082</v>
      </c>
      <c r="E296" s="225" t="s">
        <v>7194</v>
      </c>
      <c r="F296" s="225" t="s">
        <v>6465</v>
      </c>
      <c r="G296" s="225" t="s">
        <v>6465</v>
      </c>
      <c r="H296" s="225" t="s">
        <v>6465</v>
      </c>
      <c r="I296" s="240" t="s">
        <v>7195</v>
      </c>
      <c r="J296" s="228" t="s">
        <v>7160</v>
      </c>
      <c r="K296" s="248" t="s">
        <v>7196</v>
      </c>
      <c r="L296" s="225"/>
      <c r="M296" s="225" t="s">
        <v>7161</v>
      </c>
      <c r="N296" s="229">
        <v>77.0</v>
      </c>
      <c r="O296" s="229" t="s">
        <v>7162</v>
      </c>
      <c r="P296" s="322">
        <v>45538.0</v>
      </c>
      <c r="Q296" s="222"/>
      <c r="R296" s="222"/>
      <c r="S296" s="223"/>
      <c r="T296" s="223"/>
      <c r="U296" s="223"/>
      <c r="V296" s="223"/>
      <c r="W296" s="223"/>
      <c r="X296" s="223"/>
      <c r="Y296" s="223"/>
      <c r="Z296" s="223"/>
    </row>
    <row r="297" ht="15.75" customHeight="1">
      <c r="A297" s="225" t="s">
        <v>7156</v>
      </c>
      <c r="B297" s="225" t="s">
        <v>6458</v>
      </c>
      <c r="C297" s="225" t="s">
        <v>7197</v>
      </c>
      <c r="D297" s="225" t="s">
        <v>7082</v>
      </c>
      <c r="E297" s="225" t="s">
        <v>7198</v>
      </c>
      <c r="F297" s="225" t="s">
        <v>6465</v>
      </c>
      <c r="G297" s="225" t="s">
        <v>6465</v>
      </c>
      <c r="H297" s="225" t="s">
        <v>6465</v>
      </c>
      <c r="I297" s="240" t="s">
        <v>1309</v>
      </c>
      <c r="J297" s="228" t="s">
        <v>7160</v>
      </c>
      <c r="K297" s="248" t="s">
        <v>7199</v>
      </c>
      <c r="L297" s="225"/>
      <c r="M297" s="225" t="s">
        <v>7161</v>
      </c>
      <c r="N297" s="229">
        <v>77.0</v>
      </c>
      <c r="O297" s="229" t="s">
        <v>7162</v>
      </c>
      <c r="P297" s="322">
        <v>45538.0</v>
      </c>
      <c r="Q297" s="222"/>
      <c r="R297" s="222"/>
      <c r="S297" s="223"/>
      <c r="T297" s="223"/>
      <c r="U297" s="223"/>
      <c r="V297" s="223"/>
      <c r="W297" s="223"/>
      <c r="X297" s="223"/>
      <c r="Y297" s="223"/>
      <c r="Z297" s="223"/>
    </row>
    <row r="298" ht="15.75" customHeight="1">
      <c r="A298" s="225" t="s">
        <v>7156</v>
      </c>
      <c r="B298" s="225" t="s">
        <v>6458</v>
      </c>
      <c r="C298" s="225" t="s">
        <v>7200</v>
      </c>
      <c r="D298" s="225" t="s">
        <v>7082</v>
      </c>
      <c r="E298" s="225" t="s">
        <v>7201</v>
      </c>
      <c r="F298" s="225" t="s">
        <v>6465</v>
      </c>
      <c r="G298" s="225" t="s">
        <v>6465</v>
      </c>
      <c r="H298" s="225" t="s">
        <v>6465</v>
      </c>
      <c r="I298" s="240" t="s">
        <v>7202</v>
      </c>
      <c r="J298" s="241" t="s">
        <v>1471</v>
      </c>
      <c r="K298" s="248" t="s">
        <v>7203</v>
      </c>
      <c r="L298" s="225"/>
      <c r="M298" s="225" t="s">
        <v>7161</v>
      </c>
      <c r="N298" s="229">
        <v>77.0</v>
      </c>
      <c r="O298" s="229" t="s">
        <v>7162</v>
      </c>
      <c r="P298" s="322">
        <v>45538.0</v>
      </c>
      <c r="Q298" s="222"/>
      <c r="R298" s="222"/>
      <c r="S298" s="223"/>
      <c r="T298" s="223"/>
      <c r="U298" s="223"/>
      <c r="V298" s="223"/>
      <c r="W298" s="223"/>
      <c r="X298" s="223"/>
      <c r="Y298" s="223"/>
      <c r="Z298" s="223"/>
    </row>
    <row r="299" ht="15.75" customHeight="1">
      <c r="A299" s="225" t="s">
        <v>7204</v>
      </c>
      <c r="B299" s="225" t="s">
        <v>6458</v>
      </c>
      <c r="C299" s="225" t="s">
        <v>7205</v>
      </c>
      <c r="D299" s="225" t="s">
        <v>6510</v>
      </c>
      <c r="E299" s="225" t="s">
        <v>7206</v>
      </c>
      <c r="F299" s="225" t="s">
        <v>6465</v>
      </c>
      <c r="G299" s="225" t="s">
        <v>6465</v>
      </c>
      <c r="H299" s="225" t="s">
        <v>6465</v>
      </c>
      <c r="I299" s="233" t="s">
        <v>2481</v>
      </c>
      <c r="J299" s="225" t="s">
        <v>14</v>
      </c>
      <c r="K299" s="225" t="s">
        <v>2482</v>
      </c>
      <c r="L299" s="225"/>
      <c r="M299" s="225" t="s">
        <v>6951</v>
      </c>
      <c r="N299" s="229">
        <v>86.0</v>
      </c>
      <c r="O299" s="229">
        <v>4753.0</v>
      </c>
      <c r="P299" s="322">
        <v>45540.0</v>
      </c>
      <c r="Q299" s="222"/>
      <c r="R299" s="222"/>
      <c r="S299" s="223"/>
      <c r="T299" s="223"/>
      <c r="U299" s="223"/>
      <c r="V299" s="223"/>
      <c r="W299" s="223"/>
      <c r="X299" s="223"/>
      <c r="Y299" s="223"/>
      <c r="Z299" s="223"/>
    </row>
    <row r="300" ht="15.75" customHeight="1">
      <c r="A300" s="225" t="s">
        <v>7204</v>
      </c>
      <c r="B300" s="225" t="s">
        <v>6458</v>
      </c>
      <c r="C300" s="225" t="s">
        <v>7207</v>
      </c>
      <c r="D300" s="225" t="s">
        <v>6510</v>
      </c>
      <c r="E300" s="225" t="s">
        <v>7208</v>
      </c>
      <c r="F300" s="225" t="s">
        <v>6465</v>
      </c>
      <c r="G300" s="225" t="s">
        <v>6465</v>
      </c>
      <c r="H300" s="225" t="s">
        <v>6465</v>
      </c>
      <c r="I300" s="233" t="s">
        <v>1143</v>
      </c>
      <c r="J300" s="225" t="s">
        <v>14</v>
      </c>
      <c r="K300" s="225" t="s">
        <v>1144</v>
      </c>
      <c r="L300" s="225"/>
      <c r="M300" s="225" t="s">
        <v>6951</v>
      </c>
      <c r="N300" s="229">
        <v>86.0</v>
      </c>
      <c r="O300" s="229">
        <v>4753.0</v>
      </c>
      <c r="P300" s="322">
        <v>45540.0</v>
      </c>
      <c r="Q300" s="222"/>
      <c r="R300" s="222"/>
      <c r="S300" s="223"/>
      <c r="T300" s="223"/>
      <c r="U300" s="223"/>
      <c r="V300" s="223"/>
      <c r="W300" s="223"/>
      <c r="X300" s="223"/>
      <c r="Y300" s="223"/>
      <c r="Z300" s="223"/>
    </row>
    <row r="301" ht="15.75" customHeight="1">
      <c r="A301" s="225" t="s">
        <v>7209</v>
      </c>
      <c r="B301" s="225" t="s">
        <v>6458</v>
      </c>
      <c r="C301" s="225" t="s">
        <v>7210</v>
      </c>
      <c r="D301" s="225" t="s">
        <v>6510</v>
      </c>
      <c r="E301" s="225" t="s">
        <v>7211</v>
      </c>
      <c r="F301" s="225" t="s">
        <v>6465</v>
      </c>
      <c r="G301" s="225" t="s">
        <v>6465</v>
      </c>
      <c r="H301" s="225" t="s">
        <v>6465</v>
      </c>
      <c r="I301" s="274" t="s">
        <v>631</v>
      </c>
      <c r="J301" s="241" t="s">
        <v>6592</v>
      </c>
      <c r="K301" s="270" t="s">
        <v>2369</v>
      </c>
      <c r="L301" s="225"/>
      <c r="M301" s="225" t="s">
        <v>6951</v>
      </c>
      <c r="N301" s="229">
        <v>86.0</v>
      </c>
      <c r="O301" s="229">
        <v>4753.0</v>
      </c>
      <c r="P301" s="322">
        <v>45540.0</v>
      </c>
      <c r="Q301" s="222"/>
      <c r="R301" s="222"/>
      <c r="S301" s="223"/>
      <c r="T301" s="223"/>
      <c r="U301" s="223"/>
      <c r="V301" s="223"/>
      <c r="W301" s="223"/>
      <c r="X301" s="223"/>
      <c r="Y301" s="223"/>
      <c r="Z301" s="223"/>
    </row>
    <row r="302" ht="15.75" customHeight="1">
      <c r="A302" s="225" t="s">
        <v>7209</v>
      </c>
      <c r="B302" s="225" t="s">
        <v>6458</v>
      </c>
      <c r="C302" s="225" t="s">
        <v>7212</v>
      </c>
      <c r="D302" s="225" t="s">
        <v>6510</v>
      </c>
      <c r="E302" s="225" t="s">
        <v>7213</v>
      </c>
      <c r="F302" s="225" t="s">
        <v>6465</v>
      </c>
      <c r="G302" s="225" t="s">
        <v>6465</v>
      </c>
      <c r="H302" s="225" t="s">
        <v>6465</v>
      </c>
      <c r="I302" s="246" t="s">
        <v>1648</v>
      </c>
      <c r="J302" s="228" t="s">
        <v>47</v>
      </c>
      <c r="K302" s="225" t="s">
        <v>1649</v>
      </c>
      <c r="L302" s="225"/>
      <c r="M302" s="225" t="s">
        <v>6951</v>
      </c>
      <c r="N302" s="229">
        <v>86.0</v>
      </c>
      <c r="O302" s="229">
        <v>4753.0</v>
      </c>
      <c r="P302" s="322">
        <v>45540.0</v>
      </c>
      <c r="Q302" s="222"/>
      <c r="R302" s="222"/>
      <c r="S302" s="223"/>
      <c r="T302" s="223"/>
      <c r="U302" s="223"/>
      <c r="V302" s="223"/>
      <c r="W302" s="223"/>
      <c r="X302" s="223"/>
      <c r="Y302" s="223"/>
      <c r="Z302" s="223"/>
    </row>
    <row r="303" ht="15.75" customHeight="1">
      <c r="A303" s="225" t="s">
        <v>7038</v>
      </c>
      <c r="B303" s="225" t="s">
        <v>6461</v>
      </c>
      <c r="C303" s="225" t="s">
        <v>7214</v>
      </c>
      <c r="D303" s="225" t="s">
        <v>6510</v>
      </c>
      <c r="E303" s="225" t="s">
        <v>7215</v>
      </c>
      <c r="F303" s="225" t="s">
        <v>6465</v>
      </c>
      <c r="G303" s="225" t="s">
        <v>6465</v>
      </c>
      <c r="H303" s="225" t="s">
        <v>6465</v>
      </c>
      <c r="I303" s="240" t="s">
        <v>7216</v>
      </c>
      <c r="J303" s="228" t="s">
        <v>6683</v>
      </c>
      <c r="K303" s="225" t="s">
        <v>1600</v>
      </c>
      <c r="L303" s="225"/>
      <c r="M303" s="225" t="s">
        <v>7217</v>
      </c>
      <c r="N303" s="230"/>
      <c r="O303" s="229" t="s">
        <v>7218</v>
      </c>
      <c r="P303" s="322">
        <v>45547.0</v>
      </c>
      <c r="Q303" s="222"/>
      <c r="R303" s="222"/>
      <c r="S303" s="223"/>
      <c r="T303" s="223"/>
      <c r="U303" s="223"/>
      <c r="V303" s="223"/>
      <c r="W303" s="223"/>
      <c r="X303" s="223"/>
      <c r="Y303" s="223"/>
      <c r="Z303" s="223"/>
    </row>
    <row r="304" ht="15.75" customHeight="1">
      <c r="A304" s="248" t="s">
        <v>7219</v>
      </c>
      <c r="B304" s="225" t="s">
        <v>6458</v>
      </c>
      <c r="C304" s="248" t="s">
        <v>7220</v>
      </c>
      <c r="D304" s="225" t="s">
        <v>6495</v>
      </c>
      <c r="E304" s="225" t="s">
        <v>7221</v>
      </c>
      <c r="F304" s="225" t="s">
        <v>6465</v>
      </c>
      <c r="G304" s="225" t="s">
        <v>6465</v>
      </c>
      <c r="H304" s="225" t="s">
        <v>6465</v>
      </c>
      <c r="I304" s="317" t="s">
        <v>1189</v>
      </c>
      <c r="J304" s="228" t="s">
        <v>7160</v>
      </c>
      <c r="K304" s="323" t="s">
        <v>1190</v>
      </c>
      <c r="L304" s="225"/>
      <c r="M304" s="225" t="s">
        <v>7222</v>
      </c>
      <c r="N304" s="229">
        <v>122.0</v>
      </c>
      <c r="O304" s="229">
        <v>5109.0</v>
      </c>
      <c r="P304" s="322">
        <v>45600.0</v>
      </c>
      <c r="Q304" s="222"/>
      <c r="R304" s="222"/>
      <c r="S304" s="223"/>
      <c r="T304" s="223"/>
      <c r="U304" s="223"/>
      <c r="V304" s="223"/>
      <c r="W304" s="223"/>
      <c r="X304" s="223"/>
      <c r="Y304" s="223"/>
      <c r="Z304" s="223"/>
    </row>
    <row r="305" ht="15.75" customHeight="1">
      <c r="A305" s="248" t="s">
        <v>7219</v>
      </c>
      <c r="B305" s="225" t="s">
        <v>6458</v>
      </c>
      <c r="C305" s="248" t="s">
        <v>7223</v>
      </c>
      <c r="D305" s="225" t="s">
        <v>6495</v>
      </c>
      <c r="E305" s="225" t="s">
        <v>7224</v>
      </c>
      <c r="F305" s="225" t="s">
        <v>6465</v>
      </c>
      <c r="G305" s="225" t="s">
        <v>6465</v>
      </c>
      <c r="H305" s="225" t="s">
        <v>6465</v>
      </c>
      <c r="I305" s="317" t="s">
        <v>1574</v>
      </c>
      <c r="J305" s="228" t="s">
        <v>7160</v>
      </c>
      <c r="K305" s="323" t="s">
        <v>1575</v>
      </c>
      <c r="L305" s="225"/>
      <c r="M305" s="225" t="s">
        <v>7222</v>
      </c>
      <c r="N305" s="229">
        <v>122.0</v>
      </c>
      <c r="O305" s="229">
        <v>5109.0</v>
      </c>
      <c r="P305" s="322">
        <v>45600.0</v>
      </c>
      <c r="Q305" s="222"/>
      <c r="R305" s="222"/>
      <c r="S305" s="223"/>
      <c r="T305" s="223"/>
      <c r="U305" s="223"/>
      <c r="V305" s="223"/>
      <c r="W305" s="223"/>
      <c r="X305" s="223"/>
      <c r="Y305" s="223"/>
      <c r="Z305" s="223"/>
    </row>
    <row r="306" ht="15.75" customHeight="1">
      <c r="A306" s="248" t="s">
        <v>7219</v>
      </c>
      <c r="B306" s="225" t="s">
        <v>6458</v>
      </c>
      <c r="C306" s="248" t="s">
        <v>7225</v>
      </c>
      <c r="D306" s="225" t="s">
        <v>6495</v>
      </c>
      <c r="E306" s="225" t="s">
        <v>7226</v>
      </c>
      <c r="F306" s="225" t="s">
        <v>6465</v>
      </c>
      <c r="G306" s="225" t="s">
        <v>6465</v>
      </c>
      <c r="H306" s="225" t="s">
        <v>6465</v>
      </c>
      <c r="I306" s="331" t="s">
        <v>7227</v>
      </c>
      <c r="J306" s="228" t="s">
        <v>7160</v>
      </c>
      <c r="K306" s="332" t="s">
        <v>7228</v>
      </c>
      <c r="L306" s="225"/>
      <c r="M306" s="225" t="s">
        <v>7222</v>
      </c>
      <c r="N306" s="229">
        <v>122.0</v>
      </c>
      <c r="O306" s="229">
        <v>5109.0</v>
      </c>
      <c r="P306" s="322">
        <v>45600.0</v>
      </c>
      <c r="Q306" s="222"/>
      <c r="R306" s="222"/>
      <c r="S306" s="223"/>
      <c r="T306" s="223"/>
      <c r="U306" s="223"/>
      <c r="V306" s="223"/>
      <c r="W306" s="223"/>
      <c r="X306" s="223"/>
      <c r="Y306" s="223"/>
      <c r="Z306" s="223"/>
    </row>
    <row r="307" ht="15.75" customHeight="1">
      <c r="A307" s="248" t="s">
        <v>7219</v>
      </c>
      <c r="B307" s="225" t="s">
        <v>6458</v>
      </c>
      <c r="C307" s="248" t="s">
        <v>7229</v>
      </c>
      <c r="D307" s="225" t="s">
        <v>6495</v>
      </c>
      <c r="E307" s="225" t="s">
        <v>7230</v>
      </c>
      <c r="F307" s="225" t="s">
        <v>6465</v>
      </c>
      <c r="G307" s="225" t="s">
        <v>6465</v>
      </c>
      <c r="H307" s="225" t="s">
        <v>6465</v>
      </c>
      <c r="I307" s="331" t="s">
        <v>2400</v>
      </c>
      <c r="J307" s="228" t="s">
        <v>7160</v>
      </c>
      <c r="K307" s="323" t="s">
        <v>2401</v>
      </c>
      <c r="L307" s="225"/>
      <c r="M307" s="225" t="s">
        <v>7222</v>
      </c>
      <c r="N307" s="229">
        <v>122.0</v>
      </c>
      <c r="O307" s="229">
        <v>5109.0</v>
      </c>
      <c r="P307" s="322">
        <v>45600.0</v>
      </c>
      <c r="Q307" s="222"/>
      <c r="R307" s="222"/>
      <c r="S307" s="223"/>
      <c r="T307" s="223"/>
      <c r="U307" s="223"/>
      <c r="V307" s="223"/>
      <c r="W307" s="223"/>
      <c r="X307" s="223"/>
      <c r="Y307" s="223"/>
      <c r="Z307" s="223"/>
    </row>
    <row r="308" ht="15.75" customHeight="1">
      <c r="A308" s="248" t="s">
        <v>7219</v>
      </c>
      <c r="B308" s="225" t="s">
        <v>6458</v>
      </c>
      <c r="C308" s="248" t="s">
        <v>7231</v>
      </c>
      <c r="D308" s="225" t="s">
        <v>6495</v>
      </c>
      <c r="E308" s="225" t="s">
        <v>7232</v>
      </c>
      <c r="F308" s="225" t="s">
        <v>6465</v>
      </c>
      <c r="G308" s="225" t="s">
        <v>6465</v>
      </c>
      <c r="H308" s="225" t="s">
        <v>6465</v>
      </c>
      <c r="I308" s="331" t="s">
        <v>7233</v>
      </c>
      <c r="J308" s="228" t="s">
        <v>7160</v>
      </c>
      <c r="K308" s="323" t="s">
        <v>2353</v>
      </c>
      <c r="L308" s="225"/>
      <c r="M308" s="225" t="s">
        <v>7222</v>
      </c>
      <c r="N308" s="229">
        <v>122.0</v>
      </c>
      <c r="O308" s="229">
        <v>5109.0</v>
      </c>
      <c r="P308" s="322">
        <v>45600.0</v>
      </c>
      <c r="Q308" s="222"/>
      <c r="R308" s="222"/>
      <c r="S308" s="223"/>
      <c r="T308" s="223"/>
      <c r="U308" s="223"/>
      <c r="V308" s="223"/>
      <c r="W308" s="223"/>
      <c r="X308" s="223"/>
      <c r="Y308" s="223"/>
      <c r="Z308" s="223"/>
    </row>
    <row r="309" ht="15.75" customHeight="1">
      <c r="A309" s="248" t="s">
        <v>7234</v>
      </c>
      <c r="B309" s="225" t="s">
        <v>6458</v>
      </c>
      <c r="C309" s="248" t="s">
        <v>7235</v>
      </c>
      <c r="D309" s="225" t="s">
        <v>6495</v>
      </c>
      <c r="E309" s="225" t="s">
        <v>7236</v>
      </c>
      <c r="F309" s="225" t="s">
        <v>6465</v>
      </c>
      <c r="G309" s="225" t="s">
        <v>6465</v>
      </c>
      <c r="H309" s="225" t="s">
        <v>6465</v>
      </c>
      <c r="I309" s="246" t="s">
        <v>615</v>
      </c>
      <c r="J309" s="225" t="s">
        <v>14</v>
      </c>
      <c r="K309" s="225" t="s">
        <v>616</v>
      </c>
      <c r="L309" s="225"/>
      <c r="M309" s="225" t="s">
        <v>7222</v>
      </c>
      <c r="N309" s="229">
        <v>122.0</v>
      </c>
      <c r="O309" s="229">
        <v>5109.0</v>
      </c>
      <c r="P309" s="322">
        <v>45600.0</v>
      </c>
      <c r="Q309" s="222"/>
      <c r="R309" s="222"/>
      <c r="S309" s="223"/>
      <c r="T309" s="223"/>
      <c r="U309" s="223"/>
      <c r="V309" s="223"/>
      <c r="W309" s="223"/>
      <c r="X309" s="223"/>
      <c r="Y309" s="223"/>
      <c r="Z309" s="223"/>
    </row>
    <row r="310" ht="15.75" customHeight="1">
      <c r="A310" s="248" t="s">
        <v>7234</v>
      </c>
      <c r="B310" s="225" t="s">
        <v>6458</v>
      </c>
      <c r="C310" s="248" t="s">
        <v>7237</v>
      </c>
      <c r="D310" s="225" t="s">
        <v>6495</v>
      </c>
      <c r="E310" s="225" t="s">
        <v>7238</v>
      </c>
      <c r="F310" s="225" t="s">
        <v>6465</v>
      </c>
      <c r="G310" s="225" t="s">
        <v>6465</v>
      </c>
      <c r="H310" s="225" t="s">
        <v>6465</v>
      </c>
      <c r="I310" s="225" t="s">
        <v>4209</v>
      </c>
      <c r="J310" s="241" t="s">
        <v>6592</v>
      </c>
      <c r="K310" s="225" t="s">
        <v>1720</v>
      </c>
      <c r="L310" s="225"/>
      <c r="M310" s="225" t="s">
        <v>7222</v>
      </c>
      <c r="N310" s="229">
        <v>122.0</v>
      </c>
      <c r="O310" s="229">
        <v>5109.0</v>
      </c>
      <c r="P310" s="322">
        <v>45600.0</v>
      </c>
      <c r="Q310" s="222"/>
      <c r="R310" s="222"/>
      <c r="S310" s="223"/>
      <c r="T310" s="223"/>
      <c r="U310" s="223"/>
      <c r="V310" s="223"/>
      <c r="W310" s="223"/>
      <c r="X310" s="223"/>
      <c r="Y310" s="223"/>
      <c r="Z310" s="223"/>
    </row>
    <row r="311" ht="15.75" customHeight="1">
      <c r="A311" s="248" t="s">
        <v>7234</v>
      </c>
      <c r="B311" s="225" t="s">
        <v>6458</v>
      </c>
      <c r="C311" s="248" t="s">
        <v>7239</v>
      </c>
      <c r="D311" s="225" t="s">
        <v>6495</v>
      </c>
      <c r="E311" s="225" t="s">
        <v>7240</v>
      </c>
      <c r="F311" s="225" t="s">
        <v>6465</v>
      </c>
      <c r="G311" s="225" t="s">
        <v>6465</v>
      </c>
      <c r="H311" s="225" t="s">
        <v>6465</v>
      </c>
      <c r="I311" s="244" t="s">
        <v>1221</v>
      </c>
      <c r="J311" s="228" t="s">
        <v>6683</v>
      </c>
      <c r="K311" s="228" t="s">
        <v>1222</v>
      </c>
      <c r="L311" s="225"/>
      <c r="M311" s="225" t="s">
        <v>7222</v>
      </c>
      <c r="N311" s="229">
        <v>122.0</v>
      </c>
      <c r="O311" s="229">
        <v>5109.0</v>
      </c>
      <c r="P311" s="322">
        <v>45600.0</v>
      </c>
      <c r="Q311" s="222"/>
      <c r="R311" s="222"/>
      <c r="S311" s="223"/>
      <c r="T311" s="223"/>
      <c r="U311" s="223"/>
      <c r="V311" s="223"/>
      <c r="W311" s="223"/>
      <c r="X311" s="223"/>
      <c r="Y311" s="223"/>
      <c r="Z311" s="223"/>
    </row>
    <row r="312" ht="15.75" customHeight="1">
      <c r="A312" s="248" t="s">
        <v>7234</v>
      </c>
      <c r="B312" s="225" t="s">
        <v>6458</v>
      </c>
      <c r="C312" s="248" t="s">
        <v>7241</v>
      </c>
      <c r="D312" s="225" t="s">
        <v>6495</v>
      </c>
      <c r="E312" s="225" t="s">
        <v>7242</v>
      </c>
      <c r="F312" s="225" t="s">
        <v>6465</v>
      </c>
      <c r="G312" s="225" t="s">
        <v>6465</v>
      </c>
      <c r="H312" s="225" t="s">
        <v>6465</v>
      </c>
      <c r="I312" s="246" t="s">
        <v>2059</v>
      </c>
      <c r="J312" s="333" t="s">
        <v>4080</v>
      </c>
      <c r="K312" s="225" t="s">
        <v>1226</v>
      </c>
      <c r="L312" s="225"/>
      <c r="M312" s="225" t="s">
        <v>7222</v>
      </c>
      <c r="N312" s="229">
        <v>122.0</v>
      </c>
      <c r="O312" s="229">
        <v>5109.0</v>
      </c>
      <c r="P312" s="322">
        <v>45600.0</v>
      </c>
      <c r="Q312" s="222"/>
      <c r="R312" s="222"/>
      <c r="S312" s="223"/>
      <c r="T312" s="223"/>
      <c r="U312" s="223"/>
      <c r="V312" s="223"/>
      <c r="W312" s="223"/>
      <c r="X312" s="223"/>
      <c r="Y312" s="223"/>
      <c r="Z312" s="223"/>
    </row>
    <row r="313" ht="15.75" customHeight="1">
      <c r="A313" s="248" t="s">
        <v>7234</v>
      </c>
      <c r="B313" s="225" t="s">
        <v>6458</v>
      </c>
      <c r="C313" s="248" t="s">
        <v>7243</v>
      </c>
      <c r="D313" s="225" t="s">
        <v>6495</v>
      </c>
      <c r="E313" s="225" t="s">
        <v>7244</v>
      </c>
      <c r="F313" s="225" t="s">
        <v>6465</v>
      </c>
      <c r="G313" s="225" t="s">
        <v>6465</v>
      </c>
      <c r="H313" s="225" t="s">
        <v>6465</v>
      </c>
      <c r="I313" s="225" t="s">
        <v>2555</v>
      </c>
      <c r="J313" s="225" t="s">
        <v>14</v>
      </c>
      <c r="K313" s="225" t="s">
        <v>2556</v>
      </c>
      <c r="L313" s="225"/>
      <c r="M313" s="225" t="s">
        <v>7222</v>
      </c>
      <c r="N313" s="229">
        <v>122.0</v>
      </c>
      <c r="O313" s="229">
        <v>5109.0</v>
      </c>
      <c r="P313" s="322">
        <v>45600.0</v>
      </c>
      <c r="Q313" s="222"/>
      <c r="R313" s="222"/>
      <c r="S313" s="223"/>
      <c r="T313" s="223"/>
      <c r="U313" s="223"/>
      <c r="V313" s="223"/>
      <c r="W313" s="223"/>
      <c r="X313" s="223"/>
      <c r="Y313" s="223"/>
      <c r="Z313" s="223"/>
    </row>
    <row r="314" ht="15.75" customHeight="1">
      <c r="A314" s="248" t="s">
        <v>7245</v>
      </c>
      <c r="B314" s="225" t="s">
        <v>6458</v>
      </c>
      <c r="C314" s="248" t="s">
        <v>7246</v>
      </c>
      <c r="D314" s="225" t="s">
        <v>6495</v>
      </c>
      <c r="E314" s="225" t="s">
        <v>7247</v>
      </c>
      <c r="F314" s="225" t="s">
        <v>6465</v>
      </c>
      <c r="G314" s="225" t="s">
        <v>6465</v>
      </c>
      <c r="H314" s="225" t="s">
        <v>6465</v>
      </c>
      <c r="I314" s="248" t="s">
        <v>2550</v>
      </c>
      <c r="J314" s="228" t="s">
        <v>6683</v>
      </c>
      <c r="K314" s="248" t="s">
        <v>7248</v>
      </c>
      <c r="L314" s="225"/>
      <c r="M314" s="225" t="s">
        <v>7161</v>
      </c>
      <c r="N314" s="229">
        <v>122.0</v>
      </c>
      <c r="O314" s="229">
        <v>5109.0</v>
      </c>
      <c r="P314" s="322">
        <v>45600.0</v>
      </c>
      <c r="Q314" s="222"/>
      <c r="R314" s="222"/>
      <c r="S314" s="223"/>
      <c r="T314" s="223"/>
      <c r="U314" s="223"/>
      <c r="V314" s="223"/>
      <c r="W314" s="223"/>
      <c r="X314" s="223"/>
      <c r="Y314" s="223"/>
      <c r="Z314" s="223"/>
    </row>
    <row r="315" ht="15.75" customHeight="1">
      <c r="A315" s="248" t="s">
        <v>7245</v>
      </c>
      <c r="B315" s="225" t="s">
        <v>6458</v>
      </c>
      <c r="C315" s="248" t="s">
        <v>7249</v>
      </c>
      <c r="D315" s="225" t="s">
        <v>6495</v>
      </c>
      <c r="E315" s="225" t="s">
        <v>7250</v>
      </c>
      <c r="F315" s="225" t="s">
        <v>6465</v>
      </c>
      <c r="G315" s="225" t="s">
        <v>6465</v>
      </c>
      <c r="H315" s="225" t="s">
        <v>6465</v>
      </c>
      <c r="I315" s="334" t="s">
        <v>2553</v>
      </c>
      <c r="J315" s="225" t="s">
        <v>14</v>
      </c>
      <c r="K315" s="225" t="s">
        <v>2554</v>
      </c>
      <c r="L315" s="225"/>
      <c r="M315" s="225" t="s">
        <v>7161</v>
      </c>
      <c r="N315" s="229">
        <v>122.0</v>
      </c>
      <c r="O315" s="229">
        <v>5109.0</v>
      </c>
      <c r="P315" s="322">
        <v>45600.0</v>
      </c>
      <c r="Q315" s="222"/>
      <c r="R315" s="222"/>
      <c r="S315" s="223"/>
      <c r="T315" s="223"/>
      <c r="U315" s="223"/>
      <c r="V315" s="223"/>
      <c r="W315" s="223"/>
      <c r="X315" s="223"/>
      <c r="Y315" s="223"/>
      <c r="Z315" s="223"/>
    </row>
    <row r="316" ht="15.75" customHeight="1">
      <c r="A316" s="248" t="s">
        <v>7245</v>
      </c>
      <c r="B316" s="225" t="s">
        <v>6458</v>
      </c>
      <c r="C316" s="248" t="s">
        <v>7251</v>
      </c>
      <c r="D316" s="225" t="s">
        <v>6495</v>
      </c>
      <c r="E316" s="225" t="s">
        <v>7252</v>
      </c>
      <c r="F316" s="225" t="s">
        <v>6465</v>
      </c>
      <c r="G316" s="225" t="s">
        <v>6465</v>
      </c>
      <c r="H316" s="225" t="s">
        <v>6465</v>
      </c>
      <c r="I316" s="248" t="s">
        <v>1401</v>
      </c>
      <c r="J316" s="335" t="s">
        <v>14</v>
      </c>
      <c r="K316" s="248" t="s">
        <v>7253</v>
      </c>
      <c r="L316" s="225"/>
      <c r="M316" s="225" t="s">
        <v>7161</v>
      </c>
      <c r="N316" s="229">
        <v>122.0</v>
      </c>
      <c r="O316" s="229">
        <v>5109.0</v>
      </c>
      <c r="P316" s="322">
        <v>45600.0</v>
      </c>
      <c r="Q316" s="222"/>
      <c r="R316" s="222"/>
      <c r="S316" s="223"/>
      <c r="T316" s="223"/>
      <c r="U316" s="223"/>
      <c r="V316" s="223"/>
      <c r="W316" s="223"/>
      <c r="X316" s="223"/>
      <c r="Y316" s="223"/>
      <c r="Z316" s="223"/>
    </row>
    <row r="317" ht="15.75" customHeight="1">
      <c r="A317" s="248" t="s">
        <v>7245</v>
      </c>
      <c r="B317" s="225" t="s">
        <v>6458</v>
      </c>
      <c r="C317" s="248" t="s">
        <v>7254</v>
      </c>
      <c r="D317" s="225" t="s">
        <v>6495</v>
      </c>
      <c r="E317" s="225" t="s">
        <v>7255</v>
      </c>
      <c r="F317" s="225" t="s">
        <v>6465</v>
      </c>
      <c r="G317" s="225" t="s">
        <v>6465</v>
      </c>
      <c r="H317" s="225" t="s">
        <v>6465</v>
      </c>
      <c r="I317" s="248" t="s">
        <v>2531</v>
      </c>
      <c r="J317" s="335" t="s">
        <v>14</v>
      </c>
      <c r="K317" s="248" t="s">
        <v>7256</v>
      </c>
      <c r="L317" s="225"/>
      <c r="M317" s="225" t="s">
        <v>7161</v>
      </c>
      <c r="N317" s="229">
        <v>122.0</v>
      </c>
      <c r="O317" s="229">
        <v>5109.0</v>
      </c>
      <c r="P317" s="322">
        <v>45600.0</v>
      </c>
      <c r="Q317" s="222"/>
      <c r="R317" s="222"/>
      <c r="S317" s="223"/>
      <c r="T317" s="223"/>
      <c r="U317" s="223"/>
      <c r="V317" s="223"/>
      <c r="W317" s="223"/>
      <c r="X317" s="223"/>
      <c r="Y317" s="223"/>
      <c r="Z317" s="223"/>
    </row>
    <row r="318" ht="15.75" customHeight="1">
      <c r="A318" s="248" t="s">
        <v>7245</v>
      </c>
      <c r="B318" s="225" t="s">
        <v>6458</v>
      </c>
      <c r="C318" s="248" t="s">
        <v>7257</v>
      </c>
      <c r="D318" s="225" t="s">
        <v>6495</v>
      </c>
      <c r="E318" s="225" t="s">
        <v>7258</v>
      </c>
      <c r="F318" s="225" t="s">
        <v>6465</v>
      </c>
      <c r="G318" s="225" t="s">
        <v>6465</v>
      </c>
      <c r="H318" s="225" t="s">
        <v>6465</v>
      </c>
      <c r="I318" s="336" t="s">
        <v>3964</v>
      </c>
      <c r="J318" s="228" t="s">
        <v>7160</v>
      </c>
      <c r="K318" s="323" t="s">
        <v>1557</v>
      </c>
      <c r="L318" s="225"/>
      <c r="M318" s="225" t="s">
        <v>7161</v>
      </c>
      <c r="N318" s="229">
        <v>122.0</v>
      </c>
      <c r="O318" s="229">
        <v>5109.0</v>
      </c>
      <c r="P318" s="322">
        <v>45600.0</v>
      </c>
      <c r="Q318" s="222"/>
      <c r="R318" s="222"/>
      <c r="S318" s="223"/>
      <c r="T318" s="223"/>
      <c r="U318" s="223"/>
      <c r="V318" s="223"/>
      <c r="W318" s="223"/>
      <c r="X318" s="223"/>
      <c r="Y318" s="223"/>
      <c r="Z318" s="223"/>
    </row>
    <row r="319" ht="15.75" customHeight="1">
      <c r="A319" s="225" t="s">
        <v>7259</v>
      </c>
      <c r="B319" s="225" t="s">
        <v>6458</v>
      </c>
      <c r="C319" s="225">
        <v>8.6453007387556E14</v>
      </c>
      <c r="D319" s="225" t="s">
        <v>7260</v>
      </c>
      <c r="E319" s="225" t="s">
        <v>7261</v>
      </c>
      <c r="F319" s="225" t="s">
        <v>6464</v>
      </c>
      <c r="G319" s="225" t="s">
        <v>6464</v>
      </c>
      <c r="H319" s="225" t="s">
        <v>6464</v>
      </c>
      <c r="I319" s="225"/>
      <c r="J319" s="225"/>
      <c r="K319" s="225"/>
      <c r="L319" s="225"/>
      <c r="M319" s="225"/>
      <c r="N319" s="229">
        <v>128.0</v>
      </c>
      <c r="O319" s="229">
        <v>5182.0</v>
      </c>
      <c r="P319" s="322">
        <v>45609.0</v>
      </c>
      <c r="Q319" s="222"/>
      <c r="R319" s="222"/>
      <c r="S319" s="223"/>
      <c r="T319" s="223"/>
      <c r="U319" s="223"/>
      <c r="V319" s="223"/>
      <c r="W319" s="223"/>
      <c r="X319" s="223"/>
      <c r="Y319" s="223"/>
      <c r="Z319" s="223"/>
    </row>
    <row r="320" ht="15.75" customHeight="1">
      <c r="A320" s="225" t="s">
        <v>7259</v>
      </c>
      <c r="B320" s="225" t="s">
        <v>6458</v>
      </c>
      <c r="C320" s="225">
        <v>8.64530073563869E14</v>
      </c>
      <c r="D320" s="225" t="s">
        <v>7260</v>
      </c>
      <c r="E320" s="225" t="s">
        <v>7262</v>
      </c>
      <c r="F320" s="225" t="s">
        <v>6464</v>
      </c>
      <c r="G320" s="225" t="s">
        <v>6464</v>
      </c>
      <c r="H320" s="225" t="s">
        <v>6464</v>
      </c>
      <c r="I320" s="225"/>
      <c r="J320" s="225"/>
      <c r="K320" s="225"/>
      <c r="L320" s="225"/>
      <c r="M320" s="225"/>
      <c r="N320" s="229">
        <v>128.0</v>
      </c>
      <c r="O320" s="229">
        <v>5182.0</v>
      </c>
      <c r="P320" s="322">
        <v>45609.0</v>
      </c>
      <c r="Q320" s="222"/>
      <c r="R320" s="222"/>
      <c r="S320" s="223"/>
      <c r="T320" s="223"/>
      <c r="U320" s="223"/>
      <c r="V320" s="223"/>
      <c r="W320" s="223"/>
      <c r="X320" s="223"/>
      <c r="Y320" s="223"/>
      <c r="Z320" s="223"/>
    </row>
    <row r="321" ht="15.75" customHeight="1">
      <c r="A321" s="225" t="s">
        <v>7259</v>
      </c>
      <c r="B321" s="225" t="s">
        <v>6458</v>
      </c>
      <c r="C321" s="225">
        <v>8.64530073902786E14</v>
      </c>
      <c r="D321" s="225" t="s">
        <v>7260</v>
      </c>
      <c r="E321" s="225" t="s">
        <v>7263</v>
      </c>
      <c r="F321" s="225" t="s">
        <v>6464</v>
      </c>
      <c r="G321" s="225" t="s">
        <v>6464</v>
      </c>
      <c r="H321" s="225" t="s">
        <v>6464</v>
      </c>
      <c r="I321" s="225"/>
      <c r="J321" s="225"/>
      <c r="K321" s="225"/>
      <c r="L321" s="225"/>
      <c r="M321" s="225"/>
      <c r="N321" s="229">
        <v>128.0</v>
      </c>
      <c r="O321" s="229">
        <v>5182.0</v>
      </c>
      <c r="P321" s="322">
        <v>45609.0</v>
      </c>
      <c r="Q321" s="222"/>
      <c r="R321" s="222"/>
      <c r="S321" s="223"/>
      <c r="T321" s="223"/>
      <c r="U321" s="223"/>
      <c r="V321" s="223"/>
      <c r="W321" s="223"/>
      <c r="X321" s="223"/>
      <c r="Y321" s="223"/>
      <c r="Z321" s="223"/>
    </row>
    <row r="322" ht="15.75" customHeight="1">
      <c r="A322" s="225" t="s">
        <v>7259</v>
      </c>
      <c r="B322" s="225" t="s">
        <v>6458</v>
      </c>
      <c r="C322" s="225">
        <v>8.64530072968408E14</v>
      </c>
      <c r="D322" s="225" t="s">
        <v>7260</v>
      </c>
      <c r="E322" s="225" t="s">
        <v>7264</v>
      </c>
      <c r="F322" s="225" t="s">
        <v>6464</v>
      </c>
      <c r="G322" s="225" t="s">
        <v>6464</v>
      </c>
      <c r="H322" s="225" t="s">
        <v>6464</v>
      </c>
      <c r="I322" s="225"/>
      <c r="J322" s="225"/>
      <c r="K322" s="225"/>
      <c r="L322" s="225"/>
      <c r="M322" s="225"/>
      <c r="N322" s="229">
        <v>128.0</v>
      </c>
      <c r="O322" s="229">
        <v>5182.0</v>
      </c>
      <c r="P322" s="322">
        <v>45609.0</v>
      </c>
      <c r="Q322" s="222"/>
      <c r="R322" s="222"/>
      <c r="S322" s="223"/>
      <c r="T322" s="223"/>
      <c r="U322" s="223"/>
      <c r="V322" s="223"/>
      <c r="W322" s="223"/>
      <c r="X322" s="223"/>
      <c r="Y322" s="223"/>
      <c r="Z322" s="223"/>
    </row>
    <row r="323" ht="15.75" customHeight="1">
      <c r="A323" s="225" t="s">
        <v>7259</v>
      </c>
      <c r="B323" s="225" t="s">
        <v>6458</v>
      </c>
      <c r="C323" s="225">
        <v>8.64530073846868E14</v>
      </c>
      <c r="D323" s="225" t="s">
        <v>7260</v>
      </c>
      <c r="E323" s="225" t="s">
        <v>7265</v>
      </c>
      <c r="F323" s="225" t="s">
        <v>6464</v>
      </c>
      <c r="G323" s="225" t="s">
        <v>6464</v>
      </c>
      <c r="H323" s="225" t="s">
        <v>6464</v>
      </c>
      <c r="I323" s="225"/>
      <c r="J323" s="225"/>
      <c r="K323" s="225"/>
      <c r="L323" s="225"/>
      <c r="M323" s="225"/>
      <c r="N323" s="229">
        <v>128.0</v>
      </c>
      <c r="O323" s="229">
        <v>5182.0</v>
      </c>
      <c r="P323" s="322">
        <v>45609.0</v>
      </c>
      <c r="Q323" s="222"/>
      <c r="R323" s="222"/>
      <c r="S323" s="223"/>
      <c r="T323" s="223"/>
      <c r="U323" s="223"/>
      <c r="V323" s="223"/>
      <c r="W323" s="223"/>
      <c r="X323" s="223"/>
      <c r="Y323" s="223"/>
      <c r="Z323" s="223"/>
    </row>
    <row r="324" ht="15.75" customHeight="1">
      <c r="A324" s="225" t="s">
        <v>7259</v>
      </c>
      <c r="B324" s="225" t="s">
        <v>6458</v>
      </c>
      <c r="C324" s="225">
        <v>8.64530074003568E14</v>
      </c>
      <c r="D324" s="225" t="s">
        <v>7260</v>
      </c>
      <c r="E324" s="225" t="s">
        <v>7266</v>
      </c>
      <c r="F324" s="225" t="s">
        <v>6464</v>
      </c>
      <c r="G324" s="225" t="s">
        <v>6464</v>
      </c>
      <c r="H324" s="225" t="s">
        <v>6464</v>
      </c>
      <c r="I324" s="225"/>
      <c r="J324" s="225"/>
      <c r="K324" s="225"/>
      <c r="L324" s="225"/>
      <c r="M324" s="225"/>
      <c r="N324" s="229">
        <v>128.0</v>
      </c>
      <c r="O324" s="229">
        <v>5182.0</v>
      </c>
      <c r="P324" s="322">
        <v>45609.0</v>
      </c>
      <c r="Q324" s="222"/>
      <c r="R324" s="222"/>
      <c r="S324" s="223"/>
      <c r="T324" s="223"/>
      <c r="U324" s="223"/>
      <c r="V324" s="223"/>
      <c r="W324" s="223"/>
      <c r="X324" s="223"/>
      <c r="Y324" s="223"/>
      <c r="Z324" s="223"/>
    </row>
    <row r="325" ht="15.75" customHeight="1">
      <c r="A325" s="225" t="s">
        <v>7259</v>
      </c>
      <c r="B325" s="225" t="s">
        <v>6458</v>
      </c>
      <c r="C325" s="225">
        <v>8.64530073892581E14</v>
      </c>
      <c r="D325" s="225" t="s">
        <v>7260</v>
      </c>
      <c r="E325" s="225" t="s">
        <v>7267</v>
      </c>
      <c r="F325" s="225" t="s">
        <v>6464</v>
      </c>
      <c r="G325" s="225" t="s">
        <v>6464</v>
      </c>
      <c r="H325" s="225" t="s">
        <v>6464</v>
      </c>
      <c r="I325" s="225"/>
      <c r="J325" s="225"/>
      <c r="K325" s="225"/>
      <c r="L325" s="225"/>
      <c r="M325" s="225"/>
      <c r="N325" s="229">
        <v>128.0</v>
      </c>
      <c r="O325" s="229">
        <v>5182.0</v>
      </c>
      <c r="P325" s="322">
        <v>45609.0</v>
      </c>
      <c r="Q325" s="222"/>
      <c r="R325" s="222"/>
      <c r="S325" s="223"/>
      <c r="T325" s="223"/>
      <c r="U325" s="223"/>
      <c r="V325" s="223"/>
      <c r="W325" s="223"/>
      <c r="X325" s="223"/>
      <c r="Y325" s="223"/>
      <c r="Z325" s="223"/>
    </row>
    <row r="326" ht="15.75" customHeight="1">
      <c r="A326" s="225" t="s">
        <v>7259</v>
      </c>
      <c r="B326" s="225" t="s">
        <v>6458</v>
      </c>
      <c r="C326" s="225">
        <v>8.64530073975584E14</v>
      </c>
      <c r="D326" s="225" t="s">
        <v>7260</v>
      </c>
      <c r="E326" s="225" t="s">
        <v>7268</v>
      </c>
      <c r="F326" s="225" t="s">
        <v>6464</v>
      </c>
      <c r="G326" s="225" t="s">
        <v>6464</v>
      </c>
      <c r="H326" s="225" t="s">
        <v>6464</v>
      </c>
      <c r="I326" s="225"/>
      <c r="J326" s="225"/>
      <c r="K326" s="225"/>
      <c r="L326" s="225"/>
      <c r="M326" s="225"/>
      <c r="N326" s="229">
        <v>128.0</v>
      </c>
      <c r="O326" s="229">
        <v>5182.0</v>
      </c>
      <c r="P326" s="322">
        <v>45609.0</v>
      </c>
      <c r="Q326" s="222"/>
      <c r="R326" s="222"/>
      <c r="S326" s="223"/>
      <c r="T326" s="223"/>
      <c r="U326" s="223"/>
      <c r="V326" s="223"/>
      <c r="W326" s="223"/>
      <c r="X326" s="223"/>
      <c r="Y326" s="223"/>
      <c r="Z326" s="223"/>
    </row>
    <row r="327" ht="15.75" customHeight="1">
      <c r="A327" s="225" t="s">
        <v>7259</v>
      </c>
      <c r="B327" s="225" t="s">
        <v>6458</v>
      </c>
      <c r="C327" s="225">
        <v>8.64530073173586E14</v>
      </c>
      <c r="D327" s="225" t="s">
        <v>7260</v>
      </c>
      <c r="E327" s="225" t="s">
        <v>7269</v>
      </c>
      <c r="F327" s="225" t="s">
        <v>6464</v>
      </c>
      <c r="G327" s="225" t="s">
        <v>6464</v>
      </c>
      <c r="H327" s="225" t="s">
        <v>6464</v>
      </c>
      <c r="I327" s="225"/>
      <c r="J327" s="225"/>
      <c r="K327" s="225"/>
      <c r="L327" s="225"/>
      <c r="M327" s="225"/>
      <c r="N327" s="229">
        <v>128.0</v>
      </c>
      <c r="O327" s="229">
        <v>5182.0</v>
      </c>
      <c r="P327" s="322">
        <v>45609.0</v>
      </c>
      <c r="Q327" s="222"/>
      <c r="R327" s="222"/>
      <c r="S327" s="223"/>
      <c r="T327" s="223"/>
      <c r="U327" s="223"/>
      <c r="V327" s="223"/>
      <c r="W327" s="223"/>
      <c r="X327" s="223"/>
      <c r="Y327" s="223"/>
      <c r="Z327" s="223"/>
    </row>
    <row r="328" ht="15.75" customHeight="1">
      <c r="A328" s="225" t="s">
        <v>7259</v>
      </c>
      <c r="B328" s="225" t="s">
        <v>6458</v>
      </c>
      <c r="C328" s="225">
        <v>8.64530072949762E14</v>
      </c>
      <c r="D328" s="225" t="s">
        <v>7260</v>
      </c>
      <c r="E328" s="225" t="s">
        <v>7270</v>
      </c>
      <c r="F328" s="225" t="s">
        <v>6465</v>
      </c>
      <c r="G328" s="225" t="s">
        <v>6465</v>
      </c>
      <c r="H328" s="225" t="s">
        <v>6465</v>
      </c>
      <c r="I328" s="246" t="s">
        <v>345</v>
      </c>
      <c r="J328" s="225" t="s">
        <v>39</v>
      </c>
      <c r="K328" s="225" t="s">
        <v>7271</v>
      </c>
      <c r="L328" s="225"/>
      <c r="M328" s="225" t="s">
        <v>6505</v>
      </c>
      <c r="N328" s="229">
        <v>128.0</v>
      </c>
      <c r="O328" s="229">
        <v>5182.0</v>
      </c>
      <c r="P328" s="322">
        <v>45609.0</v>
      </c>
      <c r="Q328" s="222"/>
      <c r="R328" s="222"/>
      <c r="S328" s="223"/>
      <c r="T328" s="223"/>
      <c r="U328" s="223"/>
      <c r="V328" s="223"/>
      <c r="W328" s="223"/>
      <c r="X328" s="223"/>
      <c r="Y328" s="223"/>
      <c r="Z328" s="223"/>
    </row>
    <row r="329" ht="15.75" customHeight="1">
      <c r="A329" s="225" t="s">
        <v>7272</v>
      </c>
      <c r="B329" s="225" t="s">
        <v>6458</v>
      </c>
      <c r="C329" s="225">
        <v>8.66807078608347E14</v>
      </c>
      <c r="D329" s="225" t="s">
        <v>7260</v>
      </c>
      <c r="E329" s="225" t="s">
        <v>7273</v>
      </c>
      <c r="F329" s="225" t="s">
        <v>6465</v>
      </c>
      <c r="G329" s="225" t="s">
        <v>6465</v>
      </c>
      <c r="H329" s="225" t="s">
        <v>6465</v>
      </c>
      <c r="I329" s="334" t="s">
        <v>1807</v>
      </c>
      <c r="J329" s="228" t="s">
        <v>4108</v>
      </c>
      <c r="K329" s="225" t="s">
        <v>1808</v>
      </c>
      <c r="L329" s="225"/>
      <c r="M329" s="225" t="s">
        <v>6505</v>
      </c>
      <c r="N329" s="229">
        <v>128.0</v>
      </c>
      <c r="O329" s="229">
        <v>5182.0</v>
      </c>
      <c r="P329" s="322">
        <v>45609.0</v>
      </c>
      <c r="Q329" s="222"/>
      <c r="R329" s="222"/>
      <c r="S329" s="223"/>
      <c r="T329" s="223"/>
      <c r="U329" s="223"/>
      <c r="V329" s="223"/>
      <c r="W329" s="223"/>
      <c r="X329" s="223"/>
      <c r="Y329" s="223"/>
      <c r="Z329" s="223"/>
    </row>
    <row r="330" ht="15.75" customHeight="1">
      <c r="A330" s="225" t="s">
        <v>7272</v>
      </c>
      <c r="B330" s="225" t="s">
        <v>6458</v>
      </c>
      <c r="C330" s="225">
        <v>8.68618078882941E14</v>
      </c>
      <c r="D330" s="225" t="s">
        <v>7260</v>
      </c>
      <c r="E330" s="225" t="s">
        <v>7274</v>
      </c>
      <c r="F330" s="225" t="s">
        <v>6465</v>
      </c>
      <c r="G330" s="225" t="s">
        <v>6465</v>
      </c>
      <c r="H330" s="225" t="s">
        <v>6465</v>
      </c>
      <c r="I330" s="334" t="s">
        <v>1807</v>
      </c>
      <c r="J330" s="228" t="s">
        <v>4108</v>
      </c>
      <c r="K330" s="225" t="s">
        <v>1808</v>
      </c>
      <c r="L330" s="225"/>
      <c r="M330" s="225" t="s">
        <v>6505</v>
      </c>
      <c r="N330" s="229">
        <v>128.0</v>
      </c>
      <c r="O330" s="229">
        <v>5182.0</v>
      </c>
      <c r="P330" s="322">
        <v>45609.0</v>
      </c>
      <c r="Q330" s="222"/>
      <c r="R330" s="222"/>
      <c r="S330" s="223"/>
      <c r="T330" s="223"/>
      <c r="U330" s="223"/>
      <c r="V330" s="223"/>
      <c r="W330" s="223"/>
      <c r="X330" s="223"/>
      <c r="Y330" s="223"/>
      <c r="Z330" s="223"/>
    </row>
    <row r="331" ht="15.75" customHeight="1">
      <c r="A331" s="225" t="s">
        <v>7272</v>
      </c>
      <c r="B331" s="225" t="s">
        <v>6458</v>
      </c>
      <c r="C331" s="225">
        <v>8.60845077686225E14</v>
      </c>
      <c r="D331" s="225" t="s">
        <v>7260</v>
      </c>
      <c r="E331" s="225" t="s">
        <v>7275</v>
      </c>
      <c r="F331" s="225" t="s">
        <v>6465</v>
      </c>
      <c r="G331" s="225" t="s">
        <v>6465</v>
      </c>
      <c r="H331" s="225" t="s">
        <v>6465</v>
      </c>
      <c r="I331" s="334" t="s">
        <v>1807</v>
      </c>
      <c r="J331" s="228" t="s">
        <v>4108</v>
      </c>
      <c r="K331" s="225" t="s">
        <v>1808</v>
      </c>
      <c r="L331" s="225"/>
      <c r="M331" s="225" t="s">
        <v>6505</v>
      </c>
      <c r="N331" s="229">
        <v>128.0</v>
      </c>
      <c r="O331" s="229">
        <v>5182.0</v>
      </c>
      <c r="P331" s="322">
        <v>45609.0</v>
      </c>
      <c r="Q331" s="222"/>
      <c r="R331" s="222"/>
      <c r="S331" s="223"/>
      <c r="T331" s="223"/>
      <c r="U331" s="223"/>
      <c r="V331" s="223"/>
      <c r="W331" s="223"/>
      <c r="X331" s="223"/>
      <c r="Y331" s="223"/>
      <c r="Z331" s="223"/>
    </row>
    <row r="332" ht="15.75" customHeight="1">
      <c r="A332" s="225" t="s">
        <v>7272</v>
      </c>
      <c r="B332" s="225" t="s">
        <v>6458</v>
      </c>
      <c r="C332" s="225">
        <v>8.68618076717966E14</v>
      </c>
      <c r="D332" s="225" t="s">
        <v>7260</v>
      </c>
      <c r="E332" s="225" t="s">
        <v>7276</v>
      </c>
      <c r="F332" s="225" t="s">
        <v>6465</v>
      </c>
      <c r="G332" s="225" t="s">
        <v>6465</v>
      </c>
      <c r="H332" s="225" t="s">
        <v>6465</v>
      </c>
      <c r="I332" s="334" t="s">
        <v>1807</v>
      </c>
      <c r="J332" s="228" t="s">
        <v>4108</v>
      </c>
      <c r="K332" s="225" t="s">
        <v>1808</v>
      </c>
      <c r="L332" s="225"/>
      <c r="M332" s="225" t="s">
        <v>6505</v>
      </c>
      <c r="N332" s="229">
        <v>128.0</v>
      </c>
      <c r="O332" s="229">
        <v>5182.0</v>
      </c>
      <c r="P332" s="322">
        <v>45609.0</v>
      </c>
      <c r="Q332" s="222"/>
      <c r="R332" s="222"/>
      <c r="S332" s="223"/>
      <c r="T332" s="223"/>
      <c r="U332" s="223"/>
      <c r="V332" s="223"/>
      <c r="W332" s="223"/>
      <c r="X332" s="223"/>
      <c r="Y332" s="223"/>
      <c r="Z332" s="223"/>
    </row>
    <row r="333" ht="15.75" customHeight="1">
      <c r="A333" s="225" t="s">
        <v>7272</v>
      </c>
      <c r="B333" s="225" t="s">
        <v>6458</v>
      </c>
      <c r="C333" s="225">
        <v>8.68618079018065E14</v>
      </c>
      <c r="D333" s="225" t="s">
        <v>7260</v>
      </c>
      <c r="E333" s="225" t="s">
        <v>7277</v>
      </c>
      <c r="F333" s="225" t="s">
        <v>6465</v>
      </c>
      <c r="G333" s="225" t="s">
        <v>6465</v>
      </c>
      <c r="H333" s="225" t="s">
        <v>6465</v>
      </c>
      <c r="I333" s="334" t="s">
        <v>1807</v>
      </c>
      <c r="J333" s="228" t="s">
        <v>4108</v>
      </c>
      <c r="K333" s="225" t="s">
        <v>1808</v>
      </c>
      <c r="L333" s="225"/>
      <c r="M333" s="225" t="s">
        <v>6505</v>
      </c>
      <c r="N333" s="229">
        <v>128.0</v>
      </c>
      <c r="O333" s="229">
        <v>5182.0</v>
      </c>
      <c r="P333" s="322">
        <v>45609.0</v>
      </c>
      <c r="Q333" s="222"/>
      <c r="R333" s="222"/>
      <c r="S333" s="223"/>
      <c r="T333" s="223"/>
      <c r="U333" s="223"/>
      <c r="V333" s="223"/>
      <c r="W333" s="223"/>
      <c r="X333" s="223"/>
      <c r="Y333" s="223"/>
      <c r="Z333" s="223"/>
    </row>
    <row r="334" ht="15.75" customHeight="1">
      <c r="A334" s="225" t="s">
        <v>7272</v>
      </c>
      <c r="B334" s="225" t="s">
        <v>6458</v>
      </c>
      <c r="C334" s="225">
        <v>8.6861807899368E14</v>
      </c>
      <c r="D334" s="225" t="s">
        <v>7260</v>
      </c>
      <c r="E334" s="225" t="s">
        <v>7278</v>
      </c>
      <c r="F334" s="225" t="s">
        <v>6465</v>
      </c>
      <c r="G334" s="225" t="s">
        <v>6465</v>
      </c>
      <c r="H334" s="225" t="s">
        <v>6465</v>
      </c>
      <c r="I334" s="334" t="s">
        <v>1807</v>
      </c>
      <c r="J334" s="228" t="s">
        <v>4108</v>
      </c>
      <c r="K334" s="225" t="s">
        <v>1808</v>
      </c>
      <c r="L334" s="225"/>
      <c r="M334" s="225" t="s">
        <v>6505</v>
      </c>
      <c r="N334" s="229">
        <v>128.0</v>
      </c>
      <c r="O334" s="229">
        <v>5182.0</v>
      </c>
      <c r="P334" s="322">
        <v>45609.0</v>
      </c>
      <c r="Q334" s="222"/>
      <c r="R334" s="222"/>
      <c r="S334" s="223"/>
      <c r="T334" s="223"/>
      <c r="U334" s="223"/>
      <c r="V334" s="223"/>
      <c r="W334" s="223"/>
      <c r="X334" s="223"/>
      <c r="Y334" s="223"/>
      <c r="Z334" s="223"/>
    </row>
    <row r="335" ht="15.75" customHeight="1">
      <c r="A335" s="225" t="s">
        <v>7272</v>
      </c>
      <c r="B335" s="225" t="s">
        <v>6458</v>
      </c>
      <c r="C335" s="225">
        <v>8.68618079046744E14</v>
      </c>
      <c r="D335" s="225" t="s">
        <v>7260</v>
      </c>
      <c r="E335" s="225" t="s">
        <v>7279</v>
      </c>
      <c r="F335" s="225" t="s">
        <v>6465</v>
      </c>
      <c r="G335" s="225" t="s">
        <v>6465</v>
      </c>
      <c r="H335" s="225" t="s">
        <v>6465</v>
      </c>
      <c r="I335" s="334" t="s">
        <v>1807</v>
      </c>
      <c r="J335" s="228" t="s">
        <v>4108</v>
      </c>
      <c r="K335" s="225" t="s">
        <v>1808</v>
      </c>
      <c r="L335" s="225"/>
      <c r="M335" s="225" t="s">
        <v>6505</v>
      </c>
      <c r="N335" s="229">
        <v>128.0</v>
      </c>
      <c r="O335" s="229">
        <v>5182.0</v>
      </c>
      <c r="P335" s="322">
        <v>45609.0</v>
      </c>
      <c r="Q335" s="222"/>
      <c r="R335" s="222"/>
      <c r="S335" s="223"/>
      <c r="T335" s="223"/>
      <c r="U335" s="223"/>
      <c r="V335" s="223"/>
      <c r="W335" s="223"/>
      <c r="X335" s="223"/>
      <c r="Y335" s="223"/>
      <c r="Z335" s="223"/>
    </row>
    <row r="336" ht="15.75" customHeight="1">
      <c r="A336" s="225" t="s">
        <v>7272</v>
      </c>
      <c r="B336" s="225" t="s">
        <v>6458</v>
      </c>
      <c r="C336" s="225">
        <v>8.66807078265643E14</v>
      </c>
      <c r="D336" s="225" t="s">
        <v>7260</v>
      </c>
      <c r="E336" s="225" t="s">
        <v>7280</v>
      </c>
      <c r="F336" s="225" t="s">
        <v>6465</v>
      </c>
      <c r="G336" s="225" t="s">
        <v>6465</v>
      </c>
      <c r="H336" s="225" t="s">
        <v>6465</v>
      </c>
      <c r="I336" s="334" t="s">
        <v>1807</v>
      </c>
      <c r="J336" s="228" t="s">
        <v>4108</v>
      </c>
      <c r="K336" s="225" t="s">
        <v>1808</v>
      </c>
      <c r="L336" s="225"/>
      <c r="M336" s="225" t="s">
        <v>6505</v>
      </c>
      <c r="N336" s="229">
        <v>128.0</v>
      </c>
      <c r="O336" s="229">
        <v>5182.0</v>
      </c>
      <c r="P336" s="322">
        <v>45609.0</v>
      </c>
      <c r="Q336" s="222"/>
      <c r="R336" s="222"/>
      <c r="S336" s="223"/>
      <c r="T336" s="223"/>
      <c r="U336" s="223"/>
      <c r="V336" s="223"/>
      <c r="W336" s="223"/>
      <c r="X336" s="223"/>
      <c r="Y336" s="223"/>
      <c r="Z336" s="223"/>
    </row>
    <row r="337" ht="15.75" customHeight="1">
      <c r="A337" s="225" t="s">
        <v>7272</v>
      </c>
      <c r="B337" s="225" t="s">
        <v>6458</v>
      </c>
      <c r="C337" s="225">
        <v>8.66807078593705E14</v>
      </c>
      <c r="D337" s="225" t="s">
        <v>7260</v>
      </c>
      <c r="E337" s="225" t="s">
        <v>7281</v>
      </c>
      <c r="F337" s="225" t="s">
        <v>6465</v>
      </c>
      <c r="G337" s="225" t="s">
        <v>6465</v>
      </c>
      <c r="H337" s="225" t="s">
        <v>6465</v>
      </c>
      <c r="I337" s="334" t="s">
        <v>1807</v>
      </c>
      <c r="J337" s="228" t="s">
        <v>4108</v>
      </c>
      <c r="K337" s="225" t="s">
        <v>1808</v>
      </c>
      <c r="L337" s="225"/>
      <c r="M337" s="225" t="s">
        <v>6505</v>
      </c>
      <c r="N337" s="229">
        <v>128.0</v>
      </c>
      <c r="O337" s="229">
        <v>5182.0</v>
      </c>
      <c r="P337" s="322">
        <v>45609.0</v>
      </c>
      <c r="Q337" s="222"/>
      <c r="R337" s="222"/>
      <c r="S337" s="223"/>
      <c r="T337" s="223"/>
      <c r="U337" s="223"/>
      <c r="V337" s="223"/>
      <c r="W337" s="223"/>
      <c r="X337" s="223"/>
      <c r="Y337" s="223"/>
      <c r="Z337" s="223"/>
    </row>
    <row r="338" ht="15.75" customHeight="1">
      <c r="A338" s="225" t="s">
        <v>7272</v>
      </c>
      <c r="B338" s="225" t="s">
        <v>6458</v>
      </c>
      <c r="C338" s="225">
        <v>8.68618078878881E14</v>
      </c>
      <c r="D338" s="225" t="s">
        <v>7260</v>
      </c>
      <c r="E338" s="225" t="s">
        <v>7282</v>
      </c>
      <c r="F338" s="225" t="s">
        <v>6465</v>
      </c>
      <c r="G338" s="225" t="s">
        <v>6465</v>
      </c>
      <c r="H338" s="225" t="s">
        <v>6465</v>
      </c>
      <c r="I338" s="334" t="s">
        <v>1807</v>
      </c>
      <c r="J338" s="228" t="s">
        <v>4108</v>
      </c>
      <c r="K338" s="225" t="s">
        <v>1808</v>
      </c>
      <c r="L338" s="225"/>
      <c r="M338" s="225" t="s">
        <v>6505</v>
      </c>
      <c r="N338" s="229">
        <v>128.0</v>
      </c>
      <c r="O338" s="229">
        <v>5182.0</v>
      </c>
      <c r="P338" s="322">
        <v>45609.0</v>
      </c>
      <c r="Q338" s="222"/>
      <c r="R338" s="222"/>
      <c r="S338" s="223"/>
      <c r="T338" s="223"/>
      <c r="U338" s="223"/>
      <c r="V338" s="223"/>
      <c r="W338" s="223"/>
      <c r="X338" s="223"/>
      <c r="Y338" s="223"/>
      <c r="Z338" s="223"/>
    </row>
    <row r="339" ht="15.75" customHeight="1">
      <c r="A339" s="225" t="s">
        <v>7272</v>
      </c>
      <c r="B339" s="225" t="s">
        <v>6458</v>
      </c>
      <c r="C339" s="225">
        <v>8.68618076540368E14</v>
      </c>
      <c r="D339" s="225" t="s">
        <v>7260</v>
      </c>
      <c r="E339" s="225" t="s">
        <v>7283</v>
      </c>
      <c r="F339" s="225" t="s">
        <v>6465</v>
      </c>
      <c r="G339" s="225" t="s">
        <v>6465</v>
      </c>
      <c r="H339" s="225" t="s">
        <v>6465</v>
      </c>
      <c r="I339" s="334" t="s">
        <v>1807</v>
      </c>
      <c r="J339" s="228" t="s">
        <v>4108</v>
      </c>
      <c r="K339" s="225" t="s">
        <v>1808</v>
      </c>
      <c r="L339" s="225"/>
      <c r="M339" s="225" t="s">
        <v>6505</v>
      </c>
      <c r="N339" s="229">
        <v>128.0</v>
      </c>
      <c r="O339" s="229">
        <v>5182.0</v>
      </c>
      <c r="P339" s="322">
        <v>45609.0</v>
      </c>
      <c r="Q339" s="222"/>
      <c r="R339" s="222"/>
      <c r="S339" s="223"/>
      <c r="T339" s="223"/>
      <c r="U339" s="223"/>
      <c r="V339" s="223"/>
      <c r="W339" s="223"/>
      <c r="X339" s="223"/>
      <c r="Y339" s="223"/>
      <c r="Z339" s="223"/>
    </row>
    <row r="340" ht="15.75" customHeight="1">
      <c r="A340" s="225" t="s">
        <v>7272</v>
      </c>
      <c r="B340" s="225" t="s">
        <v>6458</v>
      </c>
      <c r="C340" s="225">
        <v>8.66807078590628E14</v>
      </c>
      <c r="D340" s="225" t="s">
        <v>7260</v>
      </c>
      <c r="E340" s="225" t="s">
        <v>7284</v>
      </c>
      <c r="F340" s="225" t="s">
        <v>6465</v>
      </c>
      <c r="G340" s="225" t="s">
        <v>6465</v>
      </c>
      <c r="H340" s="225" t="s">
        <v>6465</v>
      </c>
      <c r="I340" s="334" t="s">
        <v>1807</v>
      </c>
      <c r="J340" s="228" t="s">
        <v>4108</v>
      </c>
      <c r="K340" s="225" t="s">
        <v>1808</v>
      </c>
      <c r="L340" s="225"/>
      <c r="M340" s="225" t="s">
        <v>6505</v>
      </c>
      <c r="N340" s="229">
        <v>128.0</v>
      </c>
      <c r="O340" s="229">
        <v>5182.0</v>
      </c>
      <c r="P340" s="322">
        <v>45609.0</v>
      </c>
      <c r="Q340" s="222"/>
      <c r="R340" s="222"/>
      <c r="S340" s="223"/>
      <c r="T340" s="223"/>
      <c r="U340" s="223"/>
      <c r="V340" s="223"/>
      <c r="W340" s="223"/>
      <c r="X340" s="223"/>
      <c r="Y340" s="223"/>
      <c r="Z340" s="223"/>
    </row>
    <row r="341" ht="15.75" customHeight="1">
      <c r="A341" s="225" t="s">
        <v>7272</v>
      </c>
      <c r="B341" s="225" t="s">
        <v>6458</v>
      </c>
      <c r="C341" s="225">
        <v>8.668070784554E14</v>
      </c>
      <c r="D341" s="225" t="s">
        <v>7260</v>
      </c>
      <c r="E341" s="225" t="s">
        <v>7285</v>
      </c>
      <c r="F341" s="225" t="s">
        <v>6465</v>
      </c>
      <c r="G341" s="225" t="s">
        <v>6465</v>
      </c>
      <c r="H341" s="225" t="s">
        <v>6465</v>
      </c>
      <c r="I341" s="334" t="s">
        <v>1807</v>
      </c>
      <c r="J341" s="228" t="s">
        <v>4108</v>
      </c>
      <c r="K341" s="225" t="s">
        <v>1808</v>
      </c>
      <c r="L341" s="225"/>
      <c r="M341" s="225" t="s">
        <v>6505</v>
      </c>
      <c r="N341" s="229">
        <v>128.0</v>
      </c>
      <c r="O341" s="229">
        <v>5182.0</v>
      </c>
      <c r="P341" s="322">
        <v>45609.0</v>
      </c>
      <c r="Q341" s="222"/>
      <c r="R341" s="222"/>
      <c r="S341" s="223"/>
      <c r="T341" s="223"/>
      <c r="U341" s="223"/>
      <c r="V341" s="223"/>
      <c r="W341" s="223"/>
      <c r="X341" s="223"/>
      <c r="Y341" s="223"/>
      <c r="Z341" s="223"/>
    </row>
    <row r="342" ht="15.75" customHeight="1">
      <c r="A342" s="225" t="s">
        <v>7272</v>
      </c>
      <c r="B342" s="225" t="s">
        <v>6458</v>
      </c>
      <c r="C342" s="225">
        <v>8.68618079125381E14</v>
      </c>
      <c r="D342" s="225" t="s">
        <v>7260</v>
      </c>
      <c r="E342" s="225" t="s">
        <v>7286</v>
      </c>
      <c r="F342" s="225" t="s">
        <v>6465</v>
      </c>
      <c r="G342" s="225" t="s">
        <v>6465</v>
      </c>
      <c r="H342" s="225" t="s">
        <v>6465</v>
      </c>
      <c r="I342" s="334" t="s">
        <v>1807</v>
      </c>
      <c r="J342" s="228" t="s">
        <v>4108</v>
      </c>
      <c r="K342" s="225" t="s">
        <v>1808</v>
      </c>
      <c r="L342" s="225"/>
      <c r="M342" s="225" t="s">
        <v>6505</v>
      </c>
      <c r="N342" s="229">
        <v>128.0</v>
      </c>
      <c r="O342" s="229">
        <v>5182.0</v>
      </c>
      <c r="P342" s="322">
        <v>45609.0</v>
      </c>
      <c r="Q342" s="222"/>
      <c r="R342" s="222"/>
      <c r="S342" s="223"/>
      <c r="T342" s="223"/>
      <c r="U342" s="223"/>
      <c r="V342" s="223"/>
      <c r="W342" s="223"/>
      <c r="X342" s="223"/>
      <c r="Y342" s="223"/>
      <c r="Z342" s="223"/>
    </row>
    <row r="343" ht="15.75" customHeight="1">
      <c r="A343" s="225" t="s">
        <v>7272</v>
      </c>
      <c r="B343" s="225" t="s">
        <v>6458</v>
      </c>
      <c r="C343" s="225">
        <v>8.68618073300709E14</v>
      </c>
      <c r="D343" s="225" t="s">
        <v>7260</v>
      </c>
      <c r="E343" s="225" t="s">
        <v>7287</v>
      </c>
      <c r="F343" s="225" t="s">
        <v>6465</v>
      </c>
      <c r="G343" s="225" t="s">
        <v>6465</v>
      </c>
      <c r="H343" s="225" t="s">
        <v>6465</v>
      </c>
      <c r="I343" s="334" t="s">
        <v>1807</v>
      </c>
      <c r="J343" s="228" t="s">
        <v>4108</v>
      </c>
      <c r="K343" s="225" t="s">
        <v>1808</v>
      </c>
      <c r="L343" s="225"/>
      <c r="M343" s="225" t="s">
        <v>6505</v>
      </c>
      <c r="N343" s="229">
        <v>128.0</v>
      </c>
      <c r="O343" s="229">
        <v>5182.0</v>
      </c>
      <c r="P343" s="322">
        <v>45609.0</v>
      </c>
      <c r="Q343" s="222"/>
      <c r="R343" s="222"/>
      <c r="S343" s="223"/>
      <c r="T343" s="223"/>
      <c r="U343" s="223"/>
      <c r="V343" s="223"/>
      <c r="W343" s="223"/>
      <c r="X343" s="223"/>
      <c r="Y343" s="223"/>
      <c r="Z343" s="223"/>
    </row>
    <row r="344" ht="15.75" customHeight="1">
      <c r="A344" s="225" t="s">
        <v>7288</v>
      </c>
      <c r="B344" s="225" t="s">
        <v>6458</v>
      </c>
      <c r="C344" s="225" t="s">
        <v>7289</v>
      </c>
      <c r="D344" s="225" t="s">
        <v>6666</v>
      </c>
      <c r="E344" s="225" t="s">
        <v>7290</v>
      </c>
      <c r="F344" s="225" t="s">
        <v>6465</v>
      </c>
      <c r="G344" s="225" t="s">
        <v>6465</v>
      </c>
      <c r="H344" s="225" t="s">
        <v>6465</v>
      </c>
      <c r="I344" s="225" t="s">
        <v>1952</v>
      </c>
      <c r="J344" s="225" t="s">
        <v>4080</v>
      </c>
      <c r="K344" s="225" t="s">
        <v>1953</v>
      </c>
      <c r="L344" s="225"/>
      <c r="M344" s="225" t="s">
        <v>6505</v>
      </c>
      <c r="N344" s="230"/>
      <c r="O344" s="229">
        <v>96374.0</v>
      </c>
      <c r="P344" s="322">
        <v>45614.0</v>
      </c>
      <c r="Q344" s="222"/>
      <c r="R344" s="222"/>
      <c r="S344" s="223"/>
      <c r="T344" s="223"/>
      <c r="U344" s="223"/>
      <c r="V344" s="223"/>
      <c r="W344" s="223"/>
      <c r="X344" s="223"/>
      <c r="Y344" s="223"/>
      <c r="Z344" s="223"/>
    </row>
    <row r="345" ht="15.75" customHeight="1">
      <c r="A345" s="225"/>
      <c r="B345" s="225"/>
      <c r="C345" s="225"/>
      <c r="D345" s="225"/>
      <c r="E345" s="225"/>
      <c r="F345" s="225"/>
      <c r="G345" s="225"/>
      <c r="H345" s="225"/>
      <c r="I345" s="225"/>
      <c r="J345" s="225"/>
      <c r="K345" s="225"/>
      <c r="L345" s="225"/>
      <c r="M345" s="225"/>
      <c r="N345" s="230"/>
      <c r="O345" s="229"/>
      <c r="P345" s="322"/>
      <c r="Q345" s="222"/>
      <c r="R345" s="222"/>
      <c r="S345" s="223"/>
      <c r="T345" s="223"/>
      <c r="U345" s="223"/>
      <c r="V345" s="223"/>
      <c r="W345" s="223"/>
      <c r="X345" s="223"/>
      <c r="Y345" s="223"/>
      <c r="Z345" s="223"/>
    </row>
    <row r="346" ht="15.75" customHeight="1">
      <c r="A346" s="225"/>
      <c r="B346" s="225"/>
      <c r="C346" s="225"/>
      <c r="D346" s="225"/>
      <c r="E346" s="225"/>
      <c r="F346" s="225"/>
      <c r="G346" s="225"/>
      <c r="H346" s="225"/>
      <c r="I346" s="225"/>
      <c r="J346" s="225"/>
      <c r="K346" s="225"/>
      <c r="L346" s="225"/>
      <c r="M346" s="225"/>
      <c r="N346" s="230"/>
      <c r="O346" s="229"/>
      <c r="P346" s="230"/>
      <c r="Q346" s="222"/>
      <c r="R346" s="222"/>
      <c r="S346" s="223"/>
      <c r="T346" s="223"/>
      <c r="U346" s="223"/>
      <c r="V346" s="223"/>
      <c r="W346" s="223"/>
      <c r="X346" s="223"/>
      <c r="Y346" s="223"/>
      <c r="Z346" s="223"/>
    </row>
    <row r="347" ht="15.75" customHeight="1">
      <c r="A347" s="225"/>
      <c r="B347" s="225"/>
      <c r="C347" s="225"/>
      <c r="D347" s="225"/>
      <c r="E347" s="225"/>
      <c r="F347" s="225"/>
      <c r="G347" s="225"/>
      <c r="H347" s="225"/>
      <c r="I347" s="225"/>
      <c r="J347" s="225"/>
      <c r="K347" s="225"/>
      <c r="L347" s="225"/>
      <c r="M347" s="225"/>
      <c r="N347" s="230"/>
      <c r="O347" s="229"/>
      <c r="P347" s="230"/>
      <c r="Q347" s="222"/>
      <c r="R347" s="222"/>
      <c r="S347" s="223"/>
      <c r="T347" s="223"/>
      <c r="U347" s="223"/>
      <c r="V347" s="223"/>
      <c r="W347" s="223"/>
      <c r="X347" s="223"/>
      <c r="Y347" s="223"/>
      <c r="Z347" s="223"/>
    </row>
    <row r="348" ht="15.75" customHeight="1">
      <c r="A348" s="225"/>
      <c r="B348" s="225"/>
      <c r="C348" s="225"/>
      <c r="D348" s="225"/>
      <c r="E348" s="225"/>
      <c r="F348" s="225"/>
      <c r="G348" s="225"/>
      <c r="H348" s="225"/>
      <c r="I348" s="225"/>
      <c r="J348" s="225"/>
      <c r="K348" s="225"/>
      <c r="L348" s="225"/>
      <c r="M348" s="225"/>
      <c r="N348" s="230"/>
      <c r="O348" s="229"/>
      <c r="P348" s="230"/>
      <c r="Q348" s="222"/>
      <c r="R348" s="222"/>
      <c r="S348" s="223"/>
      <c r="T348" s="223"/>
      <c r="U348" s="223"/>
      <c r="V348" s="223"/>
      <c r="W348" s="223"/>
      <c r="X348" s="223"/>
      <c r="Y348" s="223"/>
      <c r="Z348" s="223"/>
    </row>
    <row r="349" ht="15.75" customHeight="1">
      <c r="A349" s="225"/>
      <c r="B349" s="225"/>
      <c r="C349" s="225"/>
      <c r="D349" s="225"/>
      <c r="E349" s="225"/>
      <c r="F349" s="225"/>
      <c r="G349" s="225"/>
      <c r="H349" s="225"/>
      <c r="I349" s="225"/>
      <c r="J349" s="225"/>
      <c r="K349" s="225"/>
      <c r="L349" s="225"/>
      <c r="M349" s="225"/>
      <c r="N349" s="230"/>
      <c r="O349" s="229"/>
      <c r="P349" s="230"/>
      <c r="Q349" s="222"/>
      <c r="R349" s="222"/>
      <c r="S349" s="223"/>
      <c r="T349" s="223"/>
      <c r="U349" s="223"/>
      <c r="V349" s="223"/>
      <c r="W349" s="223"/>
      <c r="X349" s="223"/>
      <c r="Y349" s="223"/>
      <c r="Z349" s="223"/>
    </row>
    <row r="350" ht="15.75" customHeight="1">
      <c r="A350" s="225"/>
      <c r="B350" s="225"/>
      <c r="C350" s="225"/>
      <c r="D350" s="225"/>
      <c r="E350" s="225"/>
      <c r="F350" s="225"/>
      <c r="G350" s="225"/>
      <c r="H350" s="225"/>
      <c r="I350" s="225"/>
      <c r="J350" s="225"/>
      <c r="K350" s="225"/>
      <c r="L350" s="225"/>
      <c r="M350" s="225"/>
      <c r="N350" s="230"/>
      <c r="O350" s="229"/>
      <c r="P350" s="230"/>
      <c r="Q350" s="222"/>
      <c r="R350" s="222"/>
      <c r="S350" s="223"/>
      <c r="T350" s="223"/>
      <c r="U350" s="223"/>
      <c r="V350" s="223"/>
      <c r="W350" s="223"/>
      <c r="X350" s="223"/>
      <c r="Y350" s="223"/>
      <c r="Z350" s="223"/>
    </row>
    <row r="351" ht="15.75" customHeight="1">
      <c r="A351" s="225"/>
      <c r="B351" s="225"/>
      <c r="C351" s="225"/>
      <c r="D351" s="225"/>
      <c r="E351" s="225"/>
      <c r="F351" s="225"/>
      <c r="G351" s="225"/>
      <c r="H351" s="225"/>
      <c r="I351" s="225"/>
      <c r="J351" s="225"/>
      <c r="K351" s="225"/>
      <c r="L351" s="225"/>
      <c r="M351" s="225"/>
      <c r="N351" s="222"/>
      <c r="O351" s="302"/>
      <c r="P351" s="222"/>
      <c r="Q351" s="222"/>
      <c r="R351" s="222"/>
      <c r="S351" s="223"/>
      <c r="T351" s="223"/>
      <c r="U351" s="223"/>
      <c r="V351" s="223"/>
      <c r="W351" s="223"/>
      <c r="X351" s="223"/>
      <c r="Y351" s="223"/>
      <c r="Z351" s="223"/>
    </row>
    <row r="352" ht="15.75" customHeight="1">
      <c r="A352" s="225"/>
      <c r="B352" s="225"/>
      <c r="C352" s="225"/>
      <c r="D352" s="225"/>
      <c r="E352" s="225"/>
      <c r="F352" s="225"/>
      <c r="G352" s="225"/>
      <c r="H352" s="225"/>
      <c r="I352" s="225"/>
      <c r="J352" s="225"/>
      <c r="K352" s="225"/>
      <c r="L352" s="225"/>
      <c r="M352" s="225"/>
      <c r="N352" s="222"/>
      <c r="O352" s="302"/>
      <c r="P352" s="222"/>
      <c r="Q352" s="222"/>
      <c r="R352" s="222"/>
      <c r="S352" s="223"/>
      <c r="T352" s="223"/>
      <c r="U352" s="223"/>
      <c r="V352" s="223"/>
      <c r="W352" s="223"/>
      <c r="X352" s="223"/>
      <c r="Y352" s="223"/>
      <c r="Z352" s="223"/>
    </row>
    <row r="353" ht="15.75" customHeight="1">
      <c r="A353" s="225"/>
      <c r="B353" s="225"/>
      <c r="C353" s="225"/>
      <c r="D353" s="225"/>
      <c r="E353" s="225"/>
      <c r="F353" s="225"/>
      <c r="G353" s="225"/>
      <c r="H353" s="225"/>
      <c r="I353" s="225"/>
      <c r="J353" s="225"/>
      <c r="K353" s="225"/>
      <c r="L353" s="225"/>
      <c r="M353" s="225"/>
      <c r="N353" s="222"/>
      <c r="O353" s="302"/>
      <c r="P353" s="222"/>
      <c r="Q353" s="222"/>
      <c r="R353" s="222"/>
      <c r="S353" s="223"/>
      <c r="T353" s="223"/>
      <c r="U353" s="223"/>
      <c r="V353" s="223"/>
      <c r="W353" s="223"/>
      <c r="X353" s="223"/>
      <c r="Y353" s="223"/>
      <c r="Z353" s="223"/>
    </row>
    <row r="354" ht="15.75" customHeight="1">
      <c r="A354" s="225"/>
      <c r="B354" s="225"/>
      <c r="C354" s="225"/>
      <c r="D354" s="225"/>
      <c r="E354" s="225"/>
      <c r="F354" s="225"/>
      <c r="G354" s="225"/>
      <c r="H354" s="225"/>
      <c r="I354" s="225"/>
      <c r="J354" s="225"/>
      <c r="K354" s="225"/>
      <c r="L354" s="225"/>
      <c r="M354" s="225"/>
      <c r="N354" s="222"/>
      <c r="O354" s="302"/>
      <c r="P354" s="222"/>
      <c r="Q354" s="222"/>
      <c r="R354" s="222"/>
      <c r="S354" s="223"/>
      <c r="T354" s="223"/>
      <c r="U354" s="223"/>
      <c r="V354" s="223"/>
      <c r="W354" s="223"/>
      <c r="X354" s="223"/>
      <c r="Y354" s="223"/>
      <c r="Z354" s="223"/>
    </row>
    <row r="355" ht="15.75" customHeight="1">
      <c r="A355" s="225"/>
      <c r="B355" s="225"/>
      <c r="C355" s="225"/>
      <c r="D355" s="225"/>
      <c r="E355" s="225"/>
      <c r="F355" s="225"/>
      <c r="G355" s="225"/>
      <c r="H355" s="225"/>
      <c r="I355" s="225"/>
      <c r="J355" s="225"/>
      <c r="K355" s="225"/>
      <c r="L355" s="225"/>
      <c r="M355" s="225"/>
      <c r="N355" s="222"/>
      <c r="O355" s="302"/>
      <c r="P355" s="222"/>
      <c r="Q355" s="222"/>
      <c r="R355" s="222"/>
      <c r="S355" s="223"/>
      <c r="T355" s="223"/>
      <c r="U355" s="223"/>
      <c r="V355" s="223"/>
      <c r="W355" s="223"/>
      <c r="X355" s="223"/>
      <c r="Y355" s="223"/>
      <c r="Z355" s="223"/>
    </row>
    <row r="356" ht="15.75" customHeight="1">
      <c r="A356" s="225"/>
      <c r="B356" s="225"/>
      <c r="C356" s="225"/>
      <c r="D356" s="225"/>
      <c r="E356" s="225"/>
      <c r="F356" s="225"/>
      <c r="G356" s="225"/>
      <c r="H356" s="225"/>
      <c r="I356" s="225"/>
      <c r="J356" s="225"/>
      <c r="K356" s="225"/>
      <c r="L356" s="225"/>
      <c r="M356" s="225"/>
      <c r="N356" s="222"/>
      <c r="O356" s="302"/>
      <c r="P356" s="222"/>
      <c r="Q356" s="222"/>
      <c r="R356" s="222"/>
      <c r="S356" s="223"/>
      <c r="T356" s="223"/>
      <c r="U356" s="223"/>
      <c r="V356" s="223"/>
      <c r="W356" s="223"/>
      <c r="X356" s="223"/>
      <c r="Y356" s="223"/>
      <c r="Z356" s="223"/>
    </row>
    <row r="357" ht="15.75" customHeight="1">
      <c r="A357" s="225"/>
      <c r="B357" s="225"/>
      <c r="C357" s="225"/>
      <c r="D357" s="225"/>
      <c r="E357" s="225"/>
      <c r="F357" s="225"/>
      <c r="G357" s="225"/>
      <c r="H357" s="225"/>
      <c r="I357" s="225"/>
      <c r="J357" s="225"/>
      <c r="K357" s="225"/>
      <c r="L357" s="225"/>
      <c r="M357" s="225"/>
      <c r="N357" s="222"/>
      <c r="O357" s="302"/>
      <c r="P357" s="222"/>
      <c r="Q357" s="222"/>
      <c r="R357" s="222"/>
      <c r="S357" s="223"/>
      <c r="T357" s="223"/>
      <c r="U357" s="223"/>
      <c r="V357" s="223"/>
      <c r="W357" s="223"/>
      <c r="X357" s="223"/>
      <c r="Y357" s="223"/>
      <c r="Z357" s="223"/>
    </row>
    <row r="358" ht="15.75" customHeight="1">
      <c r="A358" s="225"/>
      <c r="B358" s="225"/>
      <c r="C358" s="225"/>
      <c r="D358" s="225"/>
      <c r="E358" s="225"/>
      <c r="F358" s="225"/>
      <c r="G358" s="225"/>
      <c r="H358" s="225"/>
      <c r="I358" s="225"/>
      <c r="J358" s="225"/>
      <c r="K358" s="225"/>
      <c r="L358" s="225"/>
      <c r="M358" s="225"/>
      <c r="N358" s="222"/>
      <c r="O358" s="302"/>
      <c r="P358" s="222"/>
      <c r="Q358" s="222"/>
      <c r="R358" s="222"/>
      <c r="S358" s="223"/>
      <c r="T358" s="223"/>
      <c r="U358" s="223"/>
      <c r="V358" s="223"/>
      <c r="W358" s="223"/>
      <c r="X358" s="223"/>
      <c r="Y358" s="223"/>
      <c r="Z358" s="223"/>
    </row>
    <row r="359" ht="15.75" customHeight="1">
      <c r="A359" s="225"/>
      <c r="B359" s="225"/>
      <c r="C359" s="225"/>
      <c r="D359" s="225"/>
      <c r="E359" s="225"/>
      <c r="F359" s="225"/>
      <c r="G359" s="225"/>
      <c r="H359" s="225"/>
      <c r="I359" s="225"/>
      <c r="J359" s="225"/>
      <c r="K359" s="225"/>
      <c r="L359" s="225"/>
      <c r="M359" s="225"/>
      <c r="N359" s="222"/>
      <c r="O359" s="302"/>
      <c r="P359" s="222"/>
      <c r="Q359" s="222"/>
      <c r="R359" s="222"/>
      <c r="S359" s="223"/>
      <c r="T359" s="223"/>
      <c r="U359" s="223"/>
      <c r="V359" s="223"/>
      <c r="W359" s="223"/>
      <c r="X359" s="223"/>
      <c r="Y359" s="223"/>
      <c r="Z359" s="223"/>
    </row>
    <row r="360" ht="15.75" customHeight="1">
      <c r="A360" s="225"/>
      <c r="B360" s="225"/>
      <c r="C360" s="225"/>
      <c r="D360" s="225"/>
      <c r="E360" s="225"/>
      <c r="F360" s="225"/>
      <c r="G360" s="225"/>
      <c r="H360" s="225"/>
      <c r="I360" s="225"/>
      <c r="J360" s="225"/>
      <c r="K360" s="225"/>
      <c r="L360" s="225"/>
      <c r="M360" s="225"/>
      <c r="N360" s="222"/>
      <c r="O360" s="302"/>
      <c r="P360" s="222"/>
      <c r="Q360" s="222"/>
      <c r="R360" s="222"/>
      <c r="S360" s="223"/>
      <c r="T360" s="223"/>
      <c r="U360" s="223"/>
      <c r="V360" s="223"/>
      <c r="W360" s="223"/>
      <c r="X360" s="223"/>
      <c r="Y360" s="223"/>
      <c r="Z360" s="223"/>
    </row>
    <row r="361" ht="15.75" customHeight="1">
      <c r="A361" s="225"/>
      <c r="B361" s="225"/>
      <c r="C361" s="225"/>
      <c r="D361" s="225"/>
      <c r="E361" s="225"/>
      <c r="F361" s="225"/>
      <c r="G361" s="225"/>
      <c r="H361" s="225"/>
      <c r="I361" s="225"/>
      <c r="J361" s="225"/>
      <c r="K361" s="225"/>
      <c r="L361" s="225"/>
      <c r="M361" s="225"/>
      <c r="N361" s="222"/>
      <c r="O361" s="302"/>
      <c r="P361" s="222"/>
      <c r="Q361" s="222"/>
      <c r="R361" s="222"/>
      <c r="S361" s="223"/>
      <c r="T361" s="223"/>
      <c r="U361" s="223"/>
      <c r="V361" s="223"/>
      <c r="W361" s="223"/>
      <c r="X361" s="223"/>
      <c r="Y361" s="223"/>
      <c r="Z361" s="223"/>
    </row>
    <row r="362" ht="15.75" customHeight="1">
      <c r="A362" s="225"/>
      <c r="B362" s="225"/>
      <c r="C362" s="225"/>
      <c r="D362" s="225"/>
      <c r="E362" s="225"/>
      <c r="F362" s="225"/>
      <c r="G362" s="225"/>
      <c r="H362" s="225"/>
      <c r="I362" s="225"/>
      <c r="J362" s="225"/>
      <c r="K362" s="225"/>
      <c r="L362" s="225"/>
      <c r="M362" s="225"/>
      <c r="N362" s="222"/>
      <c r="O362" s="302"/>
      <c r="P362" s="222"/>
      <c r="Q362" s="222"/>
      <c r="R362" s="222"/>
      <c r="S362" s="223"/>
      <c r="T362" s="223"/>
      <c r="U362" s="223"/>
      <c r="V362" s="223"/>
      <c r="W362" s="223"/>
      <c r="X362" s="223"/>
      <c r="Y362" s="223"/>
      <c r="Z362" s="223"/>
    </row>
    <row r="363" ht="15.75" customHeight="1">
      <c r="A363" s="225"/>
      <c r="B363" s="225"/>
      <c r="C363" s="225"/>
      <c r="D363" s="225"/>
      <c r="E363" s="225"/>
      <c r="F363" s="225"/>
      <c r="G363" s="225"/>
      <c r="H363" s="225"/>
      <c r="I363" s="225"/>
      <c r="J363" s="225"/>
      <c r="K363" s="225"/>
      <c r="L363" s="225"/>
      <c r="M363" s="225"/>
      <c r="N363" s="222"/>
      <c r="O363" s="302"/>
      <c r="P363" s="222"/>
      <c r="Q363" s="222"/>
      <c r="R363" s="222"/>
      <c r="S363" s="223"/>
      <c r="T363" s="223"/>
      <c r="U363" s="223"/>
      <c r="V363" s="223"/>
      <c r="W363" s="223"/>
      <c r="X363" s="223"/>
      <c r="Y363" s="223"/>
      <c r="Z363" s="223"/>
    </row>
    <row r="364" ht="15.75" customHeight="1">
      <c r="A364" s="225"/>
      <c r="B364" s="225"/>
      <c r="C364" s="225"/>
      <c r="D364" s="225"/>
      <c r="E364" s="225"/>
      <c r="F364" s="225"/>
      <c r="G364" s="225"/>
      <c r="H364" s="225"/>
      <c r="I364" s="225"/>
      <c r="J364" s="225"/>
      <c r="K364" s="225"/>
      <c r="L364" s="225"/>
      <c r="M364" s="225"/>
      <c r="N364" s="222"/>
      <c r="O364" s="302"/>
      <c r="P364" s="222"/>
      <c r="Q364" s="222"/>
      <c r="R364" s="222"/>
      <c r="S364" s="223"/>
      <c r="T364" s="223"/>
      <c r="U364" s="223"/>
      <c r="V364" s="223"/>
      <c r="W364" s="223"/>
      <c r="X364" s="223"/>
      <c r="Y364" s="223"/>
      <c r="Z364" s="223"/>
    </row>
    <row r="365" ht="15.75" customHeight="1">
      <c r="A365" s="225"/>
      <c r="B365" s="225"/>
      <c r="C365" s="225"/>
      <c r="D365" s="225"/>
      <c r="E365" s="225"/>
      <c r="F365" s="225"/>
      <c r="G365" s="225"/>
      <c r="H365" s="225"/>
      <c r="I365" s="225"/>
      <c r="J365" s="225"/>
      <c r="K365" s="225"/>
      <c r="L365" s="225"/>
      <c r="M365" s="225"/>
      <c r="N365" s="222"/>
      <c r="O365" s="302"/>
      <c r="P365" s="222"/>
      <c r="Q365" s="222"/>
      <c r="R365" s="222"/>
      <c r="S365" s="223"/>
      <c r="T365" s="223"/>
      <c r="U365" s="223"/>
      <c r="V365" s="223"/>
      <c r="W365" s="223"/>
      <c r="X365" s="223"/>
      <c r="Y365" s="223"/>
      <c r="Z365" s="223"/>
    </row>
    <row r="366" ht="15.75" customHeight="1">
      <c r="A366" s="225"/>
      <c r="B366" s="225"/>
      <c r="C366" s="225"/>
      <c r="D366" s="225"/>
      <c r="E366" s="225"/>
      <c r="F366" s="225"/>
      <c r="G366" s="225"/>
      <c r="H366" s="225"/>
      <c r="I366" s="225"/>
      <c r="J366" s="225"/>
      <c r="K366" s="225"/>
      <c r="L366" s="225"/>
      <c r="M366" s="225"/>
      <c r="N366" s="222"/>
      <c r="O366" s="302"/>
      <c r="P366" s="222"/>
      <c r="Q366" s="222"/>
      <c r="R366" s="222"/>
      <c r="S366" s="223"/>
      <c r="T366" s="223"/>
      <c r="U366" s="223"/>
      <c r="V366" s="223"/>
      <c r="W366" s="223"/>
      <c r="X366" s="223"/>
      <c r="Y366" s="223"/>
      <c r="Z366" s="223"/>
    </row>
    <row r="367" ht="15.75" customHeight="1">
      <c r="A367" s="225"/>
      <c r="B367" s="225"/>
      <c r="C367" s="225"/>
      <c r="D367" s="225"/>
      <c r="E367" s="225"/>
      <c r="F367" s="225"/>
      <c r="G367" s="225"/>
      <c r="H367" s="225"/>
      <c r="I367" s="225"/>
      <c r="J367" s="225"/>
      <c r="K367" s="225"/>
      <c r="L367" s="225"/>
      <c r="M367" s="225"/>
      <c r="N367" s="222"/>
      <c r="O367" s="302"/>
      <c r="P367" s="222"/>
      <c r="Q367" s="222"/>
      <c r="R367" s="222"/>
      <c r="S367" s="223"/>
      <c r="T367" s="223"/>
      <c r="U367" s="223"/>
      <c r="V367" s="223"/>
      <c r="W367" s="223"/>
      <c r="X367" s="223"/>
      <c r="Y367" s="223"/>
      <c r="Z367" s="223"/>
    </row>
    <row r="368" ht="15.75" customHeight="1">
      <c r="A368" s="225"/>
      <c r="B368" s="225"/>
      <c r="C368" s="225"/>
      <c r="D368" s="225"/>
      <c r="E368" s="225"/>
      <c r="F368" s="225"/>
      <c r="G368" s="225"/>
      <c r="H368" s="225"/>
      <c r="I368" s="225"/>
      <c r="J368" s="225"/>
      <c r="K368" s="225"/>
      <c r="L368" s="225"/>
      <c r="M368" s="225"/>
      <c r="N368" s="222"/>
      <c r="O368" s="302"/>
      <c r="P368" s="222"/>
      <c r="Q368" s="222"/>
      <c r="R368" s="222"/>
      <c r="S368" s="223"/>
      <c r="T368" s="223"/>
      <c r="U368" s="223"/>
      <c r="V368" s="223"/>
      <c r="W368" s="223"/>
      <c r="X368" s="223"/>
      <c r="Y368" s="223"/>
      <c r="Z368" s="223"/>
    </row>
    <row r="369" ht="15.75" customHeight="1">
      <c r="A369" s="225"/>
      <c r="B369" s="225"/>
      <c r="C369" s="225"/>
      <c r="D369" s="225"/>
      <c r="E369" s="225"/>
      <c r="F369" s="225"/>
      <c r="G369" s="225"/>
      <c r="H369" s="225"/>
      <c r="I369" s="225"/>
      <c r="J369" s="225"/>
      <c r="K369" s="225"/>
      <c r="L369" s="225"/>
      <c r="M369" s="225"/>
      <c r="N369" s="222"/>
      <c r="O369" s="302"/>
      <c r="P369" s="222"/>
      <c r="Q369" s="222"/>
      <c r="R369" s="222"/>
      <c r="S369" s="223"/>
      <c r="T369" s="223"/>
      <c r="U369" s="223"/>
      <c r="V369" s="223"/>
      <c r="W369" s="223"/>
      <c r="X369" s="223"/>
      <c r="Y369" s="223"/>
      <c r="Z369" s="223"/>
    </row>
    <row r="370" ht="15.75" customHeight="1">
      <c r="A370" s="225"/>
      <c r="B370" s="225"/>
      <c r="C370" s="225"/>
      <c r="D370" s="225"/>
      <c r="E370" s="225"/>
      <c r="F370" s="225"/>
      <c r="G370" s="225"/>
      <c r="H370" s="225"/>
      <c r="I370" s="225"/>
      <c r="J370" s="225"/>
      <c r="K370" s="225"/>
      <c r="L370" s="225"/>
      <c r="M370" s="225"/>
      <c r="N370" s="222"/>
      <c r="O370" s="302"/>
      <c r="P370" s="222"/>
      <c r="Q370" s="222"/>
      <c r="R370" s="222"/>
      <c r="S370" s="223"/>
      <c r="T370" s="223"/>
      <c r="U370" s="223"/>
      <c r="V370" s="223"/>
      <c r="W370" s="223"/>
      <c r="X370" s="223"/>
      <c r="Y370" s="223"/>
      <c r="Z370" s="223"/>
    </row>
    <row r="371" ht="15.75" customHeight="1">
      <c r="A371" s="225"/>
      <c r="B371" s="225"/>
      <c r="C371" s="225"/>
      <c r="D371" s="225"/>
      <c r="E371" s="225"/>
      <c r="F371" s="225"/>
      <c r="G371" s="225"/>
      <c r="H371" s="225"/>
      <c r="I371" s="225"/>
      <c r="J371" s="225"/>
      <c r="K371" s="225"/>
      <c r="L371" s="225"/>
      <c r="M371" s="225"/>
      <c r="N371" s="222"/>
      <c r="O371" s="302"/>
      <c r="P371" s="222"/>
      <c r="Q371" s="222"/>
      <c r="R371" s="222"/>
      <c r="S371" s="223"/>
      <c r="T371" s="223"/>
      <c r="U371" s="223"/>
      <c r="V371" s="223"/>
      <c r="W371" s="223"/>
      <c r="X371" s="223"/>
      <c r="Y371" s="223"/>
      <c r="Z371" s="223"/>
    </row>
    <row r="372" ht="15.75" customHeight="1">
      <c r="A372" s="225"/>
      <c r="B372" s="225"/>
      <c r="C372" s="225"/>
      <c r="D372" s="225"/>
      <c r="E372" s="225"/>
      <c r="F372" s="225"/>
      <c r="G372" s="225"/>
      <c r="H372" s="225"/>
      <c r="I372" s="225"/>
      <c r="J372" s="225"/>
      <c r="K372" s="225"/>
      <c r="L372" s="225"/>
      <c r="M372" s="225"/>
      <c r="N372" s="222"/>
      <c r="O372" s="302"/>
      <c r="P372" s="222"/>
      <c r="Q372" s="222"/>
      <c r="R372" s="222"/>
      <c r="S372" s="223"/>
      <c r="T372" s="223"/>
      <c r="U372" s="223"/>
      <c r="V372" s="223"/>
      <c r="W372" s="223"/>
      <c r="X372" s="223"/>
      <c r="Y372" s="223"/>
      <c r="Z372" s="223"/>
    </row>
    <row r="373" ht="15.75" customHeight="1">
      <c r="A373" s="225"/>
      <c r="B373" s="225"/>
      <c r="C373" s="225"/>
      <c r="D373" s="225"/>
      <c r="E373" s="225"/>
      <c r="F373" s="225"/>
      <c r="G373" s="225"/>
      <c r="H373" s="225"/>
      <c r="I373" s="225"/>
      <c r="J373" s="225"/>
      <c r="K373" s="225"/>
      <c r="L373" s="225"/>
      <c r="M373" s="225"/>
      <c r="N373" s="222"/>
      <c r="O373" s="302"/>
      <c r="P373" s="222"/>
      <c r="Q373" s="222"/>
      <c r="R373" s="222"/>
      <c r="S373" s="223"/>
      <c r="T373" s="223"/>
      <c r="U373" s="223"/>
      <c r="V373" s="223"/>
      <c r="W373" s="223"/>
      <c r="X373" s="223"/>
      <c r="Y373" s="223"/>
      <c r="Z373" s="223"/>
    </row>
    <row r="374" ht="15.75" customHeight="1">
      <c r="A374" s="225"/>
      <c r="B374" s="225"/>
      <c r="C374" s="225"/>
      <c r="D374" s="225"/>
      <c r="E374" s="225"/>
      <c r="F374" s="225"/>
      <c r="G374" s="225"/>
      <c r="H374" s="225"/>
      <c r="I374" s="225"/>
      <c r="J374" s="225"/>
      <c r="K374" s="225"/>
      <c r="L374" s="225"/>
      <c r="M374" s="225"/>
      <c r="N374" s="222"/>
      <c r="O374" s="302"/>
      <c r="P374" s="222"/>
      <c r="Q374" s="222"/>
      <c r="R374" s="222"/>
      <c r="S374" s="223"/>
      <c r="T374" s="223"/>
      <c r="U374" s="223"/>
      <c r="V374" s="223"/>
      <c r="W374" s="223"/>
      <c r="X374" s="223"/>
      <c r="Y374" s="223"/>
      <c r="Z374" s="223"/>
    </row>
    <row r="375" ht="15.75" customHeight="1">
      <c r="A375" s="225"/>
      <c r="B375" s="225"/>
      <c r="C375" s="225"/>
      <c r="D375" s="225"/>
      <c r="E375" s="225"/>
      <c r="F375" s="225"/>
      <c r="G375" s="225"/>
      <c r="H375" s="225"/>
      <c r="I375" s="225"/>
      <c r="J375" s="225"/>
      <c r="K375" s="225"/>
      <c r="L375" s="225"/>
      <c r="M375" s="225"/>
      <c r="N375" s="222"/>
      <c r="O375" s="302"/>
      <c r="P375" s="222"/>
      <c r="Q375" s="222"/>
      <c r="R375" s="222"/>
      <c r="S375" s="223"/>
      <c r="T375" s="223"/>
      <c r="U375" s="223"/>
      <c r="V375" s="223"/>
      <c r="W375" s="223"/>
      <c r="X375" s="223"/>
      <c r="Y375" s="223"/>
      <c r="Z375" s="223"/>
    </row>
    <row r="376" ht="15.75" customHeight="1">
      <c r="A376" s="225"/>
      <c r="B376" s="225"/>
      <c r="C376" s="225"/>
      <c r="D376" s="225"/>
      <c r="E376" s="225"/>
      <c r="F376" s="225"/>
      <c r="G376" s="225"/>
      <c r="H376" s="225"/>
      <c r="I376" s="225"/>
      <c r="J376" s="225"/>
      <c r="K376" s="225"/>
      <c r="L376" s="225"/>
      <c r="M376" s="225"/>
      <c r="N376" s="222"/>
      <c r="O376" s="302"/>
      <c r="P376" s="222"/>
      <c r="Q376" s="222"/>
      <c r="R376" s="222"/>
      <c r="S376" s="223"/>
      <c r="T376" s="223"/>
      <c r="U376" s="223"/>
      <c r="V376" s="223"/>
      <c r="W376" s="223"/>
      <c r="X376" s="223"/>
      <c r="Y376" s="223"/>
      <c r="Z376" s="223"/>
    </row>
    <row r="377" ht="15.75" customHeight="1">
      <c r="A377" s="225"/>
      <c r="B377" s="225"/>
      <c r="C377" s="225"/>
      <c r="D377" s="225"/>
      <c r="E377" s="225"/>
      <c r="F377" s="225"/>
      <c r="G377" s="225"/>
      <c r="H377" s="225"/>
      <c r="I377" s="225"/>
      <c r="J377" s="225"/>
      <c r="K377" s="225"/>
      <c r="L377" s="225"/>
      <c r="M377" s="225"/>
      <c r="N377" s="222"/>
      <c r="O377" s="302"/>
      <c r="P377" s="222"/>
      <c r="Q377" s="222"/>
      <c r="R377" s="222"/>
      <c r="S377" s="223"/>
      <c r="T377" s="223"/>
      <c r="U377" s="223"/>
      <c r="V377" s="223"/>
      <c r="W377" s="223"/>
      <c r="X377" s="223"/>
      <c r="Y377" s="223"/>
      <c r="Z377" s="223"/>
    </row>
    <row r="378" ht="15.75" customHeight="1">
      <c r="A378" s="225"/>
      <c r="B378" s="225"/>
      <c r="C378" s="225"/>
      <c r="D378" s="225"/>
      <c r="E378" s="225"/>
      <c r="F378" s="225"/>
      <c r="G378" s="225"/>
      <c r="H378" s="225"/>
      <c r="I378" s="225"/>
      <c r="J378" s="225"/>
      <c r="K378" s="225"/>
      <c r="L378" s="225"/>
      <c r="M378" s="225"/>
      <c r="N378" s="222"/>
      <c r="O378" s="302"/>
      <c r="P378" s="222"/>
      <c r="Q378" s="222"/>
      <c r="R378" s="222"/>
      <c r="S378" s="223"/>
      <c r="T378" s="223"/>
      <c r="U378" s="223"/>
      <c r="V378" s="223"/>
      <c r="W378" s="223"/>
      <c r="X378" s="223"/>
      <c r="Y378" s="223"/>
      <c r="Z378" s="223"/>
    </row>
    <row r="379" ht="15.75" customHeight="1">
      <c r="A379" s="225"/>
      <c r="B379" s="225"/>
      <c r="C379" s="225"/>
      <c r="D379" s="225"/>
      <c r="E379" s="225"/>
      <c r="F379" s="225"/>
      <c r="G379" s="225"/>
      <c r="H379" s="225"/>
      <c r="I379" s="225"/>
      <c r="J379" s="225"/>
      <c r="K379" s="225"/>
      <c r="L379" s="225"/>
      <c r="M379" s="225"/>
      <c r="N379" s="222"/>
      <c r="O379" s="302"/>
      <c r="P379" s="222"/>
      <c r="Q379" s="222"/>
      <c r="R379" s="222"/>
      <c r="S379" s="223"/>
      <c r="T379" s="223"/>
      <c r="U379" s="223"/>
      <c r="V379" s="223"/>
      <c r="W379" s="223"/>
      <c r="X379" s="223"/>
      <c r="Y379" s="223"/>
      <c r="Z379" s="223"/>
    </row>
    <row r="380" ht="15.75" customHeight="1">
      <c r="A380" s="225"/>
      <c r="B380" s="225"/>
      <c r="C380" s="225"/>
      <c r="D380" s="225"/>
      <c r="E380" s="225"/>
      <c r="F380" s="225"/>
      <c r="G380" s="225"/>
      <c r="H380" s="225"/>
      <c r="I380" s="225"/>
      <c r="J380" s="225"/>
      <c r="K380" s="225"/>
      <c r="L380" s="225"/>
      <c r="M380" s="225"/>
      <c r="N380" s="222"/>
      <c r="O380" s="302"/>
      <c r="P380" s="222"/>
      <c r="Q380" s="222"/>
      <c r="R380" s="222"/>
      <c r="S380" s="223"/>
      <c r="T380" s="223"/>
      <c r="U380" s="223"/>
      <c r="V380" s="223"/>
      <c r="W380" s="223"/>
      <c r="X380" s="223"/>
      <c r="Y380" s="223"/>
      <c r="Z380" s="223"/>
    </row>
    <row r="381" ht="15.75" customHeight="1">
      <c r="A381" s="225"/>
      <c r="B381" s="225"/>
      <c r="C381" s="225"/>
      <c r="D381" s="225"/>
      <c r="E381" s="225"/>
      <c r="F381" s="225"/>
      <c r="G381" s="225"/>
      <c r="H381" s="225"/>
      <c r="I381" s="225"/>
      <c r="J381" s="225"/>
      <c r="K381" s="225"/>
      <c r="L381" s="225"/>
      <c r="M381" s="225"/>
      <c r="N381" s="222"/>
      <c r="O381" s="302"/>
      <c r="P381" s="222"/>
      <c r="Q381" s="222"/>
      <c r="R381" s="222"/>
      <c r="S381" s="223"/>
      <c r="T381" s="223"/>
      <c r="U381" s="223"/>
      <c r="V381" s="223"/>
      <c r="W381" s="223"/>
      <c r="X381" s="223"/>
      <c r="Y381" s="223"/>
      <c r="Z381" s="223"/>
    </row>
    <row r="382" ht="15.75" customHeight="1">
      <c r="A382" s="225"/>
      <c r="B382" s="225"/>
      <c r="C382" s="225"/>
      <c r="D382" s="225"/>
      <c r="E382" s="225"/>
      <c r="F382" s="225"/>
      <c r="G382" s="225"/>
      <c r="H382" s="225"/>
      <c r="I382" s="225"/>
      <c r="J382" s="225"/>
      <c r="K382" s="225"/>
      <c r="L382" s="225"/>
      <c r="M382" s="225"/>
      <c r="N382" s="222"/>
      <c r="O382" s="302"/>
      <c r="P382" s="222"/>
      <c r="Q382" s="222"/>
      <c r="R382" s="222"/>
      <c r="S382" s="223"/>
      <c r="T382" s="223"/>
      <c r="U382" s="223"/>
      <c r="V382" s="223"/>
      <c r="W382" s="223"/>
      <c r="X382" s="223"/>
      <c r="Y382" s="223"/>
      <c r="Z382" s="223"/>
    </row>
    <row r="383" ht="15.75" customHeight="1">
      <c r="A383" s="225"/>
      <c r="B383" s="225"/>
      <c r="C383" s="225"/>
      <c r="D383" s="225"/>
      <c r="E383" s="225"/>
      <c r="F383" s="225"/>
      <c r="G383" s="225"/>
      <c r="H383" s="225"/>
      <c r="I383" s="225"/>
      <c r="J383" s="225"/>
      <c r="K383" s="225"/>
      <c r="L383" s="225"/>
      <c r="M383" s="225"/>
      <c r="N383" s="222"/>
      <c r="O383" s="302"/>
      <c r="P383" s="222"/>
      <c r="Q383" s="222"/>
      <c r="R383" s="222"/>
      <c r="S383" s="223"/>
      <c r="T383" s="223"/>
      <c r="U383" s="223"/>
      <c r="V383" s="223"/>
      <c r="W383" s="223"/>
      <c r="X383" s="223"/>
      <c r="Y383" s="223"/>
      <c r="Z383" s="223"/>
    </row>
    <row r="384" ht="15.75" customHeight="1">
      <c r="A384" s="225"/>
      <c r="B384" s="225"/>
      <c r="C384" s="225"/>
      <c r="D384" s="225"/>
      <c r="E384" s="225"/>
      <c r="F384" s="225"/>
      <c r="G384" s="225"/>
      <c r="H384" s="225"/>
      <c r="I384" s="225"/>
      <c r="J384" s="225"/>
      <c r="K384" s="225"/>
      <c r="L384" s="225"/>
      <c r="M384" s="225"/>
      <c r="N384" s="222"/>
      <c r="O384" s="302"/>
      <c r="P384" s="222"/>
      <c r="Q384" s="222"/>
      <c r="R384" s="222"/>
      <c r="S384" s="223"/>
      <c r="T384" s="223"/>
      <c r="U384" s="223"/>
      <c r="V384" s="223"/>
      <c r="W384" s="223"/>
      <c r="X384" s="223"/>
      <c r="Y384" s="223"/>
      <c r="Z384" s="223"/>
    </row>
    <row r="385" ht="15.75" customHeight="1">
      <c r="A385" s="225"/>
      <c r="B385" s="225"/>
      <c r="C385" s="225"/>
      <c r="D385" s="225"/>
      <c r="E385" s="225"/>
      <c r="F385" s="225"/>
      <c r="G385" s="225"/>
      <c r="H385" s="225"/>
      <c r="I385" s="225"/>
      <c r="J385" s="225"/>
      <c r="K385" s="225"/>
      <c r="L385" s="225"/>
      <c r="M385" s="225"/>
      <c r="N385" s="222"/>
      <c r="O385" s="302"/>
      <c r="P385" s="222"/>
      <c r="Q385" s="222"/>
      <c r="R385" s="222"/>
      <c r="S385" s="223"/>
      <c r="T385" s="223"/>
      <c r="U385" s="223"/>
      <c r="V385" s="223"/>
      <c r="W385" s="223"/>
      <c r="X385" s="223"/>
      <c r="Y385" s="223"/>
      <c r="Z385" s="223"/>
    </row>
    <row r="386" ht="15.75" customHeight="1">
      <c r="A386" s="225"/>
      <c r="B386" s="225"/>
      <c r="C386" s="225"/>
      <c r="D386" s="225"/>
      <c r="E386" s="225"/>
      <c r="F386" s="225"/>
      <c r="G386" s="225"/>
      <c r="H386" s="225"/>
      <c r="I386" s="225"/>
      <c r="J386" s="225"/>
      <c r="K386" s="225"/>
      <c r="L386" s="225"/>
      <c r="M386" s="225"/>
      <c r="N386" s="222"/>
      <c r="O386" s="302"/>
      <c r="P386" s="222"/>
      <c r="Q386" s="222"/>
      <c r="R386" s="222"/>
      <c r="S386" s="223"/>
      <c r="T386" s="223"/>
      <c r="U386" s="223"/>
      <c r="V386" s="223"/>
      <c r="W386" s="223"/>
      <c r="X386" s="223"/>
      <c r="Y386" s="223"/>
      <c r="Z386" s="223"/>
    </row>
    <row r="387" ht="15.75" customHeight="1">
      <c r="A387" s="225"/>
      <c r="B387" s="225"/>
      <c r="C387" s="225"/>
      <c r="D387" s="225"/>
      <c r="E387" s="225"/>
      <c r="F387" s="225"/>
      <c r="G387" s="225"/>
      <c r="H387" s="225"/>
      <c r="I387" s="225"/>
      <c r="J387" s="225"/>
      <c r="K387" s="225"/>
      <c r="L387" s="225"/>
      <c r="M387" s="225"/>
      <c r="N387" s="222"/>
      <c r="O387" s="302"/>
      <c r="P387" s="222"/>
      <c r="Q387" s="222"/>
      <c r="R387" s="222"/>
      <c r="S387" s="223"/>
      <c r="T387" s="223"/>
      <c r="U387" s="223"/>
      <c r="V387" s="223"/>
      <c r="W387" s="223"/>
      <c r="X387" s="223"/>
      <c r="Y387" s="223"/>
      <c r="Z387" s="223"/>
    </row>
    <row r="388" ht="15.75" customHeight="1">
      <c r="A388" s="225"/>
      <c r="B388" s="225"/>
      <c r="C388" s="225"/>
      <c r="D388" s="225"/>
      <c r="E388" s="225"/>
      <c r="F388" s="225"/>
      <c r="G388" s="225"/>
      <c r="H388" s="225"/>
      <c r="I388" s="225"/>
      <c r="J388" s="225"/>
      <c r="K388" s="225"/>
      <c r="L388" s="225"/>
      <c r="M388" s="225"/>
      <c r="N388" s="222"/>
      <c r="O388" s="302"/>
      <c r="P388" s="222"/>
      <c r="Q388" s="222"/>
      <c r="R388" s="222"/>
      <c r="S388" s="223"/>
      <c r="T388" s="223"/>
      <c r="U388" s="223"/>
      <c r="V388" s="223"/>
      <c r="W388" s="223"/>
      <c r="X388" s="223"/>
      <c r="Y388" s="223"/>
      <c r="Z388" s="223"/>
    </row>
    <row r="389" ht="15.75" customHeight="1">
      <c r="A389" s="225"/>
      <c r="B389" s="225"/>
      <c r="C389" s="225"/>
      <c r="D389" s="225"/>
      <c r="E389" s="225"/>
      <c r="F389" s="225"/>
      <c r="G389" s="225"/>
      <c r="H389" s="225"/>
      <c r="I389" s="225"/>
      <c r="J389" s="225"/>
      <c r="K389" s="225"/>
      <c r="L389" s="225"/>
      <c r="M389" s="225"/>
      <c r="N389" s="222"/>
      <c r="O389" s="302"/>
      <c r="P389" s="222"/>
      <c r="Q389" s="222"/>
      <c r="R389" s="222"/>
      <c r="S389" s="223"/>
      <c r="T389" s="223"/>
      <c r="U389" s="223"/>
      <c r="V389" s="223"/>
      <c r="W389" s="223"/>
      <c r="X389" s="223"/>
      <c r="Y389" s="223"/>
      <c r="Z389" s="223"/>
    </row>
    <row r="390" ht="15.75" customHeight="1">
      <c r="A390" s="225"/>
      <c r="B390" s="225"/>
      <c r="C390" s="225"/>
      <c r="D390" s="225"/>
      <c r="E390" s="225"/>
      <c r="F390" s="225"/>
      <c r="G390" s="225"/>
      <c r="H390" s="225"/>
      <c r="I390" s="225"/>
      <c r="J390" s="225"/>
      <c r="K390" s="225"/>
      <c r="L390" s="225"/>
      <c r="M390" s="225"/>
      <c r="N390" s="222"/>
      <c r="O390" s="302"/>
      <c r="P390" s="222"/>
      <c r="Q390" s="222"/>
      <c r="R390" s="222"/>
      <c r="S390" s="223"/>
      <c r="T390" s="223"/>
      <c r="U390" s="223"/>
      <c r="V390" s="223"/>
      <c r="W390" s="223"/>
      <c r="X390" s="223"/>
      <c r="Y390" s="223"/>
      <c r="Z390" s="223"/>
    </row>
    <row r="391" ht="15.75" customHeight="1">
      <c r="A391" s="225"/>
      <c r="B391" s="225"/>
      <c r="C391" s="225"/>
      <c r="D391" s="225"/>
      <c r="E391" s="225"/>
      <c r="F391" s="225"/>
      <c r="G391" s="225"/>
      <c r="H391" s="225"/>
      <c r="I391" s="225"/>
      <c r="J391" s="225"/>
      <c r="K391" s="225"/>
      <c r="L391" s="225"/>
      <c r="M391" s="225"/>
      <c r="N391" s="222"/>
      <c r="O391" s="302"/>
      <c r="P391" s="222"/>
      <c r="Q391" s="222"/>
      <c r="R391" s="222"/>
      <c r="S391" s="223"/>
      <c r="T391" s="223"/>
      <c r="U391" s="223"/>
      <c r="V391" s="223"/>
      <c r="W391" s="223"/>
      <c r="X391" s="223"/>
      <c r="Y391" s="223"/>
      <c r="Z391" s="223"/>
    </row>
    <row r="392" ht="15.75" customHeight="1">
      <c r="A392" s="225"/>
      <c r="B392" s="225"/>
      <c r="C392" s="225"/>
      <c r="D392" s="225"/>
      <c r="E392" s="225"/>
      <c r="F392" s="225"/>
      <c r="G392" s="225"/>
      <c r="H392" s="225"/>
      <c r="I392" s="225"/>
      <c r="J392" s="225"/>
      <c r="K392" s="225"/>
      <c r="L392" s="225"/>
      <c r="M392" s="225"/>
      <c r="N392" s="222"/>
      <c r="O392" s="302"/>
      <c r="P392" s="222"/>
      <c r="Q392" s="222"/>
      <c r="R392" s="222"/>
      <c r="S392" s="223"/>
      <c r="T392" s="223"/>
      <c r="U392" s="223"/>
      <c r="V392" s="223"/>
      <c r="W392" s="223"/>
      <c r="X392" s="223"/>
      <c r="Y392" s="223"/>
      <c r="Z392" s="223"/>
    </row>
    <row r="393" ht="15.75" customHeight="1">
      <c r="A393" s="225"/>
      <c r="B393" s="225"/>
      <c r="C393" s="225"/>
      <c r="D393" s="225"/>
      <c r="E393" s="225"/>
      <c r="F393" s="225"/>
      <c r="G393" s="225"/>
      <c r="H393" s="225"/>
      <c r="I393" s="225"/>
      <c r="J393" s="225"/>
      <c r="K393" s="225"/>
      <c r="L393" s="225"/>
      <c r="M393" s="225"/>
      <c r="N393" s="222"/>
      <c r="O393" s="302"/>
      <c r="P393" s="222"/>
      <c r="Q393" s="222"/>
      <c r="R393" s="222"/>
      <c r="S393" s="223"/>
      <c r="T393" s="223"/>
      <c r="U393" s="223"/>
      <c r="V393" s="223"/>
      <c r="W393" s="223"/>
      <c r="X393" s="223"/>
      <c r="Y393" s="223"/>
      <c r="Z393" s="223"/>
    </row>
    <row r="394" ht="15.75" customHeight="1">
      <c r="A394" s="225"/>
      <c r="B394" s="225"/>
      <c r="C394" s="225"/>
      <c r="D394" s="225"/>
      <c r="E394" s="225"/>
      <c r="F394" s="225"/>
      <c r="G394" s="225"/>
      <c r="H394" s="225"/>
      <c r="I394" s="225"/>
      <c r="J394" s="225"/>
      <c r="K394" s="225"/>
      <c r="L394" s="225"/>
      <c r="M394" s="225"/>
      <c r="N394" s="222"/>
      <c r="O394" s="302"/>
      <c r="P394" s="222"/>
      <c r="Q394" s="222"/>
      <c r="R394" s="222"/>
      <c r="S394" s="223"/>
      <c r="T394" s="223"/>
      <c r="U394" s="223"/>
      <c r="V394" s="223"/>
      <c r="W394" s="223"/>
      <c r="X394" s="223"/>
      <c r="Y394" s="223"/>
      <c r="Z394" s="223"/>
    </row>
    <row r="395" ht="15.75" customHeight="1">
      <c r="A395" s="225"/>
      <c r="B395" s="225"/>
      <c r="C395" s="225"/>
      <c r="D395" s="225"/>
      <c r="E395" s="225"/>
      <c r="F395" s="225"/>
      <c r="G395" s="225"/>
      <c r="H395" s="225"/>
      <c r="I395" s="225"/>
      <c r="J395" s="225"/>
      <c r="K395" s="225"/>
      <c r="L395" s="225"/>
      <c r="M395" s="225"/>
      <c r="N395" s="222"/>
      <c r="O395" s="302"/>
      <c r="P395" s="222"/>
      <c r="Q395" s="222"/>
      <c r="R395" s="222"/>
      <c r="S395" s="223"/>
      <c r="T395" s="223"/>
      <c r="U395" s="223"/>
      <c r="V395" s="223"/>
      <c r="W395" s="223"/>
      <c r="X395" s="223"/>
      <c r="Y395" s="223"/>
      <c r="Z395" s="223"/>
    </row>
    <row r="396" ht="15.75" customHeight="1">
      <c r="A396" s="225"/>
      <c r="B396" s="225"/>
      <c r="C396" s="225"/>
      <c r="D396" s="225"/>
      <c r="E396" s="225"/>
      <c r="F396" s="225"/>
      <c r="G396" s="225"/>
      <c r="H396" s="225"/>
      <c r="I396" s="225"/>
      <c r="J396" s="225"/>
      <c r="K396" s="225"/>
      <c r="L396" s="225"/>
      <c r="M396" s="225"/>
      <c r="N396" s="222"/>
      <c r="O396" s="302"/>
      <c r="P396" s="222"/>
      <c r="Q396" s="222"/>
      <c r="R396" s="222"/>
      <c r="S396" s="223"/>
      <c r="T396" s="223"/>
      <c r="U396" s="223"/>
      <c r="V396" s="223"/>
      <c r="W396" s="223"/>
      <c r="X396" s="223"/>
      <c r="Y396" s="223"/>
      <c r="Z396" s="223"/>
    </row>
    <row r="397" ht="15.75" customHeight="1">
      <c r="A397" s="225"/>
      <c r="B397" s="225"/>
      <c r="C397" s="225"/>
      <c r="D397" s="225"/>
      <c r="E397" s="225"/>
      <c r="F397" s="225"/>
      <c r="G397" s="225"/>
      <c r="H397" s="225"/>
      <c r="I397" s="225"/>
      <c r="J397" s="225"/>
      <c r="K397" s="225"/>
      <c r="L397" s="225"/>
      <c r="M397" s="225"/>
      <c r="N397" s="222"/>
      <c r="O397" s="302"/>
      <c r="P397" s="222"/>
      <c r="Q397" s="222"/>
      <c r="R397" s="222"/>
      <c r="S397" s="223"/>
      <c r="T397" s="223"/>
      <c r="U397" s="223"/>
      <c r="V397" s="223"/>
      <c r="W397" s="223"/>
      <c r="X397" s="223"/>
      <c r="Y397" s="223"/>
      <c r="Z397" s="223"/>
    </row>
    <row r="398" ht="15.75" customHeight="1">
      <c r="A398" s="225"/>
      <c r="B398" s="225"/>
      <c r="C398" s="225"/>
      <c r="D398" s="225"/>
      <c r="E398" s="225"/>
      <c r="F398" s="225"/>
      <c r="G398" s="225"/>
      <c r="H398" s="225"/>
      <c r="I398" s="225"/>
      <c r="J398" s="225"/>
      <c r="K398" s="225"/>
      <c r="L398" s="225"/>
      <c r="M398" s="225"/>
      <c r="N398" s="222"/>
      <c r="O398" s="302"/>
      <c r="P398" s="222"/>
      <c r="Q398" s="222"/>
      <c r="R398" s="222"/>
      <c r="S398" s="223"/>
      <c r="T398" s="223"/>
      <c r="U398" s="223"/>
      <c r="V398" s="223"/>
      <c r="W398" s="223"/>
      <c r="X398" s="223"/>
      <c r="Y398" s="223"/>
      <c r="Z398" s="223"/>
    </row>
    <row r="399" ht="15.75" customHeight="1">
      <c r="A399" s="225"/>
      <c r="B399" s="225"/>
      <c r="C399" s="225"/>
      <c r="D399" s="225"/>
      <c r="E399" s="225"/>
      <c r="F399" s="225"/>
      <c r="G399" s="225"/>
      <c r="H399" s="225"/>
      <c r="I399" s="225"/>
      <c r="J399" s="225"/>
      <c r="K399" s="225"/>
      <c r="L399" s="225"/>
      <c r="M399" s="225"/>
      <c r="N399" s="222"/>
      <c r="O399" s="302"/>
      <c r="P399" s="222"/>
      <c r="Q399" s="222"/>
      <c r="R399" s="222"/>
      <c r="S399" s="223"/>
      <c r="T399" s="223"/>
      <c r="U399" s="223"/>
      <c r="V399" s="223"/>
      <c r="W399" s="223"/>
      <c r="X399" s="223"/>
      <c r="Y399" s="223"/>
      <c r="Z399" s="223"/>
    </row>
    <row r="400" ht="15.75" customHeight="1">
      <c r="A400" s="225"/>
      <c r="B400" s="225"/>
      <c r="C400" s="225"/>
      <c r="D400" s="225"/>
      <c r="E400" s="225"/>
      <c r="F400" s="225"/>
      <c r="G400" s="225"/>
      <c r="H400" s="225"/>
      <c r="I400" s="225"/>
      <c r="J400" s="225"/>
      <c r="K400" s="225"/>
      <c r="L400" s="225"/>
      <c r="M400" s="225"/>
      <c r="N400" s="222"/>
      <c r="O400" s="302"/>
      <c r="P400" s="222"/>
      <c r="Q400" s="222"/>
      <c r="R400" s="222"/>
      <c r="S400" s="223"/>
      <c r="T400" s="223"/>
      <c r="U400" s="223"/>
      <c r="V400" s="223"/>
      <c r="W400" s="223"/>
      <c r="X400" s="223"/>
      <c r="Y400" s="223"/>
      <c r="Z400" s="223"/>
    </row>
    <row r="401" ht="15.75" customHeight="1">
      <c r="A401" s="225"/>
      <c r="B401" s="225"/>
      <c r="C401" s="225"/>
      <c r="D401" s="225"/>
      <c r="E401" s="225"/>
      <c r="F401" s="225"/>
      <c r="G401" s="225"/>
      <c r="H401" s="225"/>
      <c r="I401" s="225"/>
      <c r="J401" s="225"/>
      <c r="K401" s="225"/>
      <c r="L401" s="225"/>
      <c r="M401" s="225"/>
      <c r="N401" s="222"/>
      <c r="O401" s="302"/>
      <c r="P401" s="222"/>
      <c r="Q401" s="222"/>
      <c r="R401" s="222"/>
      <c r="S401" s="223"/>
      <c r="T401" s="223"/>
      <c r="U401" s="223"/>
      <c r="V401" s="223"/>
      <c r="W401" s="223"/>
      <c r="X401" s="223"/>
      <c r="Y401" s="223"/>
      <c r="Z401" s="223"/>
    </row>
    <row r="402" ht="15.75" customHeight="1">
      <c r="A402" s="225"/>
      <c r="B402" s="225"/>
      <c r="C402" s="225"/>
      <c r="D402" s="225"/>
      <c r="E402" s="225"/>
      <c r="F402" s="225"/>
      <c r="G402" s="225"/>
      <c r="H402" s="225"/>
      <c r="I402" s="225"/>
      <c r="J402" s="225"/>
      <c r="K402" s="225"/>
      <c r="L402" s="225"/>
      <c r="M402" s="225"/>
      <c r="N402" s="222"/>
      <c r="O402" s="302"/>
      <c r="P402" s="222"/>
      <c r="Q402" s="222"/>
      <c r="R402" s="222"/>
      <c r="S402" s="223"/>
      <c r="T402" s="223"/>
      <c r="U402" s="223"/>
      <c r="V402" s="223"/>
      <c r="W402" s="223"/>
      <c r="X402" s="223"/>
      <c r="Y402" s="223"/>
      <c r="Z402" s="223"/>
    </row>
    <row r="403" ht="15.75" customHeight="1">
      <c r="A403" s="225"/>
      <c r="B403" s="225"/>
      <c r="C403" s="225"/>
      <c r="D403" s="225"/>
      <c r="E403" s="225"/>
      <c r="F403" s="225"/>
      <c r="G403" s="225"/>
      <c r="H403" s="225"/>
      <c r="I403" s="225"/>
      <c r="J403" s="225"/>
      <c r="K403" s="225"/>
      <c r="L403" s="225"/>
      <c r="M403" s="225"/>
      <c r="N403" s="222"/>
      <c r="O403" s="302"/>
      <c r="P403" s="222"/>
      <c r="Q403" s="222"/>
      <c r="R403" s="222"/>
      <c r="S403" s="223"/>
      <c r="T403" s="223"/>
      <c r="U403" s="223"/>
      <c r="V403" s="223"/>
      <c r="W403" s="223"/>
      <c r="X403" s="223"/>
      <c r="Y403" s="223"/>
      <c r="Z403" s="223"/>
    </row>
    <row r="404" ht="15.75" customHeight="1">
      <c r="A404" s="225"/>
      <c r="B404" s="225"/>
      <c r="C404" s="225"/>
      <c r="D404" s="225"/>
      <c r="E404" s="225"/>
      <c r="F404" s="225"/>
      <c r="G404" s="225"/>
      <c r="H404" s="225"/>
      <c r="I404" s="225"/>
      <c r="J404" s="225"/>
      <c r="K404" s="225"/>
      <c r="L404" s="225"/>
      <c r="M404" s="225"/>
      <c r="N404" s="222"/>
      <c r="O404" s="302"/>
      <c r="P404" s="222"/>
      <c r="Q404" s="222"/>
      <c r="R404" s="222"/>
      <c r="S404" s="223"/>
      <c r="T404" s="223"/>
      <c r="U404" s="223"/>
      <c r="V404" s="223"/>
      <c r="W404" s="223"/>
      <c r="X404" s="223"/>
      <c r="Y404" s="223"/>
      <c r="Z404" s="223"/>
    </row>
    <row r="405" ht="15.75" customHeight="1">
      <c r="A405" s="225"/>
      <c r="B405" s="225"/>
      <c r="C405" s="225"/>
      <c r="D405" s="225"/>
      <c r="E405" s="225"/>
      <c r="F405" s="225"/>
      <c r="G405" s="225"/>
      <c r="H405" s="225"/>
      <c r="I405" s="225"/>
      <c r="J405" s="225"/>
      <c r="K405" s="225"/>
      <c r="L405" s="225"/>
      <c r="M405" s="225"/>
      <c r="N405" s="222"/>
      <c r="O405" s="302"/>
      <c r="P405" s="222"/>
      <c r="Q405" s="222"/>
      <c r="R405" s="222"/>
      <c r="S405" s="223"/>
      <c r="T405" s="223"/>
      <c r="U405" s="223"/>
      <c r="V405" s="223"/>
      <c r="W405" s="223"/>
      <c r="X405" s="223"/>
      <c r="Y405" s="223"/>
      <c r="Z405" s="223"/>
    </row>
    <row r="406" ht="15.75" customHeight="1">
      <c r="A406" s="225"/>
      <c r="B406" s="225"/>
      <c r="C406" s="225"/>
      <c r="D406" s="225"/>
      <c r="E406" s="225"/>
      <c r="F406" s="225"/>
      <c r="G406" s="225"/>
      <c r="H406" s="225"/>
      <c r="I406" s="225"/>
      <c r="J406" s="225"/>
      <c r="K406" s="225"/>
      <c r="L406" s="225"/>
      <c r="M406" s="225"/>
      <c r="N406" s="222"/>
      <c r="O406" s="302"/>
      <c r="P406" s="222"/>
      <c r="Q406" s="222"/>
      <c r="R406" s="222"/>
      <c r="S406" s="223"/>
      <c r="T406" s="223"/>
      <c r="U406" s="223"/>
      <c r="V406" s="223"/>
      <c r="W406" s="223"/>
      <c r="X406" s="223"/>
      <c r="Y406" s="223"/>
      <c r="Z406" s="223"/>
    </row>
    <row r="407" ht="15.75" customHeight="1">
      <c r="A407" s="225"/>
      <c r="B407" s="225"/>
      <c r="C407" s="225"/>
      <c r="D407" s="225"/>
      <c r="E407" s="225"/>
      <c r="F407" s="225"/>
      <c r="G407" s="225"/>
      <c r="H407" s="225"/>
      <c r="I407" s="225"/>
      <c r="J407" s="225"/>
      <c r="K407" s="225"/>
      <c r="L407" s="225"/>
      <c r="M407" s="225"/>
      <c r="N407" s="222"/>
      <c r="O407" s="302"/>
      <c r="P407" s="222"/>
      <c r="Q407" s="222"/>
      <c r="R407" s="222"/>
      <c r="S407" s="223"/>
      <c r="T407" s="223"/>
      <c r="U407" s="223"/>
      <c r="V407" s="223"/>
      <c r="W407" s="223"/>
      <c r="X407" s="223"/>
      <c r="Y407" s="223"/>
      <c r="Z407" s="223"/>
    </row>
    <row r="408" ht="15.75" customHeight="1">
      <c r="A408" s="225"/>
      <c r="B408" s="225"/>
      <c r="C408" s="225"/>
      <c r="D408" s="225"/>
      <c r="E408" s="225"/>
      <c r="F408" s="225"/>
      <c r="G408" s="225"/>
      <c r="H408" s="225"/>
      <c r="I408" s="225"/>
      <c r="J408" s="225"/>
      <c r="K408" s="225"/>
      <c r="L408" s="225"/>
      <c r="M408" s="225"/>
      <c r="N408" s="222"/>
      <c r="O408" s="302"/>
      <c r="P408" s="222"/>
      <c r="Q408" s="222"/>
      <c r="R408" s="222"/>
      <c r="S408" s="223"/>
      <c r="T408" s="223"/>
      <c r="U408" s="223"/>
      <c r="V408" s="223"/>
      <c r="W408" s="223"/>
      <c r="X408" s="223"/>
      <c r="Y408" s="223"/>
      <c r="Z408" s="223"/>
    </row>
    <row r="409" ht="15.75" customHeight="1">
      <c r="A409" s="225"/>
      <c r="B409" s="225"/>
      <c r="C409" s="225"/>
      <c r="D409" s="225"/>
      <c r="E409" s="225"/>
      <c r="F409" s="225"/>
      <c r="G409" s="225"/>
      <c r="H409" s="225"/>
      <c r="I409" s="225"/>
      <c r="J409" s="225"/>
      <c r="K409" s="225"/>
      <c r="L409" s="225"/>
      <c r="M409" s="225"/>
      <c r="N409" s="222"/>
      <c r="O409" s="302"/>
      <c r="P409" s="222"/>
      <c r="Q409" s="222"/>
      <c r="R409" s="222"/>
      <c r="S409" s="223"/>
      <c r="T409" s="223"/>
      <c r="U409" s="223"/>
      <c r="V409" s="223"/>
      <c r="W409" s="223"/>
      <c r="X409" s="223"/>
      <c r="Y409" s="223"/>
      <c r="Z409" s="223"/>
    </row>
    <row r="410" ht="15.75" customHeight="1">
      <c r="A410" s="225"/>
      <c r="B410" s="225"/>
      <c r="C410" s="225"/>
      <c r="D410" s="225"/>
      <c r="E410" s="225"/>
      <c r="F410" s="225"/>
      <c r="G410" s="225"/>
      <c r="H410" s="225"/>
      <c r="I410" s="225"/>
      <c r="J410" s="225"/>
      <c r="K410" s="225"/>
      <c r="L410" s="225"/>
      <c r="M410" s="225"/>
      <c r="N410" s="222"/>
      <c r="O410" s="302"/>
      <c r="P410" s="222"/>
      <c r="Q410" s="222"/>
      <c r="R410" s="222"/>
      <c r="S410" s="223"/>
      <c r="T410" s="223"/>
      <c r="U410" s="223"/>
      <c r="V410" s="223"/>
      <c r="W410" s="223"/>
      <c r="X410" s="223"/>
      <c r="Y410" s="223"/>
      <c r="Z410" s="223"/>
    </row>
    <row r="411" ht="15.75" customHeight="1">
      <c r="A411" s="225"/>
      <c r="B411" s="225"/>
      <c r="C411" s="225"/>
      <c r="D411" s="225"/>
      <c r="E411" s="225"/>
      <c r="F411" s="225"/>
      <c r="G411" s="225"/>
      <c r="H411" s="225"/>
      <c r="I411" s="225"/>
      <c r="J411" s="225"/>
      <c r="K411" s="225"/>
      <c r="L411" s="225"/>
      <c r="M411" s="225"/>
      <c r="N411" s="222"/>
      <c r="O411" s="302"/>
      <c r="P411" s="222"/>
      <c r="Q411" s="222"/>
      <c r="R411" s="222"/>
      <c r="S411" s="223"/>
      <c r="T411" s="223"/>
      <c r="U411" s="223"/>
      <c r="V411" s="223"/>
      <c r="W411" s="223"/>
      <c r="X411" s="223"/>
      <c r="Y411" s="223"/>
      <c r="Z411" s="223"/>
    </row>
    <row r="412" ht="15.75" customHeight="1">
      <c r="A412" s="225"/>
      <c r="B412" s="225"/>
      <c r="C412" s="225"/>
      <c r="D412" s="225"/>
      <c r="E412" s="225"/>
      <c r="F412" s="225"/>
      <c r="G412" s="225"/>
      <c r="H412" s="225"/>
      <c r="I412" s="225"/>
      <c r="J412" s="225"/>
      <c r="K412" s="225"/>
      <c r="L412" s="225"/>
      <c r="M412" s="225"/>
      <c r="N412" s="222"/>
      <c r="O412" s="302"/>
      <c r="P412" s="222"/>
      <c r="Q412" s="222"/>
      <c r="R412" s="222"/>
      <c r="S412" s="223"/>
      <c r="T412" s="223"/>
      <c r="U412" s="223"/>
      <c r="V412" s="223"/>
      <c r="W412" s="223"/>
      <c r="X412" s="223"/>
      <c r="Y412" s="223"/>
      <c r="Z412" s="223"/>
    </row>
    <row r="413" ht="15.75" customHeight="1">
      <c r="A413" s="225"/>
      <c r="B413" s="225"/>
      <c r="C413" s="225"/>
      <c r="D413" s="225"/>
      <c r="E413" s="225"/>
      <c r="F413" s="225"/>
      <c r="G413" s="225"/>
      <c r="H413" s="225"/>
      <c r="I413" s="225"/>
      <c r="J413" s="225"/>
      <c r="K413" s="225"/>
      <c r="L413" s="225"/>
      <c r="M413" s="225"/>
      <c r="N413" s="222"/>
      <c r="O413" s="302"/>
      <c r="P413" s="222"/>
      <c r="Q413" s="222"/>
      <c r="R413" s="222"/>
      <c r="S413" s="223"/>
      <c r="T413" s="223"/>
      <c r="U413" s="223"/>
      <c r="V413" s="223"/>
      <c r="W413" s="223"/>
      <c r="X413" s="223"/>
      <c r="Y413" s="223"/>
      <c r="Z413" s="223"/>
    </row>
    <row r="414" ht="15.75" customHeight="1">
      <c r="A414" s="225"/>
      <c r="B414" s="225"/>
      <c r="C414" s="225"/>
      <c r="D414" s="225"/>
      <c r="E414" s="225"/>
      <c r="F414" s="225"/>
      <c r="G414" s="225"/>
      <c r="H414" s="225"/>
      <c r="I414" s="225"/>
      <c r="J414" s="225"/>
      <c r="K414" s="225"/>
      <c r="L414" s="225"/>
      <c r="M414" s="225"/>
      <c r="N414" s="222"/>
      <c r="O414" s="302"/>
      <c r="P414" s="222"/>
      <c r="Q414" s="222"/>
      <c r="R414" s="222"/>
      <c r="S414" s="223"/>
      <c r="T414" s="223"/>
      <c r="U414" s="223"/>
      <c r="V414" s="223"/>
      <c r="W414" s="223"/>
      <c r="X414" s="223"/>
      <c r="Y414" s="223"/>
      <c r="Z414" s="223"/>
    </row>
    <row r="415" ht="15.75" customHeight="1">
      <c r="A415" s="225"/>
      <c r="B415" s="225"/>
      <c r="C415" s="225"/>
      <c r="D415" s="225"/>
      <c r="E415" s="225"/>
      <c r="F415" s="225"/>
      <c r="G415" s="225"/>
      <c r="H415" s="225"/>
      <c r="I415" s="225"/>
      <c r="J415" s="225"/>
      <c r="K415" s="225"/>
      <c r="L415" s="225"/>
      <c r="M415" s="225"/>
      <c r="N415" s="222"/>
      <c r="O415" s="302"/>
      <c r="P415" s="222"/>
      <c r="Q415" s="222"/>
      <c r="R415" s="222"/>
      <c r="S415" s="223"/>
      <c r="T415" s="223"/>
      <c r="U415" s="223"/>
      <c r="V415" s="223"/>
      <c r="W415" s="223"/>
      <c r="X415" s="223"/>
      <c r="Y415" s="223"/>
      <c r="Z415" s="223"/>
    </row>
    <row r="416" ht="15.75" customHeight="1">
      <c r="A416" s="225"/>
      <c r="B416" s="225"/>
      <c r="C416" s="225"/>
      <c r="D416" s="225"/>
      <c r="E416" s="225"/>
      <c r="F416" s="225"/>
      <c r="G416" s="225"/>
      <c r="H416" s="225"/>
      <c r="I416" s="225"/>
      <c r="J416" s="225"/>
      <c r="K416" s="225"/>
      <c r="L416" s="225"/>
      <c r="M416" s="225"/>
      <c r="N416" s="222"/>
      <c r="O416" s="302"/>
      <c r="P416" s="222"/>
      <c r="Q416" s="222"/>
      <c r="R416" s="222"/>
      <c r="S416" s="223"/>
      <c r="T416" s="223"/>
      <c r="U416" s="223"/>
      <c r="V416" s="223"/>
      <c r="W416" s="223"/>
      <c r="X416" s="223"/>
      <c r="Y416" s="223"/>
      <c r="Z416" s="223"/>
    </row>
    <row r="417" ht="15.75" customHeight="1">
      <c r="A417" s="225"/>
      <c r="B417" s="225"/>
      <c r="C417" s="225"/>
      <c r="D417" s="225"/>
      <c r="E417" s="225"/>
      <c r="F417" s="225"/>
      <c r="G417" s="225"/>
      <c r="H417" s="225"/>
      <c r="I417" s="225"/>
      <c r="J417" s="225"/>
      <c r="K417" s="225"/>
      <c r="L417" s="225"/>
      <c r="M417" s="225"/>
      <c r="N417" s="222"/>
      <c r="O417" s="302"/>
      <c r="P417" s="222"/>
      <c r="Q417" s="222"/>
      <c r="R417" s="222"/>
      <c r="S417" s="223"/>
      <c r="T417" s="223"/>
      <c r="U417" s="223"/>
      <c r="V417" s="223"/>
      <c r="W417" s="223"/>
      <c r="X417" s="223"/>
      <c r="Y417" s="223"/>
      <c r="Z417" s="223"/>
    </row>
    <row r="418" ht="15.75" customHeight="1">
      <c r="A418" s="225"/>
      <c r="B418" s="225"/>
      <c r="C418" s="225"/>
      <c r="D418" s="225"/>
      <c r="E418" s="225"/>
      <c r="F418" s="225"/>
      <c r="G418" s="225"/>
      <c r="H418" s="225"/>
      <c r="I418" s="225"/>
      <c r="J418" s="225"/>
      <c r="K418" s="225"/>
      <c r="L418" s="225"/>
      <c r="M418" s="225"/>
      <c r="N418" s="222"/>
      <c r="O418" s="302"/>
      <c r="P418" s="222"/>
      <c r="Q418" s="222"/>
      <c r="R418" s="222"/>
      <c r="S418" s="223"/>
      <c r="T418" s="223"/>
      <c r="U418" s="223"/>
      <c r="V418" s="223"/>
      <c r="W418" s="223"/>
      <c r="X418" s="223"/>
      <c r="Y418" s="223"/>
      <c r="Z418" s="223"/>
    </row>
    <row r="419" ht="15.75" customHeight="1">
      <c r="A419" s="225"/>
      <c r="B419" s="225"/>
      <c r="C419" s="225"/>
      <c r="D419" s="225"/>
      <c r="E419" s="225"/>
      <c r="F419" s="225"/>
      <c r="G419" s="225"/>
      <c r="H419" s="225"/>
      <c r="I419" s="225"/>
      <c r="J419" s="225"/>
      <c r="K419" s="225"/>
      <c r="L419" s="225"/>
      <c r="M419" s="225"/>
      <c r="N419" s="222"/>
      <c r="O419" s="302"/>
      <c r="P419" s="222"/>
      <c r="Q419" s="222"/>
      <c r="R419" s="222"/>
      <c r="S419" s="223"/>
      <c r="T419" s="223"/>
      <c r="U419" s="223"/>
      <c r="V419" s="223"/>
      <c r="W419" s="223"/>
      <c r="X419" s="223"/>
      <c r="Y419" s="223"/>
      <c r="Z419" s="223"/>
    </row>
    <row r="420" ht="15.75" customHeight="1">
      <c r="A420" s="225"/>
      <c r="B420" s="225"/>
      <c r="C420" s="225"/>
      <c r="D420" s="225"/>
      <c r="E420" s="225"/>
      <c r="F420" s="225"/>
      <c r="G420" s="225"/>
      <c r="H420" s="225"/>
      <c r="I420" s="225"/>
      <c r="J420" s="225"/>
      <c r="K420" s="225"/>
      <c r="L420" s="225"/>
      <c r="M420" s="225"/>
      <c r="N420" s="222"/>
      <c r="O420" s="302"/>
      <c r="P420" s="222"/>
      <c r="Q420" s="222"/>
      <c r="R420" s="222"/>
      <c r="S420" s="223"/>
      <c r="T420" s="223"/>
      <c r="U420" s="223"/>
      <c r="V420" s="223"/>
      <c r="W420" s="223"/>
      <c r="X420" s="223"/>
      <c r="Y420" s="223"/>
      <c r="Z420" s="223"/>
    </row>
    <row r="421" ht="15.75" customHeight="1">
      <c r="A421" s="225"/>
      <c r="B421" s="225"/>
      <c r="C421" s="225"/>
      <c r="D421" s="225"/>
      <c r="E421" s="225"/>
      <c r="F421" s="225"/>
      <c r="G421" s="225"/>
      <c r="H421" s="225"/>
      <c r="I421" s="225"/>
      <c r="J421" s="225"/>
      <c r="K421" s="225"/>
      <c r="L421" s="225"/>
      <c r="M421" s="225"/>
      <c r="N421" s="222"/>
      <c r="O421" s="302"/>
      <c r="P421" s="222"/>
      <c r="Q421" s="222"/>
      <c r="R421" s="222"/>
      <c r="S421" s="223"/>
      <c r="T421" s="223"/>
      <c r="U421" s="223"/>
      <c r="V421" s="223"/>
      <c r="W421" s="223"/>
      <c r="X421" s="223"/>
      <c r="Y421" s="223"/>
      <c r="Z421" s="223"/>
    </row>
    <row r="422" ht="15.75" customHeight="1">
      <c r="A422" s="225"/>
      <c r="B422" s="225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2"/>
      <c r="O422" s="302"/>
      <c r="P422" s="222"/>
      <c r="Q422" s="222"/>
      <c r="R422" s="222"/>
      <c r="S422" s="223"/>
      <c r="T422" s="223"/>
      <c r="U422" s="223"/>
      <c r="V422" s="223"/>
      <c r="W422" s="223"/>
      <c r="X422" s="223"/>
      <c r="Y422" s="223"/>
      <c r="Z422" s="223"/>
    </row>
    <row r="423" ht="15.75" customHeight="1">
      <c r="A423" s="225"/>
      <c r="B423" s="225"/>
      <c r="C423" s="225"/>
      <c r="D423" s="225"/>
      <c r="E423" s="225"/>
      <c r="F423" s="225"/>
      <c r="G423" s="225"/>
      <c r="H423" s="225"/>
      <c r="I423" s="225"/>
      <c r="J423" s="225"/>
      <c r="K423" s="225"/>
      <c r="L423" s="225"/>
      <c r="M423" s="225"/>
      <c r="N423" s="222"/>
      <c r="O423" s="302"/>
      <c r="P423" s="222"/>
      <c r="Q423" s="222"/>
      <c r="R423" s="222"/>
      <c r="S423" s="223"/>
      <c r="T423" s="223"/>
      <c r="U423" s="223"/>
      <c r="V423" s="223"/>
      <c r="W423" s="223"/>
      <c r="X423" s="223"/>
      <c r="Y423" s="223"/>
      <c r="Z423" s="223"/>
    </row>
    <row r="424" ht="15.75" customHeight="1">
      <c r="A424" s="225"/>
      <c r="B424" s="225"/>
      <c r="C424" s="225"/>
      <c r="D424" s="225"/>
      <c r="E424" s="225"/>
      <c r="F424" s="225"/>
      <c r="G424" s="225"/>
      <c r="H424" s="225"/>
      <c r="I424" s="225"/>
      <c r="J424" s="225"/>
      <c r="K424" s="225"/>
      <c r="L424" s="225"/>
      <c r="M424" s="225"/>
      <c r="N424" s="222"/>
      <c r="O424" s="302"/>
      <c r="P424" s="222"/>
      <c r="Q424" s="222"/>
      <c r="R424" s="222"/>
      <c r="S424" s="223"/>
      <c r="T424" s="223"/>
      <c r="U424" s="223"/>
      <c r="V424" s="223"/>
      <c r="W424" s="223"/>
      <c r="X424" s="223"/>
      <c r="Y424" s="223"/>
      <c r="Z424" s="223"/>
    </row>
    <row r="425" ht="15.75" customHeight="1">
      <c r="A425" s="225"/>
      <c r="B425" s="225"/>
      <c r="C425" s="225"/>
      <c r="D425" s="225"/>
      <c r="E425" s="225"/>
      <c r="F425" s="225"/>
      <c r="G425" s="225"/>
      <c r="H425" s="225"/>
      <c r="I425" s="225"/>
      <c r="J425" s="225"/>
      <c r="K425" s="225"/>
      <c r="L425" s="225"/>
      <c r="M425" s="225"/>
      <c r="N425" s="222"/>
      <c r="O425" s="302"/>
      <c r="P425" s="222"/>
      <c r="Q425" s="222"/>
      <c r="R425" s="222"/>
      <c r="S425" s="223"/>
      <c r="T425" s="223"/>
      <c r="U425" s="223"/>
      <c r="V425" s="223"/>
      <c r="W425" s="223"/>
      <c r="X425" s="223"/>
      <c r="Y425" s="223"/>
      <c r="Z425" s="223"/>
    </row>
    <row r="426" ht="15.75" customHeight="1">
      <c r="A426" s="225"/>
      <c r="B426" s="225"/>
      <c r="C426" s="225"/>
      <c r="D426" s="225"/>
      <c r="E426" s="225"/>
      <c r="F426" s="225"/>
      <c r="G426" s="225"/>
      <c r="H426" s="225"/>
      <c r="I426" s="225"/>
      <c r="J426" s="225"/>
      <c r="K426" s="225"/>
      <c r="L426" s="225"/>
      <c r="M426" s="225"/>
      <c r="N426" s="222"/>
      <c r="O426" s="302"/>
      <c r="P426" s="222"/>
      <c r="Q426" s="222"/>
      <c r="R426" s="222"/>
      <c r="S426" s="223"/>
      <c r="T426" s="223"/>
      <c r="U426" s="223"/>
      <c r="V426" s="223"/>
      <c r="W426" s="223"/>
      <c r="X426" s="223"/>
      <c r="Y426" s="223"/>
      <c r="Z426" s="223"/>
    </row>
    <row r="427" ht="15.75" customHeight="1">
      <c r="A427" s="225"/>
      <c r="B427" s="225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2"/>
      <c r="O427" s="302"/>
      <c r="P427" s="222"/>
      <c r="Q427" s="222"/>
      <c r="R427" s="222"/>
      <c r="S427" s="223"/>
      <c r="T427" s="223"/>
      <c r="U427" s="223"/>
      <c r="V427" s="223"/>
      <c r="W427" s="223"/>
      <c r="X427" s="223"/>
      <c r="Y427" s="223"/>
      <c r="Z427" s="223"/>
    </row>
    <row r="428" ht="15.75" customHeight="1">
      <c r="A428" s="225"/>
      <c r="B428" s="225"/>
      <c r="C428" s="225"/>
      <c r="D428" s="225"/>
      <c r="E428" s="225"/>
      <c r="F428" s="225"/>
      <c r="G428" s="225"/>
      <c r="H428" s="225"/>
      <c r="I428" s="225"/>
      <c r="J428" s="225"/>
      <c r="K428" s="225"/>
      <c r="L428" s="225"/>
      <c r="M428" s="225"/>
      <c r="N428" s="222"/>
      <c r="O428" s="302"/>
      <c r="P428" s="222"/>
      <c r="Q428" s="222"/>
      <c r="R428" s="222"/>
      <c r="S428" s="223"/>
      <c r="T428" s="223"/>
      <c r="U428" s="223"/>
      <c r="V428" s="223"/>
      <c r="W428" s="223"/>
      <c r="X428" s="223"/>
      <c r="Y428" s="223"/>
      <c r="Z428" s="223"/>
    </row>
    <row r="429" ht="15.75" customHeight="1">
      <c r="A429" s="225"/>
      <c r="B429" s="225"/>
      <c r="C429" s="225"/>
      <c r="D429" s="225"/>
      <c r="E429" s="225"/>
      <c r="F429" s="225"/>
      <c r="G429" s="225"/>
      <c r="H429" s="225"/>
      <c r="I429" s="225"/>
      <c r="J429" s="225"/>
      <c r="K429" s="225"/>
      <c r="L429" s="225"/>
      <c r="M429" s="225"/>
      <c r="N429" s="222"/>
      <c r="O429" s="302"/>
      <c r="P429" s="222"/>
      <c r="Q429" s="222"/>
      <c r="R429" s="222"/>
      <c r="S429" s="223"/>
      <c r="T429" s="223"/>
      <c r="U429" s="223"/>
      <c r="V429" s="223"/>
      <c r="W429" s="223"/>
      <c r="X429" s="223"/>
      <c r="Y429" s="223"/>
      <c r="Z429" s="223"/>
    </row>
    <row r="430" ht="15.75" customHeight="1">
      <c r="A430" s="225"/>
      <c r="B430" s="225"/>
      <c r="C430" s="225"/>
      <c r="D430" s="225"/>
      <c r="E430" s="225"/>
      <c r="F430" s="225"/>
      <c r="G430" s="225"/>
      <c r="H430" s="225"/>
      <c r="I430" s="225"/>
      <c r="J430" s="225"/>
      <c r="K430" s="225"/>
      <c r="L430" s="225"/>
      <c r="M430" s="225"/>
      <c r="N430" s="222"/>
      <c r="O430" s="302"/>
      <c r="P430" s="222"/>
      <c r="Q430" s="222"/>
      <c r="R430" s="222"/>
      <c r="S430" s="223"/>
      <c r="T430" s="223"/>
      <c r="U430" s="223"/>
      <c r="V430" s="223"/>
      <c r="W430" s="223"/>
      <c r="X430" s="223"/>
      <c r="Y430" s="223"/>
      <c r="Z430" s="223"/>
    </row>
    <row r="431" ht="15.75" customHeight="1">
      <c r="A431" s="225"/>
      <c r="B431" s="225"/>
      <c r="C431" s="225"/>
      <c r="D431" s="225"/>
      <c r="E431" s="225"/>
      <c r="F431" s="225"/>
      <c r="G431" s="225"/>
      <c r="H431" s="225"/>
      <c r="I431" s="225"/>
      <c r="J431" s="225"/>
      <c r="K431" s="225"/>
      <c r="L431" s="225"/>
      <c r="M431" s="225"/>
      <c r="N431" s="222"/>
      <c r="O431" s="302"/>
      <c r="P431" s="222"/>
      <c r="Q431" s="222"/>
      <c r="R431" s="222"/>
      <c r="S431" s="223"/>
      <c r="T431" s="223"/>
      <c r="U431" s="223"/>
      <c r="V431" s="223"/>
      <c r="W431" s="223"/>
      <c r="X431" s="223"/>
      <c r="Y431" s="223"/>
      <c r="Z431" s="223"/>
    </row>
    <row r="432" ht="15.75" customHeight="1">
      <c r="A432" s="225"/>
      <c r="B432" s="225"/>
      <c r="C432" s="225"/>
      <c r="D432" s="225"/>
      <c r="E432" s="225"/>
      <c r="F432" s="225"/>
      <c r="G432" s="225"/>
      <c r="H432" s="225"/>
      <c r="I432" s="225"/>
      <c r="J432" s="225"/>
      <c r="K432" s="225"/>
      <c r="L432" s="225"/>
      <c r="M432" s="225"/>
      <c r="N432" s="222"/>
      <c r="O432" s="302"/>
      <c r="P432" s="222"/>
      <c r="Q432" s="222"/>
      <c r="R432" s="222"/>
      <c r="S432" s="223"/>
      <c r="T432" s="223"/>
      <c r="U432" s="223"/>
      <c r="V432" s="223"/>
      <c r="W432" s="223"/>
      <c r="X432" s="223"/>
      <c r="Y432" s="223"/>
      <c r="Z432" s="223"/>
    </row>
    <row r="433" ht="15.75" customHeight="1">
      <c r="A433" s="225"/>
      <c r="B433" s="225"/>
      <c r="C433" s="225"/>
      <c r="D433" s="225"/>
      <c r="E433" s="225"/>
      <c r="F433" s="225"/>
      <c r="G433" s="225"/>
      <c r="H433" s="225"/>
      <c r="I433" s="225"/>
      <c r="J433" s="225"/>
      <c r="K433" s="225"/>
      <c r="L433" s="225"/>
      <c r="M433" s="225"/>
      <c r="N433" s="222"/>
      <c r="O433" s="302"/>
      <c r="P433" s="222"/>
      <c r="Q433" s="222"/>
      <c r="R433" s="222"/>
      <c r="S433" s="223"/>
      <c r="T433" s="223"/>
      <c r="U433" s="223"/>
      <c r="V433" s="223"/>
      <c r="W433" s="223"/>
      <c r="X433" s="223"/>
      <c r="Y433" s="223"/>
      <c r="Z433" s="223"/>
    </row>
    <row r="434" ht="15.75" customHeight="1">
      <c r="A434" s="225"/>
      <c r="B434" s="225"/>
      <c r="C434" s="225"/>
      <c r="D434" s="225"/>
      <c r="E434" s="225"/>
      <c r="F434" s="225"/>
      <c r="G434" s="225"/>
      <c r="H434" s="225"/>
      <c r="I434" s="225"/>
      <c r="J434" s="225"/>
      <c r="K434" s="225"/>
      <c r="L434" s="225"/>
      <c r="M434" s="225"/>
      <c r="N434" s="222"/>
      <c r="O434" s="302"/>
      <c r="P434" s="222"/>
      <c r="Q434" s="222"/>
      <c r="R434" s="222"/>
      <c r="S434" s="223"/>
      <c r="T434" s="223"/>
      <c r="U434" s="223"/>
      <c r="V434" s="223"/>
      <c r="W434" s="223"/>
      <c r="X434" s="223"/>
      <c r="Y434" s="223"/>
      <c r="Z434" s="223"/>
    </row>
    <row r="435" ht="15.75" customHeight="1">
      <c r="A435" s="225"/>
      <c r="B435" s="225"/>
      <c r="C435" s="225"/>
      <c r="D435" s="225"/>
      <c r="E435" s="225"/>
      <c r="F435" s="225"/>
      <c r="G435" s="225"/>
      <c r="H435" s="225"/>
      <c r="I435" s="225"/>
      <c r="J435" s="225"/>
      <c r="K435" s="225"/>
      <c r="L435" s="225"/>
      <c r="M435" s="225"/>
      <c r="N435" s="222"/>
      <c r="O435" s="302"/>
      <c r="P435" s="222"/>
      <c r="Q435" s="222"/>
      <c r="R435" s="222"/>
      <c r="S435" s="223"/>
      <c r="T435" s="223"/>
      <c r="U435" s="223"/>
      <c r="V435" s="223"/>
      <c r="W435" s="223"/>
      <c r="X435" s="223"/>
      <c r="Y435" s="223"/>
      <c r="Z435" s="223"/>
    </row>
    <row r="436" ht="15.75" customHeight="1">
      <c r="A436" s="225"/>
      <c r="B436" s="225"/>
      <c r="C436" s="225"/>
      <c r="D436" s="225"/>
      <c r="E436" s="225"/>
      <c r="F436" s="225"/>
      <c r="G436" s="225"/>
      <c r="H436" s="225"/>
      <c r="I436" s="225"/>
      <c r="J436" s="225"/>
      <c r="K436" s="225"/>
      <c r="L436" s="225"/>
      <c r="M436" s="225"/>
      <c r="N436" s="222"/>
      <c r="O436" s="302"/>
      <c r="P436" s="222"/>
      <c r="Q436" s="222"/>
      <c r="R436" s="222"/>
      <c r="S436" s="223"/>
      <c r="T436" s="223"/>
      <c r="U436" s="223"/>
      <c r="V436" s="223"/>
      <c r="W436" s="223"/>
      <c r="X436" s="223"/>
      <c r="Y436" s="223"/>
      <c r="Z436" s="223"/>
    </row>
    <row r="437" ht="15.75" customHeight="1">
      <c r="A437" s="225"/>
      <c r="B437" s="225"/>
      <c r="C437" s="225"/>
      <c r="D437" s="225"/>
      <c r="E437" s="225"/>
      <c r="F437" s="225"/>
      <c r="G437" s="225"/>
      <c r="H437" s="225"/>
      <c r="I437" s="225"/>
      <c r="J437" s="225"/>
      <c r="K437" s="225"/>
      <c r="L437" s="225"/>
      <c r="M437" s="225"/>
      <c r="N437" s="222"/>
      <c r="O437" s="302"/>
      <c r="P437" s="222"/>
      <c r="Q437" s="222"/>
      <c r="R437" s="222"/>
      <c r="S437" s="223"/>
      <c r="T437" s="223"/>
      <c r="U437" s="223"/>
      <c r="V437" s="223"/>
      <c r="W437" s="223"/>
      <c r="X437" s="223"/>
      <c r="Y437" s="223"/>
      <c r="Z437" s="223"/>
    </row>
    <row r="438" ht="15.75" customHeight="1">
      <c r="A438" s="225"/>
      <c r="B438" s="225"/>
      <c r="C438" s="225"/>
      <c r="D438" s="225"/>
      <c r="E438" s="225"/>
      <c r="F438" s="225"/>
      <c r="G438" s="225"/>
      <c r="H438" s="225"/>
      <c r="I438" s="225"/>
      <c r="J438" s="225"/>
      <c r="K438" s="225"/>
      <c r="L438" s="225"/>
      <c r="M438" s="225"/>
      <c r="N438" s="222"/>
      <c r="O438" s="302"/>
      <c r="P438" s="222"/>
      <c r="Q438" s="222"/>
      <c r="R438" s="222"/>
      <c r="S438" s="223"/>
      <c r="T438" s="223"/>
      <c r="U438" s="223"/>
      <c r="V438" s="223"/>
      <c r="W438" s="223"/>
      <c r="X438" s="223"/>
      <c r="Y438" s="223"/>
      <c r="Z438" s="223"/>
    </row>
    <row r="439" ht="15.75" customHeight="1">
      <c r="A439" s="225"/>
      <c r="B439" s="225"/>
      <c r="C439" s="225"/>
      <c r="D439" s="225"/>
      <c r="E439" s="225"/>
      <c r="F439" s="225"/>
      <c r="G439" s="225"/>
      <c r="H439" s="225"/>
      <c r="I439" s="225"/>
      <c r="J439" s="225"/>
      <c r="K439" s="225"/>
      <c r="L439" s="225"/>
      <c r="M439" s="225"/>
      <c r="N439" s="222"/>
      <c r="O439" s="302"/>
      <c r="P439" s="222"/>
      <c r="Q439" s="222"/>
      <c r="R439" s="222"/>
      <c r="S439" s="223"/>
      <c r="T439" s="223"/>
      <c r="U439" s="223"/>
      <c r="V439" s="223"/>
      <c r="W439" s="223"/>
      <c r="X439" s="223"/>
      <c r="Y439" s="223"/>
      <c r="Z439" s="223"/>
    </row>
    <row r="440" ht="15.75" customHeight="1">
      <c r="A440" s="225"/>
      <c r="B440" s="225"/>
      <c r="C440" s="225"/>
      <c r="D440" s="225"/>
      <c r="E440" s="225"/>
      <c r="F440" s="225"/>
      <c r="G440" s="225"/>
      <c r="H440" s="225"/>
      <c r="I440" s="225"/>
      <c r="J440" s="225"/>
      <c r="K440" s="225"/>
      <c r="L440" s="225"/>
      <c r="M440" s="225"/>
      <c r="N440" s="222"/>
      <c r="O440" s="302"/>
      <c r="P440" s="222"/>
      <c r="Q440" s="222"/>
      <c r="R440" s="222"/>
      <c r="S440" s="223"/>
      <c r="T440" s="223"/>
      <c r="U440" s="223"/>
      <c r="V440" s="223"/>
      <c r="W440" s="223"/>
      <c r="X440" s="223"/>
      <c r="Y440" s="223"/>
      <c r="Z440" s="223"/>
    </row>
    <row r="441" ht="15.75" customHeight="1">
      <c r="A441" s="225"/>
      <c r="B441" s="225"/>
      <c r="C441" s="225"/>
      <c r="D441" s="225"/>
      <c r="E441" s="225"/>
      <c r="F441" s="225"/>
      <c r="G441" s="225"/>
      <c r="H441" s="225"/>
      <c r="I441" s="225"/>
      <c r="J441" s="225"/>
      <c r="K441" s="225"/>
      <c r="L441" s="225"/>
      <c r="M441" s="225"/>
      <c r="N441" s="222"/>
      <c r="O441" s="302"/>
      <c r="P441" s="222"/>
      <c r="Q441" s="222"/>
      <c r="R441" s="222"/>
      <c r="S441" s="223"/>
      <c r="T441" s="223"/>
      <c r="U441" s="223"/>
      <c r="V441" s="223"/>
      <c r="W441" s="223"/>
      <c r="X441" s="223"/>
      <c r="Y441" s="223"/>
      <c r="Z441" s="223"/>
    </row>
    <row r="442" ht="15.75" customHeight="1">
      <c r="A442" s="225"/>
      <c r="B442" s="225"/>
      <c r="C442" s="225"/>
      <c r="D442" s="225"/>
      <c r="E442" s="225"/>
      <c r="F442" s="225"/>
      <c r="G442" s="225"/>
      <c r="H442" s="225"/>
      <c r="I442" s="225"/>
      <c r="J442" s="225"/>
      <c r="K442" s="225"/>
      <c r="L442" s="225"/>
      <c r="M442" s="225"/>
      <c r="N442" s="222"/>
      <c r="O442" s="302"/>
      <c r="P442" s="222"/>
      <c r="Q442" s="222"/>
      <c r="R442" s="222"/>
      <c r="S442" s="223"/>
      <c r="T442" s="223"/>
      <c r="U442" s="223"/>
      <c r="V442" s="223"/>
      <c r="W442" s="223"/>
      <c r="X442" s="223"/>
      <c r="Y442" s="223"/>
      <c r="Z442" s="223"/>
    </row>
    <row r="443" ht="15.75" customHeight="1">
      <c r="A443" s="225"/>
      <c r="B443" s="225"/>
      <c r="C443" s="225"/>
      <c r="D443" s="225"/>
      <c r="E443" s="225"/>
      <c r="F443" s="225"/>
      <c r="G443" s="225"/>
      <c r="H443" s="225"/>
      <c r="I443" s="225"/>
      <c r="J443" s="225"/>
      <c r="K443" s="225"/>
      <c r="L443" s="225"/>
      <c r="M443" s="225"/>
      <c r="N443" s="222"/>
      <c r="O443" s="302"/>
      <c r="P443" s="222"/>
      <c r="Q443" s="222"/>
      <c r="R443" s="222"/>
      <c r="S443" s="223"/>
      <c r="T443" s="223"/>
      <c r="U443" s="223"/>
      <c r="V443" s="223"/>
      <c r="W443" s="223"/>
      <c r="X443" s="223"/>
      <c r="Y443" s="223"/>
      <c r="Z443" s="223"/>
    </row>
    <row r="444" ht="15.75" customHeight="1">
      <c r="A444" s="225"/>
      <c r="B444" s="225"/>
      <c r="C444" s="225"/>
      <c r="D444" s="225"/>
      <c r="E444" s="225"/>
      <c r="F444" s="225"/>
      <c r="G444" s="225"/>
      <c r="H444" s="225"/>
      <c r="I444" s="225"/>
      <c r="J444" s="225"/>
      <c r="K444" s="225"/>
      <c r="L444" s="225"/>
      <c r="M444" s="225"/>
      <c r="N444" s="222"/>
      <c r="O444" s="302"/>
      <c r="P444" s="222"/>
      <c r="Q444" s="222"/>
      <c r="R444" s="222"/>
      <c r="S444" s="223"/>
      <c r="T444" s="223"/>
      <c r="U444" s="223"/>
      <c r="V444" s="223"/>
      <c r="W444" s="223"/>
      <c r="X444" s="223"/>
      <c r="Y444" s="223"/>
      <c r="Z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302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302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302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302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302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302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302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302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302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302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302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302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302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302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302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302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302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302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302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302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302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302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302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302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302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302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302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302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302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302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302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302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302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302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302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302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302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302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302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302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302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302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302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302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302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302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302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302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302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302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302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302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302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302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302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302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302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302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302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302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302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302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302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302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302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302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302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302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302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302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302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302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302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302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302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302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302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302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302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302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302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302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302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302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302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302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302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302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302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302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302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302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302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302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302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302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302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302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302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302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customSheetViews>
    <customSheetView guid="{76163EF3-C0AE-46B8-BAF5-311148E90DAD}" filter="1" showAutoFilter="1">
      <autoFilter ref="$A$1:$M$268">
        <filterColumn colId="4">
          <filters>
            <filter val="Z/FAM/CE1000397"/>
            <filter val="Z/FAM/CE1000031"/>
            <filter val="Z/FAM/OE1000200"/>
            <filter val="Z/FAM/CE1000037"/>
            <filter val="Z/FAM/OE1000101"/>
            <filter val="Z/FAM/OE1000221"/>
            <filter val="Z/FAM/OE1000103"/>
            <filter val="Z/FAM/OE1000102"/>
            <filter val="Z/FAM/OE1000118"/>
            <filter val="Z/FAM/OE1000117"/>
            <filter val="Z/FAM/CE1000020"/>
            <filter val="Z/FAM/OE1000112"/>
            <filter val="Z/FAM/OE1000111"/>
            <filter val="Z/FAM/OE1000110"/>
            <filter val="Z/FAM/CE1000019"/>
            <filter val="Z/FAM/OE1000237"/>
            <filter val="Z/FAM/OE1000116"/>
            <filter val="Z/FAM/OE1000114"/>
            <filter val="Z/FAM/OE1000113"/>
            <filter val="Z/FAM/CE1000015"/>
            <filter val="Z/FAM/OE1000082"/>
            <filter val="Z/FAM/OE1000081"/>
            <filter val="Z/FAM/OE1000086"/>
            <filter val="Z/FAM/OE1000085"/>
            <filter val="Z/FAM/OE1000084"/>
            <filter val="Z/FAM/OE1000083"/>
            <filter val="Z/FAM/OE1000089"/>
            <filter val="Z/FAM/OE1000088"/>
            <filter val="Z/FAM/OE1000087"/>
            <filter val="Z/FAM/OE1000400"/>
            <filter val="Z/FAM/CE1000638"/>
            <filter val="Z/FAM/OE1000098"/>
            <filter val="Z/FAM/OE1000313"/>
            <filter val="Z/FAM/OE1000163"/>
            <filter val="Z/FAM/OE1000162"/>
            <filter val="Z/FAM/OE1000041"/>
            <filter val="Z/FAM/OE1000161"/>
            <filter val="Z/FAM/OE1000040"/>
            <filter val="Z/FAM/OE1000160"/>
            <filter val="Z/FAM/OE1000046"/>
            <filter val="Z/FAM/OE1000167"/>
            <filter val="Z/FAM/OE1000166"/>
            <filter val="Z/FAM/OE1000045"/>
            <filter val="Z/FAM/OE1000165"/>
            <filter val="Z/FAM/OE1000164"/>
            <filter val="Z/FAM/OE1000169"/>
            <filter val="Z/FAM/OE1000047"/>
            <filter val="Z/FAM/OE1000168"/>
            <filter val="Z/FAM/OE1000170"/>
            <filter val="Z/FAM/OE1000174"/>
            <filter val="Z/FAM/OE1000173"/>
            <filter val="Z/FAM/OE1000172"/>
            <filter val="Z/FAM/OE1000171"/>
            <filter val="Z/FAM/OE1000057"/>
            <filter val="Z/FAM/OE1000178"/>
            <filter val="Z/FAM/OE1000056"/>
            <filter val="Z/FAM/OE1000055"/>
            <filter val="Z/FAM/OE1000176"/>
            <filter val="Z/FAM/OE1000054"/>
            <filter val="Z/FAM/OE1000175"/>
            <filter val="Z/FAM/OE1000179"/>
            <filter val="Z/FAM/OE1000058"/>
            <filter val="Z/FAM/OE1000181"/>
            <filter val="Z/FAM/OE1000060"/>
            <filter val="Z/FAM/OE1000180"/>
            <filter val="Z/FAM/OE1000185"/>
            <filter val="Z/FAM/OE1000184"/>
            <filter val="Z/FAM/OE1000183"/>
            <filter val="Z/FAM/OE1000182"/>
            <filter val="Z/FAM/OE1000061"/>
            <filter val="Z/FAM/CE1000647"/>
            <filter val="Z/FAM/OE1000189"/>
            <filter val="Z/FAM/OE1000067"/>
            <filter val="Z/FAM/OE1000188"/>
            <filter val="Z/FAM/CE1000645"/>
            <filter val="Z/FAM/OE1000066"/>
            <filter val="Z/FAM/OE1000187"/>
            <filter val="Z/FAM/OE1000186"/>
            <filter val="Z/FAM/OE1000065"/>
            <filter val="Z/FAM/CE1000642"/>
            <filter val="Z/FAM/OE1000069"/>
            <filter val="Z/FAM/OE/1000053"/>
            <filter val="Z/FAM/OE1000071"/>
            <filter val="Z/FAM/OE1000192"/>
            <filter val="Z/FAM/OE1000070"/>
            <filter val="Z/FAM/OE1000191"/>
            <filter val="Z/FAM/OE1000190"/>
            <filter val="Z/FAM/OE1000075"/>
            <filter val="Z/FAM/OE1000196"/>
            <filter val="Z/FAM/OE1000074"/>
            <filter val="Z/FAM/OE1000195"/>
            <filter val="Z/FAM/OE1000073"/>
            <filter val="Z/FAM/OE1000194"/>
            <filter val="Z/FAM/OE1000193"/>
            <filter val="Z/FAM/CE1000658"/>
            <filter val="Z/FAM/OE1000199"/>
            <filter val="Z/FAM/OE1000077"/>
            <filter val="Z/FAM/OE1000198"/>
            <filter val="Z/FAM/CE1000657"/>
            <filter val="Z/FAM/OE1000197"/>
            <filter val="Z/FAM/OE1000129"/>
            <filter val="Z/FAM/OE1000128"/>
            <filter val="Z/FAM/OE1000123"/>
            <filter val="Z/FAM/OE1000122"/>
            <filter val="Z/FAM/OE1000121"/>
            <filter val="Z/FAM/OE1000120"/>
            <filter val="Z/FAM/OE1000127"/>
            <filter val="Z/FAM/OE1000126"/>
            <filter val="Z/FAM/OE1000125"/>
            <filter val="Z/FAM/OE1000004"/>
            <filter val="Z/FAM/OE1000124"/>
            <filter val="Z/FAM/OE1000139"/>
            <filter val="Z/FAM/OE1000130"/>
            <filter val="Z/FAM/OE1000134"/>
            <filter val="Z/FAM/OE1000133"/>
            <filter val="Z/FAM/OE1000132"/>
            <filter val="Z/FAM/OE1000131"/>
            <filter val="Z/FAM/OE1000138"/>
            <filter val="Z/FAM/CE1000115"/>
            <filter val="Z/FAM/OE1000137"/>
            <filter val="Z/FAM/OE1000141"/>
            <filter val="Z/FAM/OE1000140"/>
            <filter val="Z/FAM/OE1000145"/>
            <filter val="Z/FAM/OE1000144"/>
            <filter val="Z/FAM/OE1000143"/>
            <filter val="Z/FAM/OE1000142"/>
            <filter val="Z/FAM/OE1000149"/>
            <filter val="Z/FAM/OE1000148"/>
            <filter val="Z/FAM/OE1000147"/>
            <filter val="Z/FAM/OE1000389"/>
            <filter val="Z/FAM/OE1000146"/>
            <filter val="Z/FAM/OE1000151"/>
            <filter val="Z/FAM/OE1000393"/>
            <filter val="Z/FAM/OE1000150"/>
            <filter val="Z/FAM/OE1000398"/>
            <filter val="Z/FAM/OE1000397"/>
            <filter val="Z/FAM/OE1000034"/>
            <filter val="Z/FAM/OE1000396"/>
            <filter val="Z/FAM/OE1000033"/>
            <filter val="Z/FAM/CE1000458"/>
            <filter val="Z/FAM/CE1000338"/>
            <filter val="Z/FAM/OE1000039"/>
            <filter val="Z/FAM/OE1000038"/>
            <filter val="Z/FAM/OE1000159"/>
            <filter val="Z/FAM/CE1000454"/>
            <filter val="Z/FAM/OE1000037"/>
            <filter val="Z/FAM/OE1000158"/>
            <filter val="Z/FAM/OE1000399"/>
            <filter val="Z/FAM/OE1000157"/>
            <filter val="Z/FAM/OE1000036"/>
          </filters>
        </filterColumn>
      </autoFilter>
    </customSheetView>
    <customSheetView guid="{1F3C1025-CEA9-4A75-9443-85E4026329F8}" filter="1" showAutoFilter="1">
      <autoFilter ref="$A$151:$O$268">
        <filterColumn colId="5">
          <colorFilter dxfId="18"/>
        </filterColumn>
      </autoFilter>
    </customSheetView>
    <customSheetView guid="{10CB09A8-21B4-4A27-8516-48571AE4DD3F}" filter="1" showAutoFilter="1">
      <autoFilter ref="$A$1:$M$268">
        <filterColumn colId="4">
          <filters>
            <filter val="Z/FAM/CE1000397"/>
            <filter val="Z/FAM/CE1000031"/>
            <filter val="Z/FAM/OE1000200"/>
            <filter val="Z/FAM/CE1000037"/>
            <filter val="Z/FAM/OE1000101"/>
            <filter val="Z/FAM/OE1000221"/>
            <filter val="Z/FAM/OE1000103"/>
            <filter val="Z/FAM/OE1000102"/>
            <filter val="Z/FAM/OE1000118"/>
            <filter val="Z/FAM/OE1000117"/>
            <filter val="Z/FAM/CE1000020"/>
            <filter val="Z/FAM/OE1000112"/>
            <filter val="Z/FAM/OE1000111"/>
            <filter val="Z/FAM/OE1000110"/>
            <filter val="Z/FAM/CE1000019"/>
            <filter val="Z/FAM/OE1000237"/>
            <filter val="Z/FAM/OE1000116"/>
            <filter val="Z/FAM/OE1000114"/>
            <filter val="Z/FAM/OE1000113"/>
            <filter val="Z/FAM/CE1000015"/>
            <filter val="Z/FAM/OE1000082"/>
            <filter val="Z/FAM/OE1000081"/>
            <filter val="Z/FAM/OE1000086"/>
            <filter val="Z/FAM/OE1000085"/>
            <filter val="Z/FAM/OE1000084"/>
            <filter val="Z/FAM/OE1000083"/>
            <filter val="Z/FAM/OE1000089"/>
            <filter val="Z/FAM/OE1000088"/>
            <filter val="Z/FAM/OE1000087"/>
            <filter val="Z/FAM/OE1000400"/>
            <filter val="Z/FAM/CE1000638"/>
            <filter val="Z/FAM/OE1000098"/>
            <filter val="Z/FAM/OE1000313"/>
            <filter val="Z/FAM/OE1000163"/>
            <filter val="Z/FAM/OE1000162"/>
            <filter val="Z/FAM/OE1000041"/>
            <filter val="Z/FAM/OE1000161"/>
            <filter val="Z/FAM/OE1000040"/>
            <filter val="Z/FAM/OE1000160"/>
            <filter val="Z/FAM/OE1000046"/>
            <filter val="Z/FAM/OE1000167"/>
            <filter val="Z/FAM/OE1000166"/>
            <filter val="Z/FAM/OE1000045"/>
            <filter val="Z/FAM/OE1000165"/>
            <filter val="Z/FAM/OE1000164"/>
            <filter val="Z/FAM/OE1000169"/>
            <filter val="Z/FAM/OE1000047"/>
            <filter val="Z/FAM/OE1000168"/>
            <filter val="Z/FAM/OE1000170"/>
            <filter val="Z/FAM/OE1000174"/>
            <filter val="Z/FAM/OE1000173"/>
            <filter val="Z/FAM/OE1000172"/>
            <filter val="Z/FAM/OE1000171"/>
            <filter val="Z/FAM/OE1000057"/>
            <filter val="Z/FAM/OE1000178"/>
            <filter val="Z/FAM/OE1000056"/>
            <filter val="Z/FAM/OE1000055"/>
            <filter val="Z/FAM/OE1000176"/>
            <filter val="Z/FAM/OE1000054"/>
            <filter val="Z/FAM/OE1000175"/>
            <filter val="Z/FAM/OE1000179"/>
            <filter val="Z/FAM/OE1000058"/>
            <filter val="Z/FAM/OE1000181"/>
            <filter val="Z/FAM/OE1000060"/>
            <filter val="Z/FAM/OE1000180"/>
            <filter val="Z/FAM/OE1000185"/>
            <filter val="Z/FAM/OE1000184"/>
            <filter val="Z/FAM/OE1000183"/>
            <filter val="Z/FAM/OE1000182"/>
            <filter val="Z/FAM/OE1000061"/>
            <filter val="Z/FAM/CE1000647"/>
            <filter val="Z/FAM/OE1000189"/>
            <filter val="Z/FAM/OE1000067"/>
            <filter val="Z/FAM/OE1000188"/>
            <filter val="Z/FAM/CE1000645"/>
            <filter val="Z/FAM/OE1000066"/>
            <filter val="Z/FAM/OE1000187"/>
            <filter val="Z/FAM/OE1000186"/>
            <filter val="Z/FAM/OE1000065"/>
            <filter val="Z/FAM/CE1000642"/>
            <filter val="Z/FAM/OE1000069"/>
            <filter val="Z/FAM/OE/1000053"/>
            <filter val="Z/FAM/OE1000071"/>
            <filter val="Z/FAM/OE1000192"/>
            <filter val="Z/FAM/OE1000070"/>
            <filter val="Z/FAM/OE1000191"/>
            <filter val="Z/FAM/OE1000190"/>
            <filter val="Z/FAM/OE1000075"/>
            <filter val="Z/FAM/OE1000196"/>
            <filter val="Z/FAM/OE1000074"/>
            <filter val="Z/FAM/OE1000195"/>
            <filter val="Z/FAM/OE1000073"/>
            <filter val="Z/FAM/OE1000194"/>
            <filter val="Z/FAM/OE1000193"/>
            <filter val="Z/FAM/CE1000658"/>
            <filter val="Z/FAM/OE1000199"/>
            <filter val="Z/FAM/OE1000077"/>
            <filter val="Z/FAM/OE1000198"/>
            <filter val="Z/FAM/CE1000657"/>
            <filter val="Z/FAM/OE1000197"/>
            <filter val="Z/FAM/OE1000129"/>
            <filter val="Z/FAM/OE1000128"/>
            <filter val="Z/FAM/OE1000123"/>
            <filter val="Z/FAM/OE1000122"/>
            <filter val="Z/FAM/OE1000121"/>
            <filter val="Z/FAM/OE1000120"/>
            <filter val="Z/FAM/OE1000127"/>
            <filter val="Z/FAM/OE1000126"/>
            <filter val="Z/FAM/OE1000125"/>
            <filter val="Z/FAM/OE1000004"/>
            <filter val="Z/FAM/OE1000124"/>
            <filter val="Z/FAM/OE1000139"/>
            <filter val="Z/FAM/OE1000130"/>
            <filter val="Z/FAM/OE1000134"/>
            <filter val="Z/FAM/OE1000133"/>
            <filter val="Z/FAM/OE1000132"/>
            <filter val="Z/FAM/OE1000131"/>
            <filter val="Z/FAM/OE1000138"/>
            <filter val="Z/FAM/CE1000115"/>
            <filter val="Z/FAM/OE1000137"/>
            <filter val="Z/FAM/OE1000141"/>
            <filter val="Z/FAM/OE1000140"/>
            <filter val="Z/FAM/OE1000145"/>
            <filter val="Z/FAM/OE1000144"/>
            <filter val="Z/FAM/OE1000143"/>
            <filter val="Z/FAM/OE1000142"/>
            <filter val="Z/FAM/OE1000149"/>
            <filter val="Z/FAM/OE1000148"/>
            <filter val="Z/FAM/OE1000147"/>
            <filter val="Z/FAM/OE1000389"/>
            <filter val="Z/FAM/OE1000146"/>
            <filter val="Z/FAM/OE1000151"/>
            <filter val="Z/FAM/OE1000393"/>
            <filter val="Z/FAM/OE1000150"/>
            <filter val="Z/FAM/OE1000398"/>
            <filter val="Z/FAM/OE1000397"/>
            <filter val="Z/FAM/OE1000034"/>
            <filter val="Z/FAM/OE1000396"/>
            <filter val="Z/FAM/OE1000033"/>
            <filter val="Z/FAM/CE1000458"/>
            <filter val="Z/FAM/CE1000338"/>
            <filter val="Z/FAM/OE1000039"/>
            <filter val="Z/FAM/OE1000038"/>
            <filter val="Z/FAM/OE1000159"/>
            <filter val="Z/FAM/CE1000454"/>
            <filter val="Z/FAM/OE1000037"/>
            <filter val="Z/FAM/OE1000158"/>
            <filter val="Z/FAM/OE1000399"/>
            <filter val="Z/FAM/OE1000157"/>
            <filter val="Z/FAM/OE1000036"/>
          </filters>
        </filterColumn>
      </autoFilter>
    </customSheetView>
    <customSheetView guid="{E61A7C41-574A-4585-958A-6D9729148A54}" filter="1" showAutoFilter="1">
      <autoFilter ref="$A$1:$J$268">
        <filterColumn colId="5">
          <filters>
            <filter val="Sold to Employee"/>
            <filter val="Sold to Cashify"/>
            <filter val="Lost By Employee"/>
            <filter val="In use"/>
          </filters>
        </filterColumn>
      </autoFilter>
    </customSheetView>
    <customSheetView guid="{38A0F86F-54EB-4548-95BB-06A331D58524}" filter="1" showAutoFilter="1">
      <autoFilter ref="$A$1:$I$268"/>
    </customSheetView>
  </customSheetViews>
  <hyperlinks>
    <hyperlink r:id="rId1" ref="I103"/>
    <hyperlink r:id="rId2" ref="K125"/>
    <hyperlink r:id="rId3" ref="I154"/>
    <hyperlink r:id="rId4" ref="I155"/>
    <hyperlink r:id="rId5" ref="I185"/>
    <hyperlink r:id="rId6" ref="K268"/>
    <hyperlink r:id="rId7" ref="K290"/>
    <hyperlink r:id="rId8" ref="K291"/>
    <hyperlink r:id="rId9" ref="K292"/>
    <hyperlink r:id="rId10" ref="K304"/>
    <hyperlink r:id="rId11" ref="K305"/>
    <hyperlink r:id="rId12" ref="K306"/>
    <hyperlink r:id="rId13" ref="K307"/>
    <hyperlink r:id="rId14" ref="K308"/>
    <hyperlink r:id="rId15" ref="K318"/>
  </hyperlinks>
  <printOptions/>
  <pageMargins bottom="0.75" footer="0.0" header="0.0" left="0.7" right="0.7" top="0.75"/>
  <pageSetup orientation="landscape"/>
  <drawing r:id="rId1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4.75"/>
    <col customWidth="1" min="3" max="3" width="12.25"/>
    <col customWidth="1" min="4" max="4" width="17.38"/>
    <col customWidth="1" min="5" max="5" width="20.88"/>
    <col customWidth="1" min="6" max="6" width="21.63"/>
    <col customWidth="1" min="7" max="7" width="11.25"/>
    <col customWidth="1" min="8" max="8" width="28.75"/>
    <col customWidth="1" min="9" max="9" width="41.0"/>
    <col customWidth="1" min="10" max="10" width="28.75"/>
    <col customWidth="1" min="11" max="11" width="9.38"/>
    <col customWidth="1" min="12" max="12" width="9.25"/>
  </cols>
  <sheetData>
    <row r="1" ht="15.75" customHeight="1">
      <c r="A1" s="337" t="s">
        <v>7291</v>
      </c>
      <c r="B1" s="337" t="s">
        <v>7292</v>
      </c>
      <c r="C1" s="337" t="s">
        <v>7293</v>
      </c>
      <c r="D1" s="337" t="s">
        <v>7294</v>
      </c>
      <c r="E1" s="337" t="s">
        <v>6474</v>
      </c>
      <c r="F1" s="337" t="s">
        <v>7295</v>
      </c>
      <c r="G1" s="337" t="s">
        <v>5603</v>
      </c>
      <c r="H1" s="337" t="s">
        <v>7296</v>
      </c>
      <c r="I1" s="337" t="s">
        <v>7297</v>
      </c>
      <c r="J1" s="337" t="s">
        <v>7298</v>
      </c>
      <c r="K1" s="337" t="s">
        <v>7299</v>
      </c>
      <c r="L1" s="337" t="s">
        <v>7300</v>
      </c>
    </row>
    <row r="2" ht="15.75" customHeight="1">
      <c r="A2" s="338" t="s">
        <v>6536</v>
      </c>
      <c r="B2" s="338" t="s">
        <v>7301</v>
      </c>
      <c r="C2" s="335" t="s">
        <v>7302</v>
      </c>
      <c r="D2" s="338"/>
      <c r="E2" s="338" t="s">
        <v>7303</v>
      </c>
      <c r="F2" s="335" t="s">
        <v>7304</v>
      </c>
      <c r="G2" s="338" t="s">
        <v>5594</v>
      </c>
      <c r="H2" s="338" t="s">
        <v>7305</v>
      </c>
      <c r="I2" s="335" t="s">
        <v>7306</v>
      </c>
      <c r="J2" s="338" t="s">
        <v>7305</v>
      </c>
      <c r="K2" s="339"/>
      <c r="L2" s="335"/>
    </row>
    <row r="3" ht="15.75" customHeight="1">
      <c r="A3" s="340" t="s">
        <v>6536</v>
      </c>
      <c r="B3" s="340" t="s">
        <v>7307</v>
      </c>
      <c r="C3" s="341" t="s">
        <v>7308</v>
      </c>
      <c r="D3" s="340"/>
      <c r="E3" s="340" t="s">
        <v>7309</v>
      </c>
      <c r="F3" s="341" t="s">
        <v>7310</v>
      </c>
      <c r="G3" s="340" t="s">
        <v>5594</v>
      </c>
      <c r="H3" s="340" t="s">
        <v>7311</v>
      </c>
      <c r="I3" s="342" t="s">
        <v>7312</v>
      </c>
      <c r="J3" s="340" t="s">
        <v>7313</v>
      </c>
      <c r="K3" s="343">
        <v>8.0</v>
      </c>
      <c r="L3" s="341">
        <v>5.0</v>
      </c>
    </row>
    <row r="4" ht="15.75" customHeight="1">
      <c r="A4" s="340" t="s">
        <v>6536</v>
      </c>
      <c r="B4" s="340" t="s">
        <v>7307</v>
      </c>
      <c r="C4" s="341" t="s">
        <v>7308</v>
      </c>
      <c r="D4" s="340"/>
      <c r="E4" s="340" t="s">
        <v>7314</v>
      </c>
      <c r="F4" s="341" t="s">
        <v>7315</v>
      </c>
      <c r="G4" s="340" t="s">
        <v>5594</v>
      </c>
      <c r="H4" s="340" t="s">
        <v>7311</v>
      </c>
      <c r="I4" s="342" t="s">
        <v>7316</v>
      </c>
      <c r="J4" s="340" t="s">
        <v>7317</v>
      </c>
      <c r="K4" s="343">
        <v>8.0</v>
      </c>
      <c r="L4" s="341">
        <v>4.0</v>
      </c>
    </row>
    <row r="5" ht="15.75" customHeight="1">
      <c r="A5" s="338" t="s">
        <v>6536</v>
      </c>
      <c r="B5" s="338" t="s">
        <v>7307</v>
      </c>
      <c r="C5" s="335" t="s">
        <v>7308</v>
      </c>
      <c r="D5" s="338"/>
      <c r="E5" s="338" t="s">
        <v>7318</v>
      </c>
      <c r="F5" s="335" t="s">
        <v>7319</v>
      </c>
      <c r="G5" s="338" t="s">
        <v>5594</v>
      </c>
      <c r="H5" s="338" t="s">
        <v>7320</v>
      </c>
      <c r="I5" s="251" t="s">
        <v>7321</v>
      </c>
      <c r="J5" s="338" t="s">
        <v>7322</v>
      </c>
      <c r="K5" s="339"/>
      <c r="L5" s="335"/>
    </row>
    <row r="6" ht="15.75" customHeight="1">
      <c r="A6" s="338" t="s">
        <v>6536</v>
      </c>
      <c r="B6" s="338" t="s">
        <v>7323</v>
      </c>
      <c r="C6" s="341" t="s">
        <v>7324</v>
      </c>
      <c r="D6" s="338"/>
      <c r="E6" s="338" t="s">
        <v>7325</v>
      </c>
      <c r="F6" s="335" t="s">
        <v>7326</v>
      </c>
      <c r="G6" s="338" t="s">
        <v>5594</v>
      </c>
      <c r="H6" s="338" t="s">
        <v>7327</v>
      </c>
      <c r="I6" s="335"/>
      <c r="J6" s="338" t="s">
        <v>7328</v>
      </c>
      <c r="K6" s="339"/>
      <c r="L6" s="335"/>
    </row>
    <row r="7" ht="15.75" customHeight="1">
      <c r="A7" s="340" t="s">
        <v>6536</v>
      </c>
      <c r="B7" s="340" t="s">
        <v>7323</v>
      </c>
      <c r="C7" s="341" t="s">
        <v>7324</v>
      </c>
      <c r="D7" s="340"/>
      <c r="E7" s="340" t="s">
        <v>7329</v>
      </c>
      <c r="F7" s="341" t="s">
        <v>7330</v>
      </c>
      <c r="G7" s="340" t="s">
        <v>5594</v>
      </c>
      <c r="H7" s="340" t="s">
        <v>7327</v>
      </c>
      <c r="I7" s="341"/>
      <c r="J7" s="340" t="s">
        <v>7331</v>
      </c>
      <c r="K7" s="343"/>
      <c r="L7" s="341"/>
    </row>
    <row r="8" ht="15.75" customHeight="1">
      <c r="A8" s="338" t="s">
        <v>6536</v>
      </c>
      <c r="B8" s="338" t="s">
        <v>7332</v>
      </c>
      <c r="C8" s="335" t="s">
        <v>7333</v>
      </c>
      <c r="D8" s="338"/>
      <c r="E8" s="338" t="s">
        <v>7334</v>
      </c>
      <c r="F8" s="335" t="s">
        <v>7335</v>
      </c>
      <c r="G8" s="338" t="s">
        <v>5594</v>
      </c>
      <c r="H8" s="338" t="s">
        <v>7336</v>
      </c>
      <c r="I8" s="328" t="s">
        <v>7337</v>
      </c>
      <c r="J8" s="338" t="s">
        <v>7338</v>
      </c>
      <c r="K8" s="339"/>
      <c r="L8" s="335"/>
    </row>
    <row r="9" ht="15.75" customHeight="1">
      <c r="A9" s="338" t="s">
        <v>6536</v>
      </c>
      <c r="B9" s="338" t="s">
        <v>7332</v>
      </c>
      <c r="C9" s="335" t="s">
        <v>7333</v>
      </c>
      <c r="D9" s="338"/>
      <c r="E9" s="338" t="s">
        <v>7339</v>
      </c>
      <c r="F9" s="335" t="s">
        <v>7340</v>
      </c>
      <c r="G9" s="338" t="s">
        <v>5594</v>
      </c>
      <c r="H9" s="338" t="s">
        <v>7336</v>
      </c>
      <c r="I9" s="335" t="s">
        <v>7341</v>
      </c>
      <c r="J9" s="338" t="s">
        <v>7342</v>
      </c>
      <c r="K9" s="339"/>
      <c r="L9" s="335"/>
    </row>
    <row r="10" ht="15.75" customHeight="1">
      <c r="A10" s="340" t="s">
        <v>6536</v>
      </c>
      <c r="B10" s="340" t="s">
        <v>7332</v>
      </c>
      <c r="C10" s="341" t="s">
        <v>7333</v>
      </c>
      <c r="D10" s="340"/>
      <c r="E10" s="340" t="s">
        <v>7343</v>
      </c>
      <c r="F10" s="341" t="s">
        <v>7344</v>
      </c>
      <c r="G10" s="340" t="s">
        <v>5594</v>
      </c>
      <c r="H10" s="340" t="s">
        <v>7336</v>
      </c>
      <c r="I10" s="342" t="s">
        <v>7345</v>
      </c>
      <c r="J10" s="340" t="s">
        <v>7346</v>
      </c>
      <c r="K10" s="343"/>
      <c r="L10" s="341"/>
    </row>
    <row r="11" ht="15.75" customHeight="1">
      <c r="A11" s="340" t="s">
        <v>6536</v>
      </c>
      <c r="B11" s="340" t="s">
        <v>7347</v>
      </c>
      <c r="C11" s="341" t="s">
        <v>7348</v>
      </c>
      <c r="D11" s="340"/>
      <c r="E11" s="340" t="s">
        <v>7349</v>
      </c>
      <c r="F11" s="341" t="s">
        <v>7350</v>
      </c>
      <c r="G11" s="340" t="s">
        <v>5594</v>
      </c>
      <c r="H11" s="340" t="s">
        <v>7351</v>
      </c>
      <c r="I11" s="341" t="s">
        <v>7352</v>
      </c>
      <c r="J11" s="340" t="s">
        <v>7353</v>
      </c>
      <c r="K11" s="343">
        <v>4.0</v>
      </c>
      <c r="L11" s="341">
        <v>6.0</v>
      </c>
    </row>
    <row r="12" ht="15.75" customHeight="1">
      <c r="A12" s="338" t="s">
        <v>6536</v>
      </c>
      <c r="B12" s="338" t="s">
        <v>7347</v>
      </c>
      <c r="C12" s="335" t="s">
        <v>7348</v>
      </c>
      <c r="D12" s="338"/>
      <c r="E12" s="338" t="s">
        <v>7354</v>
      </c>
      <c r="F12" s="335" t="s">
        <v>7355</v>
      </c>
      <c r="G12" s="338" t="s">
        <v>5594</v>
      </c>
      <c r="H12" s="338" t="s">
        <v>7351</v>
      </c>
      <c r="I12" s="251" t="s">
        <v>7356</v>
      </c>
      <c r="J12" s="338" t="s">
        <v>7357</v>
      </c>
      <c r="K12" s="339">
        <v>4.0</v>
      </c>
      <c r="L12" s="335">
        <v>2.0</v>
      </c>
    </row>
    <row r="13" ht="15.75" customHeight="1">
      <c r="A13" s="340" t="s">
        <v>6536</v>
      </c>
      <c r="B13" s="340" t="s">
        <v>7347</v>
      </c>
      <c r="C13" s="341" t="s">
        <v>7348</v>
      </c>
      <c r="D13" s="340"/>
      <c r="E13" s="340" t="s">
        <v>7358</v>
      </c>
      <c r="F13" s="341" t="s">
        <v>7359</v>
      </c>
      <c r="G13" s="340" t="s">
        <v>5594</v>
      </c>
      <c r="H13" s="340" t="s">
        <v>7351</v>
      </c>
      <c r="I13" s="342" t="s">
        <v>7312</v>
      </c>
      <c r="J13" s="340" t="s">
        <v>7360</v>
      </c>
      <c r="K13" s="343">
        <v>4.0</v>
      </c>
      <c r="L13" s="341">
        <v>8.0</v>
      </c>
    </row>
    <row r="14" ht="15.75" customHeight="1">
      <c r="A14" s="338" t="s">
        <v>6536</v>
      </c>
      <c r="B14" s="338" t="s">
        <v>7347</v>
      </c>
      <c r="C14" s="335" t="s">
        <v>7348</v>
      </c>
      <c r="D14" s="338"/>
      <c r="E14" s="338" t="s">
        <v>7361</v>
      </c>
      <c r="F14" s="335" t="s">
        <v>7362</v>
      </c>
      <c r="G14" s="338" t="s">
        <v>5594</v>
      </c>
      <c r="H14" s="338" t="s">
        <v>7351</v>
      </c>
      <c r="I14" s="328" t="s">
        <v>7363</v>
      </c>
      <c r="J14" s="338" t="s">
        <v>7364</v>
      </c>
      <c r="K14" s="339">
        <v>4.0</v>
      </c>
      <c r="L14" s="335">
        <v>12.0</v>
      </c>
    </row>
    <row r="15" ht="15.75" customHeight="1">
      <c r="A15" s="340" t="s">
        <v>6536</v>
      </c>
      <c r="B15" s="340" t="s">
        <v>7347</v>
      </c>
      <c r="C15" s="341" t="s">
        <v>7348</v>
      </c>
      <c r="D15" s="340"/>
      <c r="E15" s="340" t="s">
        <v>7365</v>
      </c>
      <c r="F15" s="341" t="s">
        <v>7366</v>
      </c>
      <c r="G15" s="340" t="s">
        <v>5594</v>
      </c>
      <c r="H15" s="340" t="s">
        <v>7351</v>
      </c>
      <c r="I15" s="342" t="s">
        <v>7367</v>
      </c>
      <c r="J15" s="340" t="s">
        <v>7368</v>
      </c>
      <c r="K15" s="343">
        <v>4.0</v>
      </c>
      <c r="L15" s="341">
        <v>9.0</v>
      </c>
    </row>
    <row r="16" ht="15.75" customHeight="1">
      <c r="A16" s="338" t="s">
        <v>6536</v>
      </c>
      <c r="B16" s="338" t="s">
        <v>7347</v>
      </c>
      <c r="C16" s="335" t="s">
        <v>7348</v>
      </c>
      <c r="D16" s="338"/>
      <c r="E16" s="338" t="s">
        <v>7369</v>
      </c>
      <c r="F16" s="335" t="s">
        <v>7370</v>
      </c>
      <c r="G16" s="338" t="s">
        <v>5594</v>
      </c>
      <c r="H16" s="338" t="s">
        <v>7351</v>
      </c>
      <c r="I16" s="335" t="s">
        <v>7371</v>
      </c>
      <c r="J16" s="344" t="s">
        <v>7372</v>
      </c>
      <c r="K16" s="339">
        <v>4.0</v>
      </c>
      <c r="L16" s="335">
        <v>7.0</v>
      </c>
    </row>
    <row r="17" ht="15.75" customHeight="1">
      <c r="A17" s="340" t="s">
        <v>6536</v>
      </c>
      <c r="B17" s="340" t="s">
        <v>7347</v>
      </c>
      <c r="C17" s="341" t="s">
        <v>7348</v>
      </c>
      <c r="D17" s="340"/>
      <c r="E17" s="340" t="s">
        <v>7373</v>
      </c>
      <c r="F17" s="341" t="s">
        <v>7374</v>
      </c>
      <c r="G17" s="340" t="s">
        <v>5594</v>
      </c>
      <c r="H17" s="340" t="s">
        <v>7351</v>
      </c>
      <c r="I17" s="341" t="s">
        <v>7375</v>
      </c>
      <c r="J17" s="340" t="s">
        <v>7376</v>
      </c>
      <c r="K17" s="343">
        <v>4.0</v>
      </c>
      <c r="L17" s="341">
        <v>11.0</v>
      </c>
    </row>
    <row r="18" ht="15.75" customHeight="1">
      <c r="A18" s="338" t="s">
        <v>6536</v>
      </c>
      <c r="B18" s="338" t="s">
        <v>7347</v>
      </c>
      <c r="C18" s="335" t="s">
        <v>7348</v>
      </c>
      <c r="D18" s="338"/>
      <c r="E18" s="338" t="s">
        <v>7377</v>
      </c>
      <c r="F18" s="335" t="s">
        <v>7378</v>
      </c>
      <c r="G18" s="338" t="s">
        <v>5594</v>
      </c>
      <c r="H18" s="338" t="s">
        <v>7351</v>
      </c>
      <c r="I18" s="328" t="s">
        <v>7379</v>
      </c>
      <c r="J18" s="338" t="s">
        <v>7380</v>
      </c>
      <c r="K18" s="339">
        <v>4.0</v>
      </c>
      <c r="L18" s="335">
        <v>10.0</v>
      </c>
    </row>
    <row r="19" ht="15.75" customHeight="1">
      <c r="A19" s="340" t="s">
        <v>6536</v>
      </c>
      <c r="B19" s="340" t="s">
        <v>7347</v>
      </c>
      <c r="C19" s="341" t="s">
        <v>7348</v>
      </c>
      <c r="D19" s="340"/>
      <c r="E19" s="340" t="s">
        <v>7381</v>
      </c>
      <c r="F19" s="341" t="s">
        <v>7382</v>
      </c>
      <c r="G19" s="340" t="s">
        <v>5594</v>
      </c>
      <c r="H19" s="340" t="s">
        <v>7351</v>
      </c>
      <c r="I19" s="341" t="s">
        <v>7383</v>
      </c>
      <c r="J19" s="340" t="s">
        <v>7384</v>
      </c>
      <c r="K19" s="343">
        <v>4.0</v>
      </c>
      <c r="L19" s="341">
        <v>1.0</v>
      </c>
    </row>
    <row r="20" ht="15.75" customHeight="1">
      <c r="A20" s="338" t="s">
        <v>6536</v>
      </c>
      <c r="B20" s="338" t="s">
        <v>7347</v>
      </c>
      <c r="C20" s="335" t="s">
        <v>7348</v>
      </c>
      <c r="D20" s="338"/>
      <c r="E20" s="338" t="s">
        <v>7385</v>
      </c>
      <c r="F20" s="335" t="s">
        <v>7386</v>
      </c>
      <c r="G20" s="338" t="s">
        <v>5594</v>
      </c>
      <c r="H20" s="338" t="s">
        <v>7351</v>
      </c>
      <c r="I20" s="251" t="s">
        <v>7387</v>
      </c>
      <c r="J20" s="338" t="s">
        <v>7388</v>
      </c>
      <c r="K20" s="339">
        <v>4.0</v>
      </c>
      <c r="L20" s="335">
        <v>3.0</v>
      </c>
    </row>
    <row r="21" ht="15.75" customHeight="1">
      <c r="A21" s="340" t="s">
        <v>6536</v>
      </c>
      <c r="B21" s="340" t="s">
        <v>7347</v>
      </c>
      <c r="C21" s="341" t="s">
        <v>7348</v>
      </c>
      <c r="D21" s="340"/>
      <c r="E21" s="340" t="s">
        <v>7389</v>
      </c>
      <c r="F21" s="341" t="s">
        <v>7390</v>
      </c>
      <c r="G21" s="340" t="s">
        <v>5594</v>
      </c>
      <c r="H21" s="340" t="s">
        <v>7351</v>
      </c>
      <c r="I21" s="342" t="s">
        <v>7391</v>
      </c>
      <c r="J21" s="340" t="s">
        <v>7392</v>
      </c>
      <c r="K21" s="343">
        <v>4.0</v>
      </c>
      <c r="L21" s="341">
        <v>13.0</v>
      </c>
    </row>
    <row r="22" ht="15.75" customHeight="1">
      <c r="A22" s="338" t="s">
        <v>6536</v>
      </c>
      <c r="B22" s="338" t="s">
        <v>7393</v>
      </c>
      <c r="C22" s="335" t="s">
        <v>7394</v>
      </c>
      <c r="D22" s="338"/>
      <c r="E22" s="338" t="s">
        <v>7395</v>
      </c>
      <c r="F22" s="335" t="s">
        <v>7396</v>
      </c>
      <c r="G22" s="338" t="s">
        <v>5594</v>
      </c>
      <c r="H22" s="338" t="s">
        <v>7397</v>
      </c>
      <c r="I22" s="335"/>
      <c r="J22" s="338" t="s">
        <v>7398</v>
      </c>
      <c r="K22" s="339">
        <v>4.0</v>
      </c>
      <c r="L22" s="335">
        <v>15.0</v>
      </c>
    </row>
    <row r="23" ht="15.75" customHeight="1">
      <c r="A23" s="340" t="s">
        <v>7399</v>
      </c>
      <c r="B23" s="340" t="s">
        <v>7400</v>
      </c>
      <c r="C23" s="341" t="s">
        <v>7324</v>
      </c>
      <c r="D23" s="340"/>
      <c r="E23" s="340" t="s">
        <v>7401</v>
      </c>
      <c r="F23" s="341" t="s">
        <v>7402</v>
      </c>
      <c r="G23" s="340" t="s">
        <v>5594</v>
      </c>
      <c r="H23" s="340" t="s">
        <v>7351</v>
      </c>
      <c r="I23" s="342" t="s">
        <v>7403</v>
      </c>
      <c r="J23" s="340" t="s">
        <v>7404</v>
      </c>
      <c r="K23" s="343">
        <v>4.0</v>
      </c>
      <c r="L23" s="341">
        <v>14.0</v>
      </c>
    </row>
    <row r="24" ht="15.75" customHeight="1">
      <c r="A24" s="338" t="s">
        <v>7405</v>
      </c>
      <c r="B24" s="338" t="s">
        <v>7406</v>
      </c>
      <c r="C24" s="335" t="s">
        <v>7407</v>
      </c>
      <c r="D24" s="217"/>
      <c r="E24" s="217" t="s">
        <v>7408</v>
      </c>
      <c r="F24" s="335">
        <v>5.311440900009E12</v>
      </c>
      <c r="G24" s="338" t="s">
        <v>5594</v>
      </c>
      <c r="H24" s="338" t="s">
        <v>7351</v>
      </c>
      <c r="I24" s="335"/>
      <c r="J24" s="338" t="s">
        <v>7313</v>
      </c>
      <c r="K24" s="335"/>
      <c r="L24" s="335"/>
    </row>
    <row r="25" ht="15.75" customHeight="1">
      <c r="A25" s="340" t="s">
        <v>7409</v>
      </c>
      <c r="B25" s="345" t="s">
        <v>7410</v>
      </c>
      <c r="C25" s="341"/>
      <c r="D25" s="346"/>
      <c r="E25" s="346" t="s">
        <v>7411</v>
      </c>
      <c r="F25" s="341">
        <v>5.80033270012E12</v>
      </c>
      <c r="G25" s="340" t="s">
        <v>5594</v>
      </c>
      <c r="H25" s="340" t="s">
        <v>7351</v>
      </c>
      <c r="I25" s="341"/>
      <c r="J25" s="340" t="s">
        <v>7313</v>
      </c>
      <c r="K25" s="341"/>
      <c r="L25" s="341"/>
    </row>
    <row r="26" ht="15.75" customHeight="1">
      <c r="A26" s="338" t="s">
        <v>7412</v>
      </c>
      <c r="B26" s="338" t="s">
        <v>7413</v>
      </c>
      <c r="C26" s="335"/>
      <c r="D26" s="217"/>
      <c r="E26" s="217" t="s">
        <v>7414</v>
      </c>
      <c r="F26" s="335"/>
      <c r="G26" s="338" t="s">
        <v>7415</v>
      </c>
      <c r="H26" s="338" t="s">
        <v>7416</v>
      </c>
      <c r="I26" s="335"/>
      <c r="J26" s="338" t="s">
        <v>7416</v>
      </c>
      <c r="K26" s="335"/>
      <c r="L26" s="335"/>
    </row>
    <row r="27" ht="15.75" customHeight="1">
      <c r="A27" s="340" t="s">
        <v>7412</v>
      </c>
      <c r="B27" s="340" t="s">
        <v>7413</v>
      </c>
      <c r="C27" s="341"/>
      <c r="D27" s="346"/>
      <c r="E27" s="346" t="s">
        <v>7417</v>
      </c>
      <c r="F27" s="341"/>
      <c r="G27" s="340" t="s">
        <v>7415</v>
      </c>
      <c r="H27" s="340" t="s">
        <v>7418</v>
      </c>
      <c r="I27" s="341"/>
      <c r="J27" s="340" t="s">
        <v>7418</v>
      </c>
      <c r="K27" s="341"/>
      <c r="L27" s="341"/>
    </row>
    <row r="28" ht="15.75" customHeight="1">
      <c r="A28" s="338" t="s">
        <v>7419</v>
      </c>
      <c r="B28" s="338" t="s">
        <v>7420</v>
      </c>
      <c r="C28" s="335"/>
      <c r="D28" s="217"/>
      <c r="E28" s="217" t="s">
        <v>7421</v>
      </c>
      <c r="F28" s="335" t="s">
        <v>7422</v>
      </c>
      <c r="G28" s="338" t="s">
        <v>5594</v>
      </c>
      <c r="H28" s="338" t="s">
        <v>7423</v>
      </c>
      <c r="I28" s="335"/>
      <c r="J28" s="338" t="s">
        <v>7423</v>
      </c>
      <c r="K28" s="335"/>
      <c r="L28" s="335"/>
    </row>
    <row r="29" ht="15.75" customHeight="1">
      <c r="A29" s="340" t="s">
        <v>7424</v>
      </c>
      <c r="B29" s="340" t="s">
        <v>7425</v>
      </c>
      <c r="C29" s="341"/>
      <c r="D29" s="341"/>
      <c r="E29" s="217" t="s">
        <v>7426</v>
      </c>
      <c r="F29" s="341">
        <v>4.548736128774E12</v>
      </c>
      <c r="G29" s="341"/>
      <c r="H29" s="340" t="s">
        <v>2110</v>
      </c>
      <c r="I29" s="341"/>
      <c r="J29" s="341"/>
      <c r="K29" s="341"/>
      <c r="L29" s="341"/>
    </row>
    <row r="30" ht="15.75" customHeight="1">
      <c r="A30" s="340" t="s">
        <v>7427</v>
      </c>
      <c r="B30" s="340" t="s">
        <v>7428</v>
      </c>
      <c r="C30" s="335"/>
      <c r="D30" s="335"/>
      <c r="E30" s="335"/>
      <c r="F30" s="335"/>
      <c r="G30" s="335"/>
      <c r="H30" s="338" t="s">
        <v>2110</v>
      </c>
      <c r="I30" s="335"/>
      <c r="J30" s="335"/>
      <c r="K30" s="335"/>
      <c r="L30" s="335"/>
    </row>
    <row r="31" ht="15.75" customHeight="1">
      <c r="A31" s="347"/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8"/>
    </row>
    <row r="32" ht="15.75" customHeight="1">
      <c r="A32" s="241"/>
      <c r="B32" s="241"/>
      <c r="C32" s="241"/>
      <c r="D32" s="241"/>
      <c r="E32" s="241"/>
      <c r="F32" s="241"/>
      <c r="G32" s="241"/>
      <c r="H32" s="241"/>
      <c r="I32" s="241"/>
      <c r="J32" s="241"/>
      <c r="K32" s="241"/>
      <c r="L32" s="241"/>
    </row>
    <row r="33" ht="15.75" customHeight="1">
      <c r="A33" s="349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</row>
    <row r="34" ht="15.75" customHeight="1"/>
    <row r="35" ht="15.75" customHeight="1">
      <c r="A35" s="350"/>
      <c r="B35" s="350"/>
      <c r="C35" s="350"/>
      <c r="D35" s="350"/>
      <c r="E35" s="350"/>
      <c r="F35" s="350"/>
      <c r="G35" s="350"/>
      <c r="H35" s="350"/>
      <c r="I35" s="350"/>
      <c r="J35" s="350"/>
      <c r="K35" s="350"/>
      <c r="L35" s="350"/>
    </row>
    <row r="36" ht="15.75" customHeight="1"/>
    <row r="37" ht="15.75" customHeight="1">
      <c r="A37" s="350"/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</row>
    <row r="38" ht="15.75" customHeight="1"/>
    <row r="39" ht="15.75" customHeight="1">
      <c r="A39" s="350"/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</row>
    <row r="40" ht="15.75" customHeight="1"/>
    <row r="41" ht="15.75" customHeight="1">
      <c r="A41" s="350"/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</row>
    <row r="42" ht="15.75" customHeight="1"/>
    <row r="43" ht="15.75" customHeight="1">
      <c r="A43" s="350"/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</row>
    <row r="44" ht="15.75" customHeight="1"/>
    <row r="45" ht="15.75" customHeight="1">
      <c r="A45" s="350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</row>
    <row r="46" ht="15.75" customHeight="1"/>
    <row r="47" ht="15.75" customHeight="1">
      <c r="A47" s="350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</row>
    <row r="48" ht="15.75" customHeight="1"/>
    <row r="49" ht="15.75" customHeight="1">
      <c r="A49" s="350"/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</row>
    <row r="50" ht="15.75" customHeight="1"/>
    <row r="51" ht="15.75" customHeight="1">
      <c r="A51" s="350"/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2.63"/>
    <col customWidth="1" min="3" max="3" width="14.5"/>
    <col customWidth="1" min="4" max="4" width="22.38"/>
    <col customWidth="1" min="5" max="5" width="20.0"/>
    <col customWidth="1" min="6" max="6" width="22.5"/>
  </cols>
  <sheetData>
    <row r="1" ht="15.0" customHeight="1">
      <c r="A1" s="351" t="s">
        <v>6457</v>
      </c>
      <c r="B1" s="351" t="s">
        <v>7291</v>
      </c>
      <c r="C1" s="351" t="s">
        <v>7292</v>
      </c>
      <c r="D1" s="351" t="s">
        <v>7429</v>
      </c>
      <c r="E1" s="351" t="s">
        <v>7430</v>
      </c>
      <c r="F1" s="351" t="s">
        <v>7431</v>
      </c>
      <c r="G1" s="351" t="s">
        <v>7432</v>
      </c>
    </row>
    <row r="2" ht="15.0" customHeight="1">
      <c r="A2" s="345" t="s">
        <v>7433</v>
      </c>
      <c r="B2" s="345" t="s">
        <v>7434</v>
      </c>
      <c r="C2" s="345" t="s">
        <v>7435</v>
      </c>
      <c r="D2" s="345" t="s">
        <v>7436</v>
      </c>
      <c r="E2" s="345" t="s">
        <v>7437</v>
      </c>
      <c r="F2" s="352" t="s">
        <v>7438</v>
      </c>
      <c r="G2" s="345"/>
    </row>
    <row r="3" ht="15.0" customHeight="1">
      <c r="A3" s="345" t="s">
        <v>7439</v>
      </c>
      <c r="B3" s="345" t="s">
        <v>7434</v>
      </c>
      <c r="C3" s="345" t="s">
        <v>7440</v>
      </c>
      <c r="D3" s="345" t="s">
        <v>7441</v>
      </c>
      <c r="E3" s="345" t="s">
        <v>7437</v>
      </c>
      <c r="F3" s="352" t="s">
        <v>7442</v>
      </c>
      <c r="G3" s="345"/>
    </row>
    <row r="4" ht="15.0" customHeight="1">
      <c r="A4" s="345" t="s">
        <v>7443</v>
      </c>
      <c r="B4" s="345" t="s">
        <v>7434</v>
      </c>
      <c r="C4" s="345" t="s">
        <v>7444</v>
      </c>
      <c r="D4" s="345" t="s">
        <v>7445</v>
      </c>
      <c r="E4" s="345" t="s">
        <v>7437</v>
      </c>
      <c r="F4" s="352" t="s">
        <v>7446</v>
      </c>
      <c r="G4" s="345"/>
    </row>
    <row r="5" ht="15.0" customHeight="1">
      <c r="A5" s="345" t="s">
        <v>7443</v>
      </c>
      <c r="B5" s="345" t="s">
        <v>7434</v>
      </c>
      <c r="C5" s="345" t="s">
        <v>7444</v>
      </c>
      <c r="D5" s="345" t="s">
        <v>7447</v>
      </c>
      <c r="E5" s="345" t="s">
        <v>7437</v>
      </c>
      <c r="F5" s="352" t="s">
        <v>7448</v>
      </c>
      <c r="G5" s="345"/>
    </row>
    <row r="6" ht="15.0" customHeight="1">
      <c r="A6" s="345" t="s">
        <v>7449</v>
      </c>
      <c r="B6" s="345" t="s">
        <v>7434</v>
      </c>
      <c r="C6" s="345" t="s">
        <v>7450</v>
      </c>
      <c r="D6" s="345" t="s">
        <v>7451</v>
      </c>
      <c r="E6" s="345" t="s">
        <v>7452</v>
      </c>
      <c r="F6" s="352" t="s">
        <v>7453</v>
      </c>
      <c r="G6" s="345"/>
    </row>
    <row r="7" ht="15.0" customHeight="1">
      <c r="A7" s="345" t="s">
        <v>7449</v>
      </c>
      <c r="B7" s="345" t="s">
        <v>7434</v>
      </c>
      <c r="C7" s="345" t="s">
        <v>7450</v>
      </c>
      <c r="D7" s="345" t="s">
        <v>7454</v>
      </c>
      <c r="E7" s="345" t="s">
        <v>7455</v>
      </c>
      <c r="F7" s="352" t="s">
        <v>7456</v>
      </c>
      <c r="G7" s="345"/>
    </row>
    <row r="8" ht="15.0" customHeight="1">
      <c r="A8" s="345" t="s">
        <v>7449</v>
      </c>
      <c r="B8" s="345" t="s">
        <v>7434</v>
      </c>
      <c r="C8" s="345" t="s">
        <v>7450</v>
      </c>
      <c r="D8" s="345" t="s">
        <v>7457</v>
      </c>
      <c r="E8" s="345" t="s">
        <v>7458</v>
      </c>
      <c r="F8" s="352" t="s">
        <v>7459</v>
      </c>
      <c r="G8" s="345"/>
    </row>
    <row r="9" ht="15.0" customHeight="1">
      <c r="A9" s="345" t="s">
        <v>7449</v>
      </c>
      <c r="B9" s="345" t="s">
        <v>7434</v>
      </c>
      <c r="C9" s="345" t="s">
        <v>7450</v>
      </c>
      <c r="D9" s="345" t="s">
        <v>7460</v>
      </c>
      <c r="E9" s="345" t="s">
        <v>7461</v>
      </c>
      <c r="F9" s="352" t="s">
        <v>7462</v>
      </c>
      <c r="G9" s="345"/>
    </row>
    <row r="10" ht="15.0" customHeight="1">
      <c r="A10" s="345" t="s">
        <v>7449</v>
      </c>
      <c r="B10" s="345" t="s">
        <v>7434</v>
      </c>
      <c r="C10" s="345" t="s">
        <v>7450</v>
      </c>
      <c r="D10" s="345" t="s">
        <v>7463</v>
      </c>
      <c r="E10" s="345" t="s">
        <v>7464</v>
      </c>
      <c r="F10" s="352" t="s">
        <v>7465</v>
      </c>
      <c r="G10" s="345"/>
    </row>
    <row r="11" ht="15.0" customHeight="1">
      <c r="A11" s="345" t="s">
        <v>7449</v>
      </c>
      <c r="B11" s="345" t="s">
        <v>7434</v>
      </c>
      <c r="C11" s="345" t="s">
        <v>7450</v>
      </c>
      <c r="D11" s="345" t="s">
        <v>7466</v>
      </c>
      <c r="E11" s="345" t="s">
        <v>7467</v>
      </c>
      <c r="F11" s="352" t="s">
        <v>7468</v>
      </c>
      <c r="G11" s="345"/>
    </row>
    <row r="12" ht="15.0" customHeight="1">
      <c r="A12" s="345" t="s">
        <v>7449</v>
      </c>
      <c r="B12" s="345" t="s">
        <v>7434</v>
      </c>
      <c r="C12" s="345" t="s">
        <v>7450</v>
      </c>
      <c r="D12" s="345" t="s">
        <v>7469</v>
      </c>
      <c r="E12" s="345" t="s">
        <v>7470</v>
      </c>
      <c r="F12" s="352" t="s">
        <v>7471</v>
      </c>
      <c r="G12" s="345"/>
    </row>
    <row r="13" ht="15.0" customHeight="1">
      <c r="A13" s="345" t="s">
        <v>7449</v>
      </c>
      <c r="B13" s="345" t="s">
        <v>7434</v>
      </c>
      <c r="C13" s="345" t="s">
        <v>7450</v>
      </c>
      <c r="D13" s="345" t="s">
        <v>7472</v>
      </c>
      <c r="E13" s="345" t="s">
        <v>7473</v>
      </c>
      <c r="F13" s="352" t="s">
        <v>7474</v>
      </c>
      <c r="G13" s="345"/>
    </row>
    <row r="14" ht="15.0" customHeight="1">
      <c r="A14" s="345" t="s">
        <v>7449</v>
      </c>
      <c r="B14" s="345" t="s">
        <v>7434</v>
      </c>
      <c r="C14" s="345" t="s">
        <v>7450</v>
      </c>
      <c r="D14" s="345" t="s">
        <v>7475</v>
      </c>
      <c r="E14" s="345" t="s">
        <v>7476</v>
      </c>
      <c r="F14" s="352" t="s">
        <v>7477</v>
      </c>
      <c r="G14" s="345"/>
    </row>
    <row r="15" ht="15.0" customHeight="1">
      <c r="A15" s="345" t="s">
        <v>7449</v>
      </c>
      <c r="B15" s="345" t="s">
        <v>7434</v>
      </c>
      <c r="C15" s="345" t="s">
        <v>7450</v>
      </c>
      <c r="D15" s="345" t="s">
        <v>7478</v>
      </c>
      <c r="E15" s="345" t="s">
        <v>7479</v>
      </c>
      <c r="F15" s="352" t="s">
        <v>7480</v>
      </c>
      <c r="G15" s="345"/>
    </row>
    <row r="16" ht="15.0" customHeight="1">
      <c r="A16" s="345" t="s">
        <v>7449</v>
      </c>
      <c r="B16" s="345" t="s">
        <v>7434</v>
      </c>
      <c r="C16" s="345" t="s">
        <v>7450</v>
      </c>
      <c r="D16" s="345" t="s">
        <v>7481</v>
      </c>
      <c r="E16" s="345" t="s">
        <v>7482</v>
      </c>
      <c r="F16" s="352" t="s">
        <v>7483</v>
      </c>
      <c r="G16" s="345"/>
    </row>
    <row r="17" ht="15.0" customHeight="1">
      <c r="A17" s="345" t="s">
        <v>7449</v>
      </c>
      <c r="B17" s="345" t="s">
        <v>7434</v>
      </c>
      <c r="C17" s="345" t="s">
        <v>7450</v>
      </c>
      <c r="D17" s="345" t="s">
        <v>7484</v>
      </c>
      <c r="E17" s="345" t="s">
        <v>7485</v>
      </c>
      <c r="F17" s="352" t="s">
        <v>7486</v>
      </c>
      <c r="G17" s="345"/>
    </row>
    <row r="18" ht="15.0" customHeight="1">
      <c r="A18" s="345" t="s">
        <v>7487</v>
      </c>
      <c r="B18" s="345" t="s">
        <v>7488</v>
      </c>
      <c r="C18" s="345" t="s">
        <v>7489</v>
      </c>
      <c r="D18" s="345" t="s">
        <v>7490</v>
      </c>
      <c r="E18" s="345" t="s">
        <v>7491</v>
      </c>
      <c r="F18" s="352" t="s">
        <v>7492</v>
      </c>
      <c r="G18" s="345"/>
    </row>
    <row r="19" ht="15.0" customHeight="1">
      <c r="A19" s="345" t="s">
        <v>7493</v>
      </c>
      <c r="B19" s="345" t="s">
        <v>7494</v>
      </c>
      <c r="C19" s="345"/>
      <c r="D19" s="345"/>
      <c r="E19" s="345" t="s">
        <v>7437</v>
      </c>
      <c r="F19" s="352" t="s">
        <v>7495</v>
      </c>
      <c r="G19" s="345"/>
    </row>
    <row r="20" ht="15.0" customHeight="1">
      <c r="A20" s="345" t="s">
        <v>7496</v>
      </c>
      <c r="B20" s="345" t="s">
        <v>7494</v>
      </c>
      <c r="C20" s="345"/>
      <c r="D20" s="345"/>
      <c r="E20" s="345" t="s">
        <v>7437</v>
      </c>
      <c r="F20" s="352" t="s">
        <v>7497</v>
      </c>
      <c r="G20" s="345"/>
    </row>
    <row r="21" ht="15.0" customHeight="1">
      <c r="A21" s="345" t="s">
        <v>7498</v>
      </c>
      <c r="B21" s="345" t="s">
        <v>7499</v>
      </c>
      <c r="C21" s="345" t="s">
        <v>7499</v>
      </c>
      <c r="D21" s="345" t="s">
        <v>7499</v>
      </c>
      <c r="E21" s="345" t="s">
        <v>7437</v>
      </c>
      <c r="F21" s="352" t="s">
        <v>7500</v>
      </c>
      <c r="G21" s="345"/>
    </row>
    <row r="22" ht="15.0" customHeight="1">
      <c r="A22" s="345" t="s">
        <v>7501</v>
      </c>
      <c r="B22" s="345" t="s">
        <v>7502</v>
      </c>
      <c r="C22" s="345" t="s">
        <v>7499</v>
      </c>
      <c r="D22" s="345" t="s">
        <v>7499</v>
      </c>
      <c r="E22" s="345" t="s">
        <v>7503</v>
      </c>
      <c r="F22" s="352" t="s">
        <v>7504</v>
      </c>
      <c r="G22" s="345"/>
    </row>
    <row r="23" ht="15.0" customHeight="1">
      <c r="A23" s="345" t="s">
        <v>7505</v>
      </c>
      <c r="B23" s="345" t="s">
        <v>7502</v>
      </c>
      <c r="C23" s="345" t="s">
        <v>7499</v>
      </c>
      <c r="D23" s="345" t="s">
        <v>7506</v>
      </c>
      <c r="E23" s="345" t="s">
        <v>7507</v>
      </c>
      <c r="F23" s="352" t="s">
        <v>7508</v>
      </c>
      <c r="G23" s="345"/>
    </row>
    <row r="24" ht="15.0" customHeight="1">
      <c r="A24" s="345" t="s">
        <v>7509</v>
      </c>
      <c r="B24" s="345" t="s">
        <v>7510</v>
      </c>
      <c r="C24" s="345"/>
      <c r="D24" s="353" t="s">
        <v>7511</v>
      </c>
      <c r="E24" s="345" t="s">
        <v>2110</v>
      </c>
      <c r="F24" s="352" t="s">
        <v>7512</v>
      </c>
      <c r="G24" s="345"/>
    </row>
    <row r="25" ht="15.0" customHeight="1">
      <c r="A25" s="345" t="s">
        <v>7513</v>
      </c>
      <c r="B25" s="345" t="s">
        <v>7514</v>
      </c>
      <c r="C25" s="345"/>
      <c r="D25" s="353" t="s">
        <v>7515</v>
      </c>
      <c r="E25" s="345" t="s">
        <v>2110</v>
      </c>
      <c r="F25" s="352" t="s">
        <v>6579</v>
      </c>
      <c r="G25" s="248"/>
    </row>
    <row r="26" ht="15.0" customHeight="1">
      <c r="A26" s="345" t="s">
        <v>7516</v>
      </c>
      <c r="B26" s="345" t="s">
        <v>7517</v>
      </c>
      <c r="C26" s="345"/>
      <c r="D26" s="353" t="s">
        <v>7518</v>
      </c>
      <c r="E26" s="345" t="s">
        <v>2110</v>
      </c>
      <c r="F26" s="352" t="s">
        <v>7519</v>
      </c>
      <c r="G26" s="248"/>
    </row>
    <row r="27">
      <c r="A27" s="345" t="s">
        <v>7516</v>
      </c>
      <c r="B27" s="217" t="s">
        <v>7517</v>
      </c>
      <c r="C27" s="217"/>
      <c r="D27" s="353" t="s">
        <v>7520</v>
      </c>
      <c r="E27" s="345" t="s">
        <v>2110</v>
      </c>
      <c r="F27" s="352" t="s">
        <v>7521</v>
      </c>
      <c r="G27" s="217"/>
    </row>
    <row r="28">
      <c r="A28" s="345" t="s">
        <v>7516</v>
      </c>
      <c r="B28" s="217" t="s">
        <v>7517</v>
      </c>
      <c r="C28" s="217"/>
      <c r="D28" s="353" t="s">
        <v>7520</v>
      </c>
      <c r="E28" s="345" t="s">
        <v>2110</v>
      </c>
      <c r="F28" s="352" t="s">
        <v>7522</v>
      </c>
      <c r="G28" s="217"/>
    </row>
    <row r="29">
      <c r="A29" s="345" t="s">
        <v>7505</v>
      </c>
      <c r="B29" s="217" t="s">
        <v>7502</v>
      </c>
      <c r="C29" s="217" t="s">
        <v>7499</v>
      </c>
      <c r="D29" s="217" t="s">
        <v>7523</v>
      </c>
      <c r="E29" s="264" t="s">
        <v>2296</v>
      </c>
      <c r="F29" s="352" t="s">
        <v>7524</v>
      </c>
    </row>
    <row r="30">
      <c r="A30" s="307" t="s">
        <v>7525</v>
      </c>
      <c r="B30" s="307" t="s">
        <v>7526</v>
      </c>
      <c r="C30" s="307" t="s">
        <v>7527</v>
      </c>
      <c r="D30" s="307" t="s">
        <v>7528</v>
      </c>
      <c r="F30" s="352" t="s">
        <v>7529</v>
      </c>
    </row>
    <row r="31"/>
    <row r="32"/>
    <row r="33">
      <c r="A33" s="217" t="s">
        <v>7530</v>
      </c>
      <c r="B33" s="217" t="s">
        <v>7531</v>
      </c>
      <c r="C33" s="217" t="s">
        <v>7532</v>
      </c>
      <c r="D33" s="217" t="s">
        <v>7533</v>
      </c>
      <c r="E33" s="217" t="s">
        <v>7452</v>
      </c>
      <c r="F33" s="279" t="s">
        <v>7534</v>
      </c>
    </row>
    <row r="34">
      <c r="A34" s="217" t="s">
        <v>7530</v>
      </c>
      <c r="B34" s="217" t="s">
        <v>7531</v>
      </c>
      <c r="C34" s="217" t="s">
        <v>7532</v>
      </c>
      <c r="D34" s="217" t="s">
        <v>7535</v>
      </c>
      <c r="E34" s="217" t="s">
        <v>7536</v>
      </c>
      <c r="F34" s="279" t="s">
        <v>7537</v>
      </c>
    </row>
    <row r="35">
      <c r="A35" s="217" t="s">
        <v>7530</v>
      </c>
      <c r="B35" s="217" t="s">
        <v>7531</v>
      </c>
      <c r="C35" s="217" t="s">
        <v>7532</v>
      </c>
      <c r="D35" s="217" t="s">
        <v>7538</v>
      </c>
      <c r="E35" s="217" t="s">
        <v>7539</v>
      </c>
      <c r="F35" s="279" t="s">
        <v>7540</v>
      </c>
    </row>
    <row r="36">
      <c r="A36" s="217" t="s">
        <v>7530</v>
      </c>
      <c r="B36" s="217" t="s">
        <v>7531</v>
      </c>
      <c r="C36" s="217" t="s">
        <v>7532</v>
      </c>
      <c r="D36" s="217" t="s">
        <v>7541</v>
      </c>
      <c r="E36" s="217" t="s">
        <v>7542</v>
      </c>
      <c r="F36" s="279" t="s">
        <v>7543</v>
      </c>
    </row>
    <row r="37">
      <c r="A37" s="217" t="s">
        <v>7530</v>
      </c>
      <c r="B37" s="217" t="s">
        <v>7531</v>
      </c>
      <c r="C37" s="217" t="s">
        <v>7532</v>
      </c>
      <c r="D37" s="217" t="s">
        <v>7544</v>
      </c>
      <c r="E37" s="217" t="s">
        <v>7545</v>
      </c>
      <c r="F37" s="279" t="s">
        <v>7546</v>
      </c>
    </row>
    <row r="38">
      <c r="A38" s="217" t="s">
        <v>7530</v>
      </c>
      <c r="B38" s="217" t="s">
        <v>7531</v>
      </c>
      <c r="C38" s="217" t="s">
        <v>7532</v>
      </c>
      <c r="D38" s="217" t="s">
        <v>7547</v>
      </c>
      <c r="E38" s="217" t="s">
        <v>7548</v>
      </c>
      <c r="F38" s="279" t="s">
        <v>7549</v>
      </c>
    </row>
    <row r="39">
      <c r="A39" s="217" t="s">
        <v>7530</v>
      </c>
      <c r="B39" s="217" t="s">
        <v>7531</v>
      </c>
      <c r="C39" s="217" t="s">
        <v>7532</v>
      </c>
      <c r="D39" s="217" t="s">
        <v>7550</v>
      </c>
      <c r="E39" s="217" t="s">
        <v>7455</v>
      </c>
      <c r="F39" s="279" t="s">
        <v>7551</v>
      </c>
    </row>
    <row r="40">
      <c r="A40" s="217" t="s">
        <v>7530</v>
      </c>
      <c r="B40" s="217" t="s">
        <v>7531</v>
      </c>
      <c r="C40" s="217" t="s">
        <v>7532</v>
      </c>
      <c r="D40" s="217" t="s">
        <v>7552</v>
      </c>
      <c r="E40" s="217" t="s">
        <v>7553</v>
      </c>
      <c r="F40" s="279" t="s">
        <v>7554</v>
      </c>
    </row>
    <row r="41">
      <c r="A41" s="217" t="s">
        <v>7530</v>
      </c>
      <c r="B41" s="217" t="s">
        <v>7531</v>
      </c>
      <c r="C41" s="217" t="s">
        <v>7532</v>
      </c>
      <c r="D41" s="217" t="s">
        <v>7555</v>
      </c>
      <c r="E41" s="217" t="s">
        <v>7556</v>
      </c>
      <c r="F41" s="279" t="s">
        <v>7557</v>
      </c>
    </row>
    <row r="42">
      <c r="A42" s="217" t="s">
        <v>7530</v>
      </c>
      <c r="B42" s="217" t="s">
        <v>7531</v>
      </c>
      <c r="C42" s="217" t="s">
        <v>7532</v>
      </c>
      <c r="D42" s="217" t="s">
        <v>7558</v>
      </c>
      <c r="E42" s="217" t="s">
        <v>7559</v>
      </c>
      <c r="F42" s="279" t="s">
        <v>7560</v>
      </c>
    </row>
    <row r="43">
      <c r="A43" s="217" t="s">
        <v>7530</v>
      </c>
      <c r="B43" s="217" t="s">
        <v>7531</v>
      </c>
      <c r="C43" s="217" t="s">
        <v>7532</v>
      </c>
      <c r="D43" s="217" t="s">
        <v>7561</v>
      </c>
      <c r="E43" s="217" t="s">
        <v>7562</v>
      </c>
      <c r="F43" s="279" t="s">
        <v>7563</v>
      </c>
    </row>
    <row r="44">
      <c r="A44" s="217" t="s">
        <v>7530</v>
      </c>
      <c r="B44" s="217" t="s">
        <v>7531</v>
      </c>
      <c r="C44" s="217" t="s">
        <v>7532</v>
      </c>
      <c r="D44" s="217" t="s">
        <v>7564</v>
      </c>
      <c r="E44" s="217" t="s">
        <v>7565</v>
      </c>
      <c r="F44" s="279" t="s">
        <v>7566</v>
      </c>
    </row>
    <row r="45">
      <c r="A45" s="217" t="s">
        <v>7530</v>
      </c>
      <c r="B45" s="217" t="s">
        <v>7531</v>
      </c>
      <c r="C45" s="217" t="s">
        <v>7532</v>
      </c>
      <c r="D45" s="217" t="s">
        <v>7567</v>
      </c>
      <c r="E45" s="217" t="s">
        <v>7568</v>
      </c>
      <c r="F45" s="279" t="s">
        <v>7569</v>
      </c>
    </row>
    <row r="46">
      <c r="A46" s="217" t="s">
        <v>7530</v>
      </c>
      <c r="B46" s="217" t="s">
        <v>7531</v>
      </c>
      <c r="C46" s="217" t="s">
        <v>7532</v>
      </c>
      <c r="D46" s="217" t="s">
        <v>7570</v>
      </c>
      <c r="E46" s="217" t="s">
        <v>7571</v>
      </c>
      <c r="F46" s="279" t="s">
        <v>7572</v>
      </c>
    </row>
    <row r="47">
      <c r="A47" s="217" t="s">
        <v>7530</v>
      </c>
      <c r="B47" s="217" t="s">
        <v>7531</v>
      </c>
      <c r="C47" s="217" t="s">
        <v>7532</v>
      </c>
      <c r="D47" s="217" t="s">
        <v>7573</v>
      </c>
      <c r="E47" s="217" t="s">
        <v>7437</v>
      </c>
      <c r="F47" s="279" t="s">
        <v>7574</v>
      </c>
    </row>
    <row r="48">
      <c r="A48" s="217" t="s">
        <v>7439</v>
      </c>
      <c r="B48" s="217" t="s">
        <v>7531</v>
      </c>
      <c r="C48" s="354" t="s">
        <v>7575</v>
      </c>
      <c r="D48" s="217" t="s">
        <v>7576</v>
      </c>
      <c r="E48" s="217" t="s">
        <v>7437</v>
      </c>
      <c r="F48" s="279" t="s">
        <v>7577</v>
      </c>
    </row>
    <row r="49">
      <c r="A49" s="217" t="s">
        <v>7578</v>
      </c>
      <c r="B49" s="217" t="s">
        <v>7579</v>
      </c>
      <c r="C49" s="355" t="s">
        <v>7580</v>
      </c>
      <c r="D49" s="217" t="s">
        <v>7581</v>
      </c>
      <c r="E49" s="217" t="s">
        <v>7437</v>
      </c>
      <c r="F49" s="279" t="s">
        <v>7582</v>
      </c>
    </row>
    <row r="50">
      <c r="A50" s="217"/>
      <c r="B50" s="217"/>
      <c r="C50" s="217"/>
      <c r="D50" s="217"/>
      <c r="E50" s="217"/>
      <c r="F50" s="217"/>
      <c r="G50" s="217"/>
    </row>
    <row r="51">
      <c r="A51" s="217"/>
      <c r="B51" s="217"/>
      <c r="C51" s="217"/>
      <c r="D51" s="217"/>
      <c r="E51" s="217"/>
      <c r="F51" s="217"/>
      <c r="G51" s="217"/>
    </row>
    <row r="52">
      <c r="A52" s="217"/>
      <c r="B52" s="217"/>
      <c r="C52" s="217"/>
      <c r="D52" s="217"/>
      <c r="E52" s="217"/>
      <c r="F52" s="217"/>
      <c r="G52" s="217"/>
    </row>
    <row r="53">
      <c r="A53" s="217"/>
      <c r="B53" s="217"/>
      <c r="C53" s="217"/>
      <c r="D53" s="217"/>
      <c r="E53" s="217"/>
      <c r="F53" s="217"/>
      <c r="G53" s="217"/>
    </row>
    <row r="54">
      <c r="A54" s="217"/>
      <c r="B54" s="217"/>
      <c r="C54" s="217"/>
      <c r="D54" s="217"/>
      <c r="E54" s="217"/>
      <c r="F54" s="217"/>
      <c r="G54" s="217"/>
    </row>
    <row r="55">
      <c r="A55" s="217"/>
      <c r="B55" s="217"/>
      <c r="C55" s="217"/>
      <c r="D55" s="217"/>
      <c r="E55" s="217"/>
      <c r="F55" s="217"/>
      <c r="G55" s="217"/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3.63"/>
    <col customWidth="1" min="3" max="3" width="17.63"/>
    <col customWidth="1" min="4" max="4" width="25.5"/>
    <col customWidth="1" min="5" max="5" width="22.13"/>
    <col customWidth="1" min="6" max="6" width="12.63"/>
  </cols>
  <sheetData>
    <row r="1" ht="15.0" customHeight="1">
      <c r="A1" s="356" t="s">
        <v>7431</v>
      </c>
      <c r="B1" s="356" t="s">
        <v>7432</v>
      </c>
      <c r="C1" s="356" t="s">
        <v>7429</v>
      </c>
      <c r="D1" s="356" t="s">
        <v>6471</v>
      </c>
      <c r="E1" s="356" t="s">
        <v>7296</v>
      </c>
    </row>
    <row r="2" ht="15.0" customHeight="1">
      <c r="A2" s="357" t="s">
        <v>7583</v>
      </c>
      <c r="B2" s="357" t="s">
        <v>7584</v>
      </c>
      <c r="C2" s="358" t="s">
        <v>7585</v>
      </c>
      <c r="D2" s="357" t="s">
        <v>7586</v>
      </c>
      <c r="E2" s="357" t="s">
        <v>7587</v>
      </c>
    </row>
    <row r="3" ht="15.0" customHeight="1">
      <c r="A3" s="357" t="s">
        <v>7588</v>
      </c>
      <c r="B3" s="357" t="s">
        <v>7589</v>
      </c>
      <c r="C3" s="357" t="s">
        <v>7590</v>
      </c>
      <c r="D3" s="357" t="s">
        <v>7586</v>
      </c>
      <c r="E3" s="357" t="s">
        <v>7591</v>
      </c>
    </row>
    <row r="4" ht="15.0" customHeight="1">
      <c r="A4" s="357" t="s">
        <v>7592</v>
      </c>
      <c r="B4" s="357" t="s">
        <v>7499</v>
      </c>
      <c r="C4" s="357" t="s">
        <v>7593</v>
      </c>
      <c r="D4" s="357" t="s">
        <v>7594</v>
      </c>
      <c r="E4" s="357" t="s">
        <v>7503</v>
      </c>
    </row>
    <row r="5" ht="15.0" customHeight="1">
      <c r="A5" s="357" t="s">
        <v>7595</v>
      </c>
      <c r="B5" s="357" t="s">
        <v>7499</v>
      </c>
      <c r="C5" s="357" t="s">
        <v>7596</v>
      </c>
      <c r="D5" s="357" t="s">
        <v>7594</v>
      </c>
      <c r="E5" s="357" t="s">
        <v>7503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3.75"/>
    <col customWidth="1" min="2" max="2" width="20.25"/>
    <col customWidth="1" min="3" max="4" width="15.63"/>
    <col customWidth="1" min="5" max="5" width="8.63"/>
    <col customWidth="1" min="6" max="6" width="11.0"/>
    <col customWidth="1" min="7" max="7" width="12.25"/>
    <col customWidth="1" min="8" max="8" width="8.63"/>
  </cols>
  <sheetData>
    <row r="1" ht="12.75" customHeight="1">
      <c r="A1" s="359" t="s">
        <v>7597</v>
      </c>
      <c r="B1" s="359" t="s">
        <v>7291</v>
      </c>
      <c r="C1" s="359" t="s">
        <v>7598</v>
      </c>
      <c r="D1" s="359" t="s">
        <v>7599</v>
      </c>
      <c r="E1" s="360" t="s">
        <v>7600</v>
      </c>
      <c r="F1" s="360" t="s">
        <v>7601</v>
      </c>
      <c r="G1" s="360" t="s">
        <v>7602</v>
      </c>
    </row>
    <row r="2" ht="12.75" customHeight="1">
      <c r="A2" s="361" t="s">
        <v>7603</v>
      </c>
      <c r="B2" s="361" t="s">
        <v>7604</v>
      </c>
      <c r="C2" s="362"/>
      <c r="D2" s="362">
        <v>10.0</v>
      </c>
      <c r="E2" s="248">
        <v>1.0</v>
      </c>
      <c r="F2" s="296">
        <f t="shared" ref="F2:F33" si="1">D2-E2</f>
        <v>9</v>
      </c>
      <c r="G2" s="217"/>
    </row>
    <row r="3" ht="15.75" customHeight="1">
      <c r="A3" s="361" t="s">
        <v>7605</v>
      </c>
      <c r="B3" s="361" t="s">
        <v>7604</v>
      </c>
      <c r="C3" s="363"/>
      <c r="D3" s="363">
        <v>20.0</v>
      </c>
      <c r="E3" s="248">
        <v>2.0</v>
      </c>
      <c r="F3" s="296">
        <f t="shared" si="1"/>
        <v>18</v>
      </c>
      <c r="G3" s="217"/>
    </row>
    <row r="4" ht="12.75" customHeight="1">
      <c r="A4" s="361" t="s">
        <v>7606</v>
      </c>
      <c r="B4" s="361" t="s">
        <v>7607</v>
      </c>
      <c r="C4" s="362"/>
      <c r="D4" s="362">
        <v>30.0</v>
      </c>
      <c r="E4" s="248">
        <v>20.0</v>
      </c>
      <c r="F4" s="296">
        <f t="shared" si="1"/>
        <v>10</v>
      </c>
      <c r="G4" s="217"/>
    </row>
    <row r="5" ht="12.75" customHeight="1">
      <c r="A5" s="361" t="s">
        <v>7608</v>
      </c>
      <c r="B5" s="361" t="s">
        <v>7607</v>
      </c>
      <c r="C5" s="364"/>
      <c r="D5" s="364">
        <v>20.0</v>
      </c>
      <c r="E5" s="248">
        <v>15.0</v>
      </c>
      <c r="F5" s="296">
        <f t="shared" si="1"/>
        <v>5</v>
      </c>
      <c r="G5" s="217"/>
    </row>
    <row r="6" ht="12.75" customHeight="1">
      <c r="A6" s="361" t="s">
        <v>7609</v>
      </c>
      <c r="B6" s="361" t="s">
        <v>7610</v>
      </c>
      <c r="C6" s="364"/>
      <c r="D6" s="364">
        <v>10.0</v>
      </c>
      <c r="E6" s="248">
        <v>7.0</v>
      </c>
      <c r="F6" s="296">
        <f t="shared" si="1"/>
        <v>3</v>
      </c>
      <c r="G6" s="217"/>
    </row>
    <row r="7" ht="12.75" customHeight="1">
      <c r="A7" s="361" t="s">
        <v>7611</v>
      </c>
      <c r="B7" s="361" t="s">
        <v>7612</v>
      </c>
      <c r="C7" s="364"/>
      <c r="D7" s="364">
        <v>45.0</v>
      </c>
      <c r="E7" s="248">
        <v>21.0</v>
      </c>
      <c r="F7" s="296">
        <f t="shared" si="1"/>
        <v>24</v>
      </c>
      <c r="G7" s="217"/>
    </row>
    <row r="8" ht="12.75" customHeight="1">
      <c r="A8" s="365" t="s">
        <v>7613</v>
      </c>
      <c r="B8" s="361" t="s">
        <v>7612</v>
      </c>
      <c r="C8" s="364"/>
      <c r="D8" s="364">
        <v>2.0</v>
      </c>
      <c r="E8" s="248">
        <v>1.0</v>
      </c>
      <c r="F8" s="296">
        <f t="shared" si="1"/>
        <v>1</v>
      </c>
      <c r="G8" s="217"/>
    </row>
    <row r="9" ht="12.75" customHeight="1">
      <c r="A9" s="365" t="s">
        <v>7614</v>
      </c>
      <c r="B9" s="366" t="s">
        <v>7615</v>
      </c>
      <c r="C9" s="362"/>
      <c r="D9" s="362">
        <v>15.0</v>
      </c>
      <c r="E9" s="248">
        <v>1.0</v>
      </c>
      <c r="F9" s="296">
        <f t="shared" si="1"/>
        <v>14</v>
      </c>
      <c r="G9" s="217"/>
    </row>
    <row r="10" ht="12.75" customHeight="1">
      <c r="A10" s="367" t="s">
        <v>7616</v>
      </c>
      <c r="B10" s="361"/>
      <c r="C10" s="364"/>
      <c r="D10" s="364">
        <v>2.0</v>
      </c>
      <c r="E10" s="248">
        <v>1.0</v>
      </c>
      <c r="F10" s="296">
        <f t="shared" si="1"/>
        <v>1</v>
      </c>
      <c r="G10" s="217"/>
    </row>
    <row r="11" ht="12.75" customHeight="1">
      <c r="A11" s="367" t="s">
        <v>7617</v>
      </c>
      <c r="B11" s="366" t="s">
        <v>7618</v>
      </c>
      <c r="C11" s="364"/>
      <c r="D11" s="364">
        <v>10.0</v>
      </c>
      <c r="E11" s="248">
        <v>3.0</v>
      </c>
      <c r="F11" s="296">
        <f t="shared" si="1"/>
        <v>7</v>
      </c>
      <c r="G11" s="217"/>
    </row>
    <row r="12" ht="12.75" customHeight="1">
      <c r="A12" s="368" t="s">
        <v>7619</v>
      </c>
      <c r="B12" s="361" t="s">
        <v>7604</v>
      </c>
      <c r="C12" s="364"/>
      <c r="D12" s="364">
        <v>5.0</v>
      </c>
      <c r="E12" s="248"/>
      <c r="F12" s="296">
        <f t="shared" si="1"/>
        <v>5</v>
      </c>
      <c r="G12" s="217"/>
    </row>
    <row r="13" ht="12.75" customHeight="1">
      <c r="A13" s="368" t="s">
        <v>7620</v>
      </c>
      <c r="B13" s="369"/>
      <c r="C13" s="362"/>
      <c r="D13" s="362">
        <v>5.0</v>
      </c>
      <c r="E13" s="248"/>
      <c r="F13" s="296">
        <f t="shared" si="1"/>
        <v>5</v>
      </c>
      <c r="G13" s="217"/>
    </row>
    <row r="14" ht="12.75" customHeight="1">
      <c r="A14" s="361" t="s">
        <v>7621</v>
      </c>
      <c r="B14" s="369" t="s">
        <v>7622</v>
      </c>
      <c r="C14" s="362"/>
      <c r="D14" s="362">
        <v>10.0</v>
      </c>
      <c r="E14" s="248"/>
      <c r="F14" s="296">
        <f t="shared" si="1"/>
        <v>10</v>
      </c>
      <c r="G14" s="217" t="s">
        <v>7623</v>
      </c>
    </row>
    <row r="15" ht="12.75" customHeight="1">
      <c r="A15" s="362"/>
      <c r="B15" s="362"/>
      <c r="C15" s="362"/>
      <c r="D15" s="362"/>
      <c r="E15" s="248"/>
      <c r="F15" s="296">
        <f t="shared" si="1"/>
        <v>0</v>
      </c>
      <c r="G15" s="217"/>
    </row>
    <row r="16" ht="12.75" customHeight="1">
      <c r="A16" s="362"/>
      <c r="B16" s="362"/>
      <c r="C16" s="362"/>
      <c r="D16" s="362"/>
      <c r="E16" s="248"/>
      <c r="F16" s="296">
        <f t="shared" si="1"/>
        <v>0</v>
      </c>
      <c r="G16" s="217"/>
    </row>
    <row r="17" ht="12.75" customHeight="1">
      <c r="A17" s="362"/>
      <c r="B17" s="362"/>
      <c r="C17" s="362"/>
      <c r="D17" s="362"/>
      <c r="E17" s="248"/>
      <c r="F17" s="296">
        <f t="shared" si="1"/>
        <v>0</v>
      </c>
      <c r="G17" s="217"/>
    </row>
    <row r="18" ht="12.75" customHeight="1">
      <c r="A18" s="362"/>
      <c r="B18" s="362"/>
      <c r="C18" s="362"/>
      <c r="D18" s="362"/>
      <c r="E18" s="248"/>
      <c r="F18" s="296">
        <f t="shared" si="1"/>
        <v>0</v>
      </c>
      <c r="G18" s="217"/>
    </row>
    <row r="19" ht="12.75" customHeight="1">
      <c r="A19" s="362"/>
      <c r="B19" s="362"/>
      <c r="C19" s="362"/>
      <c r="D19" s="362"/>
      <c r="E19" s="248"/>
      <c r="F19" s="296">
        <f t="shared" si="1"/>
        <v>0</v>
      </c>
      <c r="G19" s="217"/>
    </row>
    <row r="20" ht="12.75" customHeight="1">
      <c r="A20" s="362"/>
      <c r="B20" s="362"/>
      <c r="C20" s="370"/>
      <c r="D20" s="370"/>
      <c r="E20" s="248"/>
      <c r="F20" s="296">
        <f t="shared" si="1"/>
        <v>0</v>
      </c>
      <c r="G20" s="217"/>
    </row>
    <row r="21" ht="12.75" customHeight="1">
      <c r="A21" s="362"/>
      <c r="B21" s="362"/>
      <c r="C21" s="370"/>
      <c r="D21" s="370"/>
      <c r="E21" s="248"/>
      <c r="F21" s="296">
        <f t="shared" si="1"/>
        <v>0</v>
      </c>
      <c r="G21" s="217"/>
    </row>
    <row r="22" ht="12.75" customHeight="1">
      <c r="A22" s="362"/>
      <c r="B22" s="362"/>
      <c r="C22" s="370"/>
      <c r="D22" s="370"/>
      <c r="E22" s="248"/>
      <c r="F22" s="296">
        <f t="shared" si="1"/>
        <v>0</v>
      </c>
      <c r="G22" s="217"/>
    </row>
    <row r="23" ht="12.75" customHeight="1">
      <c r="A23" s="362"/>
      <c r="B23" s="362"/>
      <c r="C23" s="370"/>
      <c r="D23" s="370"/>
      <c r="E23" s="248"/>
      <c r="F23" s="296">
        <f t="shared" si="1"/>
        <v>0</v>
      </c>
      <c r="G23" s="217"/>
    </row>
    <row r="24" ht="12.75" customHeight="1">
      <c r="A24" s="362"/>
      <c r="B24" s="362"/>
      <c r="C24" s="370"/>
      <c r="D24" s="370"/>
      <c r="E24" s="248"/>
      <c r="F24" s="296">
        <f t="shared" si="1"/>
        <v>0</v>
      </c>
      <c r="G24" s="217"/>
    </row>
    <row r="25" ht="12.75" customHeight="1">
      <c r="A25" s="362"/>
      <c r="B25" s="362"/>
      <c r="C25" s="362"/>
      <c r="D25" s="362"/>
      <c r="E25" s="248"/>
      <c r="F25" s="296">
        <f t="shared" si="1"/>
        <v>0</v>
      </c>
      <c r="G25" s="217"/>
    </row>
    <row r="26" ht="12.75" customHeight="1">
      <c r="A26" s="362"/>
      <c r="B26" s="362"/>
      <c r="C26" s="370"/>
      <c r="D26" s="370"/>
      <c r="E26" s="248"/>
      <c r="F26" s="296">
        <f t="shared" si="1"/>
        <v>0</v>
      </c>
      <c r="G26" s="217"/>
    </row>
    <row r="27" ht="12.75" customHeight="1">
      <c r="A27" s="362"/>
      <c r="B27" s="362"/>
      <c r="C27" s="370"/>
      <c r="D27" s="370"/>
      <c r="E27" s="248"/>
      <c r="F27" s="296">
        <f t="shared" si="1"/>
        <v>0</v>
      </c>
      <c r="G27" s="217"/>
    </row>
    <row r="28" ht="12.75" customHeight="1">
      <c r="A28" s="362"/>
      <c r="B28" s="362"/>
      <c r="C28" s="370"/>
      <c r="D28" s="370"/>
      <c r="E28" s="248"/>
      <c r="F28" s="296">
        <f t="shared" si="1"/>
        <v>0</v>
      </c>
      <c r="G28" s="217"/>
    </row>
    <row r="29" ht="12.75" customHeight="1">
      <c r="A29" s="362"/>
      <c r="B29" s="362"/>
      <c r="C29" s="370"/>
      <c r="D29" s="370"/>
      <c r="E29" s="248"/>
      <c r="F29" s="296">
        <f t="shared" si="1"/>
        <v>0</v>
      </c>
      <c r="G29" s="217"/>
    </row>
    <row r="30" ht="12.75" customHeight="1">
      <c r="A30" s="362"/>
      <c r="B30" s="362"/>
      <c r="C30" s="370"/>
      <c r="D30" s="370"/>
      <c r="E30" s="248"/>
      <c r="F30" s="296">
        <f t="shared" si="1"/>
        <v>0</v>
      </c>
      <c r="G30" s="217"/>
    </row>
    <row r="31" ht="12.75" customHeight="1">
      <c r="A31" s="362"/>
      <c r="B31" s="362"/>
      <c r="C31" s="370"/>
      <c r="D31" s="370"/>
      <c r="E31" s="248"/>
      <c r="F31" s="296">
        <f t="shared" si="1"/>
        <v>0</v>
      </c>
      <c r="G31" s="217"/>
    </row>
    <row r="32" ht="12.75" customHeight="1">
      <c r="A32" s="362"/>
      <c r="B32" s="362"/>
      <c r="C32" s="371"/>
      <c r="D32" s="371"/>
      <c r="E32" s="248"/>
      <c r="F32" s="296">
        <f t="shared" si="1"/>
        <v>0</v>
      </c>
      <c r="G32" s="217"/>
    </row>
    <row r="33" ht="12.75" customHeight="1">
      <c r="A33" s="362"/>
      <c r="B33" s="362"/>
      <c r="C33" s="370"/>
      <c r="D33" s="370"/>
      <c r="E33" s="248"/>
      <c r="F33" s="296">
        <f t="shared" si="1"/>
        <v>0</v>
      </c>
      <c r="G33" s="217"/>
    </row>
    <row r="34" ht="12.75" customHeight="1">
      <c r="A34" s="362"/>
      <c r="B34" s="362"/>
      <c r="C34" s="370"/>
      <c r="D34" s="370"/>
      <c r="E34" s="248"/>
      <c r="F34" s="296"/>
      <c r="G34" s="217"/>
    </row>
    <row r="35" ht="12.75" customHeight="1">
      <c r="A35" s="362"/>
      <c r="B35" s="362"/>
      <c r="C35" s="370"/>
      <c r="D35" s="370"/>
      <c r="E35" s="248"/>
      <c r="F35" s="296"/>
      <c r="G35" s="217"/>
    </row>
    <row r="36" ht="12.75" customHeight="1">
      <c r="A36" s="372"/>
      <c r="B36" s="372"/>
      <c r="C36" s="373"/>
      <c r="D36" s="373"/>
      <c r="E36" s="241"/>
      <c r="F36" s="374"/>
    </row>
    <row r="37" ht="12.75" customHeight="1">
      <c r="A37" s="241"/>
      <c r="B37" s="241"/>
      <c r="C37" s="375"/>
      <c r="D37" s="375"/>
      <c r="E37" s="241"/>
      <c r="F37" s="374"/>
    </row>
    <row r="38" ht="12.75" customHeight="1">
      <c r="C38" s="376"/>
      <c r="D38" s="376"/>
      <c r="F38" s="377"/>
    </row>
    <row r="39" ht="12.75" customHeight="1">
      <c r="C39" s="376"/>
      <c r="D39" s="376"/>
      <c r="F39" s="377"/>
    </row>
    <row r="40" ht="12.75" customHeight="1">
      <c r="C40" s="376"/>
      <c r="D40" s="376"/>
      <c r="F40" s="377"/>
    </row>
    <row r="41" ht="12.75" customHeight="1">
      <c r="C41" s="378"/>
      <c r="D41" s="378"/>
      <c r="F41" s="377"/>
    </row>
    <row r="42" ht="12.75" customHeight="1">
      <c r="C42" s="376"/>
      <c r="D42" s="376"/>
      <c r="F42" s="377"/>
    </row>
    <row r="43" ht="12.75" customHeight="1">
      <c r="C43" s="376"/>
      <c r="D43" s="376"/>
      <c r="F43" s="377"/>
    </row>
    <row r="44" ht="12.75" customHeight="1">
      <c r="C44" s="376"/>
      <c r="D44" s="376"/>
      <c r="F44" s="377"/>
    </row>
    <row r="45" ht="12.75" customHeight="1">
      <c r="C45" s="376"/>
      <c r="D45" s="376"/>
      <c r="F45" s="377"/>
    </row>
    <row r="46" ht="12.75" customHeight="1">
      <c r="C46" s="376"/>
      <c r="D46" s="376"/>
      <c r="F46" s="377"/>
      <c r="H46" s="296"/>
    </row>
    <row r="47" ht="12.75" customHeight="1">
      <c r="C47" s="376"/>
      <c r="D47" s="376"/>
      <c r="F47" s="377"/>
    </row>
    <row r="48" ht="12.75" customHeight="1">
      <c r="C48" s="376"/>
      <c r="D48" s="376"/>
      <c r="F48" s="377"/>
    </row>
    <row r="49" ht="12.75" customHeight="1">
      <c r="C49" s="376"/>
      <c r="D49" s="376"/>
      <c r="F49" s="377"/>
    </row>
    <row r="50" ht="12.75" customHeight="1">
      <c r="C50" s="376"/>
      <c r="D50" s="376"/>
      <c r="F50" s="377"/>
    </row>
    <row r="51" ht="12.75" customHeight="1">
      <c r="C51" s="376"/>
      <c r="D51" s="376"/>
      <c r="F51" s="377"/>
    </row>
    <row r="52" ht="12.75" customHeight="1">
      <c r="C52" s="376"/>
      <c r="D52" s="376"/>
      <c r="F52" s="377"/>
    </row>
    <row r="53" ht="12.75" customHeight="1">
      <c r="C53" s="376"/>
      <c r="D53" s="376"/>
      <c r="F53" s="377"/>
    </row>
    <row r="54" ht="12.75" customHeight="1">
      <c r="C54" s="376"/>
      <c r="D54" s="376"/>
      <c r="F54" s="377"/>
    </row>
    <row r="55" ht="12.75" customHeight="1">
      <c r="C55" s="376"/>
      <c r="D55" s="376"/>
      <c r="F55" s="377"/>
    </row>
    <row r="56" ht="12.75" customHeight="1">
      <c r="F56" s="377"/>
    </row>
    <row r="57" ht="12.75" customHeight="1">
      <c r="F57" s="377"/>
    </row>
    <row r="58" ht="12.75" customHeight="1">
      <c r="F58" s="377"/>
    </row>
    <row r="59" ht="12.75" customHeight="1">
      <c r="F59" s="377"/>
    </row>
    <row r="60" ht="12.75" customHeight="1">
      <c r="F60" s="377"/>
    </row>
    <row r="61" ht="12.75" customHeight="1">
      <c r="F61" s="377"/>
    </row>
    <row r="62" ht="12.75" customHeight="1">
      <c r="F62" s="377"/>
    </row>
    <row r="63" ht="12.75" customHeight="1">
      <c r="F63" s="377"/>
    </row>
    <row r="64" ht="12.75" customHeight="1">
      <c r="F64" s="377"/>
    </row>
    <row r="65" ht="12.75" customHeight="1">
      <c r="F65" s="377"/>
    </row>
    <row r="66" ht="12.75" customHeight="1">
      <c r="F66" s="377"/>
    </row>
    <row r="67" ht="12.75" customHeight="1">
      <c r="A67" s="359" t="s">
        <v>7597</v>
      </c>
      <c r="B67" s="359" t="s">
        <v>7291</v>
      </c>
      <c r="C67" s="359" t="s">
        <v>7598</v>
      </c>
      <c r="F67" s="377"/>
    </row>
    <row r="68" ht="12.75" customHeight="1">
      <c r="A68" s="361" t="s">
        <v>7611</v>
      </c>
      <c r="B68" s="379" t="s">
        <v>7612</v>
      </c>
      <c r="C68" s="307" t="s">
        <v>7624</v>
      </c>
      <c r="F68" s="377"/>
    </row>
    <row r="69" ht="12.75" customHeight="1">
      <c r="F69" s="377"/>
    </row>
    <row r="70" ht="12.75" customHeight="1">
      <c r="F70" s="377"/>
    </row>
    <row r="71" ht="12.75" customHeight="1">
      <c r="F71" s="377"/>
    </row>
    <row r="72" ht="12.75" customHeight="1">
      <c r="F72" s="377"/>
    </row>
    <row r="73" ht="12.75" customHeight="1">
      <c r="F73" s="377"/>
    </row>
    <row r="74" ht="12.75" customHeight="1">
      <c r="F74" s="377"/>
    </row>
    <row r="75" ht="12.75" customHeight="1">
      <c r="F75" s="377"/>
    </row>
    <row r="76" ht="12.75" customHeight="1">
      <c r="F76" s="377"/>
    </row>
    <row r="77" ht="12.75" customHeight="1">
      <c r="F77" s="377"/>
    </row>
    <row r="78" ht="12.75" customHeight="1">
      <c r="F78" s="377"/>
    </row>
    <row r="79" ht="12.75" customHeight="1">
      <c r="F79" s="377"/>
    </row>
    <row r="80" ht="12.75" customHeight="1">
      <c r="F80" s="377"/>
    </row>
    <row r="81" ht="12.75" customHeight="1">
      <c r="F81" s="377"/>
    </row>
    <row r="82" ht="12.75" customHeight="1">
      <c r="F82" s="377"/>
    </row>
    <row r="83" ht="12.75" customHeight="1">
      <c r="F83" s="377"/>
    </row>
    <row r="84" ht="12.75" customHeight="1">
      <c r="F84" s="377"/>
    </row>
    <row r="85" ht="12.75" customHeight="1">
      <c r="F85" s="377"/>
    </row>
    <row r="86" ht="12.75" customHeight="1">
      <c r="F86" s="377"/>
    </row>
    <row r="87" ht="12.75" customHeight="1">
      <c r="F87" s="377"/>
    </row>
    <row r="88" ht="12.75" customHeight="1">
      <c r="F88" s="377"/>
    </row>
    <row r="89" ht="12.75" customHeight="1">
      <c r="F89" s="377"/>
    </row>
    <row r="90" ht="12.75" customHeight="1">
      <c r="F90" s="377"/>
    </row>
    <row r="91" ht="12.75" customHeight="1">
      <c r="F91" s="377"/>
    </row>
    <row r="92" ht="12.75" customHeight="1">
      <c r="F92" s="377"/>
    </row>
    <row r="93" ht="12.75" customHeight="1">
      <c r="F93" s="377"/>
    </row>
    <row r="94" ht="12.75" customHeight="1">
      <c r="F94" s="377"/>
    </row>
    <row r="95" ht="12.75" customHeight="1">
      <c r="F95" s="377"/>
    </row>
    <row r="96" ht="12.75" customHeight="1">
      <c r="F96" s="377"/>
    </row>
    <row r="97" ht="12.75" customHeight="1">
      <c r="F97" s="377"/>
    </row>
    <row r="98" ht="12.75" customHeight="1">
      <c r="F98" s="377"/>
    </row>
    <row r="99" ht="12.75" customHeight="1">
      <c r="F99" s="377"/>
    </row>
    <row r="100" ht="12.75" customHeight="1">
      <c r="F100" s="377"/>
    </row>
    <row r="101" ht="12.75" customHeight="1">
      <c r="F101" s="377"/>
    </row>
    <row r="102" ht="12.75" customHeight="1">
      <c r="F102" s="377"/>
    </row>
    <row r="103" ht="12.75" customHeight="1">
      <c r="F103" s="377"/>
    </row>
    <row r="104" ht="12.75" customHeight="1">
      <c r="F104" s="377"/>
    </row>
    <row r="105" ht="12.75" customHeight="1">
      <c r="F105" s="377"/>
    </row>
    <row r="106" ht="12.75" customHeight="1">
      <c r="F106" s="377"/>
    </row>
    <row r="107" ht="12.75" customHeight="1">
      <c r="F107" s="377"/>
    </row>
    <row r="108" ht="12.75" customHeight="1">
      <c r="F108" s="377"/>
    </row>
    <row r="109" ht="12.75" customHeight="1">
      <c r="F109" s="377"/>
    </row>
    <row r="110" ht="12.75" customHeight="1">
      <c r="F110" s="377"/>
    </row>
    <row r="111" ht="12.75" customHeight="1">
      <c r="F111" s="377"/>
    </row>
    <row r="112" ht="12.75" customHeight="1">
      <c r="F112" s="377"/>
    </row>
    <row r="113" ht="12.75" customHeight="1">
      <c r="F113" s="377"/>
    </row>
    <row r="114" ht="12.75" customHeight="1">
      <c r="F114" s="377"/>
    </row>
    <row r="115" ht="12.75" customHeight="1">
      <c r="F115" s="377"/>
    </row>
    <row r="116" ht="12.75" customHeight="1">
      <c r="F116" s="377"/>
    </row>
    <row r="117" ht="12.75" customHeight="1">
      <c r="F117" s="377"/>
    </row>
    <row r="118" ht="12.75" customHeight="1">
      <c r="F118" s="377"/>
    </row>
    <row r="119" ht="12.75" customHeight="1">
      <c r="F119" s="377"/>
    </row>
    <row r="120" ht="12.75" customHeight="1">
      <c r="F120" s="377"/>
    </row>
    <row r="121" ht="12.75" customHeight="1">
      <c r="F121" s="377"/>
    </row>
    <row r="122" ht="12.75" customHeight="1">
      <c r="F122" s="377"/>
    </row>
    <row r="123" ht="12.75" customHeight="1">
      <c r="F123" s="377"/>
    </row>
    <row r="124" ht="12.75" customHeight="1">
      <c r="F124" s="377"/>
    </row>
    <row r="125" ht="12.75" customHeight="1">
      <c r="F125" s="377"/>
    </row>
    <row r="126" ht="12.75" customHeight="1">
      <c r="F126" s="377"/>
    </row>
    <row r="127" ht="12.75" customHeight="1">
      <c r="F127" s="377"/>
    </row>
    <row r="128" ht="12.75" customHeight="1">
      <c r="F128" s="377"/>
    </row>
    <row r="129" ht="12.75" customHeight="1">
      <c r="F129" s="377"/>
    </row>
    <row r="130" ht="12.75" customHeight="1">
      <c r="F130" s="377"/>
    </row>
    <row r="131" ht="12.75" customHeight="1">
      <c r="F131" s="377"/>
    </row>
    <row r="132" ht="12.75" customHeight="1">
      <c r="F132" s="377"/>
    </row>
    <row r="133" ht="12.75" customHeight="1">
      <c r="F133" s="377"/>
    </row>
    <row r="134" ht="12.75" customHeight="1">
      <c r="F134" s="377"/>
    </row>
    <row r="135" ht="12.75" customHeight="1">
      <c r="F135" s="377"/>
    </row>
    <row r="136" ht="12.75" customHeight="1">
      <c r="F136" s="377"/>
    </row>
    <row r="137" ht="12.75" customHeight="1">
      <c r="F137" s="377"/>
    </row>
    <row r="138" ht="12.75" customHeight="1">
      <c r="F138" s="377"/>
    </row>
    <row r="139" ht="12.75" customHeight="1">
      <c r="F139" s="377"/>
    </row>
    <row r="140" ht="12.75" customHeight="1">
      <c r="F140" s="377"/>
    </row>
    <row r="141" ht="12.75" customHeight="1">
      <c r="F141" s="377"/>
    </row>
    <row r="142" ht="12.75" customHeight="1">
      <c r="F142" s="377"/>
    </row>
    <row r="143" ht="12.75" customHeight="1">
      <c r="F143" s="377"/>
    </row>
    <row r="144" ht="12.75" customHeight="1">
      <c r="F144" s="377"/>
    </row>
    <row r="145" ht="12.75" customHeight="1">
      <c r="F145" s="377"/>
    </row>
    <row r="146" ht="12.75" customHeight="1">
      <c r="F146" s="377"/>
    </row>
    <row r="147" ht="12.75" customHeight="1">
      <c r="F147" s="377"/>
    </row>
    <row r="148" ht="12.75" customHeight="1">
      <c r="F148" s="377"/>
    </row>
    <row r="149" ht="12.75" customHeight="1">
      <c r="F149" s="377"/>
    </row>
    <row r="150" ht="12.75" customHeight="1">
      <c r="F150" s="377"/>
    </row>
    <row r="151" ht="12.75" customHeight="1">
      <c r="F151" s="377"/>
    </row>
    <row r="152" ht="12.75" customHeight="1">
      <c r="F152" s="377"/>
    </row>
    <row r="153" ht="12.75" customHeight="1">
      <c r="F153" s="377"/>
    </row>
    <row r="154" ht="12.75" customHeight="1">
      <c r="F154" s="377"/>
    </row>
    <row r="155" ht="12.75" customHeight="1">
      <c r="F155" s="377"/>
    </row>
    <row r="156" ht="12.75" customHeight="1">
      <c r="F156" s="377"/>
    </row>
    <row r="157" ht="12.75" customHeight="1">
      <c r="F157" s="377"/>
    </row>
    <row r="158" ht="12.75" customHeight="1">
      <c r="F158" s="377"/>
    </row>
    <row r="159" ht="12.75" customHeight="1">
      <c r="F159" s="377"/>
    </row>
    <row r="160" ht="12.75" customHeight="1">
      <c r="F160" s="377"/>
    </row>
    <row r="161" ht="12.75" customHeight="1">
      <c r="F161" s="377"/>
    </row>
    <row r="162" ht="12.75" customHeight="1">
      <c r="F162" s="377"/>
    </row>
    <row r="163" ht="12.75" customHeight="1">
      <c r="F163" s="377"/>
    </row>
    <row r="164" ht="12.75" customHeight="1">
      <c r="F164" s="377"/>
    </row>
    <row r="165" ht="12.75" customHeight="1">
      <c r="F165" s="377"/>
    </row>
    <row r="166" ht="12.75" customHeight="1">
      <c r="F166" s="377"/>
    </row>
    <row r="167" ht="12.75" customHeight="1">
      <c r="F167" s="377"/>
    </row>
    <row r="168" ht="12.75" customHeight="1">
      <c r="F168" s="377"/>
    </row>
    <row r="169" ht="12.75" customHeight="1">
      <c r="F169" s="377"/>
    </row>
    <row r="170" ht="12.75" customHeight="1">
      <c r="F170" s="377"/>
    </row>
    <row r="171" ht="12.75" customHeight="1">
      <c r="F171" s="377"/>
    </row>
    <row r="172" ht="12.75" customHeight="1">
      <c r="F172" s="377"/>
    </row>
    <row r="173" ht="12.75" customHeight="1">
      <c r="F173" s="377"/>
    </row>
    <row r="174" ht="12.75" customHeight="1">
      <c r="F174" s="377"/>
    </row>
    <row r="175" ht="12.75" customHeight="1">
      <c r="F175" s="377"/>
    </row>
    <row r="176" ht="12.75" customHeight="1">
      <c r="F176" s="377"/>
    </row>
    <row r="177" ht="12.75" customHeight="1">
      <c r="F177" s="377"/>
    </row>
    <row r="178" ht="12.75" customHeight="1">
      <c r="F178" s="377"/>
    </row>
    <row r="179" ht="12.75" customHeight="1">
      <c r="F179" s="377"/>
    </row>
    <row r="180" ht="12.75" customHeight="1">
      <c r="F180" s="377"/>
    </row>
    <row r="181" ht="12.75" customHeight="1">
      <c r="F181" s="377"/>
    </row>
    <row r="182" ht="12.75" customHeight="1">
      <c r="F182" s="377"/>
    </row>
    <row r="183" ht="12.75" customHeight="1">
      <c r="F183" s="377"/>
    </row>
    <row r="184" ht="12.75" customHeight="1">
      <c r="F184" s="377"/>
    </row>
    <row r="185" ht="12.75" customHeight="1">
      <c r="F185" s="377"/>
    </row>
    <row r="186" ht="12.75" customHeight="1">
      <c r="F186" s="377"/>
    </row>
    <row r="187" ht="12.75" customHeight="1">
      <c r="F187" s="377"/>
    </row>
    <row r="188" ht="12.75" customHeight="1">
      <c r="F188" s="377"/>
    </row>
    <row r="189" ht="12.75" customHeight="1">
      <c r="F189" s="377"/>
    </row>
    <row r="190" ht="12.75" customHeight="1">
      <c r="F190" s="377"/>
    </row>
    <row r="191" ht="12.75" customHeight="1">
      <c r="F191" s="377"/>
    </row>
    <row r="192" ht="12.75" customHeight="1">
      <c r="F192" s="377"/>
    </row>
    <row r="193" ht="12.75" customHeight="1">
      <c r="F193" s="377"/>
    </row>
    <row r="194" ht="12.75" customHeight="1">
      <c r="F194" s="377"/>
    </row>
    <row r="195" ht="12.75" customHeight="1">
      <c r="F195" s="377"/>
    </row>
    <row r="196" ht="12.75" customHeight="1">
      <c r="F196" s="377"/>
    </row>
    <row r="197" ht="12.75" customHeight="1">
      <c r="F197" s="377"/>
    </row>
    <row r="198" ht="12.75" customHeight="1">
      <c r="F198" s="377"/>
    </row>
    <row r="199" ht="12.75" customHeight="1">
      <c r="F199" s="377"/>
    </row>
    <row r="200" ht="12.75" customHeight="1">
      <c r="F200" s="377"/>
    </row>
    <row r="201" ht="12.75" customHeight="1">
      <c r="F201" s="377"/>
    </row>
    <row r="202" ht="12.75" customHeight="1">
      <c r="F202" s="377"/>
    </row>
    <row r="203" ht="12.75" customHeight="1">
      <c r="F203" s="377"/>
    </row>
    <row r="204" ht="12.75" customHeight="1">
      <c r="F204" s="377"/>
    </row>
    <row r="205" ht="12.75" customHeight="1">
      <c r="F205" s="377"/>
    </row>
    <row r="206" ht="12.75" customHeight="1">
      <c r="F206" s="377"/>
    </row>
    <row r="207" ht="12.75" customHeight="1">
      <c r="F207" s="377"/>
    </row>
    <row r="208" ht="12.75" customHeight="1">
      <c r="F208" s="377"/>
    </row>
    <row r="209" ht="12.75" customHeight="1">
      <c r="F209" s="377"/>
    </row>
    <row r="210" ht="12.75" customHeight="1">
      <c r="F210" s="377"/>
    </row>
    <row r="211" ht="12.75" customHeight="1">
      <c r="F211" s="377"/>
    </row>
    <row r="212" ht="12.75" customHeight="1">
      <c r="F212" s="377"/>
    </row>
    <row r="213" ht="12.75" customHeight="1">
      <c r="F213" s="377"/>
    </row>
    <row r="214" ht="12.75" customHeight="1">
      <c r="F214" s="377"/>
    </row>
    <row r="215" ht="12.75" customHeight="1">
      <c r="F215" s="377"/>
    </row>
    <row r="216" ht="12.75" customHeight="1">
      <c r="F216" s="377"/>
    </row>
    <row r="217" ht="12.75" customHeight="1">
      <c r="F217" s="377"/>
    </row>
    <row r="218" ht="12.75" customHeight="1">
      <c r="F218" s="377"/>
    </row>
    <row r="219" ht="12.75" customHeight="1">
      <c r="F219" s="377"/>
    </row>
    <row r="220" ht="12.75" customHeight="1">
      <c r="F220" s="377"/>
    </row>
    <row r="221" ht="12.75" customHeight="1">
      <c r="F221" s="377"/>
    </row>
    <row r="222" ht="12.75" customHeight="1">
      <c r="F222" s="377"/>
    </row>
    <row r="223" ht="12.75" customHeight="1">
      <c r="F223" s="377"/>
    </row>
    <row r="224" ht="12.75" customHeight="1">
      <c r="F224" s="377"/>
    </row>
    <row r="225" ht="12.75" customHeight="1">
      <c r="F225" s="377"/>
    </row>
    <row r="226" ht="12.75" customHeight="1">
      <c r="F226" s="377"/>
    </row>
    <row r="227" ht="12.75" customHeight="1">
      <c r="F227" s="377"/>
    </row>
    <row r="228" ht="12.75" customHeight="1">
      <c r="F228" s="377"/>
    </row>
    <row r="229" ht="12.75" customHeight="1">
      <c r="F229" s="377"/>
    </row>
    <row r="230" ht="12.75" customHeight="1">
      <c r="F230" s="377"/>
    </row>
    <row r="231" ht="12.75" customHeight="1">
      <c r="F231" s="377"/>
    </row>
    <row r="232" ht="12.75" customHeight="1">
      <c r="F232" s="377"/>
    </row>
    <row r="233" ht="12.75" customHeight="1">
      <c r="F233" s="377"/>
    </row>
    <row r="234" ht="12.75" customHeight="1">
      <c r="F234" s="377"/>
    </row>
    <row r="235" ht="12.75" customHeight="1">
      <c r="F235" s="377"/>
    </row>
    <row r="236" ht="12.75" customHeight="1">
      <c r="F236" s="377"/>
    </row>
    <row r="237" ht="12.75" customHeight="1">
      <c r="F237" s="377"/>
    </row>
    <row r="238" ht="12.75" customHeight="1">
      <c r="F238" s="377"/>
    </row>
    <row r="239" ht="12.75" customHeight="1">
      <c r="F239" s="377"/>
    </row>
    <row r="240" ht="12.75" customHeight="1">
      <c r="F240" s="377"/>
    </row>
    <row r="241" ht="12.75" customHeight="1">
      <c r="F241" s="377"/>
    </row>
    <row r="242" ht="12.75" customHeight="1">
      <c r="F242" s="377"/>
    </row>
    <row r="243" ht="12.75" customHeight="1">
      <c r="F243" s="377"/>
    </row>
    <row r="244" ht="12.75" customHeight="1">
      <c r="F244" s="377"/>
    </row>
    <row r="245" ht="12.75" customHeight="1">
      <c r="F245" s="377"/>
    </row>
    <row r="246" ht="12.75" customHeight="1">
      <c r="F246" s="377"/>
    </row>
    <row r="247" ht="12.75" customHeight="1">
      <c r="F247" s="377"/>
    </row>
    <row r="248" ht="12.75" customHeight="1">
      <c r="F248" s="377"/>
    </row>
    <row r="249" ht="12.75" customHeight="1">
      <c r="F249" s="377"/>
    </row>
    <row r="250" ht="12.75" customHeight="1">
      <c r="F250" s="377"/>
    </row>
    <row r="251" ht="12.75" customHeight="1">
      <c r="F251" s="377"/>
    </row>
    <row r="252" ht="12.75" customHeight="1">
      <c r="F252" s="377"/>
    </row>
    <row r="253" ht="12.75" customHeight="1">
      <c r="F253" s="377"/>
    </row>
    <row r="254" ht="12.75" customHeight="1">
      <c r="F254" s="377"/>
    </row>
    <row r="255" ht="12.75" customHeight="1">
      <c r="F255" s="377"/>
    </row>
    <row r="256" ht="12.75" customHeight="1">
      <c r="F256" s="377"/>
    </row>
    <row r="257" ht="12.75" customHeight="1">
      <c r="F257" s="377"/>
    </row>
    <row r="258" ht="12.75" customHeight="1">
      <c r="F258" s="377"/>
    </row>
    <row r="259" ht="12.75" customHeight="1">
      <c r="F259" s="377"/>
    </row>
    <row r="260" ht="12.75" customHeight="1">
      <c r="F260" s="377"/>
    </row>
    <row r="261" ht="12.75" customHeight="1">
      <c r="F261" s="377"/>
    </row>
    <row r="262" ht="12.75" customHeight="1">
      <c r="F262" s="377"/>
    </row>
    <row r="263" ht="12.75" customHeight="1">
      <c r="F263" s="377"/>
    </row>
    <row r="264" ht="12.75" customHeight="1">
      <c r="F264" s="377"/>
    </row>
    <row r="265" ht="12.75" customHeight="1">
      <c r="F265" s="377"/>
    </row>
    <row r="266" ht="12.75" customHeight="1">
      <c r="F266" s="377"/>
    </row>
    <row r="267" ht="12.75" customHeight="1">
      <c r="F267" s="377"/>
    </row>
    <row r="268" ht="12.75" customHeight="1">
      <c r="F268" s="377"/>
    </row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1.75"/>
    <col customWidth="1" min="3" max="3" width="22.75"/>
    <col customWidth="1" min="4" max="4" width="29.63"/>
    <col customWidth="1" min="5" max="6" width="12.63"/>
  </cols>
  <sheetData>
    <row r="1" ht="15.0" customHeight="1">
      <c r="A1" s="380" t="s">
        <v>7625</v>
      </c>
      <c r="B1" s="381"/>
      <c r="C1" s="381"/>
      <c r="D1" s="382"/>
    </row>
    <row r="2" ht="15.0" customHeight="1">
      <c r="A2" s="383" t="s">
        <v>7626</v>
      </c>
      <c r="B2" s="383" t="s">
        <v>7627</v>
      </c>
      <c r="C2" s="383" t="s">
        <v>7628</v>
      </c>
      <c r="D2" s="383" t="s">
        <v>7429</v>
      </c>
    </row>
    <row r="3" ht="15.0" customHeight="1">
      <c r="A3" s="384" t="s">
        <v>2077</v>
      </c>
      <c r="B3" s="384" t="s">
        <v>7629</v>
      </c>
      <c r="C3" s="345" t="s">
        <v>7630</v>
      </c>
      <c r="D3" s="345" t="s">
        <v>7631</v>
      </c>
    </row>
    <row r="4" ht="15.0" customHeight="1">
      <c r="A4" s="384" t="s">
        <v>7632</v>
      </c>
      <c r="B4" s="384" t="s">
        <v>7629</v>
      </c>
      <c r="C4" s="345" t="s">
        <v>7630</v>
      </c>
      <c r="D4" s="345" t="s">
        <v>7633</v>
      </c>
    </row>
    <row r="5" ht="15.0" customHeight="1">
      <c r="A5" s="384" t="s">
        <v>1882</v>
      </c>
      <c r="B5" s="384" t="s">
        <v>7629</v>
      </c>
      <c r="C5" s="345" t="s">
        <v>7630</v>
      </c>
      <c r="D5" s="345" t="s">
        <v>7634</v>
      </c>
    </row>
    <row r="6" ht="15.0" customHeight="1">
      <c r="A6" s="384" t="s">
        <v>1900</v>
      </c>
      <c r="B6" s="384" t="s">
        <v>7629</v>
      </c>
      <c r="C6" s="345" t="s">
        <v>7630</v>
      </c>
      <c r="D6" s="345" t="s">
        <v>7635</v>
      </c>
    </row>
    <row r="7" ht="15.0" customHeight="1">
      <c r="A7" s="384" t="s">
        <v>7636</v>
      </c>
      <c r="B7" s="384" t="s">
        <v>7629</v>
      </c>
      <c r="C7" s="345" t="s">
        <v>7630</v>
      </c>
      <c r="D7" s="345" t="s">
        <v>7637</v>
      </c>
    </row>
    <row r="8" ht="15.0" customHeight="1">
      <c r="A8" s="384" t="s">
        <v>7638</v>
      </c>
      <c r="B8" s="384" t="s">
        <v>7639</v>
      </c>
      <c r="C8" s="345" t="s">
        <v>7630</v>
      </c>
      <c r="D8" s="345" t="s">
        <v>7640</v>
      </c>
    </row>
    <row r="9" ht="15.0" customHeight="1">
      <c r="A9" s="384" t="s">
        <v>1821</v>
      </c>
      <c r="B9" s="384" t="s">
        <v>7639</v>
      </c>
      <c r="C9" s="345" t="s">
        <v>7630</v>
      </c>
      <c r="D9" s="345" t="s">
        <v>7641</v>
      </c>
    </row>
    <row r="10" ht="15.0" customHeight="1">
      <c r="A10" s="384" t="s">
        <v>2081</v>
      </c>
      <c r="B10" s="384" t="s">
        <v>7629</v>
      </c>
      <c r="C10" s="345" t="s">
        <v>7630</v>
      </c>
      <c r="D10" s="345" t="s">
        <v>7642</v>
      </c>
    </row>
    <row r="11" ht="15.0" customHeight="1">
      <c r="A11" s="385" t="s">
        <v>1839</v>
      </c>
      <c r="B11" s="384" t="s">
        <v>7639</v>
      </c>
      <c r="C11" s="345" t="s">
        <v>7630</v>
      </c>
      <c r="D11" s="345" t="s">
        <v>7643</v>
      </c>
    </row>
    <row r="12" ht="15.0" customHeight="1">
      <c r="A12" s="384" t="s">
        <v>7644</v>
      </c>
      <c r="B12" s="384" t="s">
        <v>7629</v>
      </c>
      <c r="C12" s="345" t="s">
        <v>7630</v>
      </c>
      <c r="D12" s="345" t="s">
        <v>7645</v>
      </c>
    </row>
    <row r="13" ht="15.0" customHeight="1">
      <c r="A13" s="386" t="s">
        <v>1517</v>
      </c>
      <c r="B13" s="386" t="s">
        <v>7639</v>
      </c>
      <c r="C13" s="345" t="s">
        <v>7630</v>
      </c>
      <c r="D13" s="345" t="s">
        <v>7646</v>
      </c>
    </row>
    <row r="14">
      <c r="A14" s="387" t="s">
        <v>7647</v>
      </c>
      <c r="B14" s="386" t="s">
        <v>7629</v>
      </c>
      <c r="C14" s="345" t="s">
        <v>7630</v>
      </c>
      <c r="D14" s="345" t="s">
        <v>7648</v>
      </c>
    </row>
    <row r="15" ht="15.0" customHeight="1">
      <c r="A15" s="386" t="s">
        <v>4375</v>
      </c>
      <c r="B15" s="388" t="s">
        <v>7629</v>
      </c>
      <c r="C15" s="345" t="s">
        <v>7630</v>
      </c>
      <c r="D15" s="345" t="s">
        <v>7649</v>
      </c>
    </row>
    <row r="16" ht="15.0" customHeight="1">
      <c r="A16" s="386" t="s">
        <v>5405</v>
      </c>
      <c r="B16" s="386" t="s">
        <v>7629</v>
      </c>
      <c r="C16" s="345" t="s">
        <v>7630</v>
      </c>
      <c r="D16" s="345" t="s">
        <v>7649</v>
      </c>
    </row>
    <row r="17" ht="15.0" customHeight="1">
      <c r="A17" s="386" t="s">
        <v>231</v>
      </c>
      <c r="B17" s="386" t="s">
        <v>7629</v>
      </c>
      <c r="C17" s="345" t="s">
        <v>7630</v>
      </c>
      <c r="D17" s="345" t="s">
        <v>7649</v>
      </c>
    </row>
    <row r="18" ht="15.0" customHeight="1">
      <c r="A18" s="386" t="s">
        <v>1983</v>
      </c>
      <c r="B18" s="386" t="s">
        <v>7629</v>
      </c>
      <c r="C18" s="345" t="s">
        <v>7630</v>
      </c>
      <c r="D18" s="345" t="s">
        <v>7649</v>
      </c>
    </row>
    <row r="19" ht="15.0" customHeight="1">
      <c r="A19" s="389" t="s">
        <v>559</v>
      </c>
      <c r="B19" s="389" t="s">
        <v>7650</v>
      </c>
      <c r="C19" s="390" t="s">
        <v>7630</v>
      </c>
      <c r="D19" s="390" t="s">
        <v>7649</v>
      </c>
    </row>
    <row r="20" ht="15.0" customHeight="1">
      <c r="A20" s="390" t="s">
        <v>7651</v>
      </c>
      <c r="B20" s="389" t="s">
        <v>7650</v>
      </c>
      <c r="C20" s="390" t="s">
        <v>7652</v>
      </c>
      <c r="D20" s="390" t="s">
        <v>7649</v>
      </c>
    </row>
    <row r="21" ht="15.0" customHeight="1">
      <c r="A21" s="345" t="s">
        <v>647</v>
      </c>
      <c r="B21" s="386" t="s">
        <v>7629</v>
      </c>
      <c r="C21" s="345" t="s">
        <v>7630</v>
      </c>
      <c r="D21" s="345" t="s">
        <v>7649</v>
      </c>
    </row>
    <row r="22" ht="15.0" customHeight="1">
      <c r="A22" s="345" t="s">
        <v>7653</v>
      </c>
      <c r="B22" s="386" t="s">
        <v>7629</v>
      </c>
      <c r="C22" s="345" t="s">
        <v>7630</v>
      </c>
      <c r="D22" s="345" t="s">
        <v>7654</v>
      </c>
    </row>
    <row r="23" ht="15.0" customHeight="1">
      <c r="A23" s="345" t="s">
        <v>1982</v>
      </c>
      <c r="B23" s="386" t="s">
        <v>7629</v>
      </c>
      <c r="C23" s="345" t="s">
        <v>7630</v>
      </c>
      <c r="D23" s="345"/>
    </row>
    <row r="24" ht="15.0" customHeight="1">
      <c r="A24" s="345" t="s">
        <v>7655</v>
      </c>
      <c r="B24" s="386" t="s">
        <v>7629</v>
      </c>
      <c r="C24" s="345" t="s">
        <v>7630</v>
      </c>
      <c r="D24" s="345"/>
    </row>
    <row r="25">
      <c r="A25" s="345" t="s">
        <v>2075</v>
      </c>
      <c r="B25" s="386" t="s">
        <v>7629</v>
      </c>
      <c r="C25" s="345" t="s">
        <v>7630</v>
      </c>
      <c r="D25" s="345"/>
    </row>
    <row r="26">
      <c r="A26" s="345" t="s">
        <v>1986</v>
      </c>
      <c r="B26" s="386" t="s">
        <v>7629</v>
      </c>
      <c r="C26" s="345" t="s">
        <v>7630</v>
      </c>
      <c r="D26" s="345"/>
    </row>
    <row r="27">
      <c r="A27" s="217" t="s">
        <v>1475</v>
      </c>
      <c r="B27" s="217" t="s">
        <v>7629</v>
      </c>
      <c r="C27" s="345" t="s">
        <v>7630</v>
      </c>
      <c r="D27" s="391" t="s">
        <v>7635</v>
      </c>
    </row>
    <row r="28">
      <c r="A28" s="217" t="s">
        <v>7656</v>
      </c>
      <c r="B28" s="217" t="s">
        <v>7629</v>
      </c>
      <c r="C28" s="217"/>
      <c r="D28" s="345"/>
    </row>
    <row r="29">
      <c r="A29" s="217" t="s">
        <v>7657</v>
      </c>
      <c r="B29" s="386" t="s">
        <v>7629</v>
      </c>
      <c r="C29" s="217"/>
      <c r="D29" s="392" t="s">
        <v>7658</v>
      </c>
    </row>
    <row r="30">
      <c r="A30" s="217" t="s">
        <v>1948</v>
      </c>
      <c r="B30" s="217" t="s">
        <v>7629</v>
      </c>
      <c r="C30" s="217" t="s">
        <v>7652</v>
      </c>
      <c r="D30" s="392" t="s">
        <v>7659</v>
      </c>
      <c r="F30" s="307"/>
    </row>
    <row r="31">
      <c r="A31" s="217" t="s">
        <v>2169</v>
      </c>
      <c r="B31" s="217" t="s">
        <v>7629</v>
      </c>
      <c r="C31" s="345" t="s">
        <v>7630</v>
      </c>
      <c r="D31" s="393" t="s">
        <v>7660</v>
      </c>
      <c r="F31" s="307"/>
    </row>
    <row r="32">
      <c r="A32" s="217" t="s">
        <v>2126</v>
      </c>
      <c r="B32" s="386" t="s">
        <v>7629</v>
      </c>
      <c r="C32" s="345" t="s">
        <v>7630</v>
      </c>
      <c r="D32" s="345" t="s">
        <v>7661</v>
      </c>
      <c r="F32" s="307"/>
    </row>
    <row r="33">
      <c r="A33" s="217" t="s">
        <v>1908</v>
      </c>
      <c r="B33" s="217" t="s">
        <v>7629</v>
      </c>
      <c r="C33" s="217" t="s">
        <v>7630</v>
      </c>
      <c r="D33" s="345"/>
      <c r="F33" s="307"/>
    </row>
    <row r="34">
      <c r="A34" s="217" t="s">
        <v>837</v>
      </c>
      <c r="B34" s="217" t="s">
        <v>7629</v>
      </c>
      <c r="C34" s="217"/>
      <c r="D34" s="345"/>
      <c r="F34" s="307"/>
    </row>
    <row r="35">
      <c r="A35" s="217" t="s">
        <v>2180</v>
      </c>
      <c r="B35" s="388" t="s">
        <v>7629</v>
      </c>
      <c r="C35" s="217"/>
      <c r="D35" s="345"/>
      <c r="F35" s="307"/>
    </row>
    <row r="36">
      <c r="A36" s="217" t="s">
        <v>2079</v>
      </c>
      <c r="B36" s="217" t="s">
        <v>7629</v>
      </c>
      <c r="C36" s="217"/>
      <c r="D36" s="345"/>
      <c r="F36" s="307"/>
    </row>
    <row r="37">
      <c r="A37" s="217" t="s">
        <v>2045</v>
      </c>
      <c r="B37" s="388" t="s">
        <v>7629</v>
      </c>
      <c r="C37" s="217"/>
      <c r="D37" s="345"/>
    </row>
    <row r="38">
      <c r="A38" s="217" t="s">
        <v>7662</v>
      </c>
      <c r="B38" s="388" t="s">
        <v>7629</v>
      </c>
      <c r="C38" s="217"/>
      <c r="D38" s="345"/>
    </row>
    <row r="39">
      <c r="A39" s="217" t="s">
        <v>7663</v>
      </c>
      <c r="B39" s="388" t="s">
        <v>7629</v>
      </c>
      <c r="C39" s="217"/>
      <c r="D39" s="345"/>
    </row>
    <row r="40">
      <c r="A40" s="217" t="s">
        <v>1329</v>
      </c>
      <c r="B40" s="388" t="s">
        <v>7629</v>
      </c>
      <c r="C40" s="345" t="s">
        <v>7630</v>
      </c>
      <c r="D40" s="392" t="s">
        <v>7664</v>
      </c>
    </row>
    <row r="41">
      <c r="A41" s="217" t="s">
        <v>1974</v>
      </c>
      <c r="B41" s="388" t="s">
        <v>7629</v>
      </c>
      <c r="C41" s="217"/>
      <c r="D41" s="345"/>
    </row>
    <row r="42">
      <c r="A42" s="217" t="s">
        <v>6508</v>
      </c>
      <c r="B42" s="388" t="s">
        <v>7629</v>
      </c>
      <c r="C42" s="217"/>
      <c r="D42" s="345"/>
    </row>
    <row r="43">
      <c r="A43" s="217" t="s">
        <v>1990</v>
      </c>
      <c r="B43" s="217" t="s">
        <v>7629</v>
      </c>
      <c r="C43" s="217"/>
      <c r="D43" s="345"/>
    </row>
    <row r="44">
      <c r="A44" s="217" t="s">
        <v>1930</v>
      </c>
      <c r="B44" s="217" t="s">
        <v>7629</v>
      </c>
      <c r="C44" s="217"/>
      <c r="D44" s="345"/>
    </row>
    <row r="45">
      <c r="A45" s="217" t="s">
        <v>1057</v>
      </c>
      <c r="B45" s="217" t="s">
        <v>7629</v>
      </c>
      <c r="C45" s="217"/>
      <c r="D45" s="217"/>
    </row>
    <row r="46">
      <c r="A46" s="217" t="s">
        <v>2275</v>
      </c>
      <c r="B46" s="388" t="s">
        <v>7629</v>
      </c>
      <c r="C46" s="345" t="s">
        <v>7630</v>
      </c>
      <c r="D46" s="217"/>
    </row>
    <row r="47">
      <c r="A47" s="217" t="s">
        <v>2113</v>
      </c>
      <c r="B47" s="388" t="s">
        <v>7629</v>
      </c>
      <c r="C47" s="217"/>
      <c r="D47" s="217"/>
    </row>
    <row r="48">
      <c r="A48" s="217" t="s">
        <v>7665</v>
      </c>
      <c r="B48" s="388" t="s">
        <v>7629</v>
      </c>
      <c r="C48" s="217"/>
      <c r="D48" s="217"/>
    </row>
    <row r="49">
      <c r="A49" s="217" t="s">
        <v>1874</v>
      </c>
      <c r="B49" s="388" t="s">
        <v>7629</v>
      </c>
      <c r="C49" s="217"/>
      <c r="D49" s="217"/>
    </row>
    <row r="50">
      <c r="A50" s="217" t="s">
        <v>333</v>
      </c>
      <c r="B50" s="388" t="s">
        <v>7629</v>
      </c>
      <c r="C50" s="217"/>
      <c r="D50" s="217"/>
    </row>
    <row r="51">
      <c r="A51" s="217" t="s">
        <v>956</v>
      </c>
      <c r="B51" s="217" t="s">
        <v>7629</v>
      </c>
      <c r="C51" s="217"/>
      <c r="D51" s="217"/>
    </row>
    <row r="52">
      <c r="A52" s="217" t="s">
        <v>1357</v>
      </c>
      <c r="B52" s="217" t="s">
        <v>7666</v>
      </c>
      <c r="C52" s="217"/>
      <c r="D52" s="217"/>
    </row>
    <row r="53">
      <c r="A53" s="217" t="s">
        <v>659</v>
      </c>
      <c r="B53" s="388" t="s">
        <v>7629</v>
      </c>
      <c r="C53" s="217"/>
      <c r="D53" s="217"/>
    </row>
    <row r="54">
      <c r="A54" s="217" t="s">
        <v>1022</v>
      </c>
      <c r="B54" s="388" t="s">
        <v>7629</v>
      </c>
      <c r="C54" s="217"/>
      <c r="D54" s="217"/>
    </row>
    <row r="55">
      <c r="A55" s="217" t="s">
        <v>6535</v>
      </c>
      <c r="B55" s="217" t="s">
        <v>7629</v>
      </c>
      <c r="C55" s="217"/>
      <c r="D55" s="217"/>
    </row>
    <row r="56">
      <c r="A56" s="217" t="s">
        <v>1985</v>
      </c>
      <c r="B56" s="217" t="s">
        <v>7666</v>
      </c>
      <c r="C56" s="217"/>
      <c r="D56" s="217"/>
    </row>
    <row r="57">
      <c r="A57" s="217" t="s">
        <v>2055</v>
      </c>
      <c r="B57" s="217" t="s">
        <v>7666</v>
      </c>
      <c r="C57" s="217"/>
      <c r="D57" s="217"/>
    </row>
    <row r="58">
      <c r="A58" s="217" t="s">
        <v>2104</v>
      </c>
      <c r="B58" s="388" t="s">
        <v>7629</v>
      </c>
      <c r="C58" s="217"/>
      <c r="D58" s="217"/>
    </row>
    <row r="59">
      <c r="A59" s="217" t="s">
        <v>1268</v>
      </c>
      <c r="B59" s="388" t="s">
        <v>7629</v>
      </c>
      <c r="C59" s="217"/>
      <c r="D59" s="217"/>
    </row>
    <row r="60">
      <c r="A60" s="217" t="s">
        <v>1871</v>
      </c>
      <c r="B60" s="388" t="s">
        <v>7666</v>
      </c>
      <c r="C60" s="217"/>
      <c r="D60" s="217"/>
    </row>
    <row r="61">
      <c r="A61" s="217" t="s">
        <v>7667</v>
      </c>
      <c r="B61" s="217" t="s">
        <v>7666</v>
      </c>
      <c r="C61" s="217"/>
      <c r="D61" s="217"/>
    </row>
    <row r="62">
      <c r="A62" s="217" t="s">
        <v>7668</v>
      </c>
      <c r="B62" s="217" t="s">
        <v>7666</v>
      </c>
      <c r="C62" s="217"/>
      <c r="D62" s="217"/>
    </row>
    <row r="63">
      <c r="A63" s="394" t="s">
        <v>2121</v>
      </c>
      <c r="B63" s="217" t="s">
        <v>7666</v>
      </c>
      <c r="C63" s="217"/>
      <c r="D63" s="217"/>
    </row>
    <row r="64">
      <c r="A64" s="394" t="s">
        <v>867</v>
      </c>
      <c r="B64" s="217" t="s">
        <v>7666</v>
      </c>
      <c r="C64" s="217"/>
      <c r="D64" s="217"/>
    </row>
    <row r="65">
      <c r="A65" s="395" t="s">
        <v>2043</v>
      </c>
      <c r="B65" s="217" t="s">
        <v>7650</v>
      </c>
      <c r="C65" s="217"/>
      <c r="D65" s="217"/>
    </row>
    <row r="66">
      <c r="A66" s="217" t="s">
        <v>2010</v>
      </c>
      <c r="B66" s="217" t="s">
        <v>7666</v>
      </c>
      <c r="C66" s="217"/>
      <c r="D66" s="217"/>
    </row>
    <row r="67">
      <c r="A67" s="217" t="s">
        <v>2086</v>
      </c>
      <c r="B67" s="217" t="s">
        <v>7666</v>
      </c>
      <c r="C67" s="217"/>
      <c r="D67" s="217"/>
    </row>
    <row r="68">
      <c r="A68" s="217" t="s">
        <v>2050</v>
      </c>
      <c r="B68" s="217" t="s">
        <v>7629</v>
      </c>
      <c r="C68" s="217"/>
      <c r="D68" s="217"/>
    </row>
    <row r="69">
      <c r="A69" s="217" t="s">
        <v>7651</v>
      </c>
      <c r="B69" s="217" t="s">
        <v>7650</v>
      </c>
      <c r="C69" s="217"/>
      <c r="D69" s="217"/>
    </row>
    <row r="70">
      <c r="A70" s="217" t="s">
        <v>7669</v>
      </c>
      <c r="B70" s="217" t="s">
        <v>7629</v>
      </c>
      <c r="C70" s="217"/>
      <c r="D70" s="217"/>
    </row>
    <row r="71">
      <c r="A71" s="217" t="s">
        <v>1946</v>
      </c>
      <c r="B71" s="217" t="s">
        <v>7629</v>
      </c>
      <c r="C71" s="217"/>
      <c r="D71" s="217"/>
    </row>
    <row r="72">
      <c r="A72" s="217" t="s">
        <v>2080</v>
      </c>
      <c r="B72" s="217" t="s">
        <v>7629</v>
      </c>
      <c r="C72" s="217"/>
      <c r="D72" s="217"/>
    </row>
    <row r="73">
      <c r="A73" s="217" t="s">
        <v>2112</v>
      </c>
      <c r="B73" s="217" t="s">
        <v>7666</v>
      </c>
      <c r="C73" s="217"/>
      <c r="D73" s="217"/>
    </row>
    <row r="74">
      <c r="A74" s="395" t="s">
        <v>2137</v>
      </c>
      <c r="B74" s="217" t="s">
        <v>7666</v>
      </c>
      <c r="C74" s="217"/>
      <c r="D74" s="217"/>
    </row>
    <row r="75">
      <c r="A75" s="396" t="s">
        <v>7670</v>
      </c>
      <c r="B75" s="217" t="s">
        <v>7666</v>
      </c>
    </row>
    <row r="76">
      <c r="A76" s="307" t="s">
        <v>7671</v>
      </c>
      <c r="B76" s="217" t="s">
        <v>7666</v>
      </c>
    </row>
    <row r="77">
      <c r="A77" s="397" t="s">
        <v>1193</v>
      </c>
      <c r="B77" s="217" t="s">
        <v>7666</v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23.63"/>
    <col customWidth="1" min="3" max="3" width="12.75"/>
    <col customWidth="1" min="4" max="4" width="13.63"/>
    <col customWidth="1" min="5" max="5" width="12.63"/>
  </cols>
  <sheetData>
    <row r="1">
      <c r="A1" s="169" t="s">
        <v>7430</v>
      </c>
      <c r="B1" s="169" t="s">
        <v>3833</v>
      </c>
      <c r="C1" s="169" t="s">
        <v>60</v>
      </c>
      <c r="D1" s="169" t="s">
        <v>7672</v>
      </c>
      <c r="E1" s="138"/>
    </row>
    <row r="2">
      <c r="A2" s="398" t="s">
        <v>7673</v>
      </c>
      <c r="B2" s="398" t="s">
        <v>1813</v>
      </c>
      <c r="C2" s="398" t="s">
        <v>17</v>
      </c>
      <c r="D2" s="398" t="s">
        <v>5616</v>
      </c>
      <c r="E2" s="398"/>
    </row>
    <row r="3">
      <c r="A3" s="399" t="s">
        <v>1871</v>
      </c>
      <c r="B3" s="399" t="s">
        <v>1112</v>
      </c>
      <c r="C3" s="399" t="s">
        <v>17</v>
      </c>
      <c r="D3" s="399" t="s">
        <v>7674</v>
      </c>
      <c r="E3" s="399" t="s">
        <v>7675</v>
      </c>
    </row>
    <row r="4">
      <c r="A4" s="398" t="s">
        <v>7676</v>
      </c>
      <c r="B4" s="398" t="s">
        <v>1123</v>
      </c>
      <c r="C4" s="398" t="s">
        <v>17</v>
      </c>
      <c r="D4" s="398" t="s">
        <v>7674</v>
      </c>
      <c r="E4" s="398" t="s">
        <v>7675</v>
      </c>
    </row>
    <row r="5">
      <c r="A5" s="399" t="s">
        <v>1895</v>
      </c>
      <c r="B5" s="399" t="s">
        <v>1896</v>
      </c>
      <c r="C5" s="399" t="s">
        <v>17</v>
      </c>
      <c r="D5" s="399" t="s">
        <v>7674</v>
      </c>
      <c r="E5" s="399" t="s">
        <v>7677</v>
      </c>
    </row>
    <row r="6">
      <c r="A6" s="398" t="s">
        <v>2137</v>
      </c>
      <c r="B6" s="398" t="s">
        <v>2138</v>
      </c>
      <c r="C6" s="398" t="s">
        <v>17</v>
      </c>
      <c r="D6" s="398" t="s">
        <v>7674</v>
      </c>
      <c r="E6" s="398" t="s">
        <v>7675</v>
      </c>
    </row>
    <row r="7">
      <c r="A7" s="399" t="s">
        <v>2092</v>
      </c>
      <c r="B7" s="399" t="s">
        <v>2093</v>
      </c>
      <c r="C7" s="399" t="s">
        <v>17</v>
      </c>
      <c r="D7" s="399" t="s">
        <v>7674</v>
      </c>
      <c r="E7" s="399" t="s">
        <v>7675</v>
      </c>
    </row>
    <row r="8">
      <c r="A8" s="398" t="s">
        <v>1943</v>
      </c>
      <c r="B8" s="398" t="s">
        <v>1944</v>
      </c>
      <c r="C8" s="398" t="s">
        <v>17</v>
      </c>
      <c r="D8" s="398" t="s">
        <v>7674</v>
      </c>
      <c r="E8" s="398" t="s">
        <v>7675</v>
      </c>
    </row>
    <row r="9">
      <c r="A9" s="399" t="s">
        <v>2451</v>
      </c>
      <c r="B9" s="399" t="s">
        <v>2452</v>
      </c>
      <c r="C9" s="399" t="s">
        <v>17</v>
      </c>
      <c r="D9" s="399" t="s">
        <v>7674</v>
      </c>
      <c r="E9" s="399" t="s">
        <v>7675</v>
      </c>
    </row>
    <row r="10">
      <c r="A10" s="398" t="s">
        <v>2576</v>
      </c>
      <c r="B10" s="398" t="s">
        <v>1125</v>
      </c>
      <c r="C10" s="398" t="s">
        <v>17</v>
      </c>
      <c r="D10" s="398" t="s">
        <v>7674</v>
      </c>
      <c r="E10" s="398" t="s">
        <v>7675</v>
      </c>
    </row>
    <row r="11">
      <c r="A11" s="399" t="s">
        <v>2121</v>
      </c>
      <c r="B11" s="399" t="s">
        <v>2122</v>
      </c>
      <c r="C11" s="399" t="s">
        <v>17</v>
      </c>
      <c r="D11" s="399" t="s">
        <v>7674</v>
      </c>
      <c r="E11" s="399" t="s">
        <v>7675</v>
      </c>
    </row>
    <row r="12">
      <c r="A12" s="398" t="s">
        <v>2765</v>
      </c>
      <c r="B12" s="398" t="s">
        <v>2766</v>
      </c>
      <c r="C12" s="398" t="s">
        <v>17</v>
      </c>
      <c r="D12" s="398" t="s">
        <v>7674</v>
      </c>
      <c r="E12" s="398" t="s">
        <v>7675</v>
      </c>
    </row>
    <row r="13">
      <c r="A13" s="399" t="s">
        <v>2780</v>
      </c>
      <c r="B13" s="399" t="s">
        <v>2781</v>
      </c>
      <c r="C13" s="399" t="s">
        <v>17</v>
      </c>
      <c r="D13" s="399" t="s">
        <v>7674</v>
      </c>
      <c r="E13" s="399" t="s">
        <v>7675</v>
      </c>
    </row>
    <row r="14">
      <c r="A14" s="398" t="s">
        <v>2682</v>
      </c>
      <c r="B14" s="398" t="s">
        <v>2683</v>
      </c>
      <c r="C14" s="398" t="s">
        <v>47</v>
      </c>
      <c r="D14" s="398" t="s">
        <v>7674</v>
      </c>
      <c r="E14" s="398" t="s">
        <v>7675</v>
      </c>
    </row>
    <row r="15">
      <c r="A15" s="399" t="s">
        <v>1674</v>
      </c>
      <c r="B15" s="399" t="s">
        <v>1675</v>
      </c>
      <c r="C15" s="399" t="s">
        <v>47</v>
      </c>
      <c r="D15" s="399" t="s">
        <v>7674</v>
      </c>
      <c r="E15" s="399" t="s">
        <v>7675</v>
      </c>
    </row>
    <row r="16">
      <c r="A16" s="398" t="s">
        <v>2072</v>
      </c>
      <c r="B16" s="398" t="s">
        <v>2073</v>
      </c>
      <c r="C16" s="398" t="s">
        <v>47</v>
      </c>
      <c r="D16" s="398" t="s">
        <v>7674</v>
      </c>
      <c r="E16" s="398" t="s">
        <v>7675</v>
      </c>
    </row>
    <row r="17">
      <c r="A17" s="399" t="s">
        <v>1648</v>
      </c>
      <c r="B17" s="399" t="s">
        <v>1649</v>
      </c>
      <c r="C17" s="399" t="s">
        <v>47</v>
      </c>
      <c r="D17" s="399" t="s">
        <v>7674</v>
      </c>
      <c r="E17" s="399" t="s">
        <v>7675</v>
      </c>
    </row>
    <row r="18">
      <c r="A18" s="398" t="s">
        <v>2688</v>
      </c>
      <c r="B18" s="398" t="s">
        <v>2689</v>
      </c>
      <c r="C18" s="398" t="s">
        <v>47</v>
      </c>
      <c r="D18" s="398" t="s">
        <v>7674</v>
      </c>
      <c r="E18" s="398" t="s">
        <v>7675</v>
      </c>
    </row>
    <row r="19">
      <c r="A19" s="399" t="s">
        <v>2235</v>
      </c>
      <c r="B19" s="399" t="s">
        <v>2236</v>
      </c>
      <c r="C19" s="399" t="s">
        <v>47</v>
      </c>
      <c r="D19" s="399" t="s">
        <v>7674</v>
      </c>
      <c r="E19" s="399" t="s">
        <v>7675</v>
      </c>
    </row>
    <row r="20">
      <c r="A20" s="398" t="s">
        <v>2027</v>
      </c>
      <c r="B20" s="398" t="s">
        <v>2028</v>
      </c>
      <c r="C20" s="398" t="s">
        <v>47</v>
      </c>
      <c r="D20" s="398" t="s">
        <v>7674</v>
      </c>
      <c r="E20" s="398" t="s">
        <v>7675</v>
      </c>
    </row>
    <row r="21">
      <c r="A21" s="399" t="s">
        <v>1999</v>
      </c>
      <c r="B21" s="399" t="s">
        <v>2000</v>
      </c>
      <c r="C21" s="399" t="s">
        <v>47</v>
      </c>
      <c r="D21" s="399" t="s">
        <v>7674</v>
      </c>
      <c r="E21" s="399" t="s">
        <v>7675</v>
      </c>
    </row>
    <row r="22">
      <c r="A22" s="398" t="s">
        <v>1074</v>
      </c>
      <c r="B22" s="398" t="s">
        <v>1075</v>
      </c>
      <c r="C22" s="398" t="s">
        <v>47</v>
      </c>
      <c r="D22" s="398" t="s">
        <v>7674</v>
      </c>
      <c r="E22" s="398" t="s">
        <v>7675</v>
      </c>
    </row>
    <row r="23">
      <c r="A23" s="399" t="s">
        <v>2188</v>
      </c>
      <c r="B23" s="399" t="s">
        <v>2189</v>
      </c>
      <c r="C23" s="399" t="s">
        <v>47</v>
      </c>
      <c r="D23" s="399" t="s">
        <v>7674</v>
      </c>
      <c r="E23" s="399"/>
    </row>
  </sheetData>
  <autoFilter ref="$A$1:$E$2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13"/>
    <col customWidth="1" min="2" max="2" width="14.0"/>
    <col customWidth="1" min="3" max="3" width="12.13"/>
    <col customWidth="1" min="4" max="4" width="12.88"/>
    <col customWidth="1" min="5" max="5" width="47.0"/>
    <col customWidth="1" min="6" max="7" width="11.88"/>
  </cols>
  <sheetData>
    <row r="1">
      <c r="A1" s="169" t="s">
        <v>7678</v>
      </c>
      <c r="B1" s="169" t="s">
        <v>60</v>
      </c>
      <c r="C1" s="169" t="s">
        <v>7679</v>
      </c>
      <c r="D1" s="169" t="s">
        <v>7680</v>
      </c>
      <c r="E1" s="169" t="s">
        <v>7681</v>
      </c>
      <c r="F1" s="400" t="s">
        <v>7682</v>
      </c>
      <c r="G1" s="401" t="s">
        <v>7683</v>
      </c>
    </row>
    <row r="2">
      <c r="A2" s="138" t="s">
        <v>2147</v>
      </c>
      <c r="B2" s="138" t="s">
        <v>36</v>
      </c>
      <c r="C2" s="138" t="s">
        <v>4758</v>
      </c>
      <c r="D2" s="138" t="s">
        <v>1702</v>
      </c>
      <c r="E2" s="138"/>
      <c r="F2" s="402"/>
      <c r="G2" s="402" t="s">
        <v>7684</v>
      </c>
    </row>
    <row r="3">
      <c r="A3" s="138" t="s">
        <v>1112</v>
      </c>
      <c r="B3" s="138" t="s">
        <v>17</v>
      </c>
      <c r="C3" s="138" t="s">
        <v>4945</v>
      </c>
      <c r="D3" s="138" t="s">
        <v>4946</v>
      </c>
      <c r="E3" s="138" t="s">
        <v>7685</v>
      </c>
      <c r="F3" s="402"/>
      <c r="G3" s="402" t="s">
        <v>7686</v>
      </c>
    </row>
    <row r="4">
      <c r="A4" s="138" t="s">
        <v>1328</v>
      </c>
      <c r="B4" s="138" t="s">
        <v>17</v>
      </c>
      <c r="C4" s="138" t="s">
        <v>4590</v>
      </c>
      <c r="D4" s="138" t="s">
        <v>4162</v>
      </c>
      <c r="E4" s="138" t="s">
        <v>7687</v>
      </c>
      <c r="F4" s="402"/>
      <c r="G4" s="402" t="s">
        <v>7686</v>
      </c>
    </row>
    <row r="5">
      <c r="A5" s="138" t="s">
        <v>2084</v>
      </c>
      <c r="B5" s="138" t="s">
        <v>17</v>
      </c>
      <c r="C5" s="138" t="s">
        <v>7688</v>
      </c>
      <c r="D5" s="138" t="s">
        <v>7689</v>
      </c>
      <c r="E5" s="138" t="s">
        <v>7690</v>
      </c>
      <c r="F5" s="402"/>
      <c r="G5" s="402" t="s">
        <v>7686</v>
      </c>
    </row>
    <row r="6">
      <c r="A6" s="138" t="s">
        <v>1123</v>
      </c>
      <c r="B6" s="138" t="s">
        <v>17</v>
      </c>
      <c r="C6" s="138" t="s">
        <v>5186</v>
      </c>
      <c r="D6" s="138" t="s">
        <v>4712</v>
      </c>
      <c r="E6" s="138" t="s">
        <v>7687</v>
      </c>
      <c r="F6" s="402"/>
      <c r="G6" s="402" t="s">
        <v>7686</v>
      </c>
    </row>
    <row r="7">
      <c r="A7" s="138" t="s">
        <v>2041</v>
      </c>
      <c r="B7" s="138" t="s">
        <v>16</v>
      </c>
      <c r="C7" s="138" t="s">
        <v>7691</v>
      </c>
      <c r="D7" s="138" t="s">
        <v>4567</v>
      </c>
      <c r="E7" s="138" t="s">
        <v>7687</v>
      </c>
      <c r="F7" s="402"/>
      <c r="G7" s="402"/>
    </row>
    <row r="8">
      <c r="A8" s="138" t="s">
        <v>1896</v>
      </c>
      <c r="B8" s="138" t="s">
        <v>17</v>
      </c>
      <c r="C8" s="138" t="s">
        <v>4748</v>
      </c>
      <c r="D8" s="138" t="s">
        <v>4128</v>
      </c>
      <c r="E8" s="138" t="s">
        <v>7687</v>
      </c>
      <c r="F8" s="402"/>
      <c r="G8" s="402" t="s">
        <v>7686</v>
      </c>
    </row>
    <row r="9">
      <c r="A9" s="138" t="s">
        <v>7692</v>
      </c>
      <c r="B9" s="138" t="s">
        <v>16</v>
      </c>
      <c r="C9" s="138" t="s">
        <v>4519</v>
      </c>
      <c r="D9" s="138" t="s">
        <v>4520</v>
      </c>
      <c r="E9" s="138" t="s">
        <v>7687</v>
      </c>
      <c r="F9" s="402"/>
      <c r="G9" s="402"/>
    </row>
    <row r="10">
      <c r="A10" s="138" t="s">
        <v>2093</v>
      </c>
      <c r="B10" s="138" t="s">
        <v>17</v>
      </c>
      <c r="C10" s="138" t="s">
        <v>4596</v>
      </c>
      <c r="D10" s="138" t="s">
        <v>4162</v>
      </c>
      <c r="E10" s="138" t="s">
        <v>7687</v>
      </c>
      <c r="F10" s="402"/>
      <c r="G10" s="402" t="s">
        <v>7686</v>
      </c>
    </row>
    <row r="11">
      <c r="A11" s="138" t="s">
        <v>1944</v>
      </c>
      <c r="B11" s="138" t="s">
        <v>17</v>
      </c>
      <c r="C11" s="138" t="s">
        <v>4928</v>
      </c>
      <c r="D11" s="138" t="s">
        <v>4929</v>
      </c>
      <c r="E11" s="138" t="s">
        <v>7687</v>
      </c>
      <c r="F11" s="402"/>
      <c r="G11" s="402" t="s">
        <v>7686</v>
      </c>
    </row>
    <row r="12">
      <c r="A12" s="138" t="s">
        <v>1488</v>
      </c>
      <c r="B12" s="138" t="s">
        <v>36</v>
      </c>
      <c r="C12" s="138" t="s">
        <v>4134</v>
      </c>
      <c r="D12" s="138" t="s">
        <v>4132</v>
      </c>
      <c r="E12" s="138"/>
      <c r="F12" s="402"/>
      <c r="G12" s="402"/>
    </row>
    <row r="13">
      <c r="A13" s="138" t="s">
        <v>2162</v>
      </c>
      <c r="B13" s="138" t="s">
        <v>16</v>
      </c>
      <c r="C13" s="138" t="s">
        <v>4477</v>
      </c>
      <c r="D13" s="138" t="s">
        <v>4478</v>
      </c>
      <c r="E13" s="138" t="s">
        <v>7687</v>
      </c>
      <c r="F13" s="402"/>
      <c r="G13" s="402"/>
    </row>
    <row r="14">
      <c r="A14" s="138" t="s">
        <v>2138</v>
      </c>
      <c r="B14" s="138" t="s">
        <v>17</v>
      </c>
      <c r="C14" s="138" t="s">
        <v>4949</v>
      </c>
      <c r="D14" s="138" t="s">
        <v>4162</v>
      </c>
      <c r="E14" s="138" t="s">
        <v>7687</v>
      </c>
      <c r="F14" s="402"/>
      <c r="G14" s="402" t="s">
        <v>7686</v>
      </c>
    </row>
    <row r="15">
      <c r="A15" s="138" t="s">
        <v>1438</v>
      </c>
      <c r="B15" s="138" t="s">
        <v>16</v>
      </c>
      <c r="C15" s="138" t="s">
        <v>7693</v>
      </c>
      <c r="D15" s="138" t="s">
        <v>7694</v>
      </c>
      <c r="E15" s="138" t="s">
        <v>7687</v>
      </c>
      <c r="F15" s="402"/>
      <c r="G15" s="402"/>
    </row>
    <row r="16">
      <c r="A16" s="138" t="s">
        <v>1956</v>
      </c>
      <c r="B16" s="138" t="s">
        <v>16</v>
      </c>
      <c r="C16" s="138" t="s">
        <v>4563</v>
      </c>
      <c r="D16" s="138" t="s">
        <v>6019</v>
      </c>
      <c r="E16" s="138" t="s">
        <v>7687</v>
      </c>
      <c r="F16" s="402"/>
      <c r="G16" s="402"/>
    </row>
    <row r="17">
      <c r="A17" s="138" t="s">
        <v>1973</v>
      </c>
      <c r="B17" s="138" t="s">
        <v>16</v>
      </c>
      <c r="C17" s="138" t="s">
        <v>4387</v>
      </c>
      <c r="D17" s="138" t="s">
        <v>4388</v>
      </c>
      <c r="E17" s="138" t="s">
        <v>7687</v>
      </c>
      <c r="F17" s="402"/>
      <c r="G17" s="402"/>
    </row>
    <row r="18">
      <c r="A18" s="138" t="s">
        <v>1879</v>
      </c>
      <c r="B18" s="138" t="s">
        <v>4088</v>
      </c>
      <c r="C18" s="138" t="s">
        <v>7695</v>
      </c>
      <c r="D18" s="138" t="s">
        <v>5170</v>
      </c>
      <c r="E18" s="138"/>
      <c r="F18" s="402"/>
      <c r="G18" s="402" t="s">
        <v>7684</v>
      </c>
    </row>
    <row r="19">
      <c r="A19" s="138" t="s">
        <v>1015</v>
      </c>
      <c r="B19" s="138" t="s">
        <v>16</v>
      </c>
      <c r="C19" s="138" t="s">
        <v>4034</v>
      </c>
      <c r="D19" s="138" t="s">
        <v>4128</v>
      </c>
      <c r="E19" s="138" t="s">
        <v>7687</v>
      </c>
      <c r="F19" s="402"/>
      <c r="G19" s="402"/>
    </row>
    <row r="20">
      <c r="A20" s="138" t="s">
        <v>1325</v>
      </c>
      <c r="B20" s="138" t="s">
        <v>4088</v>
      </c>
      <c r="C20" s="138" t="s">
        <v>4380</v>
      </c>
      <c r="D20" s="138" t="s">
        <v>4162</v>
      </c>
      <c r="E20" s="138" t="s">
        <v>7687</v>
      </c>
      <c r="F20" s="402"/>
      <c r="G20" s="402" t="s">
        <v>7686</v>
      </c>
    </row>
    <row r="21">
      <c r="A21" s="138" t="s">
        <v>2297</v>
      </c>
      <c r="B21" s="138" t="s">
        <v>4108</v>
      </c>
      <c r="C21" s="138" t="s">
        <v>4281</v>
      </c>
      <c r="D21" s="138" t="s">
        <v>4734</v>
      </c>
      <c r="E21" s="138" t="s">
        <v>7687</v>
      </c>
      <c r="F21" s="402"/>
      <c r="G21" s="402"/>
    </row>
    <row r="22">
      <c r="A22" s="138" t="s">
        <v>1110</v>
      </c>
      <c r="B22" s="138" t="s">
        <v>4088</v>
      </c>
      <c r="C22" s="138" t="s">
        <v>7696</v>
      </c>
      <c r="D22" s="138" t="s">
        <v>4970</v>
      </c>
      <c r="E22" s="138" t="s">
        <v>7687</v>
      </c>
      <c r="F22" s="402"/>
      <c r="G22" s="402" t="s">
        <v>7686</v>
      </c>
    </row>
    <row r="23">
      <c r="A23" s="138" t="s">
        <v>1317</v>
      </c>
      <c r="B23" s="138" t="s">
        <v>4088</v>
      </c>
      <c r="C23" s="138" t="s">
        <v>4359</v>
      </c>
      <c r="D23" s="138" t="s">
        <v>7697</v>
      </c>
      <c r="E23" s="138" t="s">
        <v>7690</v>
      </c>
      <c r="F23" s="402"/>
      <c r="G23" s="402" t="s">
        <v>7686</v>
      </c>
    </row>
    <row r="24">
      <c r="A24" s="138" t="s">
        <v>1464</v>
      </c>
      <c r="B24" s="138" t="s">
        <v>4108</v>
      </c>
      <c r="C24" s="138" t="s">
        <v>4466</v>
      </c>
      <c r="D24" s="138" t="s">
        <v>4467</v>
      </c>
      <c r="E24" s="138" t="s">
        <v>7687</v>
      </c>
      <c r="F24" s="402"/>
      <c r="G24" s="402"/>
    </row>
    <row r="25">
      <c r="A25" s="138" t="s">
        <v>1380</v>
      </c>
      <c r="B25" s="138" t="s">
        <v>33</v>
      </c>
      <c r="C25" s="138" t="s">
        <v>7698</v>
      </c>
      <c r="D25" s="138" t="s">
        <v>4952</v>
      </c>
      <c r="E25" s="138" t="s">
        <v>7699</v>
      </c>
      <c r="F25" s="402"/>
      <c r="G25" s="402" t="s">
        <v>7686</v>
      </c>
    </row>
    <row r="26">
      <c r="A26" s="138" t="s">
        <v>2452</v>
      </c>
      <c r="B26" s="138" t="s">
        <v>4088</v>
      </c>
      <c r="C26" s="138" t="s">
        <v>7700</v>
      </c>
      <c r="D26" s="138" t="s">
        <v>4428</v>
      </c>
      <c r="E26" s="138" t="s">
        <v>7687</v>
      </c>
      <c r="F26" s="402"/>
      <c r="G26" s="402" t="s">
        <v>7686</v>
      </c>
    </row>
    <row r="27">
      <c r="A27" s="138" t="s">
        <v>2159</v>
      </c>
      <c r="B27" s="138" t="s">
        <v>39</v>
      </c>
      <c r="C27" s="138" t="s">
        <v>4688</v>
      </c>
      <c r="D27" s="138" t="s">
        <v>7701</v>
      </c>
      <c r="E27" s="138" t="s">
        <v>7699</v>
      </c>
      <c r="F27" s="402"/>
      <c r="G27" s="402"/>
    </row>
    <row r="28">
      <c r="A28" s="138" t="s">
        <v>1981</v>
      </c>
      <c r="B28" s="138" t="s">
        <v>39</v>
      </c>
      <c r="C28" s="138" t="s">
        <v>7702</v>
      </c>
      <c r="D28" s="138" t="s">
        <v>7703</v>
      </c>
      <c r="E28" s="138" t="s">
        <v>7699</v>
      </c>
      <c r="F28" s="402"/>
      <c r="G28" s="402"/>
    </row>
    <row r="29">
      <c r="A29" s="138" t="s">
        <v>1549</v>
      </c>
      <c r="B29" s="138" t="s">
        <v>35</v>
      </c>
      <c r="C29" s="138" t="s">
        <v>7704</v>
      </c>
      <c r="D29" s="138" t="s">
        <v>7705</v>
      </c>
      <c r="E29" s="138" t="s">
        <v>7699</v>
      </c>
      <c r="F29" s="402"/>
      <c r="G29" s="402" t="s">
        <v>7686</v>
      </c>
    </row>
    <row r="30">
      <c r="A30" s="138" t="s">
        <v>2534</v>
      </c>
      <c r="B30" s="138" t="s">
        <v>4108</v>
      </c>
      <c r="C30" s="138" t="s">
        <v>4380</v>
      </c>
      <c r="D30" s="138" t="s">
        <v>4381</v>
      </c>
      <c r="E30" s="138" t="s">
        <v>7687</v>
      </c>
      <c r="F30" s="402"/>
      <c r="G30" s="402"/>
    </row>
    <row r="31">
      <c r="A31" s="138" t="s">
        <v>1125</v>
      </c>
      <c r="B31" s="138" t="s">
        <v>4088</v>
      </c>
      <c r="C31" s="138" t="s">
        <v>4147</v>
      </c>
      <c r="D31" s="138" t="s">
        <v>4148</v>
      </c>
      <c r="E31" s="138" t="s">
        <v>7687</v>
      </c>
      <c r="F31" s="402"/>
      <c r="G31" s="402" t="s">
        <v>7686</v>
      </c>
    </row>
    <row r="32">
      <c r="A32" s="138" t="s">
        <v>1135</v>
      </c>
      <c r="B32" s="138" t="s">
        <v>33</v>
      </c>
      <c r="C32" s="138" t="s">
        <v>4222</v>
      </c>
      <c r="D32" s="138" t="s">
        <v>4403</v>
      </c>
      <c r="E32" s="138" t="s">
        <v>7699</v>
      </c>
      <c r="F32" s="402"/>
      <c r="G32" s="402" t="s">
        <v>7686</v>
      </c>
    </row>
    <row r="33">
      <c r="A33" s="138" t="s">
        <v>7706</v>
      </c>
      <c r="B33" s="138" t="s">
        <v>33</v>
      </c>
      <c r="C33" s="138" t="s">
        <v>4671</v>
      </c>
      <c r="D33" s="138" t="s">
        <v>7707</v>
      </c>
      <c r="E33" s="138" t="s">
        <v>7699</v>
      </c>
      <c r="F33" s="402"/>
      <c r="G33" s="402"/>
    </row>
    <row r="34">
      <c r="A34" s="138" t="s">
        <v>1553</v>
      </c>
      <c r="B34" s="138" t="s">
        <v>33</v>
      </c>
      <c r="C34" s="138" t="s">
        <v>4222</v>
      </c>
      <c r="D34" s="138" t="s">
        <v>4223</v>
      </c>
      <c r="E34" s="138" t="s">
        <v>7699</v>
      </c>
      <c r="F34" s="402"/>
      <c r="G34" s="402"/>
    </row>
    <row r="35">
      <c r="A35" s="138" t="s">
        <v>2358</v>
      </c>
      <c r="B35" s="138" t="s">
        <v>7708</v>
      </c>
      <c r="C35" s="138" t="s">
        <v>4155</v>
      </c>
      <c r="D35" s="138" t="s">
        <v>4287</v>
      </c>
      <c r="E35" s="138" t="s">
        <v>7699</v>
      </c>
      <c r="F35" s="402"/>
      <c r="G35" s="402"/>
    </row>
    <row r="36">
      <c r="A36" s="138" t="s">
        <v>1411</v>
      </c>
      <c r="B36" s="138" t="s">
        <v>7708</v>
      </c>
      <c r="C36" s="138" t="s">
        <v>4506</v>
      </c>
      <c r="D36" s="138" t="s">
        <v>4299</v>
      </c>
      <c r="E36" s="138" t="s">
        <v>7699</v>
      </c>
      <c r="F36" s="402"/>
      <c r="G36" s="402"/>
    </row>
    <row r="37">
      <c r="A37" s="138" t="s">
        <v>1409</v>
      </c>
      <c r="B37" s="138" t="s">
        <v>7708</v>
      </c>
      <c r="C37" s="138" t="s">
        <v>4674</v>
      </c>
      <c r="D37" s="138" t="s">
        <v>4538</v>
      </c>
      <c r="E37" s="138" t="s">
        <v>7699</v>
      </c>
      <c r="F37" s="402"/>
      <c r="G37" s="402"/>
    </row>
    <row r="38">
      <c r="A38" s="138" t="s">
        <v>1496</v>
      </c>
      <c r="B38" s="138" t="s">
        <v>7708</v>
      </c>
      <c r="C38" s="138" t="s">
        <v>4677</v>
      </c>
      <c r="D38" s="138" t="s">
        <v>4678</v>
      </c>
      <c r="E38" s="138" t="s">
        <v>7699</v>
      </c>
      <c r="F38" s="403">
        <v>45839.0</v>
      </c>
      <c r="G38" s="404" t="s">
        <v>7709</v>
      </c>
    </row>
    <row r="39">
      <c r="A39" s="138" t="s">
        <v>2510</v>
      </c>
      <c r="B39" s="138" t="s">
        <v>7708</v>
      </c>
      <c r="C39" s="138" t="s">
        <v>4481</v>
      </c>
      <c r="D39" s="138" t="s">
        <v>4132</v>
      </c>
      <c r="E39" s="138" t="s">
        <v>7699</v>
      </c>
      <c r="F39" s="402"/>
      <c r="G39" s="402"/>
    </row>
    <row r="40">
      <c r="A40" s="138" t="s">
        <v>2402</v>
      </c>
      <c r="B40" s="138" t="s">
        <v>7708</v>
      </c>
      <c r="C40" s="138" t="s">
        <v>3986</v>
      </c>
      <c r="D40" s="138" t="s">
        <v>4162</v>
      </c>
      <c r="E40" s="138" t="s">
        <v>7699</v>
      </c>
      <c r="F40" s="402"/>
      <c r="G40" s="402"/>
    </row>
    <row r="41">
      <c r="A41" s="138" t="s">
        <v>1133</v>
      </c>
      <c r="B41" s="138" t="s">
        <v>33</v>
      </c>
      <c r="C41" s="138" t="s">
        <v>4276</v>
      </c>
      <c r="D41" s="138" t="s">
        <v>7710</v>
      </c>
      <c r="E41" s="138" t="s">
        <v>7699</v>
      </c>
      <c r="F41" s="402"/>
      <c r="G41" s="402" t="s">
        <v>7686</v>
      </c>
    </row>
    <row r="42">
      <c r="A42" s="138" t="s">
        <v>1784</v>
      </c>
      <c r="B42" s="138" t="s">
        <v>33</v>
      </c>
      <c r="C42" s="138" t="s">
        <v>4301</v>
      </c>
      <c r="D42" s="138" t="s">
        <v>4511</v>
      </c>
      <c r="E42" s="138" t="s">
        <v>7699</v>
      </c>
      <c r="F42" s="402"/>
      <c r="G42" s="402" t="s">
        <v>7686</v>
      </c>
    </row>
    <row r="43">
      <c r="A43" s="138" t="s">
        <v>1783</v>
      </c>
      <c r="B43" s="138" t="s">
        <v>33</v>
      </c>
      <c r="C43" s="138" t="s">
        <v>4185</v>
      </c>
      <c r="D43" s="138" t="s">
        <v>4162</v>
      </c>
      <c r="E43" s="138" t="s">
        <v>7699</v>
      </c>
      <c r="F43" s="402"/>
      <c r="G43" s="402" t="s">
        <v>7686</v>
      </c>
    </row>
    <row r="44">
      <c r="A44" s="138" t="s">
        <v>1100</v>
      </c>
      <c r="B44" s="138" t="s">
        <v>7708</v>
      </c>
      <c r="C44" s="138" t="s">
        <v>4315</v>
      </c>
      <c r="D44" s="138" t="s">
        <v>4424</v>
      </c>
      <c r="E44" s="138" t="s">
        <v>7699</v>
      </c>
      <c r="F44" s="402"/>
      <c r="G44" s="402" t="s">
        <v>7686</v>
      </c>
    </row>
    <row r="45">
      <c r="A45" s="138" t="s">
        <v>2695</v>
      </c>
      <c r="B45" s="138" t="s">
        <v>4088</v>
      </c>
      <c r="C45" s="138" t="s">
        <v>4367</v>
      </c>
      <c r="D45" s="138" t="s">
        <v>4319</v>
      </c>
      <c r="E45" s="138" t="s">
        <v>7687</v>
      </c>
      <c r="F45" s="402"/>
      <c r="G45" s="402" t="s">
        <v>7686</v>
      </c>
    </row>
    <row r="46">
      <c r="A46" s="138" t="s">
        <v>2766</v>
      </c>
      <c r="B46" s="138" t="s">
        <v>4088</v>
      </c>
      <c r="C46" s="138" t="s">
        <v>4780</v>
      </c>
      <c r="D46" s="138" t="s">
        <v>4617</v>
      </c>
      <c r="E46" s="138" t="s">
        <v>7687</v>
      </c>
      <c r="F46" s="402"/>
      <c r="G46" s="402" t="s">
        <v>7686</v>
      </c>
    </row>
    <row r="47">
      <c r="A47" s="138" t="s">
        <v>2773</v>
      </c>
      <c r="B47" s="138" t="s">
        <v>4088</v>
      </c>
      <c r="C47" s="138" t="s">
        <v>5409</v>
      </c>
      <c r="D47" s="138" t="s">
        <v>7711</v>
      </c>
      <c r="E47" s="138" t="s">
        <v>7687</v>
      </c>
      <c r="F47" s="402"/>
      <c r="G47" s="402" t="s">
        <v>7686</v>
      </c>
    </row>
    <row r="48">
      <c r="A48" s="138" t="s">
        <v>2781</v>
      </c>
      <c r="B48" s="138" t="s">
        <v>4088</v>
      </c>
      <c r="C48" s="138" t="s">
        <v>5417</v>
      </c>
      <c r="D48" s="138" t="s">
        <v>5418</v>
      </c>
      <c r="E48" s="138" t="s">
        <v>7687</v>
      </c>
      <c r="F48" s="402"/>
      <c r="G48" s="402" t="s">
        <v>7686</v>
      </c>
    </row>
    <row r="49">
      <c r="A49" s="138" t="s">
        <v>1905</v>
      </c>
      <c r="B49" s="138" t="s">
        <v>28</v>
      </c>
      <c r="C49" s="138"/>
      <c r="D49" s="138"/>
      <c r="E49" s="138" t="s">
        <v>7699</v>
      </c>
      <c r="F49" s="402"/>
      <c r="G49" s="402" t="s">
        <v>7686</v>
      </c>
    </row>
    <row r="50">
      <c r="A50" s="138" t="s">
        <v>1356</v>
      </c>
      <c r="B50" s="138" t="s">
        <v>33</v>
      </c>
      <c r="C50" s="138" t="s">
        <v>4143</v>
      </c>
      <c r="D50" s="138" t="s">
        <v>4305</v>
      </c>
      <c r="E50" s="138" t="s">
        <v>7699</v>
      </c>
      <c r="F50" s="402"/>
      <c r="G50" s="402" t="s">
        <v>7686</v>
      </c>
    </row>
    <row r="51">
      <c r="A51" s="138" t="s">
        <v>1786</v>
      </c>
      <c r="B51" s="138" t="s">
        <v>33</v>
      </c>
      <c r="C51" s="138" t="s">
        <v>4295</v>
      </c>
      <c r="D51" s="138" t="s">
        <v>4296</v>
      </c>
      <c r="E51" s="138" t="s">
        <v>7699</v>
      </c>
      <c r="F51" s="402"/>
      <c r="G51" s="402" t="s">
        <v>7686</v>
      </c>
    </row>
    <row r="52">
      <c r="A52" s="138" t="s">
        <v>1077</v>
      </c>
      <c r="B52" s="138" t="s">
        <v>28</v>
      </c>
      <c r="C52" s="138" t="s">
        <v>4496</v>
      </c>
      <c r="D52" s="138" t="s">
        <v>4497</v>
      </c>
      <c r="E52" s="138" t="s">
        <v>7699</v>
      </c>
      <c r="F52" s="402"/>
      <c r="G52" s="402" t="s">
        <v>7686</v>
      </c>
    </row>
    <row r="53">
      <c r="A53" s="175" t="s">
        <v>7712</v>
      </c>
      <c r="B53" s="138" t="s">
        <v>7708</v>
      </c>
      <c r="C53" s="138" t="s">
        <v>4143</v>
      </c>
      <c r="D53" s="138" t="s">
        <v>4162</v>
      </c>
      <c r="E53" s="138" t="s">
        <v>7699</v>
      </c>
      <c r="F53" s="402"/>
      <c r="G53" s="402" t="s">
        <v>7686</v>
      </c>
    </row>
    <row r="54">
      <c r="A54" s="172" t="s">
        <v>2031</v>
      </c>
      <c r="B54" s="138" t="s">
        <v>7708</v>
      </c>
      <c r="C54" s="172" t="s">
        <v>4509</v>
      </c>
      <c r="D54" s="172" t="s">
        <v>4162</v>
      </c>
      <c r="E54" s="138" t="s">
        <v>7699</v>
      </c>
      <c r="F54" s="402"/>
      <c r="G54" s="402"/>
    </row>
    <row r="55">
      <c r="A55" s="172" t="s">
        <v>2838</v>
      </c>
      <c r="B55" s="138" t="s">
        <v>7708</v>
      </c>
      <c r="C55" s="172" t="s">
        <v>5518</v>
      </c>
      <c r="D55" s="172" t="s">
        <v>5519</v>
      </c>
      <c r="E55" s="138" t="s">
        <v>7699</v>
      </c>
      <c r="F55" s="402"/>
      <c r="G55" s="402"/>
    </row>
    <row r="56">
      <c r="A56" s="172" t="s">
        <v>1238</v>
      </c>
      <c r="B56" s="172" t="s">
        <v>39</v>
      </c>
      <c r="C56" s="172" t="s">
        <v>4765</v>
      </c>
      <c r="D56" s="172" t="s">
        <v>4766</v>
      </c>
      <c r="E56" s="138" t="s">
        <v>7699</v>
      </c>
      <c r="F56" s="402"/>
      <c r="G56" s="402"/>
    </row>
    <row r="57">
      <c r="A57" s="172" t="s">
        <v>1802</v>
      </c>
      <c r="B57" s="172" t="s">
        <v>14</v>
      </c>
      <c r="C57" s="172" t="s">
        <v>7713</v>
      </c>
      <c r="D57" s="172" t="s">
        <v>4553</v>
      </c>
      <c r="E57" s="138" t="s">
        <v>7699</v>
      </c>
      <c r="F57" s="402"/>
      <c r="G57" s="402" t="s">
        <v>7686</v>
      </c>
    </row>
    <row r="58">
      <c r="A58" s="14" t="s">
        <v>1315</v>
      </c>
      <c r="B58" s="138" t="s">
        <v>7708</v>
      </c>
      <c r="C58" s="14" t="s">
        <v>4925</v>
      </c>
      <c r="D58" s="14" t="s">
        <v>7714</v>
      </c>
      <c r="E58" s="138" t="s">
        <v>7699</v>
      </c>
      <c r="F58" s="402"/>
      <c r="G58" s="402"/>
    </row>
    <row r="59">
      <c r="A59" s="14" t="s">
        <v>1622</v>
      </c>
      <c r="B59" s="405" t="s">
        <v>16</v>
      </c>
      <c r="C59" s="14" t="s">
        <v>5405</v>
      </c>
      <c r="D59" s="14" t="s">
        <v>4446</v>
      </c>
      <c r="E59" s="138" t="s">
        <v>7687</v>
      </c>
      <c r="F59" s="402"/>
      <c r="G59" s="402"/>
    </row>
    <row r="60">
      <c r="A60" s="14" t="s">
        <v>3813</v>
      </c>
      <c r="B60" s="405" t="s">
        <v>16</v>
      </c>
      <c r="C60" s="14" t="s">
        <v>7715</v>
      </c>
      <c r="D60" s="14" t="s">
        <v>7716</v>
      </c>
      <c r="E60" s="138" t="s">
        <v>7687</v>
      </c>
      <c r="F60" s="402"/>
      <c r="G60" s="402"/>
    </row>
    <row r="61">
      <c r="A61" s="14" t="s">
        <v>2903</v>
      </c>
      <c r="B61" s="138" t="s">
        <v>7708</v>
      </c>
      <c r="C61" s="14" t="s">
        <v>4004</v>
      </c>
      <c r="D61" s="14" t="s">
        <v>4128</v>
      </c>
      <c r="E61" s="138" t="s">
        <v>7699</v>
      </c>
      <c r="F61" s="402"/>
      <c r="G61" s="402"/>
    </row>
    <row r="62">
      <c r="A62" s="172" t="s">
        <v>1353</v>
      </c>
      <c r="B62" s="172" t="s">
        <v>33</v>
      </c>
      <c r="C62" s="172" t="s">
        <v>5375</v>
      </c>
      <c r="D62" s="172" t="s">
        <v>5376</v>
      </c>
      <c r="E62" s="138" t="s">
        <v>7699</v>
      </c>
      <c r="F62" s="402"/>
      <c r="G62" s="402"/>
    </row>
    <row r="63">
      <c r="A63" s="115" t="s">
        <v>1312</v>
      </c>
      <c r="B63" s="115" t="s">
        <v>25</v>
      </c>
      <c r="C63" s="115" t="s">
        <v>4519</v>
      </c>
      <c r="D63" s="115" t="s">
        <v>5142</v>
      </c>
      <c r="E63" s="138" t="s">
        <v>7699</v>
      </c>
      <c r="F63" s="114"/>
      <c r="G63" s="114"/>
    </row>
    <row r="64">
      <c r="A64" s="115" t="s">
        <v>2065</v>
      </c>
      <c r="B64" s="115" t="s">
        <v>39</v>
      </c>
      <c r="C64" s="115" t="s">
        <v>7717</v>
      </c>
      <c r="D64" s="115" t="s">
        <v>5304</v>
      </c>
      <c r="E64" s="138" t="s">
        <v>7699</v>
      </c>
      <c r="F64" s="114"/>
      <c r="G64" s="114"/>
    </row>
    <row r="65">
      <c r="A65" s="61" t="s">
        <v>1351</v>
      </c>
      <c r="B65" s="115" t="s">
        <v>30</v>
      </c>
      <c r="C65" s="115" t="s">
        <v>4662</v>
      </c>
      <c r="D65" s="115" t="s">
        <v>4270</v>
      </c>
      <c r="E65" s="138" t="s">
        <v>7699</v>
      </c>
      <c r="F65" s="114"/>
      <c r="G65" s="114"/>
    </row>
    <row r="66">
      <c r="A66" s="186" t="s">
        <v>2940</v>
      </c>
      <c r="B66" s="115" t="s">
        <v>4090</v>
      </c>
      <c r="C66" s="115" t="s">
        <v>6407</v>
      </c>
      <c r="D66" s="115" t="s">
        <v>6408</v>
      </c>
      <c r="E66" s="138" t="s">
        <v>7699</v>
      </c>
      <c r="F66" s="114"/>
      <c r="G66" s="114"/>
    </row>
    <row r="67">
      <c r="A67" s="114"/>
      <c r="B67" s="114"/>
      <c r="C67" s="114"/>
      <c r="D67" s="114"/>
      <c r="E67" s="114"/>
      <c r="F67" s="114"/>
      <c r="G67" s="114"/>
    </row>
    <row r="68">
      <c r="A68" s="114"/>
      <c r="B68" s="114"/>
      <c r="C68" s="114"/>
      <c r="D68" s="114"/>
      <c r="E68" s="114"/>
      <c r="F68" s="114"/>
      <c r="G68" s="114"/>
    </row>
    <row r="69">
      <c r="A69" s="114"/>
      <c r="B69" s="114"/>
      <c r="C69" s="114"/>
      <c r="D69" s="114"/>
      <c r="E69" s="114"/>
      <c r="F69" s="114"/>
      <c r="G69" s="114"/>
    </row>
    <row r="70">
      <c r="A70" s="114"/>
      <c r="B70" s="114"/>
      <c r="C70" s="114"/>
      <c r="D70" s="114"/>
      <c r="E70" s="114"/>
      <c r="F70" s="114"/>
      <c r="G70" s="114"/>
    </row>
    <row r="71">
      <c r="A71" s="114"/>
      <c r="B71" s="114"/>
      <c r="C71" s="114"/>
      <c r="D71" s="114"/>
      <c r="E71" s="114"/>
      <c r="F71" s="114"/>
      <c r="G71" s="114"/>
    </row>
    <row r="72">
      <c r="A72" s="114"/>
      <c r="B72" s="114"/>
      <c r="C72" s="114"/>
      <c r="D72" s="114"/>
      <c r="E72" s="114"/>
      <c r="F72" s="114"/>
      <c r="G72" s="114"/>
    </row>
    <row r="73">
      <c r="A73" s="114"/>
      <c r="B73" s="114"/>
      <c r="C73" s="114"/>
      <c r="D73" s="114"/>
      <c r="E73" s="114"/>
      <c r="F73" s="114"/>
      <c r="G73" s="114"/>
    </row>
    <row r="74">
      <c r="A74" s="114"/>
      <c r="B74" s="114"/>
      <c r="C74" s="114"/>
      <c r="D74" s="114"/>
      <c r="E74" s="114"/>
      <c r="F74" s="114"/>
      <c r="G74" s="114"/>
    </row>
    <row r="75">
      <c r="A75" s="114"/>
      <c r="B75" s="114"/>
      <c r="C75" s="114"/>
      <c r="D75" s="114"/>
      <c r="E75" s="114"/>
      <c r="F75" s="114"/>
      <c r="G75" s="114"/>
    </row>
    <row r="76">
      <c r="A76" s="114"/>
      <c r="B76" s="114"/>
      <c r="C76" s="114"/>
      <c r="D76" s="114"/>
      <c r="E76" s="114"/>
      <c r="F76" s="114"/>
      <c r="G76" s="114"/>
    </row>
    <row r="77">
      <c r="A77" s="114"/>
      <c r="B77" s="114"/>
      <c r="C77" s="114"/>
      <c r="D77" s="114"/>
      <c r="E77" s="114"/>
      <c r="F77" s="114"/>
      <c r="G77" s="114"/>
    </row>
    <row r="78">
      <c r="A78" s="114"/>
      <c r="B78" s="114"/>
      <c r="C78" s="114"/>
      <c r="D78" s="114"/>
      <c r="E78" s="114"/>
      <c r="F78" s="114"/>
      <c r="G78" s="114"/>
    </row>
    <row r="79">
      <c r="A79" s="114"/>
      <c r="B79" s="114"/>
      <c r="C79" s="114"/>
      <c r="D79" s="114"/>
      <c r="E79" s="114"/>
      <c r="F79" s="114"/>
      <c r="G79" s="114"/>
    </row>
    <row r="80">
      <c r="A80" s="114"/>
      <c r="B80" s="114"/>
      <c r="C80" s="114"/>
      <c r="D80" s="114"/>
      <c r="E80" s="114"/>
      <c r="F80" s="114"/>
      <c r="G80" s="114"/>
    </row>
    <row r="81">
      <c r="A81" s="114"/>
      <c r="B81" s="114"/>
      <c r="C81" s="114"/>
      <c r="D81" s="114"/>
      <c r="E81" s="114"/>
      <c r="F81" s="114"/>
      <c r="G81" s="114"/>
    </row>
    <row r="82">
      <c r="A82" s="114"/>
      <c r="B82" s="114"/>
      <c r="C82" s="114"/>
      <c r="D82" s="114"/>
      <c r="E82" s="114"/>
      <c r="F82" s="114"/>
      <c r="G82" s="114"/>
    </row>
    <row r="83">
      <c r="A83" s="114"/>
      <c r="B83" s="114"/>
      <c r="C83" s="114"/>
      <c r="D83" s="114"/>
      <c r="E83" s="114"/>
      <c r="F83" s="114"/>
      <c r="G83" s="114"/>
    </row>
    <row r="84">
      <c r="A84" s="114"/>
      <c r="B84" s="114"/>
      <c r="C84" s="114"/>
      <c r="D84" s="114"/>
      <c r="E84" s="114"/>
      <c r="F84" s="114"/>
      <c r="G84" s="114"/>
    </row>
    <row r="85">
      <c r="A85" s="114"/>
      <c r="B85" s="114"/>
      <c r="C85" s="114"/>
      <c r="D85" s="114"/>
      <c r="E85" s="114"/>
      <c r="F85" s="114"/>
      <c r="G85" s="114"/>
    </row>
    <row r="86">
      <c r="A86" s="114"/>
      <c r="B86" s="114"/>
      <c r="C86" s="114"/>
      <c r="D86" s="114"/>
      <c r="E86" s="114"/>
      <c r="F86" s="114"/>
      <c r="G86" s="114"/>
    </row>
    <row r="87">
      <c r="A87" s="114"/>
      <c r="B87" s="114"/>
      <c r="C87" s="114"/>
      <c r="D87" s="114"/>
      <c r="E87" s="114"/>
      <c r="F87" s="114"/>
      <c r="G87" s="114"/>
    </row>
    <row r="88">
      <c r="A88" s="114"/>
      <c r="B88" s="114"/>
      <c r="C88" s="114"/>
      <c r="D88" s="114"/>
      <c r="E88" s="114"/>
      <c r="F88" s="114"/>
      <c r="G88" s="114"/>
    </row>
    <row r="89">
      <c r="A89" s="114"/>
      <c r="B89" s="114"/>
      <c r="C89" s="114"/>
      <c r="D89" s="114"/>
      <c r="E89" s="114"/>
      <c r="F89" s="114"/>
      <c r="G89" s="114"/>
    </row>
    <row r="90">
      <c r="A90" s="114"/>
      <c r="B90" s="114"/>
      <c r="C90" s="114"/>
      <c r="D90" s="114"/>
      <c r="E90" s="114"/>
      <c r="F90" s="114"/>
      <c r="G90" s="114"/>
    </row>
    <row r="91">
      <c r="A91" s="114"/>
      <c r="B91" s="114"/>
      <c r="C91" s="114"/>
      <c r="D91" s="114"/>
      <c r="E91" s="114"/>
      <c r="F91" s="114"/>
      <c r="G91" s="114"/>
    </row>
    <row r="92">
      <c r="A92" s="114"/>
      <c r="B92" s="114"/>
      <c r="C92" s="114"/>
      <c r="D92" s="114"/>
      <c r="E92" s="114"/>
      <c r="F92" s="114"/>
      <c r="G92" s="114"/>
    </row>
    <row r="93">
      <c r="A93" s="114"/>
      <c r="B93" s="114"/>
      <c r="C93" s="114"/>
      <c r="D93" s="114"/>
      <c r="E93" s="114"/>
      <c r="F93" s="114"/>
      <c r="G93" s="114"/>
    </row>
    <row r="94">
      <c r="A94" s="114"/>
      <c r="B94" s="114"/>
      <c r="C94" s="114"/>
      <c r="D94" s="114"/>
      <c r="E94" s="114"/>
      <c r="F94" s="114"/>
      <c r="G94" s="114"/>
    </row>
    <row r="95">
      <c r="A95" s="114"/>
      <c r="B95" s="114"/>
      <c r="C95" s="114"/>
      <c r="D95" s="114"/>
      <c r="E95" s="114"/>
      <c r="F95" s="114"/>
      <c r="G95" s="114"/>
    </row>
    <row r="96">
      <c r="A96" s="114"/>
      <c r="B96" s="114"/>
      <c r="C96" s="114"/>
      <c r="D96" s="114"/>
      <c r="E96" s="114"/>
      <c r="F96" s="114"/>
      <c r="G96" s="114"/>
    </row>
    <row r="97">
      <c r="A97" s="114"/>
      <c r="B97" s="114"/>
      <c r="C97" s="114"/>
      <c r="D97" s="114"/>
      <c r="E97" s="114"/>
      <c r="F97" s="114"/>
      <c r="G97" s="114"/>
    </row>
    <row r="98">
      <c r="A98" s="114"/>
      <c r="B98" s="114"/>
      <c r="C98" s="114"/>
      <c r="D98" s="114"/>
      <c r="E98" s="114"/>
      <c r="F98" s="114"/>
      <c r="G98" s="114"/>
    </row>
    <row r="99">
      <c r="A99" s="114"/>
      <c r="B99" s="114"/>
      <c r="C99" s="114"/>
      <c r="D99" s="114"/>
      <c r="E99" s="114"/>
      <c r="F99" s="114"/>
      <c r="G99" s="114"/>
    </row>
    <row r="100">
      <c r="A100" s="114"/>
      <c r="B100" s="114"/>
      <c r="C100" s="114"/>
      <c r="D100" s="114"/>
      <c r="E100" s="114"/>
      <c r="F100" s="114"/>
      <c r="G100" s="114"/>
    </row>
    <row r="101">
      <c r="A101" s="114"/>
      <c r="B101" s="114"/>
      <c r="C101" s="114"/>
      <c r="D101" s="114"/>
      <c r="E101" s="114"/>
      <c r="F101" s="114"/>
      <c r="G101" s="114"/>
    </row>
    <row r="102">
      <c r="A102" s="114"/>
      <c r="B102" s="114"/>
      <c r="C102" s="114"/>
      <c r="D102" s="114"/>
      <c r="E102" s="114"/>
      <c r="F102" s="114"/>
      <c r="G102" s="114"/>
    </row>
    <row r="103">
      <c r="A103" s="114"/>
      <c r="B103" s="114"/>
      <c r="C103" s="114"/>
      <c r="D103" s="114"/>
      <c r="E103" s="114"/>
      <c r="F103" s="114"/>
      <c r="G103" s="114"/>
    </row>
    <row r="104">
      <c r="A104" s="114"/>
      <c r="B104" s="114"/>
      <c r="C104" s="114"/>
      <c r="D104" s="114"/>
      <c r="E104" s="114"/>
      <c r="F104" s="114"/>
      <c r="G104" s="114"/>
    </row>
    <row r="105">
      <c r="A105" s="114"/>
      <c r="B105" s="114"/>
      <c r="C105" s="114"/>
      <c r="D105" s="114"/>
      <c r="E105" s="114"/>
      <c r="F105" s="114"/>
      <c r="G105" s="114"/>
    </row>
    <row r="106">
      <c r="A106" s="114"/>
      <c r="B106" s="114"/>
      <c r="C106" s="114"/>
      <c r="D106" s="114"/>
      <c r="E106" s="114"/>
      <c r="F106" s="114"/>
      <c r="G106" s="114"/>
    </row>
    <row r="107">
      <c r="A107" s="114"/>
      <c r="B107" s="114"/>
      <c r="C107" s="114"/>
      <c r="D107" s="114"/>
      <c r="E107" s="114"/>
      <c r="F107" s="114"/>
      <c r="G107" s="114"/>
    </row>
    <row r="108">
      <c r="A108" s="114"/>
      <c r="B108" s="114"/>
      <c r="C108" s="114"/>
      <c r="D108" s="114"/>
      <c r="E108" s="114"/>
      <c r="F108" s="114"/>
      <c r="G108" s="114"/>
    </row>
    <row r="109">
      <c r="A109" s="114"/>
      <c r="B109" s="114"/>
      <c r="C109" s="114"/>
      <c r="D109" s="114"/>
      <c r="E109" s="114"/>
      <c r="F109" s="114"/>
      <c r="G109" s="114"/>
    </row>
    <row r="110">
      <c r="A110" s="114"/>
      <c r="B110" s="114"/>
      <c r="C110" s="114"/>
      <c r="D110" s="114"/>
      <c r="E110" s="114"/>
      <c r="F110" s="114"/>
      <c r="G110" s="114"/>
    </row>
    <row r="111">
      <c r="A111" s="114"/>
      <c r="B111" s="114"/>
      <c r="C111" s="114"/>
      <c r="D111" s="114"/>
      <c r="E111" s="114"/>
      <c r="F111" s="114"/>
      <c r="G111" s="114"/>
    </row>
    <row r="112">
      <c r="A112" s="114"/>
      <c r="B112" s="114"/>
      <c r="C112" s="114"/>
      <c r="D112" s="114"/>
      <c r="E112" s="114"/>
      <c r="F112" s="114"/>
      <c r="G112" s="114"/>
    </row>
    <row r="113">
      <c r="A113" s="114"/>
      <c r="B113" s="114"/>
      <c r="C113" s="114"/>
      <c r="D113" s="114"/>
      <c r="E113" s="114"/>
      <c r="F113" s="114"/>
      <c r="G113" s="114"/>
    </row>
    <row r="114">
      <c r="A114" s="114"/>
      <c r="B114" s="114"/>
      <c r="C114" s="114"/>
      <c r="D114" s="114"/>
      <c r="E114" s="114"/>
      <c r="F114" s="114"/>
      <c r="G114" s="114"/>
    </row>
    <row r="115">
      <c r="A115" s="114"/>
      <c r="B115" s="114"/>
      <c r="C115" s="114"/>
      <c r="D115" s="114"/>
      <c r="E115" s="114"/>
      <c r="F115" s="114"/>
      <c r="G115" s="114"/>
    </row>
    <row r="116">
      <c r="A116" s="114"/>
      <c r="B116" s="114"/>
      <c r="C116" s="114"/>
      <c r="D116" s="114"/>
      <c r="E116" s="114"/>
      <c r="F116" s="114"/>
      <c r="G116" s="114"/>
    </row>
    <row r="117">
      <c r="A117" s="114"/>
      <c r="B117" s="114"/>
      <c r="C117" s="114"/>
      <c r="D117" s="114"/>
      <c r="E117" s="114"/>
      <c r="F117" s="114"/>
      <c r="G117" s="114"/>
    </row>
    <row r="118">
      <c r="A118" s="114"/>
      <c r="B118" s="114"/>
      <c r="C118" s="114"/>
      <c r="D118" s="114"/>
      <c r="E118" s="114"/>
      <c r="F118" s="114"/>
      <c r="G118" s="114"/>
    </row>
    <row r="119">
      <c r="A119" s="114"/>
      <c r="B119" s="114"/>
      <c r="C119" s="114"/>
      <c r="D119" s="114"/>
      <c r="E119" s="114"/>
      <c r="F119" s="114"/>
      <c r="G119" s="114"/>
    </row>
    <row r="120">
      <c r="A120" s="114"/>
      <c r="B120" s="114"/>
      <c r="C120" s="114"/>
      <c r="D120" s="114"/>
      <c r="E120" s="114"/>
      <c r="F120" s="114"/>
      <c r="G120" s="114"/>
    </row>
    <row r="121">
      <c r="A121" s="114"/>
      <c r="B121" s="114"/>
      <c r="C121" s="114"/>
      <c r="D121" s="114"/>
      <c r="E121" s="114"/>
      <c r="F121" s="114"/>
      <c r="G121" s="114"/>
    </row>
    <row r="122">
      <c r="A122" s="114"/>
      <c r="B122" s="114"/>
      <c r="C122" s="114"/>
      <c r="D122" s="114"/>
      <c r="E122" s="114"/>
      <c r="F122" s="114"/>
      <c r="G122" s="114"/>
    </row>
    <row r="123">
      <c r="A123" s="114"/>
      <c r="B123" s="114"/>
      <c r="C123" s="114"/>
      <c r="D123" s="114"/>
      <c r="E123" s="114"/>
      <c r="F123" s="114"/>
      <c r="G123" s="114"/>
    </row>
    <row r="124">
      <c r="A124" s="114"/>
      <c r="B124" s="114"/>
      <c r="C124" s="114"/>
      <c r="D124" s="114"/>
      <c r="E124" s="114"/>
      <c r="F124" s="114"/>
      <c r="G124" s="114"/>
    </row>
    <row r="125">
      <c r="A125" s="114"/>
      <c r="B125" s="114"/>
      <c r="C125" s="114"/>
      <c r="D125" s="114"/>
      <c r="E125" s="114"/>
      <c r="F125" s="114"/>
      <c r="G125" s="114"/>
    </row>
    <row r="126">
      <c r="A126" s="114"/>
      <c r="B126" s="114"/>
      <c r="C126" s="114"/>
      <c r="D126" s="114"/>
      <c r="E126" s="114"/>
      <c r="F126" s="114"/>
      <c r="G126" s="114"/>
    </row>
    <row r="127">
      <c r="A127" s="114"/>
      <c r="B127" s="114"/>
      <c r="C127" s="114"/>
      <c r="D127" s="114"/>
      <c r="E127" s="114"/>
      <c r="F127" s="114"/>
      <c r="G127" s="114"/>
    </row>
    <row r="128">
      <c r="A128" s="114"/>
      <c r="B128" s="114"/>
      <c r="C128" s="114"/>
      <c r="D128" s="114"/>
      <c r="E128" s="114"/>
      <c r="F128" s="114"/>
      <c r="G128" s="114"/>
    </row>
    <row r="129">
      <c r="A129" s="114"/>
      <c r="B129" s="114"/>
      <c r="C129" s="114"/>
      <c r="D129" s="114"/>
      <c r="E129" s="114"/>
      <c r="F129" s="114"/>
      <c r="G129" s="114"/>
    </row>
    <row r="130">
      <c r="A130" s="114"/>
      <c r="B130" s="114"/>
      <c r="C130" s="114"/>
      <c r="D130" s="114"/>
      <c r="E130" s="114"/>
      <c r="F130" s="114"/>
      <c r="G130" s="114"/>
    </row>
    <row r="131">
      <c r="A131" s="114"/>
      <c r="B131" s="114"/>
      <c r="C131" s="114"/>
      <c r="D131" s="114"/>
      <c r="E131" s="114"/>
      <c r="F131" s="114"/>
      <c r="G131" s="114"/>
    </row>
    <row r="132">
      <c r="A132" s="114"/>
      <c r="B132" s="114"/>
      <c r="C132" s="114"/>
      <c r="D132" s="114"/>
      <c r="E132" s="114"/>
      <c r="F132" s="114"/>
      <c r="G132" s="114"/>
    </row>
    <row r="133">
      <c r="A133" s="114"/>
      <c r="B133" s="114"/>
      <c r="C133" s="114"/>
      <c r="D133" s="114"/>
      <c r="E133" s="114"/>
      <c r="F133" s="114"/>
      <c r="G133" s="114"/>
    </row>
    <row r="134">
      <c r="A134" s="114"/>
      <c r="B134" s="114"/>
      <c r="C134" s="114"/>
      <c r="D134" s="114"/>
      <c r="E134" s="114"/>
      <c r="F134" s="114"/>
      <c r="G134" s="114"/>
    </row>
    <row r="135">
      <c r="A135" s="114"/>
      <c r="B135" s="114"/>
      <c r="C135" s="114"/>
      <c r="D135" s="114"/>
      <c r="E135" s="114"/>
      <c r="F135" s="114"/>
      <c r="G135" s="114"/>
    </row>
    <row r="136">
      <c r="A136" s="114"/>
      <c r="B136" s="114"/>
      <c r="C136" s="114"/>
      <c r="D136" s="114"/>
      <c r="E136" s="114"/>
      <c r="F136" s="114"/>
      <c r="G136" s="114"/>
    </row>
    <row r="137">
      <c r="A137" s="114"/>
      <c r="B137" s="114"/>
      <c r="C137" s="114"/>
      <c r="D137" s="114"/>
      <c r="E137" s="114"/>
      <c r="F137" s="114"/>
      <c r="G137" s="114"/>
    </row>
    <row r="138">
      <c r="A138" s="114"/>
      <c r="B138" s="114"/>
      <c r="C138" s="114"/>
      <c r="D138" s="114"/>
      <c r="E138" s="114"/>
      <c r="F138" s="114"/>
      <c r="G138" s="114"/>
    </row>
    <row r="139">
      <c r="A139" s="114"/>
      <c r="B139" s="114"/>
      <c r="C139" s="114"/>
      <c r="D139" s="114"/>
      <c r="E139" s="114"/>
      <c r="F139" s="114"/>
      <c r="G139" s="114"/>
    </row>
    <row r="140">
      <c r="A140" s="114"/>
      <c r="B140" s="114"/>
      <c r="C140" s="114"/>
      <c r="D140" s="114"/>
      <c r="E140" s="114"/>
      <c r="F140" s="114"/>
      <c r="G140" s="114"/>
    </row>
    <row r="141">
      <c r="A141" s="114"/>
      <c r="B141" s="114"/>
      <c r="C141" s="114"/>
      <c r="D141" s="114"/>
      <c r="E141" s="114"/>
      <c r="F141" s="114"/>
      <c r="G141" s="114"/>
    </row>
    <row r="142">
      <c r="A142" s="114"/>
      <c r="B142" s="114"/>
      <c r="C142" s="114"/>
      <c r="D142" s="114"/>
      <c r="E142" s="114"/>
      <c r="F142" s="114"/>
      <c r="G142" s="114"/>
    </row>
    <row r="143">
      <c r="A143" s="114"/>
      <c r="B143" s="114"/>
      <c r="C143" s="114"/>
      <c r="D143" s="114"/>
      <c r="E143" s="114"/>
      <c r="F143" s="114"/>
      <c r="G143" s="114"/>
    </row>
    <row r="144">
      <c r="A144" s="114"/>
      <c r="B144" s="114"/>
      <c r="C144" s="114"/>
      <c r="D144" s="114"/>
      <c r="E144" s="114"/>
      <c r="F144" s="114"/>
      <c r="G144" s="114"/>
    </row>
    <row r="145">
      <c r="A145" s="114"/>
      <c r="B145" s="114"/>
      <c r="C145" s="114"/>
      <c r="D145" s="114"/>
      <c r="E145" s="114"/>
      <c r="F145" s="114"/>
      <c r="G145" s="114"/>
    </row>
    <row r="146">
      <c r="A146" s="114"/>
      <c r="B146" s="114"/>
      <c r="C146" s="114"/>
      <c r="D146" s="114"/>
      <c r="E146" s="114"/>
      <c r="F146" s="114"/>
      <c r="G146" s="114"/>
    </row>
    <row r="147">
      <c r="A147" s="114"/>
      <c r="B147" s="114"/>
      <c r="C147" s="114"/>
      <c r="D147" s="114"/>
      <c r="E147" s="114"/>
      <c r="F147" s="114"/>
      <c r="G147" s="114"/>
    </row>
    <row r="148">
      <c r="A148" s="114"/>
      <c r="B148" s="114"/>
      <c r="C148" s="114"/>
      <c r="D148" s="114"/>
      <c r="E148" s="114"/>
      <c r="F148" s="114"/>
      <c r="G148" s="114"/>
    </row>
    <row r="149">
      <c r="A149" s="114"/>
      <c r="B149" s="114"/>
      <c r="C149" s="114"/>
      <c r="D149" s="114"/>
      <c r="E149" s="114"/>
      <c r="F149" s="114"/>
      <c r="G149" s="114"/>
    </row>
    <row r="150">
      <c r="A150" s="114"/>
      <c r="B150" s="114"/>
      <c r="C150" s="114"/>
      <c r="D150" s="114"/>
      <c r="E150" s="114"/>
      <c r="F150" s="114"/>
      <c r="G150" s="114"/>
    </row>
    <row r="151">
      <c r="A151" s="114"/>
      <c r="B151" s="114"/>
      <c r="C151" s="114"/>
      <c r="D151" s="114"/>
      <c r="E151" s="114"/>
      <c r="F151" s="114"/>
      <c r="G151" s="114"/>
    </row>
    <row r="152">
      <c r="A152" s="114"/>
      <c r="B152" s="114"/>
      <c r="C152" s="114"/>
      <c r="D152" s="114"/>
      <c r="E152" s="114"/>
      <c r="F152" s="114"/>
      <c r="G152" s="114"/>
    </row>
    <row r="153">
      <c r="A153" s="114"/>
      <c r="B153" s="114"/>
      <c r="C153" s="114"/>
      <c r="D153" s="114"/>
      <c r="E153" s="114"/>
      <c r="F153" s="114"/>
      <c r="G153" s="114"/>
    </row>
    <row r="154">
      <c r="A154" s="114"/>
      <c r="B154" s="114"/>
      <c r="C154" s="114"/>
      <c r="D154" s="114"/>
      <c r="E154" s="114"/>
      <c r="F154" s="114"/>
      <c r="G154" s="114"/>
    </row>
    <row r="155">
      <c r="A155" s="114"/>
      <c r="B155" s="114"/>
      <c r="C155" s="114"/>
      <c r="D155" s="114"/>
      <c r="E155" s="114"/>
      <c r="F155" s="114"/>
      <c r="G155" s="114"/>
    </row>
    <row r="156">
      <c r="A156" s="114"/>
      <c r="B156" s="114"/>
      <c r="C156" s="114"/>
      <c r="D156" s="114"/>
      <c r="E156" s="114"/>
      <c r="F156" s="114"/>
      <c r="G156" s="114"/>
    </row>
    <row r="157">
      <c r="A157" s="114"/>
      <c r="B157" s="114"/>
      <c r="C157" s="114"/>
      <c r="D157" s="114"/>
      <c r="E157" s="114"/>
      <c r="F157" s="114"/>
      <c r="G157" s="114"/>
    </row>
    <row r="158">
      <c r="A158" s="114"/>
      <c r="B158" s="114"/>
      <c r="C158" s="114"/>
      <c r="D158" s="114"/>
      <c r="E158" s="114"/>
      <c r="F158" s="114"/>
      <c r="G158" s="114"/>
    </row>
    <row r="159">
      <c r="A159" s="114"/>
      <c r="B159" s="114"/>
      <c r="C159" s="114"/>
      <c r="D159" s="114"/>
      <c r="E159" s="114"/>
      <c r="F159" s="114"/>
      <c r="G159" s="114"/>
    </row>
    <row r="160">
      <c r="A160" s="114"/>
      <c r="B160" s="114"/>
      <c r="C160" s="114"/>
      <c r="D160" s="114"/>
      <c r="E160" s="114"/>
      <c r="F160" s="114"/>
      <c r="G160" s="114"/>
    </row>
    <row r="161">
      <c r="A161" s="114"/>
      <c r="B161" s="114"/>
      <c r="C161" s="114"/>
      <c r="D161" s="114"/>
      <c r="E161" s="114"/>
      <c r="F161" s="114"/>
      <c r="G161" s="114"/>
    </row>
    <row r="162">
      <c r="A162" s="114"/>
      <c r="B162" s="114"/>
      <c r="C162" s="114"/>
      <c r="D162" s="114"/>
      <c r="E162" s="114"/>
      <c r="F162" s="114"/>
      <c r="G162" s="114"/>
    </row>
    <row r="163">
      <c r="A163" s="114"/>
      <c r="B163" s="114"/>
      <c r="C163" s="114"/>
      <c r="D163" s="114"/>
      <c r="E163" s="114"/>
      <c r="F163" s="114"/>
      <c r="G163" s="114"/>
    </row>
    <row r="164">
      <c r="A164" s="114"/>
      <c r="B164" s="114"/>
      <c r="C164" s="114"/>
      <c r="D164" s="114"/>
      <c r="E164" s="114"/>
      <c r="F164" s="114"/>
      <c r="G164" s="114"/>
    </row>
    <row r="165">
      <c r="A165" s="114"/>
      <c r="B165" s="114"/>
      <c r="C165" s="114"/>
      <c r="D165" s="114"/>
      <c r="E165" s="114"/>
      <c r="F165" s="114"/>
      <c r="G165" s="114"/>
    </row>
    <row r="166">
      <c r="A166" s="114"/>
      <c r="B166" s="114"/>
      <c r="C166" s="114"/>
      <c r="D166" s="114"/>
      <c r="E166" s="114"/>
      <c r="F166" s="114"/>
      <c r="G166" s="114"/>
    </row>
    <row r="167">
      <c r="A167" s="114"/>
      <c r="B167" s="114"/>
      <c r="C167" s="114"/>
      <c r="D167" s="114"/>
      <c r="E167" s="114"/>
      <c r="F167" s="114"/>
      <c r="G167" s="114"/>
    </row>
    <row r="168">
      <c r="A168" s="114"/>
      <c r="B168" s="114"/>
      <c r="C168" s="114"/>
      <c r="D168" s="114"/>
      <c r="E168" s="114"/>
      <c r="F168" s="114"/>
      <c r="G168" s="114"/>
    </row>
    <row r="169">
      <c r="A169" s="114"/>
      <c r="B169" s="114"/>
      <c r="C169" s="114"/>
      <c r="D169" s="114"/>
      <c r="E169" s="114"/>
      <c r="F169" s="114"/>
      <c r="G169" s="114"/>
    </row>
    <row r="170">
      <c r="A170" s="114"/>
      <c r="B170" s="114"/>
      <c r="C170" s="114"/>
      <c r="D170" s="114"/>
      <c r="E170" s="114"/>
      <c r="F170" s="114"/>
      <c r="G170" s="114"/>
    </row>
    <row r="171">
      <c r="A171" s="114"/>
      <c r="B171" s="114"/>
      <c r="C171" s="114"/>
      <c r="D171" s="114"/>
      <c r="E171" s="114"/>
      <c r="F171" s="114"/>
      <c r="G171" s="114"/>
    </row>
    <row r="172">
      <c r="A172" s="114"/>
      <c r="B172" s="114"/>
      <c r="C172" s="114"/>
      <c r="D172" s="114"/>
      <c r="E172" s="114"/>
      <c r="F172" s="114"/>
      <c r="G172" s="114"/>
    </row>
    <row r="173">
      <c r="A173" s="114"/>
      <c r="B173" s="114"/>
      <c r="C173" s="114"/>
      <c r="D173" s="114"/>
      <c r="E173" s="114"/>
      <c r="F173" s="114"/>
      <c r="G173" s="114"/>
    </row>
    <row r="174">
      <c r="A174" s="114"/>
      <c r="B174" s="114"/>
      <c r="C174" s="114"/>
      <c r="D174" s="114"/>
      <c r="E174" s="114"/>
      <c r="F174" s="114"/>
      <c r="G174" s="114"/>
    </row>
    <row r="175">
      <c r="A175" s="114"/>
      <c r="B175" s="114"/>
      <c r="C175" s="114"/>
      <c r="D175" s="114"/>
      <c r="E175" s="114"/>
      <c r="F175" s="114"/>
      <c r="G175" s="114"/>
    </row>
    <row r="176">
      <c r="A176" s="114"/>
      <c r="B176" s="114"/>
      <c r="C176" s="114"/>
      <c r="D176" s="114"/>
      <c r="E176" s="114"/>
      <c r="F176" s="114"/>
      <c r="G176" s="114"/>
    </row>
    <row r="177">
      <c r="A177" s="114"/>
      <c r="B177" s="114"/>
      <c r="C177" s="114"/>
      <c r="D177" s="114"/>
      <c r="E177" s="114"/>
      <c r="F177" s="114"/>
      <c r="G177" s="114"/>
    </row>
    <row r="178">
      <c r="A178" s="114"/>
      <c r="B178" s="114"/>
      <c r="C178" s="114"/>
      <c r="D178" s="114"/>
      <c r="E178" s="114"/>
      <c r="F178" s="114"/>
      <c r="G178" s="114"/>
    </row>
    <row r="179">
      <c r="A179" s="114"/>
      <c r="B179" s="114"/>
      <c r="C179" s="114"/>
      <c r="D179" s="114"/>
      <c r="E179" s="114"/>
      <c r="F179" s="114"/>
      <c r="G179" s="114"/>
    </row>
    <row r="180">
      <c r="A180" s="114"/>
      <c r="B180" s="114"/>
      <c r="C180" s="114"/>
      <c r="D180" s="114"/>
      <c r="E180" s="114"/>
      <c r="F180" s="114"/>
      <c r="G180" s="114"/>
    </row>
    <row r="181">
      <c r="A181" s="114"/>
      <c r="B181" s="114"/>
      <c r="C181" s="114"/>
      <c r="D181" s="114"/>
      <c r="E181" s="114"/>
      <c r="F181" s="114"/>
      <c r="G181" s="114"/>
    </row>
    <row r="182">
      <c r="A182" s="114"/>
      <c r="B182" s="114"/>
      <c r="C182" s="114"/>
      <c r="D182" s="114"/>
      <c r="E182" s="114"/>
      <c r="F182" s="114"/>
      <c r="G182" s="114"/>
    </row>
    <row r="183">
      <c r="A183" s="114"/>
      <c r="B183" s="114"/>
      <c r="C183" s="114"/>
      <c r="D183" s="114"/>
      <c r="E183" s="114"/>
      <c r="F183" s="114"/>
      <c r="G183" s="114"/>
    </row>
    <row r="184">
      <c r="A184" s="114"/>
      <c r="B184" s="114"/>
      <c r="C184" s="114"/>
      <c r="D184" s="114"/>
      <c r="E184" s="114"/>
      <c r="F184" s="114"/>
      <c r="G184" s="114"/>
    </row>
    <row r="185">
      <c r="A185" s="114"/>
      <c r="B185" s="114"/>
      <c r="C185" s="114"/>
      <c r="D185" s="114"/>
      <c r="E185" s="114"/>
      <c r="F185" s="114"/>
      <c r="G185" s="114"/>
    </row>
    <row r="186">
      <c r="A186" s="114"/>
      <c r="B186" s="114"/>
      <c r="C186" s="114"/>
      <c r="D186" s="114"/>
      <c r="E186" s="114"/>
      <c r="F186" s="114"/>
      <c r="G186" s="114"/>
    </row>
    <row r="187">
      <c r="A187" s="114"/>
      <c r="B187" s="114"/>
      <c r="C187" s="114"/>
      <c r="D187" s="114"/>
      <c r="E187" s="114"/>
      <c r="F187" s="114"/>
      <c r="G187" s="114"/>
    </row>
    <row r="188">
      <c r="A188" s="114"/>
      <c r="B188" s="114"/>
      <c r="C188" s="114"/>
      <c r="D188" s="114"/>
      <c r="E188" s="114"/>
      <c r="F188" s="114"/>
      <c r="G188" s="114"/>
    </row>
    <row r="189">
      <c r="A189" s="114"/>
      <c r="B189" s="114"/>
      <c r="C189" s="114"/>
      <c r="D189" s="114"/>
      <c r="E189" s="114"/>
      <c r="F189" s="114"/>
      <c r="G189" s="114"/>
    </row>
    <row r="190">
      <c r="A190" s="114"/>
      <c r="B190" s="114"/>
      <c r="C190" s="114"/>
      <c r="D190" s="114"/>
      <c r="E190" s="114"/>
      <c r="F190" s="114"/>
      <c r="G190" s="114"/>
    </row>
    <row r="191">
      <c r="A191" s="114"/>
      <c r="B191" s="114"/>
      <c r="C191" s="114"/>
      <c r="D191" s="114"/>
      <c r="E191" s="114"/>
      <c r="F191" s="114"/>
      <c r="G191" s="114"/>
    </row>
    <row r="192">
      <c r="A192" s="114"/>
      <c r="B192" s="114"/>
      <c r="C192" s="114"/>
      <c r="D192" s="114"/>
      <c r="E192" s="114"/>
      <c r="F192" s="114"/>
      <c r="G192" s="114"/>
    </row>
    <row r="193">
      <c r="A193" s="114"/>
      <c r="B193" s="114"/>
      <c r="C193" s="114"/>
      <c r="D193" s="114"/>
      <c r="E193" s="114"/>
      <c r="F193" s="114"/>
      <c r="G193" s="114"/>
    </row>
    <row r="194">
      <c r="A194" s="114"/>
      <c r="B194" s="114"/>
      <c r="C194" s="114"/>
      <c r="D194" s="114"/>
      <c r="E194" s="114"/>
      <c r="F194" s="114"/>
      <c r="G194" s="114"/>
    </row>
    <row r="195">
      <c r="A195" s="114"/>
      <c r="B195" s="114"/>
      <c r="C195" s="114"/>
      <c r="D195" s="114"/>
      <c r="E195" s="114"/>
      <c r="F195" s="114"/>
      <c r="G195" s="114"/>
    </row>
    <row r="196">
      <c r="A196" s="114"/>
      <c r="B196" s="114"/>
      <c r="C196" s="114"/>
      <c r="D196" s="114"/>
      <c r="E196" s="114"/>
      <c r="F196" s="114"/>
      <c r="G196" s="114"/>
    </row>
    <row r="197">
      <c r="A197" s="114"/>
      <c r="B197" s="114"/>
      <c r="C197" s="114"/>
      <c r="D197" s="114"/>
      <c r="E197" s="114"/>
      <c r="F197" s="114"/>
      <c r="G197" s="114"/>
    </row>
    <row r="198">
      <c r="A198" s="114"/>
      <c r="B198" s="114"/>
      <c r="C198" s="114"/>
      <c r="D198" s="114"/>
      <c r="E198" s="114"/>
      <c r="F198" s="114"/>
      <c r="G198" s="114"/>
    </row>
    <row r="199">
      <c r="A199" s="114"/>
      <c r="B199" s="114"/>
      <c r="C199" s="114"/>
      <c r="D199" s="114"/>
      <c r="E199" s="114"/>
      <c r="F199" s="114"/>
      <c r="G199" s="114"/>
    </row>
    <row r="200">
      <c r="A200" s="114"/>
      <c r="B200" s="114"/>
      <c r="C200" s="114"/>
      <c r="D200" s="114"/>
      <c r="E200" s="114"/>
      <c r="F200" s="114"/>
      <c r="G200" s="114"/>
    </row>
    <row r="201">
      <c r="A201" s="114"/>
      <c r="B201" s="114"/>
      <c r="C201" s="114"/>
      <c r="D201" s="114"/>
      <c r="E201" s="114"/>
      <c r="F201" s="114"/>
      <c r="G201" s="114"/>
    </row>
    <row r="202">
      <c r="A202" s="114"/>
      <c r="B202" s="114"/>
      <c r="C202" s="114"/>
      <c r="D202" s="114"/>
      <c r="E202" s="114"/>
      <c r="F202" s="114"/>
      <c r="G202" s="114"/>
    </row>
    <row r="203">
      <c r="A203" s="114"/>
      <c r="B203" s="114"/>
      <c r="C203" s="114"/>
      <c r="D203" s="114"/>
      <c r="E203" s="114"/>
      <c r="F203" s="114"/>
      <c r="G203" s="114"/>
    </row>
    <row r="204">
      <c r="A204" s="114"/>
      <c r="B204" s="114"/>
      <c r="C204" s="114"/>
      <c r="D204" s="114"/>
      <c r="E204" s="114"/>
      <c r="F204" s="114"/>
      <c r="G204" s="114"/>
    </row>
    <row r="205">
      <c r="A205" s="114"/>
      <c r="B205" s="114"/>
      <c r="C205" s="114"/>
      <c r="D205" s="114"/>
      <c r="E205" s="114"/>
      <c r="F205" s="114"/>
      <c r="G205" s="114"/>
    </row>
    <row r="206">
      <c r="A206" s="114"/>
      <c r="B206" s="114"/>
      <c r="C206" s="114"/>
      <c r="D206" s="114"/>
      <c r="E206" s="114"/>
      <c r="F206" s="114"/>
      <c r="G206" s="114"/>
    </row>
    <row r="207">
      <c r="A207" s="114"/>
      <c r="B207" s="114"/>
      <c r="C207" s="114"/>
      <c r="D207" s="114"/>
      <c r="E207" s="114"/>
      <c r="F207" s="114"/>
      <c r="G207" s="114"/>
    </row>
    <row r="208">
      <c r="A208" s="114"/>
      <c r="B208" s="114"/>
      <c r="C208" s="114"/>
      <c r="D208" s="114"/>
      <c r="E208" s="114"/>
      <c r="F208" s="114"/>
      <c r="G208" s="114"/>
    </row>
    <row r="209">
      <c r="A209" s="114"/>
      <c r="B209" s="114"/>
      <c r="C209" s="114"/>
      <c r="D209" s="114"/>
      <c r="E209" s="114"/>
      <c r="F209" s="114"/>
      <c r="G209" s="114"/>
    </row>
    <row r="210">
      <c r="A210" s="114"/>
      <c r="B210" s="114"/>
      <c r="C210" s="114"/>
      <c r="D210" s="114"/>
      <c r="E210" s="114"/>
      <c r="F210" s="114"/>
      <c r="G210" s="114"/>
    </row>
    <row r="211">
      <c r="A211" s="114"/>
      <c r="B211" s="114"/>
      <c r="C211" s="114"/>
      <c r="D211" s="114"/>
      <c r="E211" s="114"/>
      <c r="F211" s="114"/>
      <c r="G211" s="114"/>
    </row>
    <row r="212">
      <c r="A212" s="114"/>
      <c r="B212" s="114"/>
      <c r="C212" s="114"/>
      <c r="D212" s="114"/>
      <c r="E212" s="114"/>
      <c r="F212" s="114"/>
      <c r="G212" s="114"/>
    </row>
    <row r="213">
      <c r="A213" s="114"/>
      <c r="B213" s="114"/>
      <c r="C213" s="114"/>
      <c r="D213" s="114"/>
      <c r="E213" s="114"/>
      <c r="F213" s="114"/>
      <c r="G213" s="114"/>
    </row>
    <row r="214">
      <c r="A214" s="114"/>
      <c r="B214" s="114"/>
      <c r="C214" s="114"/>
      <c r="D214" s="114"/>
      <c r="E214" s="114"/>
      <c r="F214" s="114"/>
      <c r="G214" s="114"/>
    </row>
    <row r="215">
      <c r="A215" s="114"/>
      <c r="B215" s="114"/>
      <c r="C215" s="114"/>
      <c r="D215" s="114"/>
      <c r="E215" s="114"/>
      <c r="F215" s="114"/>
      <c r="G215" s="114"/>
    </row>
    <row r="216">
      <c r="A216" s="114"/>
      <c r="B216" s="114"/>
      <c r="C216" s="114"/>
      <c r="D216" s="114"/>
      <c r="E216" s="114"/>
      <c r="F216" s="114"/>
      <c r="G216" s="114"/>
    </row>
    <row r="217">
      <c r="A217" s="114"/>
      <c r="B217" s="114"/>
      <c r="C217" s="114"/>
      <c r="D217" s="114"/>
      <c r="E217" s="114"/>
      <c r="F217" s="114"/>
      <c r="G217" s="114"/>
    </row>
    <row r="218">
      <c r="A218" s="114"/>
      <c r="B218" s="114"/>
      <c r="C218" s="114"/>
      <c r="D218" s="114"/>
      <c r="E218" s="114"/>
      <c r="F218" s="114"/>
      <c r="G218" s="114"/>
    </row>
    <row r="219">
      <c r="A219" s="114"/>
      <c r="B219" s="114"/>
      <c r="C219" s="114"/>
      <c r="D219" s="114"/>
      <c r="E219" s="114"/>
      <c r="F219" s="114"/>
      <c r="G219" s="114"/>
    </row>
    <row r="220">
      <c r="A220" s="114"/>
      <c r="B220" s="114"/>
      <c r="C220" s="114"/>
      <c r="D220" s="114"/>
      <c r="E220" s="114"/>
      <c r="F220" s="114"/>
      <c r="G220" s="114"/>
    </row>
    <row r="221">
      <c r="A221" s="114"/>
      <c r="B221" s="114"/>
      <c r="C221" s="114"/>
      <c r="D221" s="114"/>
      <c r="E221" s="114"/>
      <c r="F221" s="114"/>
      <c r="G221" s="114"/>
    </row>
    <row r="222">
      <c r="A222" s="114"/>
      <c r="B222" s="114"/>
      <c r="C222" s="114"/>
      <c r="D222" s="114"/>
      <c r="E222" s="114"/>
      <c r="F222" s="114"/>
      <c r="G222" s="114"/>
    </row>
    <row r="223">
      <c r="A223" s="114"/>
      <c r="B223" s="114"/>
      <c r="C223" s="114"/>
      <c r="D223" s="114"/>
      <c r="E223" s="114"/>
      <c r="F223" s="114"/>
      <c r="G223" s="114"/>
    </row>
    <row r="224">
      <c r="A224" s="114"/>
      <c r="B224" s="114"/>
      <c r="C224" s="114"/>
      <c r="D224" s="114"/>
      <c r="E224" s="114"/>
      <c r="F224" s="114"/>
      <c r="G224" s="114"/>
    </row>
    <row r="225">
      <c r="A225" s="114"/>
      <c r="B225" s="114"/>
      <c r="C225" s="114"/>
      <c r="D225" s="114"/>
      <c r="E225" s="114"/>
      <c r="F225" s="114"/>
      <c r="G225" s="114"/>
    </row>
    <row r="226">
      <c r="A226" s="114"/>
      <c r="B226" s="114"/>
      <c r="C226" s="114"/>
      <c r="D226" s="114"/>
      <c r="E226" s="114"/>
      <c r="F226" s="114"/>
      <c r="G226" s="114"/>
    </row>
    <row r="227">
      <c r="A227" s="114"/>
      <c r="B227" s="114"/>
      <c r="C227" s="114"/>
      <c r="D227" s="114"/>
      <c r="E227" s="114"/>
      <c r="F227" s="114"/>
      <c r="G227" s="114"/>
    </row>
    <row r="228">
      <c r="A228" s="114"/>
      <c r="B228" s="114"/>
      <c r="C228" s="114"/>
      <c r="D228" s="114"/>
      <c r="E228" s="114"/>
      <c r="F228" s="114"/>
      <c r="G228" s="114"/>
    </row>
    <row r="229">
      <c r="A229" s="114"/>
      <c r="B229" s="114"/>
      <c r="C229" s="114"/>
      <c r="D229" s="114"/>
      <c r="E229" s="114"/>
      <c r="F229" s="114"/>
      <c r="G229" s="114"/>
    </row>
    <row r="230">
      <c r="A230" s="114"/>
      <c r="B230" s="114"/>
      <c r="C230" s="114"/>
      <c r="D230" s="114"/>
      <c r="E230" s="114"/>
      <c r="F230" s="114"/>
      <c r="G230" s="114"/>
    </row>
    <row r="231">
      <c r="A231" s="114"/>
      <c r="B231" s="114"/>
      <c r="C231" s="114"/>
      <c r="D231" s="114"/>
      <c r="E231" s="114"/>
      <c r="F231" s="114"/>
      <c r="G231" s="114"/>
    </row>
    <row r="232">
      <c r="A232" s="114"/>
      <c r="B232" s="114"/>
      <c r="C232" s="114"/>
      <c r="D232" s="114"/>
      <c r="E232" s="114"/>
      <c r="F232" s="114"/>
      <c r="G232" s="114"/>
    </row>
    <row r="233">
      <c r="A233" s="114"/>
      <c r="B233" s="114"/>
      <c r="C233" s="114"/>
      <c r="D233" s="114"/>
      <c r="E233" s="114"/>
      <c r="F233" s="114"/>
      <c r="G233" s="114"/>
    </row>
    <row r="234">
      <c r="A234" s="114"/>
      <c r="B234" s="114"/>
      <c r="C234" s="114"/>
      <c r="D234" s="114"/>
      <c r="E234" s="114"/>
      <c r="F234" s="114"/>
      <c r="G234" s="114"/>
    </row>
    <row r="235">
      <c r="A235" s="114"/>
      <c r="B235" s="114"/>
      <c r="C235" s="114"/>
      <c r="D235" s="114"/>
      <c r="E235" s="114"/>
      <c r="F235" s="114"/>
      <c r="G235" s="114"/>
    </row>
    <row r="236">
      <c r="A236" s="114"/>
      <c r="B236" s="114"/>
      <c r="C236" s="114"/>
      <c r="D236" s="114"/>
      <c r="E236" s="114"/>
      <c r="F236" s="114"/>
      <c r="G236" s="114"/>
    </row>
    <row r="237">
      <c r="A237" s="114"/>
      <c r="B237" s="114"/>
      <c r="C237" s="114"/>
      <c r="D237" s="114"/>
      <c r="E237" s="114"/>
      <c r="F237" s="114"/>
      <c r="G237" s="114"/>
    </row>
    <row r="238">
      <c r="A238" s="114"/>
      <c r="B238" s="114"/>
      <c r="C238" s="114"/>
      <c r="D238" s="114"/>
      <c r="E238" s="114"/>
      <c r="F238" s="114"/>
      <c r="G238" s="114"/>
    </row>
    <row r="239">
      <c r="A239" s="114"/>
      <c r="B239" s="114"/>
      <c r="C239" s="114"/>
      <c r="D239" s="114"/>
      <c r="E239" s="114"/>
      <c r="F239" s="114"/>
      <c r="G239" s="114"/>
    </row>
    <row r="240">
      <c r="A240" s="114"/>
      <c r="B240" s="114"/>
      <c r="C240" s="114"/>
      <c r="D240" s="114"/>
      <c r="E240" s="114"/>
      <c r="F240" s="114"/>
      <c r="G240" s="114"/>
    </row>
    <row r="241">
      <c r="A241" s="114"/>
      <c r="B241" s="114"/>
      <c r="C241" s="114"/>
      <c r="D241" s="114"/>
      <c r="E241" s="114"/>
      <c r="F241" s="114"/>
      <c r="G241" s="114"/>
    </row>
    <row r="242">
      <c r="A242" s="114"/>
      <c r="B242" s="114"/>
      <c r="C242" s="114"/>
      <c r="D242" s="114"/>
      <c r="E242" s="114"/>
      <c r="F242" s="114"/>
      <c r="G242" s="114"/>
    </row>
    <row r="243">
      <c r="A243" s="114"/>
      <c r="B243" s="114"/>
      <c r="C243" s="114"/>
      <c r="D243" s="114"/>
      <c r="E243" s="114"/>
      <c r="F243" s="114"/>
      <c r="G243" s="114"/>
    </row>
    <row r="244">
      <c r="A244" s="114"/>
      <c r="B244" s="114"/>
      <c r="C244" s="114"/>
      <c r="D244" s="114"/>
      <c r="E244" s="114"/>
      <c r="F244" s="114"/>
      <c r="G244" s="114"/>
    </row>
    <row r="245">
      <c r="A245" s="114"/>
      <c r="B245" s="114"/>
      <c r="C245" s="114"/>
      <c r="D245" s="114"/>
      <c r="E245" s="114"/>
      <c r="F245" s="114"/>
      <c r="G245" s="114"/>
    </row>
    <row r="246">
      <c r="A246" s="114"/>
      <c r="B246" s="114"/>
      <c r="C246" s="114"/>
      <c r="D246" s="114"/>
      <c r="E246" s="114"/>
      <c r="F246" s="114"/>
      <c r="G246" s="114"/>
    </row>
    <row r="247">
      <c r="A247" s="114"/>
      <c r="B247" s="114"/>
      <c r="C247" s="114"/>
      <c r="D247" s="114"/>
      <c r="E247" s="114"/>
      <c r="F247" s="114"/>
      <c r="G247" s="114"/>
    </row>
    <row r="248">
      <c r="A248" s="114"/>
      <c r="B248" s="114"/>
      <c r="C248" s="114"/>
      <c r="D248" s="114"/>
      <c r="E248" s="114"/>
      <c r="F248" s="114"/>
      <c r="G248" s="114"/>
    </row>
    <row r="249">
      <c r="A249" s="114"/>
      <c r="B249" s="114"/>
      <c r="C249" s="114"/>
      <c r="D249" s="114"/>
      <c r="E249" s="114"/>
      <c r="F249" s="114"/>
      <c r="G249" s="114"/>
    </row>
    <row r="250">
      <c r="A250" s="114"/>
      <c r="B250" s="114"/>
      <c r="C250" s="114"/>
      <c r="D250" s="114"/>
      <c r="E250" s="114"/>
      <c r="F250" s="114"/>
      <c r="G250" s="114"/>
    </row>
    <row r="251">
      <c r="A251" s="114"/>
      <c r="B251" s="114"/>
      <c r="C251" s="114"/>
      <c r="D251" s="114"/>
      <c r="E251" s="114"/>
      <c r="F251" s="114"/>
      <c r="G251" s="114"/>
    </row>
    <row r="252">
      <c r="A252" s="114"/>
      <c r="B252" s="114"/>
      <c r="C252" s="114"/>
      <c r="D252" s="114"/>
      <c r="E252" s="114"/>
      <c r="F252" s="114"/>
      <c r="G252" s="114"/>
    </row>
    <row r="253">
      <c r="A253" s="114"/>
      <c r="B253" s="114"/>
      <c r="C253" s="114"/>
      <c r="D253" s="114"/>
      <c r="E253" s="114"/>
      <c r="F253" s="114"/>
      <c r="G253" s="114"/>
    </row>
    <row r="254">
      <c r="A254" s="114"/>
      <c r="B254" s="114"/>
      <c r="C254" s="114"/>
      <c r="D254" s="114"/>
      <c r="E254" s="114"/>
      <c r="F254" s="114"/>
      <c r="G254" s="114"/>
    </row>
    <row r="255">
      <c r="A255" s="114"/>
      <c r="B255" s="114"/>
      <c r="C255" s="114"/>
      <c r="D255" s="114"/>
      <c r="E255" s="114"/>
      <c r="F255" s="114"/>
      <c r="G255" s="114"/>
    </row>
    <row r="256">
      <c r="A256" s="114"/>
      <c r="B256" s="114"/>
      <c r="C256" s="114"/>
      <c r="D256" s="114"/>
      <c r="E256" s="114"/>
      <c r="F256" s="114"/>
      <c r="G256" s="114"/>
    </row>
    <row r="257">
      <c r="A257" s="114"/>
      <c r="B257" s="114"/>
      <c r="C257" s="114"/>
      <c r="D257" s="114"/>
      <c r="E257" s="114"/>
      <c r="F257" s="114"/>
      <c r="G257" s="114"/>
    </row>
    <row r="258">
      <c r="A258" s="114"/>
      <c r="B258" s="114"/>
      <c r="C258" s="114"/>
      <c r="D258" s="114"/>
      <c r="E258" s="114"/>
      <c r="F258" s="114"/>
      <c r="G258" s="114"/>
    </row>
    <row r="259">
      <c r="A259" s="114"/>
      <c r="B259" s="114"/>
      <c r="C259" s="114"/>
      <c r="D259" s="114"/>
      <c r="E259" s="114"/>
      <c r="F259" s="114"/>
      <c r="G259" s="114"/>
    </row>
    <row r="260">
      <c r="A260" s="114"/>
      <c r="B260" s="114"/>
      <c r="C260" s="114"/>
      <c r="D260" s="114"/>
      <c r="E260" s="114"/>
      <c r="F260" s="114"/>
      <c r="G260" s="114"/>
    </row>
    <row r="261">
      <c r="A261" s="114"/>
      <c r="B261" s="114"/>
      <c r="C261" s="114"/>
      <c r="D261" s="114"/>
      <c r="E261" s="114"/>
      <c r="F261" s="114"/>
      <c r="G261" s="114"/>
    </row>
    <row r="262">
      <c r="A262" s="114"/>
      <c r="B262" s="114"/>
      <c r="C262" s="114"/>
      <c r="D262" s="114"/>
      <c r="E262" s="114"/>
      <c r="F262" s="114"/>
      <c r="G262" s="114"/>
    </row>
    <row r="263">
      <c r="A263" s="114"/>
      <c r="B263" s="114"/>
      <c r="C263" s="114"/>
      <c r="D263" s="114"/>
      <c r="E263" s="114"/>
      <c r="F263" s="114"/>
      <c r="G263" s="114"/>
    </row>
    <row r="264">
      <c r="A264" s="114"/>
      <c r="B264" s="114"/>
      <c r="C264" s="114"/>
      <c r="D264" s="114"/>
      <c r="E264" s="114"/>
      <c r="F264" s="114"/>
      <c r="G264" s="114"/>
    </row>
    <row r="265">
      <c r="A265" s="114"/>
      <c r="B265" s="114"/>
      <c r="C265" s="114"/>
      <c r="D265" s="114"/>
      <c r="E265" s="114"/>
      <c r="F265" s="114"/>
      <c r="G265" s="114"/>
    </row>
    <row r="266">
      <c r="A266" s="114"/>
      <c r="B266" s="114"/>
      <c r="C266" s="114"/>
      <c r="D266" s="114"/>
      <c r="E266" s="114"/>
      <c r="F266" s="114"/>
      <c r="G266" s="114"/>
    </row>
    <row r="267">
      <c r="A267" s="114"/>
      <c r="B267" s="114"/>
      <c r="C267" s="114"/>
      <c r="D267" s="114"/>
      <c r="E267" s="114"/>
      <c r="F267" s="114"/>
      <c r="G267" s="114"/>
    </row>
    <row r="268">
      <c r="A268" s="114"/>
      <c r="B268" s="114"/>
      <c r="C268" s="114"/>
      <c r="D268" s="114"/>
      <c r="E268" s="114"/>
      <c r="F268" s="114"/>
      <c r="G268" s="114"/>
    </row>
    <row r="269">
      <c r="A269" s="114"/>
      <c r="B269" s="114"/>
      <c r="C269" s="114"/>
      <c r="D269" s="114"/>
      <c r="E269" s="114"/>
      <c r="F269" s="114"/>
      <c r="G269" s="114"/>
    </row>
    <row r="270">
      <c r="A270" s="114"/>
      <c r="B270" s="114"/>
      <c r="C270" s="114"/>
      <c r="D270" s="114"/>
      <c r="E270" s="114"/>
      <c r="F270" s="114"/>
      <c r="G270" s="114"/>
    </row>
    <row r="271">
      <c r="A271" s="114"/>
      <c r="B271" s="114"/>
      <c r="C271" s="114"/>
      <c r="D271" s="114"/>
      <c r="E271" s="114"/>
      <c r="F271" s="114"/>
      <c r="G271" s="114"/>
    </row>
    <row r="272">
      <c r="A272" s="114"/>
      <c r="B272" s="114"/>
      <c r="C272" s="114"/>
      <c r="D272" s="114"/>
      <c r="E272" s="114"/>
      <c r="F272" s="114"/>
      <c r="G272" s="114"/>
    </row>
    <row r="273">
      <c r="A273" s="114"/>
      <c r="B273" s="114"/>
      <c r="C273" s="114"/>
      <c r="D273" s="114"/>
      <c r="E273" s="114"/>
      <c r="F273" s="114"/>
      <c r="G273" s="114"/>
    </row>
    <row r="274">
      <c r="A274" s="114"/>
      <c r="B274" s="114"/>
      <c r="C274" s="114"/>
      <c r="D274" s="114"/>
      <c r="E274" s="114"/>
      <c r="F274" s="114"/>
      <c r="G274" s="114"/>
    </row>
    <row r="275">
      <c r="A275" s="114"/>
      <c r="B275" s="114"/>
      <c r="C275" s="114"/>
      <c r="D275" s="114"/>
      <c r="E275" s="114"/>
      <c r="F275" s="114"/>
      <c r="G275" s="114"/>
    </row>
    <row r="276">
      <c r="A276" s="114"/>
      <c r="B276" s="114"/>
      <c r="C276" s="114"/>
      <c r="D276" s="114"/>
      <c r="E276" s="114"/>
      <c r="F276" s="114"/>
      <c r="G276" s="114"/>
    </row>
    <row r="277">
      <c r="A277" s="114"/>
      <c r="B277" s="114"/>
      <c r="C277" s="114"/>
      <c r="D277" s="114"/>
      <c r="E277" s="114"/>
      <c r="F277" s="114"/>
      <c r="G277" s="114"/>
    </row>
    <row r="278">
      <c r="A278" s="114"/>
      <c r="B278" s="114"/>
      <c r="C278" s="114"/>
      <c r="D278" s="114"/>
      <c r="E278" s="114"/>
      <c r="F278" s="114"/>
      <c r="G278" s="114"/>
    </row>
    <row r="279">
      <c r="A279" s="114"/>
      <c r="B279" s="114"/>
      <c r="C279" s="114"/>
      <c r="D279" s="114"/>
      <c r="E279" s="114"/>
      <c r="F279" s="114"/>
      <c r="G279" s="114"/>
    </row>
    <row r="280">
      <c r="A280" s="114"/>
      <c r="B280" s="114"/>
      <c r="C280" s="114"/>
      <c r="D280" s="114"/>
      <c r="E280" s="114"/>
      <c r="F280" s="114"/>
      <c r="G280" s="114"/>
    </row>
    <row r="281">
      <c r="A281" s="114"/>
      <c r="B281" s="114"/>
      <c r="C281" s="114"/>
      <c r="D281" s="114"/>
      <c r="E281" s="114"/>
      <c r="F281" s="114"/>
      <c r="G281" s="114"/>
    </row>
    <row r="282">
      <c r="A282" s="114"/>
      <c r="B282" s="114"/>
      <c r="C282" s="114"/>
      <c r="D282" s="114"/>
      <c r="E282" s="114"/>
      <c r="F282" s="114"/>
      <c r="G282" s="114"/>
    </row>
    <row r="283">
      <c r="A283" s="114"/>
      <c r="B283" s="114"/>
      <c r="C283" s="114"/>
      <c r="D283" s="114"/>
      <c r="E283" s="114"/>
      <c r="F283" s="114"/>
      <c r="G283" s="114"/>
    </row>
    <row r="284">
      <c r="A284" s="114"/>
      <c r="B284" s="114"/>
      <c r="C284" s="114"/>
      <c r="D284" s="114"/>
      <c r="E284" s="114"/>
      <c r="F284" s="114"/>
      <c r="G284" s="114"/>
    </row>
    <row r="285">
      <c r="A285" s="114"/>
      <c r="B285" s="114"/>
      <c r="C285" s="114"/>
      <c r="D285" s="114"/>
      <c r="E285" s="114"/>
      <c r="F285" s="114"/>
      <c r="G285" s="114"/>
    </row>
    <row r="286">
      <c r="A286" s="114"/>
      <c r="B286" s="114"/>
      <c r="C286" s="114"/>
      <c r="D286" s="114"/>
      <c r="E286" s="114"/>
      <c r="F286" s="114"/>
      <c r="G286" s="114"/>
    </row>
    <row r="287">
      <c r="A287" s="114"/>
      <c r="B287" s="114"/>
      <c r="C287" s="114"/>
      <c r="D287" s="114"/>
      <c r="E287" s="114"/>
      <c r="F287" s="114"/>
      <c r="G287" s="114"/>
    </row>
    <row r="288">
      <c r="A288" s="114"/>
      <c r="B288" s="114"/>
      <c r="C288" s="114"/>
      <c r="D288" s="114"/>
      <c r="E288" s="114"/>
      <c r="F288" s="114"/>
      <c r="G288" s="114"/>
    </row>
    <row r="289">
      <c r="A289" s="114"/>
      <c r="B289" s="114"/>
      <c r="C289" s="114"/>
      <c r="D289" s="114"/>
      <c r="E289" s="114"/>
      <c r="F289" s="114"/>
      <c r="G289" s="114"/>
    </row>
    <row r="290">
      <c r="A290" s="114"/>
      <c r="B290" s="114"/>
      <c r="C290" s="114"/>
      <c r="D290" s="114"/>
      <c r="E290" s="114"/>
      <c r="F290" s="114"/>
      <c r="G290" s="114"/>
    </row>
    <row r="291">
      <c r="A291" s="114"/>
      <c r="B291" s="114"/>
      <c r="C291" s="114"/>
      <c r="D291" s="114"/>
      <c r="E291" s="114"/>
      <c r="F291" s="114"/>
      <c r="G291" s="114"/>
    </row>
    <row r="292">
      <c r="A292" s="114"/>
      <c r="B292" s="114"/>
      <c r="C292" s="114"/>
      <c r="D292" s="114"/>
      <c r="E292" s="114"/>
      <c r="F292" s="114"/>
      <c r="G292" s="114"/>
    </row>
    <row r="293">
      <c r="A293" s="114"/>
      <c r="B293" s="114"/>
      <c r="C293" s="114"/>
      <c r="D293" s="114"/>
      <c r="E293" s="114"/>
      <c r="F293" s="114"/>
      <c r="G293" s="114"/>
    </row>
    <row r="294">
      <c r="A294" s="114"/>
      <c r="B294" s="114"/>
      <c r="C294" s="114"/>
      <c r="D294" s="114"/>
      <c r="E294" s="114"/>
      <c r="F294" s="114"/>
      <c r="G294" s="114"/>
    </row>
    <row r="295">
      <c r="A295" s="114"/>
      <c r="B295" s="114"/>
      <c r="C295" s="114"/>
      <c r="D295" s="114"/>
      <c r="E295" s="114"/>
      <c r="F295" s="114"/>
      <c r="G295" s="114"/>
    </row>
    <row r="296">
      <c r="A296" s="114"/>
      <c r="B296" s="114"/>
      <c r="C296" s="114"/>
      <c r="D296" s="114"/>
      <c r="E296" s="114"/>
      <c r="F296" s="114"/>
      <c r="G296" s="114"/>
    </row>
    <row r="297">
      <c r="A297" s="114"/>
      <c r="B297" s="114"/>
      <c r="C297" s="114"/>
      <c r="D297" s="114"/>
      <c r="E297" s="114"/>
      <c r="F297" s="114"/>
      <c r="G297" s="114"/>
    </row>
    <row r="298">
      <c r="A298" s="114"/>
      <c r="B298" s="114"/>
      <c r="C298" s="114"/>
      <c r="D298" s="114"/>
      <c r="E298" s="114"/>
      <c r="F298" s="114"/>
      <c r="G298" s="114"/>
    </row>
    <row r="299">
      <c r="A299" s="114"/>
      <c r="B299" s="114"/>
      <c r="C299" s="114"/>
      <c r="D299" s="114"/>
      <c r="E299" s="114"/>
      <c r="F299" s="114"/>
      <c r="G299" s="114"/>
    </row>
    <row r="300">
      <c r="A300" s="114"/>
      <c r="B300" s="114"/>
      <c r="C300" s="114"/>
      <c r="D300" s="114"/>
      <c r="E300" s="114"/>
      <c r="F300" s="114"/>
      <c r="G300" s="114"/>
    </row>
    <row r="301">
      <c r="A301" s="114"/>
      <c r="B301" s="114"/>
      <c r="C301" s="114"/>
      <c r="D301" s="114"/>
      <c r="E301" s="114"/>
      <c r="F301" s="114"/>
      <c r="G301" s="114"/>
    </row>
    <row r="302">
      <c r="A302" s="114"/>
      <c r="B302" s="114"/>
      <c r="C302" s="114"/>
      <c r="D302" s="114"/>
      <c r="E302" s="114"/>
      <c r="F302" s="114"/>
      <c r="G302" s="114"/>
    </row>
    <row r="303">
      <c r="A303" s="114"/>
      <c r="B303" s="114"/>
      <c r="C303" s="114"/>
      <c r="D303" s="114"/>
      <c r="E303" s="114"/>
      <c r="F303" s="114"/>
      <c r="G303" s="114"/>
    </row>
    <row r="304">
      <c r="A304" s="114"/>
      <c r="B304" s="114"/>
      <c r="C304" s="114"/>
      <c r="D304" s="114"/>
      <c r="E304" s="114"/>
      <c r="F304" s="114"/>
      <c r="G304" s="114"/>
    </row>
    <row r="305">
      <c r="A305" s="114"/>
      <c r="B305" s="114"/>
      <c r="C305" s="114"/>
      <c r="D305" s="114"/>
      <c r="E305" s="114"/>
      <c r="F305" s="114"/>
      <c r="G305" s="114"/>
    </row>
    <row r="306">
      <c r="A306" s="114"/>
      <c r="B306" s="114"/>
      <c r="C306" s="114"/>
      <c r="D306" s="114"/>
      <c r="E306" s="114"/>
      <c r="F306" s="114"/>
      <c r="G306" s="114"/>
    </row>
    <row r="307">
      <c r="A307" s="114"/>
      <c r="B307" s="114"/>
      <c r="C307" s="114"/>
      <c r="D307" s="114"/>
      <c r="E307" s="114"/>
      <c r="F307" s="114"/>
      <c r="G307" s="114"/>
    </row>
    <row r="308">
      <c r="A308" s="114"/>
      <c r="B308" s="114"/>
      <c r="C308" s="114"/>
      <c r="D308" s="114"/>
      <c r="E308" s="114"/>
      <c r="F308" s="114"/>
      <c r="G308" s="114"/>
    </row>
    <row r="309">
      <c r="A309" s="114"/>
      <c r="B309" s="114"/>
      <c r="C309" s="114"/>
      <c r="D309" s="114"/>
      <c r="E309" s="114"/>
      <c r="F309" s="114"/>
      <c r="G309" s="114"/>
    </row>
    <row r="310">
      <c r="A310" s="114"/>
      <c r="B310" s="114"/>
      <c r="C310" s="114"/>
      <c r="D310" s="114"/>
      <c r="E310" s="114"/>
      <c r="F310" s="114"/>
      <c r="G310" s="114"/>
    </row>
    <row r="311">
      <c r="A311" s="114"/>
      <c r="B311" s="114"/>
      <c r="C311" s="114"/>
      <c r="D311" s="114"/>
      <c r="E311" s="114"/>
      <c r="F311" s="114"/>
      <c r="G311" s="114"/>
    </row>
    <row r="312">
      <c r="A312" s="114"/>
      <c r="B312" s="114"/>
      <c r="C312" s="114"/>
      <c r="D312" s="114"/>
      <c r="E312" s="114"/>
      <c r="F312" s="114"/>
      <c r="G312" s="114"/>
    </row>
    <row r="313">
      <c r="A313" s="114"/>
      <c r="B313" s="114"/>
      <c r="C313" s="114"/>
      <c r="D313" s="114"/>
      <c r="E313" s="114"/>
      <c r="F313" s="114"/>
      <c r="G313" s="114"/>
    </row>
    <row r="314">
      <c r="A314" s="114"/>
      <c r="B314" s="114"/>
      <c r="C314" s="114"/>
      <c r="D314" s="114"/>
      <c r="E314" s="114"/>
      <c r="F314" s="114"/>
      <c r="G314" s="114"/>
    </row>
    <row r="315">
      <c r="A315" s="114"/>
      <c r="B315" s="114"/>
      <c r="C315" s="114"/>
      <c r="D315" s="114"/>
      <c r="E315" s="114"/>
      <c r="F315" s="114"/>
      <c r="G315" s="114"/>
    </row>
    <row r="316">
      <c r="A316" s="114"/>
      <c r="B316" s="114"/>
      <c r="C316" s="114"/>
      <c r="D316" s="114"/>
      <c r="E316" s="114"/>
      <c r="F316" s="114"/>
      <c r="G316" s="114"/>
    </row>
    <row r="317">
      <c r="A317" s="114"/>
      <c r="B317" s="114"/>
      <c r="C317" s="114"/>
      <c r="D317" s="114"/>
      <c r="E317" s="114"/>
      <c r="F317" s="114"/>
      <c r="G317" s="114"/>
    </row>
    <row r="318">
      <c r="A318" s="114"/>
      <c r="B318" s="114"/>
      <c r="C318" s="114"/>
      <c r="D318" s="114"/>
      <c r="E318" s="114"/>
      <c r="F318" s="114"/>
      <c r="G318" s="114"/>
    </row>
    <row r="319">
      <c r="A319" s="114"/>
      <c r="B319" s="114"/>
      <c r="C319" s="114"/>
      <c r="D319" s="114"/>
      <c r="E319" s="114"/>
      <c r="F319" s="114"/>
      <c r="G319" s="114"/>
    </row>
    <row r="320">
      <c r="A320" s="114"/>
      <c r="B320" s="114"/>
      <c r="C320" s="114"/>
      <c r="D320" s="114"/>
      <c r="E320" s="114"/>
      <c r="F320" s="114"/>
      <c r="G320" s="114"/>
    </row>
    <row r="321">
      <c r="A321" s="114"/>
      <c r="B321" s="114"/>
      <c r="C321" s="114"/>
      <c r="D321" s="114"/>
      <c r="E321" s="114"/>
      <c r="F321" s="114"/>
      <c r="G321" s="114"/>
    </row>
    <row r="322">
      <c r="A322" s="114"/>
      <c r="B322" s="114"/>
      <c r="C322" s="114"/>
      <c r="D322" s="114"/>
      <c r="E322" s="114"/>
      <c r="F322" s="114"/>
      <c r="G322" s="114"/>
    </row>
    <row r="323">
      <c r="A323" s="114"/>
      <c r="B323" s="114"/>
      <c r="C323" s="114"/>
      <c r="D323" s="114"/>
      <c r="E323" s="114"/>
      <c r="F323" s="114"/>
      <c r="G323" s="114"/>
    </row>
    <row r="324">
      <c r="A324" s="114"/>
      <c r="B324" s="114"/>
      <c r="C324" s="114"/>
      <c r="D324" s="114"/>
      <c r="E324" s="114"/>
      <c r="F324" s="114"/>
      <c r="G324" s="114"/>
    </row>
    <row r="325">
      <c r="A325" s="114"/>
      <c r="B325" s="114"/>
      <c r="C325" s="114"/>
      <c r="D325" s="114"/>
      <c r="E325" s="114"/>
      <c r="F325" s="114"/>
      <c r="G325" s="114"/>
    </row>
    <row r="326">
      <c r="A326" s="114"/>
      <c r="B326" s="114"/>
      <c r="C326" s="114"/>
      <c r="D326" s="114"/>
      <c r="E326" s="114"/>
      <c r="F326" s="114"/>
      <c r="G326" s="114"/>
    </row>
    <row r="327">
      <c r="A327" s="114"/>
      <c r="B327" s="114"/>
      <c r="C327" s="114"/>
      <c r="D327" s="114"/>
      <c r="E327" s="114"/>
      <c r="F327" s="114"/>
      <c r="G327" s="114"/>
    </row>
    <row r="328">
      <c r="A328" s="114"/>
      <c r="B328" s="114"/>
      <c r="C328" s="114"/>
      <c r="D328" s="114"/>
      <c r="E328" s="114"/>
      <c r="F328" s="114"/>
      <c r="G328" s="114"/>
    </row>
    <row r="329">
      <c r="A329" s="114"/>
      <c r="B329" s="114"/>
      <c r="C329" s="114"/>
      <c r="D329" s="114"/>
      <c r="E329" s="114"/>
      <c r="F329" s="114"/>
      <c r="G329" s="114"/>
    </row>
    <row r="330">
      <c r="A330" s="114"/>
      <c r="B330" s="114"/>
      <c r="C330" s="114"/>
      <c r="D330" s="114"/>
      <c r="E330" s="114"/>
      <c r="F330" s="114"/>
      <c r="G330" s="114"/>
    </row>
    <row r="331">
      <c r="A331" s="114"/>
      <c r="B331" s="114"/>
      <c r="C331" s="114"/>
      <c r="D331" s="114"/>
      <c r="E331" s="114"/>
      <c r="F331" s="114"/>
      <c r="G331" s="114"/>
    </row>
    <row r="332">
      <c r="A332" s="114"/>
      <c r="B332" s="114"/>
      <c r="C332" s="114"/>
      <c r="D332" s="114"/>
      <c r="E332" s="114"/>
      <c r="F332" s="114"/>
      <c r="G332" s="114"/>
    </row>
    <row r="333">
      <c r="A333" s="114"/>
      <c r="B333" s="114"/>
      <c r="C333" s="114"/>
      <c r="D333" s="114"/>
      <c r="E333" s="114"/>
      <c r="F333" s="114"/>
      <c r="G333" s="114"/>
    </row>
    <row r="334">
      <c r="A334" s="114"/>
      <c r="B334" s="114"/>
      <c r="C334" s="114"/>
      <c r="D334" s="114"/>
      <c r="E334" s="114"/>
      <c r="F334" s="114"/>
      <c r="G334" s="114"/>
    </row>
    <row r="335">
      <c r="A335" s="114"/>
      <c r="B335" s="114"/>
      <c r="C335" s="114"/>
      <c r="D335" s="114"/>
      <c r="E335" s="114"/>
      <c r="F335" s="114"/>
      <c r="G335" s="114"/>
    </row>
    <row r="336">
      <c r="A336" s="114"/>
      <c r="B336" s="114"/>
      <c r="C336" s="114"/>
      <c r="D336" s="114"/>
      <c r="E336" s="114"/>
      <c r="F336" s="114"/>
      <c r="G336" s="114"/>
    </row>
    <row r="337">
      <c r="A337" s="114"/>
      <c r="B337" s="114"/>
      <c r="C337" s="114"/>
      <c r="D337" s="114"/>
      <c r="E337" s="114"/>
      <c r="F337" s="114"/>
      <c r="G337" s="114"/>
    </row>
    <row r="338">
      <c r="A338" s="114"/>
      <c r="B338" s="114"/>
      <c r="C338" s="114"/>
      <c r="D338" s="114"/>
      <c r="E338" s="114"/>
      <c r="F338" s="114"/>
      <c r="G338" s="114"/>
    </row>
    <row r="339">
      <c r="A339" s="114"/>
      <c r="B339" s="114"/>
      <c r="C339" s="114"/>
      <c r="D339" s="114"/>
      <c r="E339" s="114"/>
      <c r="F339" s="114"/>
      <c r="G339" s="114"/>
    </row>
    <row r="340">
      <c r="A340" s="114"/>
      <c r="B340" s="114"/>
      <c r="C340" s="114"/>
      <c r="D340" s="114"/>
      <c r="E340" s="114"/>
      <c r="F340" s="114"/>
      <c r="G340" s="114"/>
    </row>
    <row r="341">
      <c r="A341" s="114"/>
      <c r="B341" s="114"/>
      <c r="C341" s="114"/>
      <c r="D341" s="114"/>
      <c r="E341" s="114"/>
      <c r="F341" s="114"/>
      <c r="G341" s="114"/>
    </row>
    <row r="342">
      <c r="A342" s="114"/>
      <c r="B342" s="114"/>
      <c r="C342" s="114"/>
      <c r="D342" s="114"/>
      <c r="E342" s="114"/>
      <c r="F342" s="114"/>
      <c r="G342" s="114"/>
    </row>
    <row r="343">
      <c r="A343" s="114"/>
      <c r="B343" s="114"/>
      <c r="C343" s="114"/>
      <c r="D343" s="114"/>
      <c r="E343" s="114"/>
      <c r="F343" s="114"/>
      <c r="G343" s="114"/>
    </row>
    <row r="344">
      <c r="A344" s="114"/>
      <c r="B344" s="114"/>
      <c r="C344" s="114"/>
      <c r="D344" s="114"/>
      <c r="E344" s="114"/>
      <c r="F344" s="114"/>
      <c r="G344" s="114"/>
    </row>
    <row r="345">
      <c r="A345" s="114"/>
      <c r="B345" s="114"/>
      <c r="C345" s="114"/>
      <c r="D345" s="114"/>
      <c r="E345" s="114"/>
      <c r="F345" s="114"/>
      <c r="G345" s="114"/>
    </row>
    <row r="346">
      <c r="A346" s="114"/>
      <c r="B346" s="114"/>
      <c r="C346" s="114"/>
      <c r="D346" s="114"/>
      <c r="E346" s="114"/>
      <c r="F346" s="114"/>
      <c r="G346" s="114"/>
    </row>
    <row r="347">
      <c r="A347" s="114"/>
      <c r="B347" s="114"/>
      <c r="C347" s="114"/>
      <c r="D347" s="114"/>
      <c r="E347" s="114"/>
      <c r="F347" s="114"/>
      <c r="G347" s="114"/>
    </row>
    <row r="348">
      <c r="A348" s="114"/>
      <c r="B348" s="114"/>
      <c r="C348" s="114"/>
      <c r="D348" s="114"/>
      <c r="E348" s="114"/>
      <c r="F348" s="114"/>
      <c r="G348" s="114"/>
    </row>
    <row r="349">
      <c r="A349" s="114"/>
      <c r="B349" s="114"/>
      <c r="C349" s="114"/>
      <c r="D349" s="114"/>
      <c r="E349" s="114"/>
      <c r="F349" s="114"/>
      <c r="G349" s="114"/>
    </row>
    <row r="350">
      <c r="A350" s="114"/>
      <c r="B350" s="114"/>
      <c r="C350" s="114"/>
      <c r="D350" s="114"/>
      <c r="E350" s="114"/>
      <c r="F350" s="114"/>
      <c r="G350" s="114"/>
    </row>
    <row r="351">
      <c r="A351" s="114"/>
      <c r="B351" s="114"/>
      <c r="C351" s="114"/>
      <c r="D351" s="114"/>
      <c r="E351" s="114"/>
      <c r="F351" s="114"/>
      <c r="G351" s="114"/>
    </row>
    <row r="352">
      <c r="A352" s="114"/>
      <c r="B352" s="114"/>
      <c r="C352" s="114"/>
      <c r="D352" s="114"/>
      <c r="E352" s="114"/>
      <c r="F352" s="114"/>
      <c r="G352" s="114"/>
    </row>
    <row r="353">
      <c r="A353" s="114"/>
      <c r="B353" s="114"/>
      <c r="C353" s="114"/>
      <c r="D353" s="114"/>
      <c r="E353" s="114"/>
      <c r="F353" s="114"/>
      <c r="G353" s="114"/>
    </row>
    <row r="354">
      <c r="A354" s="114"/>
      <c r="B354" s="114"/>
      <c r="C354" s="114"/>
      <c r="D354" s="114"/>
      <c r="E354" s="114"/>
      <c r="F354" s="114"/>
      <c r="G354" s="114"/>
    </row>
    <row r="355">
      <c r="A355" s="114"/>
      <c r="B355" s="114"/>
      <c r="C355" s="114"/>
      <c r="D355" s="114"/>
      <c r="E355" s="114"/>
      <c r="F355" s="114"/>
      <c r="G355" s="114"/>
    </row>
    <row r="356">
      <c r="A356" s="114"/>
      <c r="B356" s="114"/>
      <c r="C356" s="114"/>
      <c r="D356" s="114"/>
      <c r="E356" s="114"/>
      <c r="F356" s="114"/>
      <c r="G356" s="114"/>
    </row>
    <row r="357">
      <c r="A357" s="114"/>
      <c r="B357" s="114"/>
      <c r="C357" s="114"/>
      <c r="D357" s="114"/>
      <c r="E357" s="114"/>
      <c r="F357" s="114"/>
      <c r="G357" s="114"/>
    </row>
    <row r="358">
      <c r="A358" s="114"/>
      <c r="B358" s="114"/>
      <c r="C358" s="114"/>
      <c r="D358" s="114"/>
      <c r="E358" s="114"/>
      <c r="F358" s="114"/>
      <c r="G358" s="114"/>
    </row>
    <row r="359">
      <c r="A359" s="114"/>
      <c r="B359" s="114"/>
      <c r="C359" s="114"/>
      <c r="D359" s="114"/>
      <c r="E359" s="114"/>
      <c r="F359" s="114"/>
      <c r="G359" s="114"/>
    </row>
    <row r="360">
      <c r="A360" s="114"/>
      <c r="B360" s="114"/>
      <c r="C360" s="114"/>
      <c r="D360" s="114"/>
      <c r="E360" s="114"/>
      <c r="F360" s="114"/>
      <c r="G360" s="114"/>
    </row>
    <row r="361">
      <c r="A361" s="114"/>
      <c r="B361" s="114"/>
      <c r="C361" s="114"/>
      <c r="D361" s="114"/>
      <c r="E361" s="114"/>
      <c r="F361" s="114"/>
      <c r="G361" s="114"/>
    </row>
    <row r="362">
      <c r="A362" s="114"/>
      <c r="B362" s="114"/>
      <c r="C362" s="114"/>
      <c r="D362" s="114"/>
      <c r="E362" s="114"/>
      <c r="F362" s="114"/>
      <c r="G362" s="114"/>
    </row>
    <row r="363">
      <c r="A363" s="114"/>
      <c r="B363" s="114"/>
      <c r="C363" s="114"/>
      <c r="D363" s="114"/>
      <c r="E363" s="114"/>
      <c r="F363" s="114"/>
      <c r="G363" s="114"/>
    </row>
    <row r="364">
      <c r="A364" s="114"/>
      <c r="B364" s="114"/>
      <c r="C364" s="114"/>
      <c r="D364" s="114"/>
      <c r="E364" s="114"/>
      <c r="F364" s="114"/>
      <c r="G364" s="114"/>
    </row>
    <row r="365">
      <c r="A365" s="114"/>
      <c r="B365" s="114"/>
      <c r="C365" s="114"/>
      <c r="D365" s="114"/>
      <c r="E365" s="114"/>
      <c r="F365" s="114"/>
      <c r="G365" s="114"/>
    </row>
    <row r="366">
      <c r="A366" s="114"/>
      <c r="B366" s="114"/>
      <c r="C366" s="114"/>
      <c r="D366" s="114"/>
      <c r="E366" s="114"/>
      <c r="F366" s="114"/>
      <c r="G366" s="114"/>
    </row>
    <row r="367">
      <c r="A367" s="114"/>
      <c r="B367" s="114"/>
      <c r="C367" s="114"/>
      <c r="D367" s="114"/>
      <c r="E367" s="114"/>
      <c r="F367" s="114"/>
      <c r="G367" s="114"/>
    </row>
    <row r="368">
      <c r="A368" s="114"/>
      <c r="B368" s="114"/>
      <c r="C368" s="114"/>
      <c r="D368" s="114"/>
      <c r="E368" s="114"/>
      <c r="F368" s="114"/>
      <c r="G368" s="114"/>
    </row>
    <row r="369">
      <c r="A369" s="114"/>
      <c r="B369" s="114"/>
      <c r="C369" s="114"/>
      <c r="D369" s="114"/>
      <c r="E369" s="114"/>
      <c r="F369" s="114"/>
      <c r="G369" s="114"/>
    </row>
    <row r="370">
      <c r="A370" s="114"/>
      <c r="B370" s="114"/>
      <c r="C370" s="114"/>
      <c r="D370" s="114"/>
      <c r="E370" s="114"/>
      <c r="F370" s="114"/>
      <c r="G370" s="114"/>
    </row>
    <row r="371">
      <c r="A371" s="114"/>
      <c r="B371" s="114"/>
      <c r="C371" s="114"/>
      <c r="D371" s="114"/>
      <c r="E371" s="114"/>
      <c r="F371" s="114"/>
      <c r="G371" s="114"/>
    </row>
    <row r="372">
      <c r="A372" s="114"/>
      <c r="B372" s="114"/>
      <c r="C372" s="114"/>
      <c r="D372" s="114"/>
      <c r="E372" s="114"/>
      <c r="F372" s="114"/>
      <c r="G372" s="114"/>
    </row>
    <row r="373">
      <c r="A373" s="114"/>
      <c r="B373" s="114"/>
      <c r="C373" s="114"/>
      <c r="D373" s="114"/>
      <c r="E373" s="114"/>
      <c r="F373" s="114"/>
      <c r="G373" s="114"/>
    </row>
    <row r="374">
      <c r="A374" s="114"/>
      <c r="B374" s="114"/>
      <c r="C374" s="114"/>
      <c r="D374" s="114"/>
      <c r="E374" s="114"/>
      <c r="F374" s="114"/>
      <c r="G374" s="114"/>
    </row>
    <row r="375">
      <c r="A375" s="114"/>
      <c r="B375" s="114"/>
      <c r="C375" s="114"/>
      <c r="D375" s="114"/>
      <c r="E375" s="114"/>
      <c r="F375" s="114"/>
      <c r="G375" s="114"/>
    </row>
    <row r="376">
      <c r="A376" s="114"/>
      <c r="B376" s="114"/>
      <c r="C376" s="114"/>
      <c r="D376" s="114"/>
      <c r="E376" s="114"/>
      <c r="F376" s="114"/>
      <c r="G376" s="114"/>
    </row>
    <row r="377">
      <c r="A377" s="114"/>
      <c r="B377" s="114"/>
      <c r="C377" s="114"/>
      <c r="D377" s="114"/>
      <c r="E377" s="114"/>
      <c r="F377" s="114"/>
      <c r="G377" s="114"/>
    </row>
    <row r="378">
      <c r="A378" s="114"/>
      <c r="B378" s="114"/>
      <c r="C378" s="114"/>
      <c r="D378" s="114"/>
      <c r="E378" s="114"/>
      <c r="F378" s="114"/>
      <c r="G378" s="114"/>
    </row>
    <row r="379">
      <c r="A379" s="114"/>
      <c r="B379" s="114"/>
      <c r="C379" s="114"/>
      <c r="D379" s="114"/>
      <c r="E379" s="114"/>
      <c r="F379" s="114"/>
      <c r="G379" s="114"/>
    </row>
    <row r="380">
      <c r="A380" s="114"/>
      <c r="B380" s="114"/>
      <c r="C380" s="114"/>
      <c r="D380" s="114"/>
      <c r="E380" s="114"/>
      <c r="F380" s="114"/>
      <c r="G380" s="114"/>
    </row>
    <row r="381">
      <c r="A381" s="114"/>
      <c r="B381" s="114"/>
      <c r="C381" s="114"/>
      <c r="D381" s="114"/>
      <c r="E381" s="114"/>
      <c r="F381" s="114"/>
      <c r="G381" s="114"/>
    </row>
    <row r="382">
      <c r="A382" s="114"/>
      <c r="B382" s="114"/>
      <c r="C382" s="114"/>
      <c r="D382" s="114"/>
      <c r="E382" s="114"/>
      <c r="F382" s="114"/>
      <c r="G382" s="114"/>
    </row>
    <row r="383">
      <c r="A383" s="114"/>
      <c r="B383" s="114"/>
      <c r="C383" s="114"/>
      <c r="D383" s="114"/>
      <c r="E383" s="114"/>
      <c r="F383" s="114"/>
      <c r="G383" s="114"/>
    </row>
    <row r="384">
      <c r="A384" s="114"/>
      <c r="B384" s="114"/>
      <c r="C384" s="114"/>
      <c r="D384" s="114"/>
      <c r="E384" s="114"/>
      <c r="F384" s="114"/>
      <c r="G384" s="114"/>
    </row>
    <row r="385">
      <c r="A385" s="114"/>
      <c r="B385" s="114"/>
      <c r="C385" s="114"/>
      <c r="D385" s="114"/>
      <c r="E385" s="114"/>
      <c r="F385" s="114"/>
      <c r="G385" s="114"/>
    </row>
    <row r="386">
      <c r="A386" s="114"/>
      <c r="B386" s="114"/>
      <c r="C386" s="114"/>
      <c r="D386" s="114"/>
      <c r="E386" s="114"/>
      <c r="F386" s="114"/>
      <c r="G386" s="114"/>
    </row>
    <row r="387">
      <c r="A387" s="114"/>
      <c r="B387" s="114"/>
      <c r="C387" s="114"/>
      <c r="D387" s="114"/>
      <c r="E387" s="114"/>
      <c r="F387" s="114"/>
      <c r="G387" s="114"/>
    </row>
    <row r="388">
      <c r="A388" s="114"/>
      <c r="B388" s="114"/>
      <c r="C388" s="114"/>
      <c r="D388" s="114"/>
      <c r="E388" s="114"/>
      <c r="F388" s="114"/>
      <c r="G388" s="114"/>
    </row>
    <row r="389">
      <c r="A389" s="114"/>
      <c r="B389" s="114"/>
      <c r="C389" s="114"/>
      <c r="D389" s="114"/>
      <c r="E389" s="114"/>
      <c r="F389" s="114"/>
      <c r="G389" s="114"/>
    </row>
    <row r="390">
      <c r="A390" s="114"/>
      <c r="B390" s="114"/>
      <c r="C390" s="114"/>
      <c r="D390" s="114"/>
      <c r="E390" s="114"/>
      <c r="F390" s="114"/>
      <c r="G390" s="114"/>
    </row>
    <row r="391">
      <c r="A391" s="114"/>
      <c r="B391" s="114"/>
      <c r="C391" s="114"/>
      <c r="D391" s="114"/>
      <c r="E391" s="114"/>
      <c r="F391" s="114"/>
      <c r="G391" s="114"/>
    </row>
    <row r="392">
      <c r="A392" s="114"/>
      <c r="B392" s="114"/>
      <c r="C392" s="114"/>
      <c r="D392" s="114"/>
      <c r="E392" s="114"/>
      <c r="F392" s="114"/>
      <c r="G392" s="114"/>
    </row>
    <row r="393">
      <c r="A393" s="114"/>
      <c r="B393" s="114"/>
      <c r="C393" s="114"/>
      <c r="D393" s="114"/>
      <c r="E393" s="114"/>
      <c r="F393" s="114"/>
      <c r="G393" s="114"/>
    </row>
    <row r="394">
      <c r="A394" s="114"/>
      <c r="B394" s="114"/>
      <c r="C394" s="114"/>
      <c r="D394" s="114"/>
      <c r="E394" s="114"/>
      <c r="F394" s="114"/>
      <c r="G394" s="114"/>
    </row>
    <row r="395">
      <c r="A395" s="114"/>
      <c r="B395" s="114"/>
      <c r="C395" s="114"/>
      <c r="D395" s="114"/>
      <c r="E395" s="114"/>
      <c r="F395" s="114"/>
      <c r="G395" s="114"/>
    </row>
    <row r="396">
      <c r="A396" s="114"/>
      <c r="B396" s="114"/>
      <c r="C396" s="114"/>
      <c r="D396" s="114"/>
      <c r="E396" s="114"/>
      <c r="F396" s="114"/>
      <c r="G396" s="114"/>
    </row>
    <row r="397">
      <c r="A397" s="114"/>
      <c r="B397" s="114"/>
      <c r="C397" s="114"/>
      <c r="D397" s="114"/>
      <c r="E397" s="114"/>
      <c r="F397" s="114"/>
      <c r="G397" s="114"/>
    </row>
    <row r="398">
      <c r="A398" s="114"/>
      <c r="B398" s="114"/>
      <c r="C398" s="114"/>
      <c r="D398" s="114"/>
      <c r="E398" s="114"/>
      <c r="F398" s="114"/>
      <c r="G398" s="114"/>
    </row>
    <row r="399">
      <c r="A399" s="114"/>
      <c r="B399" s="114"/>
      <c r="C399" s="114"/>
      <c r="D399" s="114"/>
      <c r="E399" s="114"/>
      <c r="F399" s="114"/>
      <c r="G399" s="114"/>
    </row>
    <row r="400">
      <c r="A400" s="114"/>
      <c r="B400" s="114"/>
      <c r="C400" s="114"/>
      <c r="D400" s="114"/>
      <c r="E400" s="114"/>
      <c r="F400" s="114"/>
      <c r="G400" s="114"/>
    </row>
    <row r="401">
      <c r="A401" s="114"/>
      <c r="B401" s="114"/>
      <c r="C401" s="114"/>
      <c r="D401" s="114"/>
      <c r="E401" s="114"/>
      <c r="F401" s="114"/>
      <c r="G401" s="114"/>
    </row>
    <row r="402">
      <c r="A402" s="114"/>
      <c r="B402" s="114"/>
      <c r="C402" s="114"/>
      <c r="D402" s="114"/>
      <c r="E402" s="114"/>
      <c r="F402" s="114"/>
      <c r="G402" s="114"/>
    </row>
    <row r="403">
      <c r="A403" s="114"/>
      <c r="B403" s="114"/>
      <c r="C403" s="114"/>
      <c r="D403" s="114"/>
      <c r="E403" s="114"/>
      <c r="F403" s="114"/>
      <c r="G403" s="114"/>
    </row>
    <row r="404">
      <c r="A404" s="114"/>
      <c r="B404" s="114"/>
      <c r="C404" s="114"/>
      <c r="D404" s="114"/>
      <c r="E404" s="114"/>
      <c r="F404" s="114"/>
      <c r="G404" s="114"/>
    </row>
    <row r="405">
      <c r="A405" s="114"/>
      <c r="B405" s="114"/>
      <c r="C405" s="114"/>
      <c r="D405" s="114"/>
      <c r="E405" s="114"/>
      <c r="F405" s="114"/>
      <c r="G405" s="114"/>
    </row>
    <row r="406">
      <c r="A406" s="114"/>
      <c r="B406" s="114"/>
      <c r="C406" s="114"/>
      <c r="D406" s="114"/>
      <c r="E406" s="114"/>
      <c r="F406" s="114"/>
      <c r="G406" s="114"/>
    </row>
    <row r="407">
      <c r="A407" s="114"/>
      <c r="B407" s="114"/>
      <c r="C407" s="114"/>
      <c r="D407" s="114"/>
      <c r="E407" s="114"/>
      <c r="F407" s="114"/>
      <c r="G407" s="114"/>
    </row>
    <row r="408">
      <c r="A408" s="114"/>
      <c r="B408" s="114"/>
      <c r="C408" s="114"/>
      <c r="D408" s="114"/>
      <c r="E408" s="114"/>
      <c r="F408" s="114"/>
      <c r="G408" s="114"/>
    </row>
    <row r="409">
      <c r="A409" s="114"/>
      <c r="B409" s="114"/>
      <c r="C409" s="114"/>
      <c r="D409" s="114"/>
      <c r="E409" s="114"/>
      <c r="F409" s="114"/>
      <c r="G409" s="114"/>
    </row>
    <row r="410">
      <c r="A410" s="114"/>
      <c r="B410" s="114"/>
      <c r="C410" s="114"/>
      <c r="D410" s="114"/>
      <c r="E410" s="114"/>
      <c r="F410" s="114"/>
      <c r="G410" s="114"/>
    </row>
    <row r="411">
      <c r="A411" s="114"/>
      <c r="B411" s="114"/>
      <c r="C411" s="114"/>
      <c r="D411" s="114"/>
      <c r="E411" s="114"/>
      <c r="F411" s="114"/>
      <c r="G411" s="114"/>
    </row>
    <row r="412">
      <c r="A412" s="114"/>
      <c r="B412" s="114"/>
      <c r="C412" s="114"/>
      <c r="D412" s="114"/>
      <c r="E412" s="114"/>
      <c r="F412" s="114"/>
      <c r="G412" s="114"/>
    </row>
    <row r="413">
      <c r="A413" s="114"/>
      <c r="B413" s="114"/>
      <c r="C413" s="114"/>
      <c r="D413" s="114"/>
      <c r="E413" s="114"/>
      <c r="F413" s="114"/>
      <c r="G413" s="114"/>
    </row>
    <row r="414">
      <c r="A414" s="114"/>
      <c r="B414" s="114"/>
      <c r="C414" s="114"/>
      <c r="D414" s="114"/>
      <c r="E414" s="114"/>
      <c r="F414" s="114"/>
      <c r="G414" s="114"/>
    </row>
    <row r="415">
      <c r="A415" s="114"/>
      <c r="B415" s="114"/>
      <c r="C415" s="114"/>
      <c r="D415" s="114"/>
      <c r="E415" s="114"/>
      <c r="F415" s="114"/>
      <c r="G415" s="114"/>
    </row>
    <row r="416">
      <c r="A416" s="114"/>
      <c r="B416" s="114"/>
      <c r="C416" s="114"/>
      <c r="D416" s="114"/>
      <c r="E416" s="114"/>
      <c r="F416" s="114"/>
      <c r="G416" s="114"/>
    </row>
    <row r="417">
      <c r="A417" s="114"/>
      <c r="B417" s="114"/>
      <c r="C417" s="114"/>
      <c r="D417" s="114"/>
      <c r="E417" s="114"/>
      <c r="F417" s="114"/>
      <c r="G417" s="114"/>
    </row>
    <row r="418">
      <c r="A418" s="114"/>
      <c r="B418" s="114"/>
      <c r="C418" s="114"/>
      <c r="D418" s="114"/>
      <c r="E418" s="114"/>
      <c r="F418" s="114"/>
      <c r="G418" s="114"/>
    </row>
    <row r="419">
      <c r="A419" s="114"/>
      <c r="B419" s="114"/>
      <c r="C419" s="114"/>
      <c r="D419" s="114"/>
      <c r="E419" s="114"/>
      <c r="F419" s="114"/>
      <c r="G419" s="114"/>
    </row>
    <row r="420">
      <c r="A420" s="114"/>
      <c r="B420" s="114"/>
      <c r="C420" s="114"/>
      <c r="D420" s="114"/>
      <c r="E420" s="114"/>
      <c r="F420" s="114"/>
      <c r="G420" s="114"/>
    </row>
    <row r="421">
      <c r="A421" s="114"/>
      <c r="B421" s="114"/>
      <c r="C421" s="114"/>
      <c r="D421" s="114"/>
      <c r="E421" s="114"/>
      <c r="F421" s="114"/>
      <c r="G421" s="114"/>
    </row>
    <row r="422">
      <c r="A422" s="114"/>
      <c r="B422" s="114"/>
      <c r="C422" s="114"/>
      <c r="D422" s="114"/>
      <c r="E422" s="114"/>
      <c r="F422" s="114"/>
      <c r="G422" s="114"/>
    </row>
    <row r="423">
      <c r="A423" s="114"/>
      <c r="B423" s="114"/>
      <c r="C423" s="114"/>
      <c r="D423" s="114"/>
      <c r="E423" s="114"/>
      <c r="F423" s="114"/>
      <c r="G423" s="114"/>
    </row>
    <row r="424">
      <c r="A424" s="114"/>
      <c r="B424" s="114"/>
      <c r="C424" s="114"/>
      <c r="D424" s="114"/>
      <c r="E424" s="114"/>
      <c r="F424" s="114"/>
      <c r="G424" s="114"/>
    </row>
    <row r="425">
      <c r="A425" s="114"/>
      <c r="B425" s="114"/>
      <c r="C425" s="114"/>
      <c r="D425" s="114"/>
      <c r="E425" s="114"/>
      <c r="F425" s="114"/>
      <c r="G425" s="114"/>
    </row>
    <row r="426">
      <c r="A426" s="114"/>
      <c r="B426" s="114"/>
      <c r="C426" s="114"/>
      <c r="D426" s="114"/>
      <c r="E426" s="114"/>
      <c r="F426" s="114"/>
      <c r="G426" s="114"/>
    </row>
    <row r="427">
      <c r="A427" s="114"/>
      <c r="B427" s="114"/>
      <c r="C427" s="114"/>
      <c r="D427" s="114"/>
      <c r="E427" s="114"/>
      <c r="F427" s="114"/>
      <c r="G427" s="114"/>
    </row>
    <row r="428">
      <c r="A428" s="114"/>
      <c r="B428" s="114"/>
      <c r="C428" s="114"/>
      <c r="D428" s="114"/>
      <c r="E428" s="114"/>
      <c r="F428" s="114"/>
      <c r="G428" s="114"/>
    </row>
    <row r="429">
      <c r="A429" s="114"/>
      <c r="B429" s="114"/>
      <c r="C429" s="114"/>
      <c r="D429" s="114"/>
      <c r="E429" s="114"/>
      <c r="F429" s="114"/>
      <c r="G429" s="114"/>
    </row>
    <row r="430">
      <c r="A430" s="114"/>
      <c r="B430" s="114"/>
      <c r="C430" s="114"/>
      <c r="D430" s="114"/>
      <c r="E430" s="114"/>
      <c r="F430" s="114"/>
      <c r="G430" s="114"/>
    </row>
    <row r="431">
      <c r="A431" s="114"/>
      <c r="B431" s="114"/>
      <c r="C431" s="114"/>
      <c r="D431" s="114"/>
      <c r="E431" s="114"/>
      <c r="F431" s="114"/>
      <c r="G431" s="114"/>
    </row>
    <row r="432">
      <c r="A432" s="114"/>
      <c r="B432" s="114"/>
      <c r="C432" s="114"/>
      <c r="D432" s="114"/>
      <c r="E432" s="114"/>
      <c r="F432" s="114"/>
      <c r="G432" s="114"/>
    </row>
    <row r="433">
      <c r="A433" s="114"/>
      <c r="B433" s="114"/>
      <c r="C433" s="114"/>
      <c r="D433" s="114"/>
      <c r="E433" s="114"/>
      <c r="F433" s="114"/>
      <c r="G433" s="114"/>
    </row>
    <row r="434">
      <c r="A434" s="114"/>
      <c r="B434" s="114"/>
      <c r="C434" s="114"/>
      <c r="D434" s="114"/>
      <c r="E434" s="114"/>
      <c r="F434" s="114"/>
      <c r="G434" s="114"/>
    </row>
    <row r="435">
      <c r="A435" s="114"/>
      <c r="B435" s="114"/>
      <c r="C435" s="114"/>
      <c r="D435" s="114"/>
      <c r="E435" s="114"/>
      <c r="F435" s="114"/>
      <c r="G435" s="114"/>
    </row>
    <row r="436">
      <c r="A436" s="114"/>
      <c r="B436" s="114"/>
      <c r="C436" s="114"/>
      <c r="D436" s="114"/>
      <c r="E436" s="114"/>
      <c r="F436" s="114"/>
      <c r="G436" s="114"/>
    </row>
    <row r="437">
      <c r="A437" s="114"/>
      <c r="B437" s="114"/>
      <c r="C437" s="114"/>
      <c r="D437" s="114"/>
      <c r="E437" s="114"/>
      <c r="F437" s="114"/>
      <c r="G437" s="114"/>
    </row>
    <row r="438">
      <c r="A438" s="114"/>
      <c r="B438" s="114"/>
      <c r="C438" s="114"/>
      <c r="D438" s="114"/>
      <c r="E438" s="114"/>
      <c r="F438" s="114"/>
      <c r="G438" s="114"/>
    </row>
    <row r="439">
      <c r="A439" s="114"/>
      <c r="B439" s="114"/>
      <c r="C439" s="114"/>
      <c r="D439" s="114"/>
      <c r="E439" s="114"/>
      <c r="F439" s="114"/>
      <c r="G439" s="114"/>
    </row>
    <row r="440">
      <c r="A440" s="114"/>
      <c r="B440" s="114"/>
      <c r="C440" s="114"/>
      <c r="D440" s="114"/>
      <c r="E440" s="114"/>
      <c r="F440" s="114"/>
      <c r="G440" s="114"/>
    </row>
    <row r="441">
      <c r="A441" s="114"/>
      <c r="B441" s="114"/>
      <c r="C441" s="114"/>
      <c r="D441" s="114"/>
      <c r="E441" s="114"/>
      <c r="F441" s="114"/>
      <c r="G441" s="114"/>
    </row>
    <row r="442">
      <c r="A442" s="114"/>
      <c r="B442" s="114"/>
      <c r="C442" s="114"/>
      <c r="D442" s="114"/>
      <c r="E442" s="114"/>
      <c r="F442" s="114"/>
      <c r="G442" s="114"/>
    </row>
    <row r="443">
      <c r="A443" s="114"/>
      <c r="B443" s="114"/>
      <c r="C443" s="114"/>
      <c r="D443" s="114"/>
      <c r="E443" s="114"/>
      <c r="F443" s="114"/>
      <c r="G443" s="114"/>
    </row>
    <row r="444">
      <c r="A444" s="114"/>
      <c r="B444" s="114"/>
      <c r="C444" s="114"/>
      <c r="D444" s="114"/>
      <c r="E444" s="114"/>
      <c r="F444" s="114"/>
      <c r="G444" s="114"/>
    </row>
    <row r="445">
      <c r="A445" s="114"/>
      <c r="B445" s="114"/>
      <c r="C445" s="114"/>
      <c r="D445" s="114"/>
      <c r="E445" s="114"/>
      <c r="F445" s="114"/>
      <c r="G445" s="114"/>
    </row>
    <row r="446">
      <c r="A446" s="114"/>
      <c r="B446" s="114"/>
      <c r="C446" s="114"/>
      <c r="D446" s="114"/>
      <c r="E446" s="114"/>
      <c r="F446" s="114"/>
      <c r="G446" s="114"/>
    </row>
    <row r="447">
      <c r="A447" s="114"/>
      <c r="B447" s="114"/>
      <c r="C447" s="114"/>
      <c r="D447" s="114"/>
      <c r="E447" s="114"/>
      <c r="F447" s="114"/>
      <c r="G447" s="114"/>
    </row>
    <row r="448">
      <c r="A448" s="114"/>
      <c r="B448" s="114"/>
      <c r="C448" s="114"/>
      <c r="D448" s="114"/>
      <c r="E448" s="114"/>
      <c r="F448" s="114"/>
      <c r="G448" s="114"/>
    </row>
    <row r="449">
      <c r="A449" s="114"/>
      <c r="B449" s="114"/>
      <c r="C449" s="114"/>
      <c r="D449" s="114"/>
      <c r="E449" s="114"/>
      <c r="F449" s="114"/>
      <c r="G449" s="114"/>
    </row>
    <row r="450">
      <c r="A450" s="114"/>
      <c r="B450" s="114"/>
      <c r="C450" s="114"/>
      <c r="D450" s="114"/>
      <c r="E450" s="114"/>
      <c r="F450" s="114"/>
      <c r="G450" s="114"/>
    </row>
    <row r="451">
      <c r="A451" s="114"/>
      <c r="B451" s="114"/>
      <c r="C451" s="114"/>
      <c r="D451" s="114"/>
      <c r="E451" s="114"/>
      <c r="F451" s="114"/>
      <c r="G451" s="114"/>
    </row>
    <row r="452">
      <c r="A452" s="114"/>
      <c r="B452" s="114"/>
      <c r="C452" s="114"/>
      <c r="D452" s="114"/>
      <c r="E452" s="114"/>
      <c r="F452" s="114"/>
      <c r="G452" s="114"/>
    </row>
    <row r="453">
      <c r="A453" s="114"/>
      <c r="B453" s="114"/>
      <c r="C453" s="114"/>
      <c r="D453" s="114"/>
      <c r="E453" s="114"/>
      <c r="F453" s="114"/>
      <c r="G453" s="114"/>
    </row>
    <row r="454">
      <c r="A454" s="114"/>
      <c r="B454" s="114"/>
      <c r="C454" s="114"/>
      <c r="D454" s="114"/>
      <c r="E454" s="114"/>
      <c r="F454" s="114"/>
      <c r="G454" s="114"/>
    </row>
    <row r="455">
      <c r="A455" s="114"/>
      <c r="B455" s="114"/>
      <c r="C455" s="114"/>
      <c r="D455" s="114"/>
      <c r="E455" s="114"/>
      <c r="F455" s="114"/>
      <c r="G455" s="114"/>
    </row>
    <row r="456">
      <c r="A456" s="114"/>
      <c r="B456" s="114"/>
      <c r="C456" s="114"/>
      <c r="D456" s="114"/>
      <c r="E456" s="114"/>
      <c r="F456" s="114"/>
      <c r="G456" s="114"/>
    </row>
    <row r="457">
      <c r="A457" s="114"/>
      <c r="B457" s="114"/>
      <c r="C457" s="114"/>
      <c r="D457" s="114"/>
      <c r="E457" s="114"/>
      <c r="F457" s="114"/>
      <c r="G457" s="114"/>
    </row>
    <row r="458">
      <c r="A458" s="114"/>
      <c r="B458" s="114"/>
      <c r="C458" s="114"/>
      <c r="D458" s="114"/>
      <c r="E458" s="114"/>
      <c r="F458" s="114"/>
      <c r="G458" s="114"/>
    </row>
    <row r="459">
      <c r="A459" s="114"/>
      <c r="B459" s="114"/>
      <c r="C459" s="114"/>
      <c r="D459" s="114"/>
      <c r="E459" s="114"/>
      <c r="F459" s="114"/>
      <c r="G459" s="114"/>
    </row>
    <row r="460">
      <c r="A460" s="114"/>
      <c r="B460" s="114"/>
      <c r="C460" s="114"/>
      <c r="D460" s="114"/>
      <c r="E460" s="114"/>
      <c r="F460" s="114"/>
      <c r="G460" s="114"/>
    </row>
    <row r="461">
      <c r="A461" s="114"/>
      <c r="B461" s="114"/>
      <c r="C461" s="114"/>
      <c r="D461" s="114"/>
      <c r="E461" s="114"/>
      <c r="F461" s="114"/>
      <c r="G461" s="114"/>
    </row>
    <row r="462">
      <c r="A462" s="114"/>
      <c r="B462" s="114"/>
      <c r="C462" s="114"/>
      <c r="D462" s="114"/>
      <c r="E462" s="114"/>
      <c r="F462" s="114"/>
      <c r="G462" s="114"/>
    </row>
    <row r="463">
      <c r="A463" s="114"/>
      <c r="B463" s="114"/>
      <c r="C463" s="114"/>
      <c r="D463" s="114"/>
      <c r="E463" s="114"/>
      <c r="F463" s="114"/>
      <c r="G463" s="114"/>
    </row>
    <row r="464">
      <c r="A464" s="114"/>
      <c r="B464" s="114"/>
      <c r="C464" s="114"/>
      <c r="D464" s="114"/>
      <c r="E464" s="114"/>
      <c r="F464" s="114"/>
      <c r="G464" s="114"/>
    </row>
    <row r="465">
      <c r="A465" s="114"/>
      <c r="B465" s="114"/>
      <c r="C465" s="114"/>
      <c r="D465" s="114"/>
      <c r="E465" s="114"/>
      <c r="F465" s="114"/>
      <c r="G465" s="114"/>
    </row>
    <row r="466">
      <c r="A466" s="114"/>
      <c r="B466" s="114"/>
      <c r="C466" s="114"/>
      <c r="D466" s="114"/>
      <c r="E466" s="114"/>
      <c r="F466" s="114"/>
      <c r="G466" s="114"/>
    </row>
    <row r="467">
      <c r="A467" s="114"/>
      <c r="B467" s="114"/>
      <c r="C467" s="114"/>
      <c r="D467" s="114"/>
      <c r="E467" s="114"/>
      <c r="F467" s="114"/>
      <c r="G467" s="114"/>
    </row>
    <row r="468">
      <c r="A468" s="114"/>
      <c r="B468" s="114"/>
      <c r="C468" s="114"/>
      <c r="D468" s="114"/>
      <c r="E468" s="114"/>
      <c r="F468" s="114"/>
      <c r="G468" s="114"/>
    </row>
    <row r="469">
      <c r="A469" s="114"/>
      <c r="B469" s="114"/>
      <c r="C469" s="114"/>
      <c r="D469" s="114"/>
      <c r="E469" s="114"/>
      <c r="F469" s="114"/>
      <c r="G469" s="114"/>
    </row>
    <row r="470">
      <c r="A470" s="114"/>
      <c r="B470" s="114"/>
      <c r="C470" s="114"/>
      <c r="D470" s="114"/>
      <c r="E470" s="114"/>
      <c r="F470" s="114"/>
      <c r="G470" s="114"/>
    </row>
    <row r="471">
      <c r="A471" s="114"/>
      <c r="B471" s="114"/>
      <c r="C471" s="114"/>
      <c r="D471" s="114"/>
      <c r="E471" s="114"/>
      <c r="F471" s="114"/>
      <c r="G471" s="114"/>
    </row>
    <row r="472">
      <c r="A472" s="114"/>
      <c r="B472" s="114"/>
      <c r="C472" s="114"/>
      <c r="D472" s="114"/>
      <c r="E472" s="114"/>
      <c r="F472" s="114"/>
      <c r="G472" s="114"/>
    </row>
    <row r="473">
      <c r="A473" s="114"/>
      <c r="B473" s="114"/>
      <c r="C473" s="114"/>
      <c r="D473" s="114"/>
      <c r="E473" s="114"/>
      <c r="F473" s="114"/>
      <c r="G473" s="114"/>
    </row>
    <row r="474">
      <c r="A474" s="114"/>
      <c r="B474" s="114"/>
      <c r="C474" s="114"/>
      <c r="D474" s="114"/>
      <c r="E474" s="114"/>
      <c r="F474" s="114"/>
      <c r="G474" s="114"/>
    </row>
    <row r="475">
      <c r="A475" s="114"/>
      <c r="B475" s="114"/>
      <c r="C475" s="114"/>
      <c r="D475" s="114"/>
      <c r="E475" s="114"/>
      <c r="F475" s="114"/>
      <c r="G475" s="114"/>
    </row>
    <row r="476">
      <c r="A476" s="114"/>
      <c r="B476" s="114"/>
      <c r="C476" s="114"/>
      <c r="D476" s="114"/>
      <c r="E476" s="114"/>
      <c r="F476" s="114"/>
      <c r="G476" s="114"/>
    </row>
    <row r="477">
      <c r="A477" s="114"/>
      <c r="B477" s="114"/>
      <c r="C477" s="114"/>
      <c r="D477" s="114"/>
      <c r="E477" s="114"/>
      <c r="F477" s="114"/>
      <c r="G477" s="114"/>
    </row>
    <row r="478">
      <c r="A478" s="114"/>
      <c r="B478" s="114"/>
      <c r="C478" s="114"/>
      <c r="D478" s="114"/>
      <c r="E478" s="114"/>
      <c r="F478" s="114"/>
      <c r="G478" s="114"/>
    </row>
    <row r="479">
      <c r="A479" s="114"/>
      <c r="B479" s="114"/>
      <c r="C479" s="114"/>
      <c r="D479" s="114"/>
      <c r="E479" s="114"/>
      <c r="F479" s="114"/>
      <c r="G479" s="114"/>
    </row>
    <row r="480">
      <c r="A480" s="114"/>
      <c r="B480" s="114"/>
      <c r="C480" s="114"/>
      <c r="D480" s="114"/>
      <c r="E480" s="114"/>
      <c r="F480" s="114"/>
      <c r="G480" s="114"/>
    </row>
    <row r="481">
      <c r="A481" s="114"/>
      <c r="B481" s="114"/>
      <c r="C481" s="114"/>
      <c r="D481" s="114"/>
      <c r="E481" s="114"/>
      <c r="F481" s="114"/>
      <c r="G481" s="114"/>
    </row>
    <row r="482">
      <c r="A482" s="114"/>
      <c r="B482" s="114"/>
      <c r="C482" s="114"/>
      <c r="D482" s="114"/>
      <c r="E482" s="114"/>
      <c r="F482" s="114"/>
      <c r="G482" s="114"/>
    </row>
    <row r="483">
      <c r="A483" s="114"/>
      <c r="B483" s="114"/>
      <c r="C483" s="114"/>
      <c r="D483" s="114"/>
      <c r="E483" s="114"/>
      <c r="F483" s="114"/>
      <c r="G483" s="114"/>
    </row>
    <row r="484">
      <c r="A484" s="114"/>
      <c r="B484" s="114"/>
      <c r="C484" s="114"/>
      <c r="D484" s="114"/>
      <c r="E484" s="114"/>
      <c r="F484" s="114"/>
      <c r="G484" s="114"/>
    </row>
    <row r="485">
      <c r="A485" s="114"/>
      <c r="B485" s="114"/>
      <c r="C485" s="114"/>
      <c r="D485" s="114"/>
      <c r="E485" s="114"/>
      <c r="F485" s="114"/>
      <c r="G485" s="114"/>
    </row>
    <row r="486">
      <c r="A486" s="114"/>
      <c r="B486" s="114"/>
      <c r="C486" s="114"/>
      <c r="D486" s="114"/>
      <c r="E486" s="114"/>
      <c r="F486" s="114"/>
      <c r="G486" s="114"/>
    </row>
    <row r="487">
      <c r="A487" s="114"/>
      <c r="B487" s="114"/>
      <c r="C487" s="114"/>
      <c r="D487" s="114"/>
      <c r="E487" s="114"/>
      <c r="F487" s="114"/>
      <c r="G487" s="114"/>
    </row>
    <row r="488">
      <c r="A488" s="114"/>
      <c r="B488" s="114"/>
      <c r="C488" s="114"/>
      <c r="D488" s="114"/>
      <c r="E488" s="114"/>
      <c r="F488" s="114"/>
      <c r="G488" s="114"/>
    </row>
    <row r="489">
      <c r="A489" s="114"/>
      <c r="B489" s="114"/>
      <c r="C489" s="114"/>
      <c r="D489" s="114"/>
      <c r="E489" s="114"/>
      <c r="F489" s="114"/>
      <c r="G489" s="114"/>
    </row>
    <row r="490">
      <c r="A490" s="114"/>
      <c r="B490" s="114"/>
      <c r="C490" s="114"/>
      <c r="D490" s="114"/>
      <c r="E490" s="114"/>
      <c r="F490" s="114"/>
      <c r="G490" s="114"/>
    </row>
    <row r="491">
      <c r="A491" s="114"/>
      <c r="B491" s="114"/>
      <c r="C491" s="114"/>
      <c r="D491" s="114"/>
      <c r="E491" s="114"/>
      <c r="F491" s="114"/>
      <c r="G491" s="114"/>
    </row>
    <row r="492">
      <c r="A492" s="114"/>
      <c r="B492" s="114"/>
      <c r="C492" s="114"/>
      <c r="D492" s="114"/>
      <c r="E492" s="114"/>
      <c r="F492" s="114"/>
      <c r="G492" s="114"/>
    </row>
    <row r="493">
      <c r="A493" s="114"/>
      <c r="B493" s="114"/>
      <c r="C493" s="114"/>
      <c r="D493" s="114"/>
      <c r="E493" s="114"/>
      <c r="F493" s="114"/>
      <c r="G493" s="114"/>
    </row>
    <row r="494">
      <c r="A494" s="114"/>
      <c r="B494" s="114"/>
      <c r="C494" s="114"/>
      <c r="D494" s="114"/>
      <c r="E494" s="114"/>
      <c r="F494" s="114"/>
      <c r="G494" s="114"/>
    </row>
    <row r="495">
      <c r="A495" s="114"/>
      <c r="B495" s="114"/>
      <c r="C495" s="114"/>
      <c r="D495" s="114"/>
      <c r="E495" s="114"/>
      <c r="F495" s="114"/>
      <c r="G495" s="114"/>
    </row>
    <row r="496">
      <c r="A496" s="114"/>
      <c r="B496" s="114"/>
      <c r="C496" s="114"/>
      <c r="D496" s="114"/>
      <c r="E496" s="114"/>
      <c r="F496" s="114"/>
      <c r="G496" s="114"/>
    </row>
    <row r="497">
      <c r="A497" s="114"/>
      <c r="B497" s="114"/>
      <c r="C497" s="114"/>
      <c r="D497" s="114"/>
      <c r="E497" s="114"/>
      <c r="F497" s="114"/>
      <c r="G497" s="114"/>
    </row>
    <row r="498">
      <c r="A498" s="114"/>
      <c r="B498" s="114"/>
      <c r="C498" s="114"/>
      <c r="D498" s="114"/>
      <c r="E498" s="114"/>
      <c r="F498" s="114"/>
      <c r="G498" s="114"/>
    </row>
    <row r="499">
      <c r="A499" s="114"/>
      <c r="B499" s="114"/>
      <c r="C499" s="114"/>
      <c r="D499" s="114"/>
      <c r="E499" s="114"/>
      <c r="F499" s="114"/>
      <c r="G499" s="114"/>
    </row>
    <row r="500">
      <c r="A500" s="114"/>
      <c r="B500" s="114"/>
      <c r="C500" s="114"/>
      <c r="D500" s="114"/>
      <c r="E500" s="114"/>
      <c r="F500" s="114"/>
      <c r="G500" s="114"/>
    </row>
    <row r="501">
      <c r="A501" s="114"/>
      <c r="B501" s="114"/>
      <c r="C501" s="114"/>
      <c r="D501" s="114"/>
      <c r="E501" s="114"/>
      <c r="F501" s="114"/>
      <c r="G501" s="114"/>
    </row>
    <row r="502">
      <c r="A502" s="114"/>
      <c r="B502" s="114"/>
      <c r="C502" s="114"/>
      <c r="D502" s="114"/>
      <c r="E502" s="114"/>
      <c r="F502" s="114"/>
      <c r="G502" s="114"/>
    </row>
    <row r="503">
      <c r="A503" s="114"/>
      <c r="B503" s="114"/>
      <c r="C503" s="114"/>
      <c r="D503" s="114"/>
      <c r="E503" s="114"/>
      <c r="F503" s="114"/>
      <c r="G503" s="114"/>
    </row>
    <row r="504">
      <c r="A504" s="114"/>
      <c r="B504" s="114"/>
      <c r="C504" s="114"/>
      <c r="D504" s="114"/>
      <c r="E504" s="114"/>
      <c r="F504" s="114"/>
      <c r="G504" s="114"/>
    </row>
    <row r="505">
      <c r="A505" s="114"/>
      <c r="B505" s="114"/>
      <c r="C505" s="114"/>
      <c r="D505" s="114"/>
      <c r="E505" s="114"/>
      <c r="F505" s="114"/>
      <c r="G505" s="114"/>
    </row>
    <row r="506">
      <c r="A506" s="114"/>
      <c r="B506" s="114"/>
      <c r="C506" s="114"/>
      <c r="D506" s="114"/>
      <c r="E506" s="114"/>
      <c r="F506" s="114"/>
      <c r="G506" s="114"/>
    </row>
    <row r="507">
      <c r="A507" s="114"/>
      <c r="B507" s="114"/>
      <c r="C507" s="114"/>
      <c r="D507" s="114"/>
      <c r="E507" s="114"/>
      <c r="F507" s="114"/>
      <c r="G507" s="114"/>
    </row>
    <row r="508">
      <c r="A508" s="114"/>
      <c r="B508" s="114"/>
      <c r="C508" s="114"/>
      <c r="D508" s="114"/>
      <c r="E508" s="114"/>
      <c r="F508" s="114"/>
      <c r="G508" s="114"/>
    </row>
    <row r="509">
      <c r="A509" s="114"/>
      <c r="B509" s="114"/>
      <c r="C509" s="114"/>
      <c r="D509" s="114"/>
      <c r="E509" s="114"/>
      <c r="F509" s="114"/>
      <c r="G509" s="114"/>
    </row>
    <row r="510">
      <c r="A510" s="114"/>
      <c r="B510" s="114"/>
      <c r="C510" s="114"/>
      <c r="D510" s="114"/>
      <c r="E510" s="114"/>
      <c r="F510" s="114"/>
      <c r="G510" s="114"/>
    </row>
    <row r="511">
      <c r="A511" s="114"/>
      <c r="B511" s="114"/>
      <c r="C511" s="114"/>
      <c r="D511" s="114"/>
      <c r="E511" s="114"/>
      <c r="F511" s="114"/>
      <c r="G511" s="114"/>
    </row>
    <row r="512">
      <c r="A512" s="114"/>
      <c r="B512" s="114"/>
      <c r="C512" s="114"/>
      <c r="D512" s="114"/>
      <c r="E512" s="114"/>
      <c r="F512" s="114"/>
      <c r="G512" s="114"/>
    </row>
    <row r="513">
      <c r="A513" s="114"/>
      <c r="B513" s="114"/>
      <c r="C513" s="114"/>
      <c r="D513" s="114"/>
      <c r="E513" s="114"/>
      <c r="F513" s="114"/>
      <c r="G513" s="114"/>
    </row>
    <row r="514">
      <c r="A514" s="114"/>
      <c r="B514" s="114"/>
      <c r="C514" s="114"/>
      <c r="D514" s="114"/>
      <c r="E514" s="114"/>
      <c r="F514" s="114"/>
      <c r="G514" s="114"/>
    </row>
    <row r="515">
      <c r="A515" s="114"/>
      <c r="B515" s="114"/>
      <c r="C515" s="114"/>
      <c r="D515" s="114"/>
      <c r="E515" s="114"/>
      <c r="F515" s="114"/>
      <c r="G515" s="114"/>
    </row>
    <row r="516">
      <c r="A516" s="114"/>
      <c r="B516" s="114"/>
      <c r="C516" s="114"/>
      <c r="D516" s="114"/>
      <c r="E516" s="114"/>
      <c r="F516" s="114"/>
      <c r="G516" s="114"/>
    </row>
    <row r="517">
      <c r="A517" s="114"/>
      <c r="B517" s="114"/>
      <c r="C517" s="114"/>
      <c r="D517" s="114"/>
      <c r="E517" s="114"/>
      <c r="F517" s="114"/>
      <c r="G517" s="114"/>
    </row>
    <row r="518">
      <c r="A518" s="114"/>
      <c r="B518" s="114"/>
      <c r="C518" s="114"/>
      <c r="D518" s="114"/>
      <c r="E518" s="114"/>
      <c r="F518" s="114"/>
      <c r="G518" s="114"/>
    </row>
    <row r="519">
      <c r="A519" s="114"/>
      <c r="B519" s="114"/>
      <c r="C519" s="114"/>
      <c r="D519" s="114"/>
      <c r="E519" s="114"/>
      <c r="F519" s="114"/>
      <c r="G519" s="114"/>
    </row>
    <row r="520">
      <c r="A520" s="114"/>
      <c r="B520" s="114"/>
      <c r="C520" s="114"/>
      <c r="D520" s="114"/>
      <c r="E520" s="114"/>
      <c r="F520" s="114"/>
      <c r="G520" s="114"/>
    </row>
    <row r="521">
      <c r="A521" s="114"/>
      <c r="B521" s="114"/>
      <c r="C521" s="114"/>
      <c r="D521" s="114"/>
      <c r="E521" s="114"/>
      <c r="F521" s="114"/>
      <c r="G521" s="114"/>
    </row>
    <row r="522">
      <c r="A522" s="114"/>
      <c r="B522" s="114"/>
      <c r="C522" s="114"/>
      <c r="D522" s="114"/>
      <c r="E522" s="114"/>
      <c r="F522" s="114"/>
      <c r="G522" s="114"/>
    </row>
    <row r="523">
      <c r="A523" s="114"/>
      <c r="B523" s="114"/>
      <c r="C523" s="114"/>
      <c r="D523" s="114"/>
      <c r="E523" s="114"/>
      <c r="F523" s="114"/>
      <c r="G523" s="114"/>
    </row>
    <row r="524">
      <c r="A524" s="114"/>
      <c r="B524" s="114"/>
      <c r="C524" s="114"/>
      <c r="D524" s="114"/>
      <c r="E524" s="114"/>
      <c r="F524" s="114"/>
      <c r="G524" s="114"/>
    </row>
    <row r="525">
      <c r="A525" s="114"/>
      <c r="B525" s="114"/>
      <c r="C525" s="114"/>
      <c r="D525" s="114"/>
      <c r="E525" s="114"/>
      <c r="F525" s="114"/>
      <c r="G525" s="114"/>
    </row>
    <row r="526">
      <c r="A526" s="114"/>
      <c r="B526" s="114"/>
      <c r="C526" s="114"/>
      <c r="D526" s="114"/>
      <c r="E526" s="114"/>
      <c r="F526" s="114"/>
      <c r="G526" s="114"/>
    </row>
    <row r="527">
      <c r="A527" s="114"/>
      <c r="B527" s="114"/>
      <c r="C527" s="114"/>
      <c r="D527" s="114"/>
      <c r="E527" s="114"/>
      <c r="F527" s="114"/>
      <c r="G527" s="114"/>
    </row>
    <row r="528">
      <c r="A528" s="114"/>
      <c r="B528" s="114"/>
      <c r="C528" s="114"/>
      <c r="D528" s="114"/>
      <c r="E528" s="114"/>
      <c r="F528" s="114"/>
      <c r="G528" s="114"/>
    </row>
    <row r="529">
      <c r="A529" s="114"/>
      <c r="B529" s="114"/>
      <c r="C529" s="114"/>
      <c r="D529" s="114"/>
      <c r="E529" s="114"/>
      <c r="F529" s="114"/>
      <c r="G529" s="114"/>
    </row>
    <row r="530">
      <c r="A530" s="114"/>
      <c r="B530" s="114"/>
      <c r="C530" s="114"/>
      <c r="D530" s="114"/>
      <c r="E530" s="114"/>
      <c r="F530" s="114"/>
      <c r="G530" s="114"/>
    </row>
    <row r="531">
      <c r="A531" s="114"/>
      <c r="B531" s="114"/>
      <c r="C531" s="114"/>
      <c r="D531" s="114"/>
      <c r="E531" s="114"/>
      <c r="F531" s="114"/>
      <c r="G531" s="114"/>
    </row>
    <row r="532">
      <c r="A532" s="114"/>
      <c r="B532" s="114"/>
      <c r="C532" s="114"/>
      <c r="D532" s="114"/>
      <c r="E532" s="114"/>
      <c r="F532" s="114"/>
      <c r="G532" s="114"/>
    </row>
    <row r="533">
      <c r="A533" s="114"/>
      <c r="B533" s="114"/>
      <c r="C533" s="114"/>
      <c r="D533" s="114"/>
      <c r="E533" s="114"/>
      <c r="F533" s="114"/>
      <c r="G533" s="114"/>
    </row>
    <row r="534">
      <c r="A534" s="114"/>
      <c r="B534" s="114"/>
      <c r="C534" s="114"/>
      <c r="D534" s="114"/>
      <c r="E534" s="114"/>
      <c r="F534" s="114"/>
      <c r="G534" s="114"/>
    </row>
    <row r="535">
      <c r="A535" s="114"/>
      <c r="B535" s="114"/>
      <c r="C535" s="114"/>
      <c r="D535" s="114"/>
      <c r="E535" s="114"/>
      <c r="F535" s="114"/>
      <c r="G535" s="114"/>
    </row>
    <row r="536">
      <c r="A536" s="114"/>
      <c r="B536" s="114"/>
      <c r="C536" s="114"/>
      <c r="D536" s="114"/>
      <c r="E536" s="114"/>
      <c r="F536" s="114"/>
      <c r="G536" s="114"/>
    </row>
    <row r="537">
      <c r="A537" s="114"/>
      <c r="B537" s="114"/>
      <c r="C537" s="114"/>
      <c r="D537" s="114"/>
      <c r="E537" s="114"/>
      <c r="F537" s="114"/>
      <c r="G537" s="114"/>
    </row>
    <row r="538">
      <c r="A538" s="114"/>
      <c r="B538" s="114"/>
      <c r="C538" s="114"/>
      <c r="D538" s="114"/>
      <c r="E538" s="114"/>
      <c r="F538" s="114"/>
      <c r="G538" s="114"/>
    </row>
    <row r="539">
      <c r="A539" s="114"/>
      <c r="B539" s="114"/>
      <c r="C539" s="114"/>
      <c r="D539" s="114"/>
      <c r="E539" s="114"/>
      <c r="F539" s="114"/>
      <c r="G539" s="114"/>
    </row>
    <row r="540">
      <c r="A540" s="114"/>
      <c r="B540" s="114"/>
      <c r="C540" s="114"/>
      <c r="D540" s="114"/>
      <c r="E540" s="114"/>
      <c r="F540" s="114"/>
      <c r="G540" s="114"/>
    </row>
    <row r="541">
      <c r="A541" s="114"/>
      <c r="B541" s="114"/>
      <c r="C541" s="114"/>
      <c r="D541" s="114"/>
      <c r="E541" s="114"/>
      <c r="F541" s="114"/>
      <c r="G541" s="114"/>
    </row>
    <row r="542">
      <c r="A542" s="114"/>
      <c r="B542" s="114"/>
      <c r="C542" s="114"/>
      <c r="D542" s="114"/>
      <c r="E542" s="114"/>
      <c r="F542" s="114"/>
      <c r="G542" s="114"/>
    </row>
    <row r="543">
      <c r="A543" s="114"/>
      <c r="B543" s="114"/>
      <c r="C543" s="114"/>
      <c r="D543" s="114"/>
      <c r="E543" s="114"/>
      <c r="F543" s="114"/>
      <c r="G543" s="114"/>
    </row>
    <row r="544">
      <c r="A544" s="114"/>
      <c r="B544" s="114"/>
      <c r="C544" s="114"/>
      <c r="D544" s="114"/>
      <c r="E544" s="114"/>
      <c r="F544" s="114"/>
      <c r="G544" s="114"/>
    </row>
    <row r="545">
      <c r="A545" s="114"/>
      <c r="B545" s="114"/>
      <c r="C545" s="114"/>
      <c r="D545" s="114"/>
      <c r="E545" s="114"/>
      <c r="F545" s="114"/>
      <c r="G545" s="114"/>
    </row>
    <row r="546">
      <c r="A546" s="114"/>
      <c r="B546" s="114"/>
      <c r="C546" s="114"/>
      <c r="D546" s="114"/>
      <c r="E546" s="114"/>
      <c r="F546" s="114"/>
      <c r="G546" s="114"/>
    </row>
    <row r="547">
      <c r="A547" s="114"/>
      <c r="B547" s="114"/>
      <c r="C547" s="114"/>
      <c r="D547" s="114"/>
      <c r="E547" s="114"/>
      <c r="F547" s="114"/>
      <c r="G547" s="114"/>
    </row>
    <row r="548">
      <c r="A548" s="114"/>
      <c r="B548" s="114"/>
      <c r="C548" s="114"/>
      <c r="D548" s="114"/>
      <c r="E548" s="114"/>
      <c r="F548" s="114"/>
      <c r="G548" s="114"/>
    </row>
    <row r="549">
      <c r="A549" s="114"/>
      <c r="B549" s="114"/>
      <c r="C549" s="114"/>
      <c r="D549" s="114"/>
      <c r="E549" s="114"/>
      <c r="F549" s="114"/>
      <c r="G549" s="114"/>
    </row>
    <row r="550">
      <c r="A550" s="114"/>
      <c r="B550" s="114"/>
      <c r="C550" s="114"/>
      <c r="D550" s="114"/>
      <c r="E550" s="114"/>
      <c r="F550" s="114"/>
      <c r="G550" s="114"/>
    </row>
    <row r="551">
      <c r="A551" s="114"/>
      <c r="B551" s="114"/>
      <c r="C551" s="114"/>
      <c r="D551" s="114"/>
      <c r="E551" s="114"/>
      <c r="F551" s="114"/>
      <c r="G551" s="114"/>
    </row>
    <row r="552">
      <c r="A552" s="114"/>
      <c r="B552" s="114"/>
      <c r="C552" s="114"/>
      <c r="D552" s="114"/>
      <c r="E552" s="114"/>
      <c r="F552" s="114"/>
      <c r="G552" s="114"/>
    </row>
    <row r="553">
      <c r="A553" s="114"/>
      <c r="B553" s="114"/>
      <c r="C553" s="114"/>
      <c r="D553" s="114"/>
      <c r="E553" s="114"/>
      <c r="F553" s="114"/>
      <c r="G553" s="114"/>
    </row>
    <row r="554">
      <c r="A554" s="114"/>
      <c r="B554" s="114"/>
      <c r="C554" s="114"/>
      <c r="D554" s="114"/>
      <c r="E554" s="114"/>
      <c r="F554" s="114"/>
      <c r="G554" s="114"/>
    </row>
    <row r="555">
      <c r="A555" s="114"/>
      <c r="B555" s="114"/>
      <c r="C555" s="114"/>
      <c r="D555" s="114"/>
      <c r="E555" s="114"/>
      <c r="F555" s="114"/>
      <c r="G555" s="114"/>
    </row>
    <row r="556">
      <c r="A556" s="114"/>
      <c r="B556" s="114"/>
      <c r="C556" s="114"/>
      <c r="D556" s="114"/>
      <c r="E556" s="114"/>
      <c r="F556" s="114"/>
      <c r="G556" s="114"/>
    </row>
    <row r="557">
      <c r="A557" s="114"/>
      <c r="B557" s="114"/>
      <c r="C557" s="114"/>
      <c r="D557" s="114"/>
      <c r="E557" s="114"/>
      <c r="F557" s="114"/>
      <c r="G557" s="114"/>
    </row>
    <row r="558">
      <c r="A558" s="114"/>
      <c r="B558" s="114"/>
      <c r="C558" s="114"/>
      <c r="D558" s="114"/>
      <c r="E558" s="114"/>
      <c r="F558" s="114"/>
      <c r="G558" s="114"/>
    </row>
    <row r="559">
      <c r="A559" s="114"/>
      <c r="B559" s="114"/>
      <c r="C559" s="114"/>
      <c r="D559" s="114"/>
      <c r="E559" s="114"/>
      <c r="F559" s="114"/>
      <c r="G559" s="114"/>
    </row>
    <row r="560">
      <c r="A560" s="114"/>
      <c r="B560" s="114"/>
      <c r="C560" s="114"/>
      <c r="D560" s="114"/>
      <c r="E560" s="114"/>
      <c r="F560" s="114"/>
      <c r="G560" s="114"/>
    </row>
    <row r="561">
      <c r="A561" s="114"/>
      <c r="B561" s="114"/>
      <c r="C561" s="114"/>
      <c r="D561" s="114"/>
      <c r="E561" s="114"/>
      <c r="F561" s="114"/>
      <c r="G561" s="114"/>
    </row>
    <row r="562">
      <c r="A562" s="114"/>
      <c r="B562" s="114"/>
      <c r="C562" s="114"/>
      <c r="D562" s="114"/>
      <c r="E562" s="114"/>
      <c r="F562" s="114"/>
      <c r="G562" s="114"/>
    </row>
    <row r="563">
      <c r="A563" s="114"/>
      <c r="B563" s="114"/>
      <c r="C563" s="114"/>
      <c r="D563" s="114"/>
      <c r="E563" s="114"/>
      <c r="F563" s="114"/>
      <c r="G563" s="114"/>
    </row>
    <row r="564">
      <c r="A564" s="114"/>
      <c r="B564" s="114"/>
      <c r="C564" s="114"/>
      <c r="D564" s="114"/>
      <c r="E564" s="114"/>
      <c r="F564" s="114"/>
      <c r="G564" s="114"/>
    </row>
    <row r="565">
      <c r="A565" s="114"/>
      <c r="B565" s="114"/>
      <c r="C565" s="114"/>
      <c r="D565" s="114"/>
      <c r="E565" s="114"/>
      <c r="F565" s="114"/>
      <c r="G565" s="114"/>
    </row>
    <row r="566">
      <c r="A566" s="114"/>
      <c r="B566" s="114"/>
      <c r="C566" s="114"/>
      <c r="D566" s="114"/>
      <c r="E566" s="114"/>
      <c r="F566" s="114"/>
      <c r="G566" s="114"/>
    </row>
    <row r="567">
      <c r="A567" s="114"/>
      <c r="B567" s="114"/>
      <c r="C567" s="114"/>
      <c r="D567" s="114"/>
      <c r="E567" s="114"/>
      <c r="F567" s="114"/>
      <c r="G567" s="114"/>
    </row>
    <row r="568">
      <c r="A568" s="114"/>
      <c r="B568" s="114"/>
      <c r="C568" s="114"/>
      <c r="D568" s="114"/>
      <c r="E568" s="114"/>
      <c r="F568" s="114"/>
      <c r="G568" s="114"/>
    </row>
    <row r="569">
      <c r="A569" s="114"/>
      <c r="B569" s="114"/>
      <c r="C569" s="114"/>
      <c r="D569" s="114"/>
      <c r="E569" s="114"/>
      <c r="F569" s="114"/>
      <c r="G569" s="114"/>
    </row>
    <row r="570">
      <c r="A570" s="114"/>
      <c r="B570" s="114"/>
      <c r="C570" s="114"/>
      <c r="D570" s="114"/>
      <c r="E570" s="114"/>
      <c r="F570" s="114"/>
      <c r="G570" s="114"/>
    </row>
    <row r="571">
      <c r="A571" s="114"/>
      <c r="B571" s="114"/>
      <c r="C571" s="114"/>
      <c r="D571" s="114"/>
      <c r="E571" s="114"/>
      <c r="F571" s="114"/>
      <c r="G571" s="114"/>
    </row>
    <row r="572">
      <c r="A572" s="114"/>
      <c r="B572" s="114"/>
      <c r="C572" s="114"/>
      <c r="D572" s="114"/>
      <c r="E572" s="114"/>
      <c r="F572" s="114"/>
      <c r="G572" s="114"/>
    </row>
    <row r="573">
      <c r="A573" s="114"/>
      <c r="B573" s="114"/>
      <c r="C573" s="114"/>
      <c r="D573" s="114"/>
      <c r="E573" s="114"/>
      <c r="F573" s="114"/>
      <c r="G573" s="114"/>
    </row>
    <row r="574">
      <c r="A574" s="114"/>
      <c r="B574" s="114"/>
      <c r="C574" s="114"/>
      <c r="D574" s="114"/>
      <c r="E574" s="114"/>
      <c r="F574" s="114"/>
      <c r="G574" s="114"/>
    </row>
    <row r="575">
      <c r="A575" s="114"/>
      <c r="B575" s="114"/>
      <c r="C575" s="114"/>
      <c r="D575" s="114"/>
      <c r="E575" s="114"/>
      <c r="F575" s="114"/>
      <c r="G575" s="114"/>
    </row>
    <row r="576">
      <c r="A576" s="114"/>
      <c r="B576" s="114"/>
      <c r="C576" s="114"/>
      <c r="D576" s="114"/>
      <c r="E576" s="114"/>
      <c r="F576" s="114"/>
      <c r="G576" s="114"/>
    </row>
    <row r="577">
      <c r="A577" s="114"/>
      <c r="B577" s="114"/>
      <c r="C577" s="114"/>
      <c r="D577" s="114"/>
      <c r="E577" s="114"/>
      <c r="F577" s="114"/>
      <c r="G577" s="114"/>
    </row>
    <row r="578">
      <c r="A578" s="114"/>
      <c r="B578" s="114"/>
      <c r="C578" s="114"/>
      <c r="D578" s="114"/>
      <c r="E578" s="114"/>
      <c r="F578" s="114"/>
      <c r="G578" s="114"/>
    </row>
    <row r="579">
      <c r="A579" s="114"/>
      <c r="B579" s="114"/>
      <c r="C579" s="114"/>
      <c r="D579" s="114"/>
      <c r="E579" s="114"/>
      <c r="F579" s="114"/>
      <c r="G579" s="114"/>
    </row>
    <row r="580">
      <c r="A580" s="114"/>
      <c r="B580" s="114"/>
      <c r="C580" s="114"/>
      <c r="D580" s="114"/>
      <c r="E580" s="114"/>
      <c r="F580" s="114"/>
      <c r="G580" s="114"/>
    </row>
    <row r="581">
      <c r="A581" s="114"/>
      <c r="B581" s="114"/>
      <c r="C581" s="114"/>
      <c r="D581" s="114"/>
      <c r="E581" s="114"/>
      <c r="F581" s="114"/>
      <c r="G581" s="114"/>
    </row>
    <row r="582">
      <c r="A582" s="114"/>
      <c r="B582" s="114"/>
      <c r="C582" s="114"/>
      <c r="D582" s="114"/>
      <c r="E582" s="114"/>
      <c r="F582" s="114"/>
      <c r="G582" s="114"/>
    </row>
    <row r="583">
      <c r="A583" s="114"/>
      <c r="B583" s="114"/>
      <c r="C583" s="114"/>
      <c r="D583" s="114"/>
      <c r="E583" s="114"/>
      <c r="F583" s="114"/>
      <c r="G583" s="114"/>
    </row>
    <row r="584">
      <c r="A584" s="114"/>
      <c r="B584" s="114"/>
      <c r="C584" s="114"/>
      <c r="D584" s="114"/>
      <c r="E584" s="114"/>
      <c r="F584" s="114"/>
      <c r="G584" s="114"/>
    </row>
    <row r="585">
      <c r="A585" s="114"/>
      <c r="B585" s="114"/>
      <c r="C585" s="114"/>
      <c r="D585" s="114"/>
      <c r="E585" s="114"/>
      <c r="F585" s="114"/>
      <c r="G585" s="114"/>
    </row>
    <row r="586">
      <c r="A586" s="114"/>
      <c r="B586" s="114"/>
      <c r="C586" s="114"/>
      <c r="D586" s="114"/>
      <c r="E586" s="114"/>
      <c r="F586" s="114"/>
      <c r="G586" s="114"/>
    </row>
    <row r="587">
      <c r="A587" s="114"/>
      <c r="B587" s="114"/>
      <c r="C587" s="114"/>
      <c r="D587" s="114"/>
      <c r="E587" s="114"/>
      <c r="F587" s="114"/>
      <c r="G587" s="114"/>
    </row>
    <row r="588">
      <c r="A588" s="114"/>
      <c r="B588" s="114"/>
      <c r="C588" s="114"/>
      <c r="D588" s="114"/>
      <c r="E588" s="114"/>
      <c r="F588" s="114"/>
      <c r="G588" s="114"/>
    </row>
    <row r="589">
      <c r="A589" s="114"/>
      <c r="B589" s="114"/>
      <c r="C589" s="114"/>
      <c r="D589" s="114"/>
      <c r="E589" s="114"/>
      <c r="F589" s="114"/>
      <c r="G589" s="114"/>
    </row>
    <row r="590">
      <c r="A590" s="114"/>
      <c r="B590" s="114"/>
      <c r="C590" s="114"/>
      <c r="D590" s="114"/>
      <c r="E590" s="114"/>
      <c r="F590" s="114"/>
      <c r="G590" s="114"/>
    </row>
    <row r="591">
      <c r="A591" s="114"/>
      <c r="B591" s="114"/>
      <c r="C591" s="114"/>
      <c r="D591" s="114"/>
      <c r="E591" s="114"/>
      <c r="F591" s="114"/>
      <c r="G591" s="114"/>
    </row>
    <row r="592">
      <c r="A592" s="114"/>
      <c r="B592" s="114"/>
      <c r="C592" s="114"/>
      <c r="D592" s="114"/>
      <c r="E592" s="114"/>
      <c r="F592" s="114"/>
      <c r="G592" s="114"/>
    </row>
    <row r="593">
      <c r="A593" s="114"/>
      <c r="B593" s="114"/>
      <c r="C593" s="114"/>
      <c r="D593" s="114"/>
      <c r="E593" s="114"/>
      <c r="F593" s="114"/>
      <c r="G593" s="114"/>
    </row>
    <row r="594">
      <c r="A594" s="114"/>
      <c r="B594" s="114"/>
      <c r="C594" s="114"/>
      <c r="D594" s="114"/>
      <c r="E594" s="114"/>
      <c r="F594" s="114"/>
      <c r="G594" s="114"/>
    </row>
    <row r="595">
      <c r="A595" s="114"/>
      <c r="B595" s="114"/>
      <c r="C595" s="114"/>
      <c r="D595" s="114"/>
      <c r="E595" s="114"/>
      <c r="F595" s="114"/>
      <c r="G595" s="114"/>
    </row>
    <row r="596">
      <c r="A596" s="114"/>
      <c r="B596" s="114"/>
      <c r="C596" s="114"/>
      <c r="D596" s="114"/>
      <c r="E596" s="114"/>
      <c r="F596" s="114"/>
      <c r="G596" s="114"/>
    </row>
    <row r="597">
      <c r="A597" s="114"/>
      <c r="B597" s="114"/>
      <c r="C597" s="114"/>
      <c r="D597" s="114"/>
      <c r="E597" s="114"/>
      <c r="F597" s="114"/>
      <c r="G597" s="114"/>
    </row>
    <row r="598">
      <c r="A598" s="114"/>
      <c r="B598" s="114"/>
      <c r="C598" s="114"/>
      <c r="D598" s="114"/>
      <c r="E598" s="114"/>
      <c r="F598" s="114"/>
      <c r="G598" s="114"/>
    </row>
    <row r="599">
      <c r="A599" s="114"/>
      <c r="B599" s="114"/>
      <c r="C599" s="114"/>
      <c r="D599" s="114"/>
      <c r="E599" s="114"/>
      <c r="F599" s="114"/>
      <c r="G599" s="114"/>
    </row>
    <row r="600">
      <c r="A600" s="114"/>
      <c r="B600" s="114"/>
      <c r="C600" s="114"/>
      <c r="D600" s="114"/>
      <c r="E600" s="114"/>
      <c r="F600" s="114"/>
      <c r="G600" s="114"/>
    </row>
    <row r="601">
      <c r="A601" s="114"/>
      <c r="B601" s="114"/>
      <c r="C601" s="114"/>
      <c r="D601" s="114"/>
      <c r="E601" s="114"/>
      <c r="F601" s="114"/>
      <c r="G601" s="114"/>
    </row>
    <row r="602">
      <c r="A602" s="114"/>
      <c r="B602" s="114"/>
      <c r="C602" s="114"/>
      <c r="D602" s="114"/>
      <c r="E602" s="114"/>
      <c r="F602" s="114"/>
      <c r="G602" s="114"/>
    </row>
    <row r="603">
      <c r="A603" s="114"/>
      <c r="B603" s="114"/>
      <c r="C603" s="114"/>
      <c r="D603" s="114"/>
      <c r="E603" s="114"/>
      <c r="F603" s="114"/>
      <c r="G603" s="114"/>
    </row>
    <row r="604">
      <c r="A604" s="114"/>
      <c r="B604" s="114"/>
      <c r="C604" s="114"/>
      <c r="D604" s="114"/>
      <c r="E604" s="114"/>
      <c r="F604" s="114"/>
      <c r="G604" s="114"/>
    </row>
    <row r="605">
      <c r="A605" s="114"/>
      <c r="B605" s="114"/>
      <c r="C605" s="114"/>
      <c r="D605" s="114"/>
      <c r="E605" s="114"/>
      <c r="F605" s="114"/>
      <c r="G605" s="114"/>
    </row>
    <row r="606">
      <c r="A606" s="114"/>
      <c r="B606" s="114"/>
      <c r="C606" s="114"/>
      <c r="D606" s="114"/>
      <c r="E606" s="114"/>
      <c r="F606" s="114"/>
      <c r="G606" s="114"/>
    </row>
    <row r="607">
      <c r="A607" s="114"/>
      <c r="B607" s="114"/>
      <c r="C607" s="114"/>
      <c r="D607" s="114"/>
      <c r="E607" s="114"/>
      <c r="F607" s="114"/>
      <c r="G607" s="114"/>
    </row>
    <row r="608">
      <c r="A608" s="114"/>
      <c r="B608" s="114"/>
      <c r="C608" s="114"/>
      <c r="D608" s="114"/>
      <c r="E608" s="114"/>
      <c r="F608" s="114"/>
      <c r="G608" s="114"/>
    </row>
    <row r="609">
      <c r="A609" s="114"/>
      <c r="B609" s="114"/>
      <c r="C609" s="114"/>
      <c r="D609" s="114"/>
      <c r="E609" s="114"/>
      <c r="F609" s="114"/>
      <c r="G609" s="114"/>
    </row>
    <row r="610">
      <c r="A610" s="114"/>
      <c r="B610" s="114"/>
      <c r="C610" s="114"/>
      <c r="D610" s="114"/>
      <c r="E610" s="114"/>
      <c r="F610" s="114"/>
      <c r="G610" s="114"/>
    </row>
    <row r="611">
      <c r="A611" s="114"/>
      <c r="B611" s="114"/>
      <c r="C611" s="114"/>
      <c r="D611" s="114"/>
      <c r="E611" s="114"/>
      <c r="F611" s="114"/>
      <c r="G611" s="114"/>
    </row>
    <row r="612">
      <c r="A612" s="114"/>
      <c r="B612" s="114"/>
      <c r="C612" s="114"/>
      <c r="D612" s="114"/>
      <c r="E612" s="114"/>
      <c r="F612" s="114"/>
      <c r="G612" s="114"/>
    </row>
    <row r="613">
      <c r="A613" s="114"/>
      <c r="B613" s="114"/>
      <c r="C613" s="114"/>
      <c r="D613" s="114"/>
      <c r="E613" s="114"/>
      <c r="F613" s="114"/>
      <c r="G613" s="114"/>
    </row>
    <row r="614">
      <c r="A614" s="114"/>
      <c r="B614" s="114"/>
      <c r="C614" s="114"/>
      <c r="D614" s="114"/>
      <c r="E614" s="114"/>
      <c r="F614" s="114"/>
      <c r="G614" s="114"/>
    </row>
    <row r="615">
      <c r="A615" s="114"/>
      <c r="B615" s="114"/>
      <c r="C615" s="114"/>
      <c r="D615" s="114"/>
      <c r="E615" s="114"/>
      <c r="F615" s="114"/>
      <c r="G615" s="114"/>
    </row>
    <row r="616">
      <c r="A616" s="114"/>
      <c r="B616" s="114"/>
      <c r="C616" s="114"/>
      <c r="D616" s="114"/>
      <c r="E616" s="114"/>
      <c r="F616" s="114"/>
      <c r="G616" s="114"/>
    </row>
    <row r="617">
      <c r="A617" s="114"/>
      <c r="B617" s="114"/>
      <c r="C617" s="114"/>
      <c r="D617" s="114"/>
      <c r="E617" s="114"/>
      <c r="F617" s="114"/>
      <c r="G617" s="114"/>
    </row>
    <row r="618">
      <c r="A618" s="114"/>
      <c r="B618" s="114"/>
      <c r="C618" s="114"/>
      <c r="D618" s="114"/>
      <c r="E618" s="114"/>
      <c r="F618" s="114"/>
      <c r="G618" s="114"/>
    </row>
    <row r="619">
      <c r="A619" s="114"/>
      <c r="B619" s="114"/>
      <c r="C619" s="114"/>
      <c r="D619" s="114"/>
      <c r="E619" s="114"/>
      <c r="F619" s="114"/>
      <c r="G619" s="114"/>
    </row>
    <row r="620">
      <c r="A620" s="114"/>
      <c r="B620" s="114"/>
      <c r="C620" s="114"/>
      <c r="D620" s="114"/>
      <c r="E620" s="114"/>
      <c r="F620" s="114"/>
      <c r="G620" s="114"/>
    </row>
    <row r="621">
      <c r="A621" s="114"/>
      <c r="B621" s="114"/>
      <c r="C621" s="114"/>
      <c r="D621" s="114"/>
      <c r="E621" s="114"/>
      <c r="F621" s="114"/>
      <c r="G621" s="114"/>
    </row>
    <row r="622">
      <c r="A622" s="114"/>
      <c r="B622" s="114"/>
      <c r="C622" s="114"/>
      <c r="D622" s="114"/>
      <c r="E622" s="114"/>
      <c r="F622" s="114"/>
      <c r="G622" s="114"/>
    </row>
    <row r="623">
      <c r="A623" s="114"/>
      <c r="B623" s="114"/>
      <c r="C623" s="114"/>
      <c r="D623" s="114"/>
      <c r="E623" s="114"/>
      <c r="F623" s="114"/>
      <c r="G623" s="114"/>
    </row>
    <row r="624">
      <c r="A624" s="114"/>
      <c r="B624" s="114"/>
      <c r="C624" s="114"/>
      <c r="D624" s="114"/>
      <c r="E624" s="114"/>
      <c r="F624" s="114"/>
      <c r="G624" s="114"/>
    </row>
    <row r="625">
      <c r="A625" s="114"/>
      <c r="B625" s="114"/>
      <c r="C625" s="114"/>
      <c r="D625" s="114"/>
      <c r="E625" s="114"/>
      <c r="F625" s="114"/>
      <c r="G625" s="114"/>
    </row>
    <row r="626">
      <c r="A626" s="114"/>
      <c r="B626" s="114"/>
      <c r="C626" s="114"/>
      <c r="D626" s="114"/>
      <c r="E626" s="114"/>
      <c r="F626" s="114"/>
      <c r="G626" s="114"/>
    </row>
    <row r="627">
      <c r="A627" s="114"/>
      <c r="B627" s="114"/>
      <c r="C627" s="114"/>
      <c r="D627" s="114"/>
      <c r="E627" s="114"/>
      <c r="F627" s="114"/>
      <c r="G627" s="114"/>
    </row>
    <row r="628">
      <c r="A628" s="114"/>
      <c r="B628" s="114"/>
      <c r="C628" s="114"/>
      <c r="D628" s="114"/>
      <c r="E628" s="114"/>
      <c r="F628" s="114"/>
      <c r="G628" s="114"/>
    </row>
    <row r="629">
      <c r="A629" s="114"/>
      <c r="B629" s="114"/>
      <c r="C629" s="114"/>
      <c r="D629" s="114"/>
      <c r="E629" s="114"/>
      <c r="F629" s="114"/>
      <c r="G629" s="114"/>
    </row>
    <row r="630">
      <c r="A630" s="114"/>
      <c r="B630" s="114"/>
      <c r="C630" s="114"/>
      <c r="D630" s="114"/>
      <c r="E630" s="114"/>
      <c r="F630" s="114"/>
      <c r="G630" s="114"/>
    </row>
    <row r="631">
      <c r="A631" s="114"/>
      <c r="B631" s="114"/>
      <c r="C631" s="114"/>
      <c r="D631" s="114"/>
      <c r="E631" s="114"/>
      <c r="F631" s="114"/>
      <c r="G631" s="114"/>
    </row>
    <row r="632">
      <c r="A632" s="114"/>
      <c r="B632" s="114"/>
      <c r="C632" s="114"/>
      <c r="D632" s="114"/>
      <c r="E632" s="114"/>
      <c r="F632" s="114"/>
      <c r="G632" s="114"/>
    </row>
    <row r="633">
      <c r="A633" s="114"/>
      <c r="B633" s="114"/>
      <c r="C633" s="114"/>
      <c r="D633" s="114"/>
      <c r="E633" s="114"/>
      <c r="F633" s="114"/>
      <c r="G633" s="114"/>
    </row>
    <row r="634">
      <c r="A634" s="114"/>
      <c r="B634" s="114"/>
      <c r="C634" s="114"/>
      <c r="D634" s="114"/>
      <c r="E634" s="114"/>
      <c r="F634" s="114"/>
      <c r="G634" s="114"/>
    </row>
    <row r="635">
      <c r="A635" s="114"/>
      <c r="B635" s="114"/>
      <c r="C635" s="114"/>
      <c r="D635" s="114"/>
      <c r="E635" s="114"/>
      <c r="F635" s="114"/>
      <c r="G635" s="114"/>
    </row>
    <row r="636">
      <c r="A636" s="114"/>
      <c r="B636" s="114"/>
      <c r="C636" s="114"/>
      <c r="D636" s="114"/>
      <c r="E636" s="114"/>
      <c r="F636" s="114"/>
      <c r="G636" s="114"/>
    </row>
    <row r="637">
      <c r="A637" s="114"/>
      <c r="B637" s="114"/>
      <c r="C637" s="114"/>
      <c r="D637" s="114"/>
      <c r="E637" s="114"/>
      <c r="F637" s="114"/>
      <c r="G637" s="114"/>
    </row>
    <row r="638">
      <c r="A638" s="114"/>
      <c r="B638" s="114"/>
      <c r="C638" s="114"/>
      <c r="D638" s="114"/>
      <c r="E638" s="114"/>
      <c r="F638" s="114"/>
      <c r="G638" s="114"/>
    </row>
    <row r="639">
      <c r="A639" s="114"/>
      <c r="B639" s="114"/>
      <c r="C639" s="114"/>
      <c r="D639" s="114"/>
      <c r="E639" s="114"/>
      <c r="F639" s="114"/>
      <c r="G639" s="114"/>
    </row>
    <row r="640">
      <c r="A640" s="114"/>
      <c r="B640" s="114"/>
      <c r="C640" s="114"/>
      <c r="D640" s="114"/>
      <c r="E640" s="114"/>
      <c r="F640" s="114"/>
      <c r="G640" s="114"/>
    </row>
    <row r="641">
      <c r="A641" s="114"/>
      <c r="B641" s="114"/>
      <c r="C641" s="114"/>
      <c r="D641" s="114"/>
      <c r="E641" s="114"/>
      <c r="F641" s="114"/>
      <c r="G641" s="114"/>
    </row>
    <row r="642">
      <c r="A642" s="114"/>
      <c r="B642" s="114"/>
      <c r="C642" s="114"/>
      <c r="D642" s="114"/>
      <c r="E642" s="114"/>
      <c r="F642" s="114"/>
      <c r="G642" s="114"/>
    </row>
    <row r="643">
      <c r="A643" s="114"/>
      <c r="B643" s="114"/>
      <c r="C643" s="114"/>
      <c r="D643" s="114"/>
      <c r="E643" s="114"/>
      <c r="F643" s="114"/>
      <c r="G643" s="114"/>
    </row>
    <row r="644">
      <c r="A644" s="114"/>
      <c r="B644" s="114"/>
      <c r="C644" s="114"/>
      <c r="D644" s="114"/>
      <c r="E644" s="114"/>
      <c r="F644" s="114"/>
      <c r="G644" s="114"/>
    </row>
    <row r="645">
      <c r="A645" s="114"/>
      <c r="B645" s="114"/>
      <c r="C645" s="114"/>
      <c r="D645" s="114"/>
      <c r="E645" s="114"/>
      <c r="F645" s="114"/>
      <c r="G645" s="114"/>
    </row>
    <row r="646">
      <c r="A646" s="114"/>
      <c r="B646" s="114"/>
      <c r="C646" s="114"/>
      <c r="D646" s="114"/>
      <c r="E646" s="114"/>
      <c r="F646" s="114"/>
      <c r="G646" s="114"/>
    </row>
    <row r="647">
      <c r="A647" s="114"/>
      <c r="B647" s="114"/>
      <c r="C647" s="114"/>
      <c r="D647" s="114"/>
      <c r="E647" s="114"/>
      <c r="F647" s="114"/>
      <c r="G647" s="114"/>
    </row>
    <row r="648">
      <c r="A648" s="114"/>
      <c r="B648" s="114"/>
      <c r="C648" s="114"/>
      <c r="D648" s="114"/>
      <c r="E648" s="114"/>
      <c r="F648" s="114"/>
      <c r="G648" s="114"/>
    </row>
    <row r="649">
      <c r="A649" s="114"/>
      <c r="B649" s="114"/>
      <c r="C649" s="114"/>
      <c r="D649" s="114"/>
      <c r="E649" s="114"/>
      <c r="F649" s="114"/>
      <c r="G649" s="114"/>
    </row>
    <row r="650">
      <c r="A650" s="114"/>
      <c r="B650" s="114"/>
      <c r="C650" s="114"/>
      <c r="D650" s="114"/>
      <c r="E650" s="114"/>
      <c r="F650" s="114"/>
      <c r="G650" s="114"/>
    </row>
    <row r="651">
      <c r="A651" s="114"/>
      <c r="B651" s="114"/>
      <c r="C651" s="114"/>
      <c r="D651" s="114"/>
      <c r="E651" s="114"/>
      <c r="F651" s="114"/>
      <c r="G651" s="114"/>
    </row>
    <row r="652">
      <c r="A652" s="114"/>
      <c r="B652" s="114"/>
      <c r="C652" s="114"/>
      <c r="D652" s="114"/>
      <c r="E652" s="114"/>
      <c r="F652" s="114"/>
      <c r="G652" s="114"/>
    </row>
    <row r="653">
      <c r="A653" s="114"/>
      <c r="B653" s="114"/>
      <c r="C653" s="114"/>
      <c r="D653" s="114"/>
      <c r="E653" s="114"/>
      <c r="F653" s="114"/>
      <c r="G653" s="114"/>
    </row>
    <row r="654">
      <c r="A654" s="114"/>
      <c r="B654" s="114"/>
      <c r="C654" s="114"/>
      <c r="D654" s="114"/>
      <c r="E654" s="114"/>
      <c r="F654" s="114"/>
      <c r="G654" s="114"/>
    </row>
    <row r="655">
      <c r="A655" s="114"/>
      <c r="B655" s="114"/>
      <c r="C655" s="114"/>
      <c r="D655" s="114"/>
      <c r="E655" s="114"/>
      <c r="F655" s="114"/>
      <c r="G655" s="114"/>
    </row>
    <row r="656">
      <c r="A656" s="114"/>
      <c r="B656" s="114"/>
      <c r="C656" s="114"/>
      <c r="D656" s="114"/>
      <c r="E656" s="114"/>
      <c r="F656" s="114"/>
      <c r="G656" s="114"/>
    </row>
    <row r="657">
      <c r="A657" s="114"/>
      <c r="B657" s="114"/>
      <c r="C657" s="114"/>
      <c r="D657" s="114"/>
      <c r="E657" s="114"/>
      <c r="F657" s="114"/>
      <c r="G657" s="114"/>
    </row>
    <row r="658">
      <c r="A658" s="114"/>
      <c r="B658" s="114"/>
      <c r="C658" s="114"/>
      <c r="D658" s="114"/>
      <c r="E658" s="114"/>
      <c r="F658" s="114"/>
      <c r="G658" s="114"/>
    </row>
    <row r="659">
      <c r="A659" s="114"/>
      <c r="B659" s="114"/>
      <c r="C659" s="114"/>
      <c r="D659" s="114"/>
      <c r="E659" s="114"/>
      <c r="F659" s="114"/>
      <c r="G659" s="114"/>
    </row>
    <row r="660">
      <c r="A660" s="114"/>
      <c r="B660" s="114"/>
      <c r="C660" s="114"/>
      <c r="D660" s="114"/>
      <c r="E660" s="114"/>
      <c r="F660" s="114"/>
      <c r="G660" s="114"/>
    </row>
    <row r="661">
      <c r="A661" s="114"/>
      <c r="B661" s="114"/>
      <c r="C661" s="114"/>
      <c r="D661" s="114"/>
      <c r="E661" s="114"/>
      <c r="F661" s="114"/>
      <c r="G661" s="114"/>
    </row>
    <row r="662">
      <c r="A662" s="114"/>
      <c r="B662" s="114"/>
      <c r="C662" s="114"/>
      <c r="D662" s="114"/>
      <c r="E662" s="114"/>
      <c r="F662" s="114"/>
      <c r="G662" s="114"/>
    </row>
    <row r="663">
      <c r="A663" s="114"/>
      <c r="B663" s="114"/>
      <c r="C663" s="114"/>
      <c r="D663" s="114"/>
      <c r="E663" s="114"/>
      <c r="F663" s="114"/>
      <c r="G663" s="114"/>
    </row>
    <row r="664">
      <c r="A664" s="114"/>
      <c r="B664" s="114"/>
      <c r="C664" s="114"/>
      <c r="D664" s="114"/>
      <c r="E664" s="114"/>
      <c r="F664" s="114"/>
      <c r="G664" s="114"/>
    </row>
    <row r="665">
      <c r="A665" s="114"/>
      <c r="B665" s="114"/>
      <c r="C665" s="114"/>
      <c r="D665" s="114"/>
      <c r="E665" s="114"/>
      <c r="F665" s="114"/>
      <c r="G665" s="114"/>
    </row>
    <row r="666">
      <c r="A666" s="114"/>
      <c r="B666" s="114"/>
      <c r="C666" s="114"/>
      <c r="D666" s="114"/>
      <c r="E666" s="114"/>
      <c r="F666" s="114"/>
      <c r="G666" s="114"/>
    </row>
    <row r="667">
      <c r="A667" s="114"/>
      <c r="B667" s="114"/>
      <c r="C667" s="114"/>
      <c r="D667" s="114"/>
      <c r="E667" s="114"/>
      <c r="F667" s="114"/>
      <c r="G667" s="114"/>
    </row>
    <row r="668">
      <c r="A668" s="114"/>
      <c r="B668" s="114"/>
      <c r="C668" s="114"/>
      <c r="D668" s="114"/>
      <c r="E668" s="114"/>
      <c r="F668" s="114"/>
      <c r="G668" s="114"/>
    </row>
    <row r="669">
      <c r="A669" s="114"/>
      <c r="B669" s="114"/>
      <c r="C669" s="114"/>
      <c r="D669" s="114"/>
      <c r="E669" s="114"/>
      <c r="F669" s="114"/>
      <c r="G669" s="114"/>
    </row>
    <row r="670">
      <c r="A670" s="114"/>
      <c r="B670" s="114"/>
      <c r="C670" s="114"/>
      <c r="D670" s="114"/>
      <c r="E670" s="114"/>
      <c r="F670" s="114"/>
      <c r="G670" s="114"/>
    </row>
    <row r="671">
      <c r="A671" s="114"/>
      <c r="B671" s="114"/>
      <c r="C671" s="114"/>
      <c r="D671" s="114"/>
      <c r="E671" s="114"/>
      <c r="F671" s="114"/>
      <c r="G671" s="114"/>
    </row>
    <row r="672">
      <c r="A672" s="114"/>
      <c r="B672" s="114"/>
      <c r="C672" s="114"/>
      <c r="D672" s="114"/>
      <c r="E672" s="114"/>
      <c r="F672" s="114"/>
      <c r="G672" s="114"/>
    </row>
    <row r="673">
      <c r="A673" s="114"/>
      <c r="B673" s="114"/>
      <c r="C673" s="114"/>
      <c r="D673" s="114"/>
      <c r="E673" s="114"/>
      <c r="F673" s="114"/>
      <c r="G673" s="114"/>
    </row>
    <row r="674">
      <c r="A674" s="114"/>
      <c r="B674" s="114"/>
      <c r="C674" s="114"/>
      <c r="D674" s="114"/>
      <c r="E674" s="114"/>
      <c r="F674" s="114"/>
      <c r="G674" s="114"/>
    </row>
    <row r="675">
      <c r="A675" s="114"/>
      <c r="B675" s="114"/>
      <c r="C675" s="114"/>
      <c r="D675" s="114"/>
      <c r="E675" s="114"/>
      <c r="F675" s="114"/>
      <c r="G675" s="114"/>
    </row>
    <row r="676">
      <c r="A676" s="114"/>
      <c r="B676" s="114"/>
      <c r="C676" s="114"/>
      <c r="D676" s="114"/>
      <c r="E676" s="114"/>
      <c r="F676" s="114"/>
      <c r="G676" s="114"/>
    </row>
    <row r="677">
      <c r="A677" s="114"/>
      <c r="B677" s="114"/>
      <c r="C677" s="114"/>
      <c r="D677" s="114"/>
      <c r="E677" s="114"/>
      <c r="F677" s="114"/>
      <c r="G677" s="114"/>
    </row>
    <row r="678">
      <c r="A678" s="114"/>
      <c r="B678" s="114"/>
      <c r="C678" s="114"/>
      <c r="D678" s="114"/>
      <c r="E678" s="114"/>
      <c r="F678" s="114"/>
      <c r="G678" s="114"/>
    </row>
    <row r="679">
      <c r="A679" s="114"/>
      <c r="B679" s="114"/>
      <c r="C679" s="114"/>
      <c r="D679" s="114"/>
      <c r="E679" s="114"/>
      <c r="F679" s="114"/>
      <c r="G679" s="114"/>
    </row>
    <row r="680">
      <c r="A680" s="114"/>
      <c r="B680" s="114"/>
      <c r="C680" s="114"/>
      <c r="D680" s="114"/>
      <c r="E680" s="114"/>
      <c r="F680" s="114"/>
      <c r="G680" s="114"/>
    </row>
    <row r="681">
      <c r="A681" s="114"/>
      <c r="B681" s="114"/>
      <c r="C681" s="114"/>
      <c r="D681" s="114"/>
      <c r="E681" s="114"/>
      <c r="F681" s="114"/>
      <c r="G681" s="114"/>
    </row>
    <row r="682">
      <c r="A682" s="114"/>
      <c r="B682" s="114"/>
      <c r="C682" s="114"/>
      <c r="D682" s="114"/>
      <c r="E682" s="114"/>
      <c r="F682" s="114"/>
      <c r="G682" s="114"/>
    </row>
    <row r="683">
      <c r="A683" s="114"/>
      <c r="B683" s="114"/>
      <c r="C683" s="114"/>
      <c r="D683" s="114"/>
      <c r="E683" s="114"/>
      <c r="F683" s="114"/>
      <c r="G683" s="114"/>
    </row>
    <row r="684">
      <c r="A684" s="114"/>
      <c r="B684" s="114"/>
      <c r="C684" s="114"/>
      <c r="D684" s="114"/>
      <c r="E684" s="114"/>
      <c r="F684" s="114"/>
      <c r="G684" s="114"/>
    </row>
    <row r="685">
      <c r="A685" s="114"/>
      <c r="B685" s="114"/>
      <c r="C685" s="114"/>
      <c r="D685" s="114"/>
      <c r="E685" s="114"/>
      <c r="F685" s="114"/>
      <c r="G685" s="114"/>
    </row>
    <row r="686">
      <c r="A686" s="114"/>
      <c r="B686" s="114"/>
      <c r="C686" s="114"/>
      <c r="D686" s="114"/>
      <c r="E686" s="114"/>
      <c r="F686" s="114"/>
      <c r="G686" s="114"/>
    </row>
    <row r="687">
      <c r="A687" s="114"/>
      <c r="B687" s="114"/>
      <c r="C687" s="114"/>
      <c r="D687" s="114"/>
      <c r="E687" s="114"/>
      <c r="F687" s="114"/>
      <c r="G687" s="114"/>
    </row>
    <row r="688">
      <c r="A688" s="114"/>
      <c r="B688" s="114"/>
      <c r="C688" s="114"/>
      <c r="D688" s="114"/>
      <c r="E688" s="114"/>
      <c r="F688" s="114"/>
      <c r="G688" s="114"/>
    </row>
    <row r="689">
      <c r="A689" s="114"/>
      <c r="B689" s="114"/>
      <c r="C689" s="114"/>
      <c r="D689" s="114"/>
      <c r="E689" s="114"/>
      <c r="F689" s="114"/>
      <c r="G689" s="114"/>
    </row>
    <row r="690">
      <c r="A690" s="114"/>
      <c r="B690" s="114"/>
      <c r="C690" s="114"/>
      <c r="D690" s="114"/>
      <c r="E690" s="114"/>
      <c r="F690" s="114"/>
      <c r="G690" s="114"/>
    </row>
    <row r="691">
      <c r="A691" s="114"/>
      <c r="B691" s="114"/>
      <c r="C691" s="114"/>
      <c r="D691" s="114"/>
      <c r="E691" s="114"/>
      <c r="F691" s="114"/>
      <c r="G691" s="114"/>
    </row>
    <row r="692">
      <c r="A692" s="114"/>
      <c r="B692" s="114"/>
      <c r="C692" s="114"/>
      <c r="D692" s="114"/>
      <c r="E692" s="114"/>
      <c r="F692" s="114"/>
      <c r="G692" s="114"/>
    </row>
    <row r="693">
      <c r="A693" s="114"/>
      <c r="B693" s="114"/>
      <c r="C693" s="114"/>
      <c r="D693" s="114"/>
      <c r="E693" s="114"/>
      <c r="F693" s="114"/>
      <c r="G693" s="114"/>
    </row>
    <row r="694">
      <c r="A694" s="114"/>
      <c r="B694" s="114"/>
      <c r="C694" s="114"/>
      <c r="D694" s="114"/>
      <c r="E694" s="114"/>
      <c r="F694" s="114"/>
      <c r="G694" s="114"/>
    </row>
    <row r="695">
      <c r="A695" s="114"/>
      <c r="B695" s="114"/>
      <c r="C695" s="114"/>
      <c r="D695" s="114"/>
      <c r="E695" s="114"/>
      <c r="F695" s="114"/>
      <c r="G695" s="114"/>
    </row>
    <row r="696">
      <c r="A696" s="114"/>
      <c r="B696" s="114"/>
      <c r="C696" s="114"/>
      <c r="D696" s="114"/>
      <c r="E696" s="114"/>
      <c r="F696" s="114"/>
      <c r="G696" s="114"/>
    </row>
    <row r="697">
      <c r="A697" s="114"/>
      <c r="B697" s="114"/>
      <c r="C697" s="114"/>
      <c r="D697" s="114"/>
      <c r="E697" s="114"/>
      <c r="F697" s="114"/>
      <c r="G697" s="114"/>
    </row>
    <row r="698">
      <c r="A698" s="114"/>
      <c r="B698" s="114"/>
      <c r="C698" s="114"/>
      <c r="D698" s="114"/>
      <c r="E698" s="114"/>
      <c r="F698" s="114"/>
      <c r="G698" s="114"/>
    </row>
    <row r="699">
      <c r="A699" s="114"/>
      <c r="B699" s="114"/>
      <c r="C699" s="114"/>
      <c r="D699" s="114"/>
      <c r="E699" s="114"/>
      <c r="F699" s="114"/>
      <c r="G699" s="114"/>
    </row>
    <row r="700">
      <c r="A700" s="114"/>
      <c r="B700" s="114"/>
      <c r="C700" s="114"/>
      <c r="D700" s="114"/>
      <c r="E700" s="114"/>
      <c r="F700" s="114"/>
      <c r="G700" s="114"/>
    </row>
    <row r="701">
      <c r="A701" s="114"/>
      <c r="B701" s="114"/>
      <c r="C701" s="114"/>
      <c r="D701" s="114"/>
      <c r="E701" s="114"/>
      <c r="F701" s="114"/>
      <c r="G701" s="114"/>
    </row>
    <row r="702">
      <c r="A702" s="114"/>
      <c r="B702" s="114"/>
      <c r="C702" s="114"/>
      <c r="D702" s="114"/>
      <c r="E702" s="114"/>
      <c r="F702" s="114"/>
      <c r="G702" s="114"/>
    </row>
    <row r="703">
      <c r="A703" s="114"/>
      <c r="B703" s="114"/>
      <c r="C703" s="114"/>
      <c r="D703" s="114"/>
      <c r="E703" s="114"/>
      <c r="F703" s="114"/>
      <c r="G703" s="114"/>
    </row>
    <row r="704">
      <c r="A704" s="114"/>
      <c r="B704" s="114"/>
      <c r="C704" s="114"/>
      <c r="D704" s="114"/>
      <c r="E704" s="114"/>
      <c r="F704" s="114"/>
      <c r="G704" s="114"/>
    </row>
    <row r="705">
      <c r="A705" s="114"/>
      <c r="B705" s="114"/>
      <c r="C705" s="114"/>
      <c r="D705" s="114"/>
      <c r="E705" s="114"/>
      <c r="F705" s="114"/>
      <c r="G705" s="114"/>
    </row>
    <row r="706">
      <c r="A706" s="114"/>
      <c r="B706" s="114"/>
      <c r="C706" s="114"/>
      <c r="D706" s="114"/>
      <c r="E706" s="114"/>
      <c r="F706" s="114"/>
      <c r="G706" s="114"/>
    </row>
    <row r="707">
      <c r="A707" s="114"/>
      <c r="B707" s="114"/>
      <c r="C707" s="114"/>
      <c r="D707" s="114"/>
      <c r="E707" s="114"/>
      <c r="F707" s="114"/>
      <c r="G707" s="114"/>
    </row>
    <row r="708">
      <c r="A708" s="114"/>
      <c r="B708" s="114"/>
      <c r="C708" s="114"/>
      <c r="D708" s="114"/>
      <c r="E708" s="114"/>
      <c r="F708" s="114"/>
      <c r="G708" s="114"/>
    </row>
    <row r="709">
      <c r="A709" s="114"/>
      <c r="B709" s="114"/>
      <c r="C709" s="114"/>
      <c r="D709" s="114"/>
      <c r="E709" s="114"/>
      <c r="F709" s="114"/>
      <c r="G709" s="114"/>
    </row>
    <row r="710">
      <c r="A710" s="114"/>
      <c r="B710" s="114"/>
      <c r="C710" s="114"/>
      <c r="D710" s="114"/>
      <c r="E710" s="114"/>
      <c r="F710" s="114"/>
      <c r="G710" s="114"/>
    </row>
    <row r="711">
      <c r="A711" s="114"/>
      <c r="B711" s="114"/>
      <c r="C711" s="114"/>
      <c r="D711" s="114"/>
      <c r="E711" s="114"/>
      <c r="F711" s="114"/>
      <c r="G711" s="114"/>
    </row>
    <row r="712">
      <c r="A712" s="114"/>
      <c r="B712" s="114"/>
      <c r="C712" s="114"/>
      <c r="D712" s="114"/>
      <c r="E712" s="114"/>
      <c r="F712" s="114"/>
      <c r="G712" s="114"/>
    </row>
    <row r="713">
      <c r="A713" s="114"/>
      <c r="B713" s="114"/>
      <c r="C713" s="114"/>
      <c r="D713" s="114"/>
      <c r="E713" s="114"/>
      <c r="F713" s="114"/>
      <c r="G713" s="114"/>
    </row>
    <row r="714">
      <c r="A714" s="114"/>
      <c r="B714" s="114"/>
      <c r="C714" s="114"/>
      <c r="D714" s="114"/>
      <c r="E714" s="114"/>
      <c r="F714" s="114"/>
      <c r="G714" s="114"/>
    </row>
    <row r="715">
      <c r="A715" s="114"/>
      <c r="B715" s="114"/>
      <c r="C715" s="114"/>
      <c r="D715" s="114"/>
      <c r="E715" s="114"/>
      <c r="F715" s="114"/>
      <c r="G715" s="114"/>
    </row>
    <row r="716">
      <c r="A716" s="114"/>
      <c r="B716" s="114"/>
      <c r="C716" s="114"/>
      <c r="D716" s="114"/>
      <c r="E716" s="114"/>
      <c r="F716" s="114"/>
      <c r="G716" s="114"/>
    </row>
    <row r="717">
      <c r="A717" s="114"/>
      <c r="B717" s="114"/>
      <c r="C717" s="114"/>
      <c r="D717" s="114"/>
      <c r="E717" s="114"/>
      <c r="F717" s="114"/>
      <c r="G717" s="114"/>
    </row>
    <row r="718">
      <c r="A718" s="114"/>
      <c r="B718" s="114"/>
      <c r="C718" s="114"/>
      <c r="D718" s="114"/>
      <c r="E718" s="114"/>
      <c r="F718" s="114"/>
      <c r="G718" s="114"/>
    </row>
    <row r="719">
      <c r="A719" s="114"/>
      <c r="B719" s="114"/>
      <c r="C719" s="114"/>
      <c r="D719" s="114"/>
      <c r="E719" s="114"/>
      <c r="F719" s="114"/>
      <c r="G719" s="114"/>
    </row>
    <row r="720">
      <c r="A720" s="114"/>
      <c r="B720" s="114"/>
      <c r="C720" s="114"/>
      <c r="D720" s="114"/>
      <c r="E720" s="114"/>
      <c r="F720" s="114"/>
      <c r="G720" s="114"/>
    </row>
    <row r="721">
      <c r="A721" s="114"/>
      <c r="B721" s="114"/>
      <c r="C721" s="114"/>
      <c r="D721" s="114"/>
      <c r="E721" s="114"/>
      <c r="F721" s="114"/>
      <c r="G721" s="114"/>
    </row>
    <row r="722">
      <c r="A722" s="114"/>
      <c r="B722" s="114"/>
      <c r="C722" s="114"/>
      <c r="D722" s="114"/>
      <c r="E722" s="114"/>
      <c r="F722" s="114"/>
      <c r="G722" s="114"/>
    </row>
    <row r="723">
      <c r="A723" s="114"/>
      <c r="B723" s="114"/>
      <c r="C723" s="114"/>
      <c r="D723" s="114"/>
      <c r="E723" s="114"/>
      <c r="F723" s="114"/>
      <c r="G723" s="114"/>
    </row>
    <row r="724">
      <c r="A724" s="114"/>
      <c r="B724" s="114"/>
      <c r="C724" s="114"/>
      <c r="D724" s="114"/>
      <c r="E724" s="114"/>
      <c r="F724" s="114"/>
      <c r="G724" s="114"/>
    </row>
    <row r="725">
      <c r="A725" s="114"/>
      <c r="B725" s="114"/>
      <c r="C725" s="114"/>
      <c r="D725" s="114"/>
      <c r="E725" s="114"/>
      <c r="F725" s="114"/>
      <c r="G725" s="114"/>
    </row>
    <row r="726">
      <c r="A726" s="114"/>
      <c r="B726" s="114"/>
      <c r="C726" s="114"/>
      <c r="D726" s="114"/>
      <c r="E726" s="114"/>
      <c r="F726" s="114"/>
      <c r="G726" s="114"/>
    </row>
    <row r="727">
      <c r="A727" s="114"/>
      <c r="B727" s="114"/>
      <c r="C727" s="114"/>
      <c r="D727" s="114"/>
      <c r="E727" s="114"/>
      <c r="F727" s="114"/>
      <c r="G727" s="114"/>
    </row>
    <row r="728">
      <c r="A728" s="114"/>
      <c r="B728" s="114"/>
      <c r="C728" s="114"/>
      <c r="D728" s="114"/>
      <c r="E728" s="114"/>
      <c r="F728" s="114"/>
      <c r="G728" s="114"/>
    </row>
    <row r="729">
      <c r="A729" s="114"/>
      <c r="B729" s="114"/>
      <c r="C729" s="114"/>
      <c r="D729" s="114"/>
      <c r="E729" s="114"/>
      <c r="F729" s="114"/>
      <c r="G729" s="114"/>
    </row>
    <row r="730">
      <c r="A730" s="114"/>
      <c r="B730" s="114"/>
      <c r="C730" s="114"/>
      <c r="D730" s="114"/>
      <c r="E730" s="114"/>
      <c r="F730" s="114"/>
      <c r="G730" s="114"/>
    </row>
    <row r="731">
      <c r="A731" s="114"/>
      <c r="B731" s="114"/>
      <c r="C731" s="114"/>
      <c r="D731" s="114"/>
      <c r="E731" s="114"/>
      <c r="F731" s="114"/>
      <c r="G731" s="114"/>
    </row>
    <row r="732">
      <c r="A732" s="114"/>
      <c r="B732" s="114"/>
      <c r="C732" s="114"/>
      <c r="D732" s="114"/>
      <c r="E732" s="114"/>
      <c r="F732" s="114"/>
      <c r="G732" s="114"/>
    </row>
    <row r="733">
      <c r="A733" s="114"/>
      <c r="B733" s="114"/>
      <c r="C733" s="114"/>
      <c r="D733" s="114"/>
      <c r="E733" s="114"/>
      <c r="F733" s="114"/>
      <c r="G733" s="114"/>
    </row>
    <row r="734">
      <c r="A734" s="114"/>
      <c r="B734" s="114"/>
      <c r="C734" s="114"/>
      <c r="D734" s="114"/>
      <c r="E734" s="114"/>
      <c r="F734" s="114"/>
      <c r="G734" s="114"/>
    </row>
    <row r="735">
      <c r="A735" s="114"/>
      <c r="B735" s="114"/>
      <c r="C735" s="114"/>
      <c r="D735" s="114"/>
      <c r="E735" s="114"/>
      <c r="F735" s="114"/>
      <c r="G735" s="114"/>
    </row>
    <row r="736">
      <c r="A736" s="114"/>
      <c r="B736" s="114"/>
      <c r="C736" s="114"/>
      <c r="D736" s="114"/>
      <c r="E736" s="114"/>
      <c r="F736" s="114"/>
      <c r="G736" s="114"/>
    </row>
    <row r="737">
      <c r="A737" s="114"/>
      <c r="B737" s="114"/>
      <c r="C737" s="114"/>
      <c r="D737" s="114"/>
      <c r="E737" s="114"/>
      <c r="F737" s="114"/>
      <c r="G737" s="114"/>
    </row>
    <row r="738">
      <c r="A738" s="114"/>
      <c r="B738" s="114"/>
      <c r="C738" s="114"/>
      <c r="D738" s="114"/>
      <c r="E738" s="114"/>
      <c r="F738" s="114"/>
      <c r="G738" s="114"/>
    </row>
    <row r="739">
      <c r="A739" s="114"/>
      <c r="B739" s="114"/>
      <c r="C739" s="114"/>
      <c r="D739" s="114"/>
      <c r="E739" s="114"/>
      <c r="F739" s="114"/>
      <c r="G739" s="114"/>
    </row>
    <row r="740">
      <c r="A740" s="114"/>
      <c r="B740" s="114"/>
      <c r="C740" s="114"/>
      <c r="D740" s="114"/>
      <c r="E740" s="114"/>
      <c r="F740" s="114"/>
      <c r="G740" s="114"/>
    </row>
    <row r="741">
      <c r="A741" s="114"/>
      <c r="B741" s="114"/>
      <c r="C741" s="114"/>
      <c r="D741" s="114"/>
      <c r="E741" s="114"/>
      <c r="F741" s="114"/>
      <c r="G741" s="114"/>
    </row>
    <row r="742">
      <c r="A742" s="114"/>
      <c r="B742" s="114"/>
      <c r="C742" s="114"/>
      <c r="D742" s="114"/>
      <c r="E742" s="114"/>
      <c r="F742" s="114"/>
      <c r="G742" s="114"/>
    </row>
    <row r="743">
      <c r="A743" s="114"/>
      <c r="B743" s="114"/>
      <c r="C743" s="114"/>
      <c r="D743" s="114"/>
      <c r="E743" s="114"/>
      <c r="F743" s="114"/>
      <c r="G743" s="114"/>
    </row>
    <row r="744">
      <c r="A744" s="114"/>
      <c r="B744" s="114"/>
      <c r="C744" s="114"/>
      <c r="D744" s="114"/>
      <c r="E744" s="114"/>
      <c r="F744" s="114"/>
      <c r="G744" s="114"/>
    </row>
    <row r="745">
      <c r="A745" s="114"/>
      <c r="B745" s="114"/>
      <c r="C745" s="114"/>
      <c r="D745" s="114"/>
      <c r="E745" s="114"/>
      <c r="F745" s="114"/>
      <c r="G745" s="114"/>
    </row>
    <row r="746">
      <c r="A746" s="114"/>
      <c r="B746" s="114"/>
      <c r="C746" s="114"/>
      <c r="D746" s="114"/>
      <c r="E746" s="114"/>
      <c r="F746" s="114"/>
      <c r="G746" s="114"/>
    </row>
    <row r="747">
      <c r="A747" s="114"/>
      <c r="B747" s="114"/>
      <c r="C747" s="114"/>
      <c r="D747" s="114"/>
      <c r="E747" s="114"/>
      <c r="F747" s="114"/>
      <c r="G747" s="114"/>
    </row>
    <row r="748">
      <c r="A748" s="114"/>
      <c r="B748" s="114"/>
      <c r="C748" s="114"/>
      <c r="D748" s="114"/>
      <c r="E748" s="114"/>
      <c r="F748" s="114"/>
      <c r="G748" s="114"/>
    </row>
    <row r="749">
      <c r="A749" s="114"/>
      <c r="B749" s="114"/>
      <c r="C749" s="114"/>
      <c r="D749" s="114"/>
      <c r="E749" s="114"/>
      <c r="F749" s="114"/>
      <c r="G749" s="114"/>
    </row>
    <row r="750">
      <c r="A750" s="114"/>
      <c r="B750" s="114"/>
      <c r="C750" s="114"/>
      <c r="D750" s="114"/>
      <c r="E750" s="114"/>
      <c r="F750" s="114"/>
      <c r="G750" s="114"/>
    </row>
    <row r="751">
      <c r="A751" s="114"/>
      <c r="B751" s="114"/>
      <c r="C751" s="114"/>
      <c r="D751" s="114"/>
      <c r="E751" s="114"/>
      <c r="F751" s="114"/>
      <c r="G751" s="114"/>
    </row>
    <row r="752">
      <c r="A752" s="114"/>
      <c r="B752" s="114"/>
      <c r="C752" s="114"/>
      <c r="D752" s="114"/>
      <c r="E752" s="114"/>
      <c r="F752" s="114"/>
      <c r="G752" s="114"/>
    </row>
    <row r="753">
      <c r="A753" s="114"/>
      <c r="B753" s="114"/>
      <c r="C753" s="114"/>
      <c r="D753" s="114"/>
      <c r="E753" s="114"/>
      <c r="F753" s="114"/>
      <c r="G753" s="114"/>
    </row>
    <row r="754">
      <c r="A754" s="114"/>
      <c r="B754" s="114"/>
      <c r="C754" s="114"/>
      <c r="D754" s="114"/>
      <c r="E754" s="114"/>
      <c r="F754" s="114"/>
      <c r="G754" s="114"/>
    </row>
    <row r="755">
      <c r="A755" s="114"/>
      <c r="B755" s="114"/>
      <c r="C755" s="114"/>
      <c r="D755" s="114"/>
      <c r="E755" s="114"/>
      <c r="F755" s="114"/>
      <c r="G755" s="114"/>
    </row>
    <row r="756">
      <c r="A756" s="114"/>
      <c r="B756" s="114"/>
      <c r="C756" s="114"/>
      <c r="D756" s="114"/>
      <c r="E756" s="114"/>
      <c r="F756" s="114"/>
      <c r="G756" s="114"/>
    </row>
    <row r="757">
      <c r="A757" s="114"/>
      <c r="B757" s="114"/>
      <c r="C757" s="114"/>
      <c r="D757" s="114"/>
      <c r="E757" s="114"/>
      <c r="F757" s="114"/>
      <c r="G757" s="114"/>
    </row>
    <row r="758">
      <c r="A758" s="114"/>
      <c r="B758" s="114"/>
      <c r="C758" s="114"/>
      <c r="D758" s="114"/>
      <c r="E758" s="114"/>
      <c r="F758" s="114"/>
      <c r="G758" s="114"/>
    </row>
    <row r="759">
      <c r="A759" s="114"/>
      <c r="B759" s="114"/>
      <c r="C759" s="114"/>
      <c r="D759" s="114"/>
      <c r="E759" s="114"/>
      <c r="F759" s="114"/>
      <c r="G759" s="114"/>
    </row>
    <row r="760">
      <c r="A760" s="114"/>
      <c r="B760" s="114"/>
      <c r="C760" s="114"/>
      <c r="D760" s="114"/>
      <c r="E760" s="114"/>
      <c r="F760" s="114"/>
      <c r="G760" s="114"/>
    </row>
    <row r="761">
      <c r="A761" s="114"/>
      <c r="B761" s="114"/>
      <c r="C761" s="114"/>
      <c r="D761" s="114"/>
      <c r="E761" s="114"/>
      <c r="F761" s="114"/>
      <c r="G761" s="114"/>
    </row>
    <row r="762">
      <c r="A762" s="114"/>
      <c r="B762" s="114"/>
      <c r="C762" s="114"/>
      <c r="D762" s="114"/>
      <c r="E762" s="114"/>
      <c r="F762" s="114"/>
      <c r="G762" s="114"/>
    </row>
    <row r="763">
      <c r="A763" s="114"/>
      <c r="B763" s="114"/>
      <c r="C763" s="114"/>
      <c r="D763" s="114"/>
      <c r="E763" s="114"/>
      <c r="F763" s="114"/>
      <c r="G763" s="114"/>
    </row>
    <row r="764">
      <c r="A764" s="114"/>
      <c r="B764" s="114"/>
      <c r="C764" s="114"/>
      <c r="D764" s="114"/>
      <c r="E764" s="114"/>
      <c r="F764" s="114"/>
      <c r="G764" s="114"/>
    </row>
    <row r="765">
      <c r="A765" s="114"/>
      <c r="B765" s="114"/>
      <c r="C765" s="114"/>
      <c r="D765" s="114"/>
      <c r="E765" s="114"/>
      <c r="F765" s="114"/>
      <c r="G765" s="114"/>
    </row>
    <row r="766">
      <c r="A766" s="114"/>
      <c r="B766" s="114"/>
      <c r="C766" s="114"/>
      <c r="D766" s="114"/>
      <c r="E766" s="114"/>
      <c r="F766" s="114"/>
      <c r="G766" s="114"/>
    </row>
    <row r="767">
      <c r="A767" s="114"/>
      <c r="B767" s="114"/>
      <c r="C767" s="114"/>
      <c r="D767" s="114"/>
      <c r="E767" s="114"/>
      <c r="F767" s="114"/>
      <c r="G767" s="114"/>
    </row>
    <row r="768">
      <c r="A768" s="114"/>
      <c r="B768" s="114"/>
      <c r="C768" s="114"/>
      <c r="D768" s="114"/>
      <c r="E768" s="114"/>
      <c r="F768" s="114"/>
      <c r="G768" s="114"/>
    </row>
    <row r="769">
      <c r="A769" s="114"/>
      <c r="B769" s="114"/>
      <c r="C769" s="114"/>
      <c r="D769" s="114"/>
      <c r="E769" s="114"/>
      <c r="F769" s="114"/>
      <c r="G769" s="114"/>
    </row>
    <row r="770">
      <c r="A770" s="114"/>
      <c r="B770" s="114"/>
      <c r="C770" s="114"/>
      <c r="D770" s="114"/>
      <c r="E770" s="114"/>
      <c r="F770" s="114"/>
      <c r="G770" s="114"/>
    </row>
    <row r="771">
      <c r="A771" s="114"/>
      <c r="B771" s="114"/>
      <c r="C771" s="114"/>
      <c r="D771" s="114"/>
      <c r="E771" s="114"/>
      <c r="F771" s="114"/>
      <c r="G771" s="114"/>
    </row>
    <row r="772">
      <c r="A772" s="114"/>
      <c r="B772" s="114"/>
      <c r="C772" s="114"/>
      <c r="D772" s="114"/>
      <c r="E772" s="114"/>
      <c r="F772" s="114"/>
      <c r="G772" s="114"/>
    </row>
    <row r="773">
      <c r="A773" s="114"/>
      <c r="B773" s="114"/>
      <c r="C773" s="114"/>
      <c r="D773" s="114"/>
      <c r="E773" s="114"/>
      <c r="F773" s="114"/>
      <c r="G773" s="114"/>
    </row>
    <row r="774">
      <c r="A774" s="114"/>
      <c r="B774" s="114"/>
      <c r="C774" s="114"/>
      <c r="D774" s="114"/>
      <c r="E774" s="114"/>
      <c r="F774" s="114"/>
      <c r="G774" s="114"/>
    </row>
    <row r="775">
      <c r="A775" s="114"/>
      <c r="B775" s="114"/>
      <c r="C775" s="114"/>
      <c r="D775" s="114"/>
      <c r="E775" s="114"/>
      <c r="F775" s="114"/>
      <c r="G775" s="114"/>
    </row>
    <row r="776">
      <c r="A776" s="114"/>
      <c r="B776" s="114"/>
      <c r="C776" s="114"/>
      <c r="D776" s="114"/>
      <c r="E776" s="114"/>
      <c r="F776" s="114"/>
      <c r="G776" s="114"/>
    </row>
    <row r="777">
      <c r="A777" s="114"/>
      <c r="B777" s="114"/>
      <c r="C777" s="114"/>
      <c r="D777" s="114"/>
      <c r="E777" s="114"/>
      <c r="F777" s="114"/>
      <c r="G777" s="114"/>
    </row>
    <row r="778">
      <c r="A778" s="114"/>
      <c r="B778" s="114"/>
      <c r="C778" s="114"/>
      <c r="D778" s="114"/>
      <c r="E778" s="114"/>
      <c r="F778" s="114"/>
      <c r="G778" s="114"/>
    </row>
    <row r="779">
      <c r="A779" s="114"/>
      <c r="B779" s="114"/>
      <c r="C779" s="114"/>
      <c r="D779" s="114"/>
      <c r="E779" s="114"/>
      <c r="F779" s="114"/>
      <c r="G779" s="114"/>
    </row>
    <row r="780">
      <c r="A780" s="114"/>
      <c r="B780" s="114"/>
      <c r="C780" s="114"/>
      <c r="D780" s="114"/>
      <c r="E780" s="114"/>
      <c r="F780" s="114"/>
      <c r="G780" s="114"/>
    </row>
    <row r="781">
      <c r="A781" s="114"/>
      <c r="B781" s="114"/>
      <c r="C781" s="114"/>
      <c r="D781" s="114"/>
      <c r="E781" s="114"/>
      <c r="F781" s="114"/>
      <c r="G781" s="114"/>
    </row>
    <row r="782">
      <c r="A782" s="114"/>
      <c r="B782" s="114"/>
      <c r="C782" s="114"/>
      <c r="D782" s="114"/>
      <c r="E782" s="114"/>
      <c r="F782" s="114"/>
      <c r="G782" s="114"/>
    </row>
    <row r="783">
      <c r="A783" s="114"/>
      <c r="B783" s="114"/>
      <c r="C783" s="114"/>
      <c r="D783" s="114"/>
      <c r="E783" s="114"/>
      <c r="F783" s="114"/>
      <c r="G783" s="114"/>
    </row>
    <row r="784">
      <c r="A784" s="114"/>
      <c r="B784" s="114"/>
      <c r="C784" s="114"/>
      <c r="D784" s="114"/>
      <c r="E784" s="114"/>
      <c r="F784" s="114"/>
      <c r="G784" s="114"/>
    </row>
    <row r="785">
      <c r="A785" s="114"/>
      <c r="B785" s="114"/>
      <c r="C785" s="114"/>
      <c r="D785" s="114"/>
      <c r="E785" s="114"/>
      <c r="F785" s="114"/>
      <c r="G785" s="114"/>
    </row>
    <row r="786">
      <c r="A786" s="114"/>
      <c r="B786" s="114"/>
      <c r="C786" s="114"/>
      <c r="D786" s="114"/>
      <c r="E786" s="114"/>
      <c r="F786" s="114"/>
      <c r="G786" s="114"/>
    </row>
    <row r="787">
      <c r="A787" s="114"/>
      <c r="B787" s="114"/>
      <c r="C787" s="114"/>
      <c r="D787" s="114"/>
      <c r="E787" s="114"/>
      <c r="F787" s="114"/>
      <c r="G787" s="114"/>
    </row>
    <row r="788">
      <c r="A788" s="114"/>
      <c r="B788" s="114"/>
      <c r="C788" s="114"/>
      <c r="D788" s="114"/>
      <c r="E788" s="114"/>
      <c r="F788" s="114"/>
      <c r="G788" s="114"/>
    </row>
    <row r="789">
      <c r="A789" s="114"/>
      <c r="B789" s="114"/>
      <c r="C789" s="114"/>
      <c r="D789" s="114"/>
      <c r="E789" s="114"/>
      <c r="F789" s="114"/>
      <c r="G789" s="114"/>
    </row>
    <row r="790">
      <c r="A790" s="114"/>
      <c r="B790" s="114"/>
      <c r="C790" s="114"/>
      <c r="D790" s="114"/>
      <c r="E790" s="114"/>
      <c r="F790" s="114"/>
      <c r="G790" s="114"/>
    </row>
    <row r="791">
      <c r="A791" s="114"/>
      <c r="B791" s="114"/>
      <c r="C791" s="114"/>
      <c r="D791" s="114"/>
      <c r="E791" s="114"/>
      <c r="F791" s="114"/>
      <c r="G791" s="114"/>
    </row>
    <row r="792">
      <c r="A792" s="114"/>
      <c r="B792" s="114"/>
      <c r="C792" s="114"/>
      <c r="D792" s="114"/>
      <c r="E792" s="114"/>
      <c r="F792" s="114"/>
      <c r="G792" s="114"/>
    </row>
    <row r="793">
      <c r="A793" s="114"/>
      <c r="B793" s="114"/>
      <c r="C793" s="114"/>
      <c r="D793" s="114"/>
      <c r="E793" s="114"/>
      <c r="F793" s="114"/>
      <c r="G793" s="114"/>
    </row>
    <row r="794">
      <c r="A794" s="114"/>
      <c r="B794" s="114"/>
      <c r="C794" s="114"/>
      <c r="D794" s="114"/>
      <c r="E794" s="114"/>
      <c r="F794" s="114"/>
      <c r="G794" s="114"/>
    </row>
    <row r="795">
      <c r="A795" s="114"/>
      <c r="B795" s="114"/>
      <c r="C795" s="114"/>
      <c r="D795" s="114"/>
      <c r="E795" s="114"/>
      <c r="F795" s="114"/>
      <c r="G795" s="114"/>
    </row>
    <row r="796">
      <c r="A796" s="114"/>
      <c r="B796" s="114"/>
      <c r="C796" s="114"/>
      <c r="D796" s="114"/>
      <c r="E796" s="114"/>
      <c r="F796" s="114"/>
      <c r="G796" s="114"/>
    </row>
    <row r="797">
      <c r="A797" s="114"/>
      <c r="B797" s="114"/>
      <c r="C797" s="114"/>
      <c r="D797" s="114"/>
      <c r="E797" s="114"/>
      <c r="F797" s="114"/>
      <c r="G797" s="114"/>
    </row>
    <row r="798">
      <c r="A798" s="114"/>
      <c r="B798" s="114"/>
      <c r="C798" s="114"/>
      <c r="D798" s="114"/>
      <c r="E798" s="114"/>
      <c r="F798" s="114"/>
      <c r="G798" s="114"/>
    </row>
    <row r="799">
      <c r="A799" s="114"/>
      <c r="B799" s="114"/>
      <c r="C799" s="114"/>
      <c r="D799" s="114"/>
      <c r="E799" s="114"/>
      <c r="F799" s="114"/>
      <c r="G799" s="114"/>
    </row>
    <row r="800">
      <c r="A800" s="114"/>
      <c r="B800" s="114"/>
      <c r="C800" s="114"/>
      <c r="D800" s="114"/>
      <c r="E800" s="114"/>
      <c r="F800" s="114"/>
      <c r="G800" s="114"/>
    </row>
    <row r="801">
      <c r="A801" s="114"/>
      <c r="B801" s="114"/>
      <c r="C801" s="114"/>
      <c r="D801" s="114"/>
      <c r="E801" s="114"/>
      <c r="F801" s="114"/>
      <c r="G801" s="114"/>
    </row>
    <row r="802">
      <c r="A802" s="114"/>
      <c r="B802" s="114"/>
      <c r="C802" s="114"/>
      <c r="D802" s="114"/>
      <c r="E802" s="114"/>
      <c r="F802" s="114"/>
      <c r="G802" s="114"/>
    </row>
    <row r="803">
      <c r="A803" s="114"/>
      <c r="B803" s="114"/>
      <c r="C803" s="114"/>
      <c r="D803" s="114"/>
      <c r="E803" s="114"/>
      <c r="F803" s="114"/>
      <c r="G803" s="114"/>
    </row>
    <row r="804">
      <c r="A804" s="114"/>
      <c r="B804" s="114"/>
      <c r="C804" s="114"/>
      <c r="D804" s="114"/>
      <c r="E804" s="114"/>
      <c r="F804" s="114"/>
      <c r="G804" s="114"/>
    </row>
    <row r="805">
      <c r="A805" s="114"/>
      <c r="B805" s="114"/>
      <c r="C805" s="114"/>
      <c r="D805" s="114"/>
      <c r="E805" s="114"/>
      <c r="F805" s="114"/>
      <c r="G805" s="114"/>
    </row>
    <row r="806">
      <c r="A806" s="114"/>
      <c r="B806" s="114"/>
      <c r="C806" s="114"/>
      <c r="D806" s="114"/>
      <c r="E806" s="114"/>
      <c r="F806" s="114"/>
      <c r="G806" s="114"/>
    </row>
    <row r="807">
      <c r="A807" s="114"/>
      <c r="B807" s="114"/>
      <c r="C807" s="114"/>
      <c r="D807" s="114"/>
      <c r="E807" s="114"/>
      <c r="F807" s="114"/>
      <c r="G807" s="114"/>
    </row>
    <row r="808">
      <c r="A808" s="114"/>
      <c r="B808" s="114"/>
      <c r="C808" s="114"/>
      <c r="D808" s="114"/>
      <c r="E808" s="114"/>
      <c r="F808" s="114"/>
      <c r="G808" s="114"/>
    </row>
    <row r="809">
      <c r="A809" s="114"/>
      <c r="B809" s="114"/>
      <c r="C809" s="114"/>
      <c r="D809" s="114"/>
      <c r="E809" s="114"/>
      <c r="F809" s="114"/>
      <c r="G809" s="114"/>
    </row>
    <row r="810">
      <c r="A810" s="114"/>
      <c r="B810" s="114"/>
      <c r="C810" s="114"/>
      <c r="D810" s="114"/>
      <c r="E810" s="114"/>
      <c r="F810" s="114"/>
      <c r="G810" s="114"/>
    </row>
    <row r="811">
      <c r="A811" s="114"/>
      <c r="B811" s="114"/>
      <c r="C811" s="114"/>
      <c r="D811" s="114"/>
      <c r="E811" s="114"/>
      <c r="F811" s="114"/>
      <c r="G811" s="114"/>
    </row>
    <row r="812">
      <c r="A812" s="114"/>
      <c r="B812" s="114"/>
      <c r="C812" s="114"/>
      <c r="D812" s="114"/>
      <c r="E812" s="114"/>
      <c r="F812" s="114"/>
      <c r="G812" s="114"/>
    </row>
    <row r="813">
      <c r="A813" s="114"/>
      <c r="B813" s="114"/>
      <c r="C813" s="114"/>
      <c r="D813" s="114"/>
      <c r="E813" s="114"/>
      <c r="F813" s="114"/>
      <c r="G813" s="114"/>
    </row>
    <row r="814">
      <c r="A814" s="114"/>
      <c r="B814" s="114"/>
      <c r="C814" s="114"/>
      <c r="D814" s="114"/>
      <c r="E814" s="114"/>
      <c r="F814" s="114"/>
      <c r="G814" s="114"/>
    </row>
    <row r="815">
      <c r="A815" s="114"/>
      <c r="B815" s="114"/>
      <c r="C815" s="114"/>
      <c r="D815" s="114"/>
      <c r="E815" s="114"/>
      <c r="F815" s="114"/>
      <c r="G815" s="114"/>
    </row>
    <row r="816">
      <c r="A816" s="114"/>
      <c r="B816" s="114"/>
      <c r="C816" s="114"/>
      <c r="D816" s="114"/>
      <c r="E816" s="114"/>
      <c r="F816" s="114"/>
      <c r="G816" s="114"/>
    </row>
    <row r="817">
      <c r="A817" s="114"/>
      <c r="B817" s="114"/>
      <c r="C817" s="114"/>
      <c r="D817" s="114"/>
      <c r="E817" s="114"/>
      <c r="F817" s="114"/>
      <c r="G817" s="114"/>
    </row>
    <row r="818">
      <c r="A818" s="114"/>
      <c r="B818" s="114"/>
      <c r="C818" s="114"/>
      <c r="D818" s="114"/>
      <c r="E818" s="114"/>
      <c r="F818" s="114"/>
      <c r="G818" s="114"/>
    </row>
    <row r="819">
      <c r="A819" s="114"/>
      <c r="B819" s="114"/>
      <c r="C819" s="114"/>
      <c r="D819" s="114"/>
      <c r="E819" s="114"/>
      <c r="F819" s="114"/>
      <c r="G819" s="114"/>
    </row>
    <row r="820">
      <c r="A820" s="114"/>
      <c r="B820" s="114"/>
      <c r="C820" s="114"/>
      <c r="D820" s="114"/>
      <c r="E820" s="114"/>
      <c r="F820" s="114"/>
      <c r="G820" s="114"/>
    </row>
    <row r="821">
      <c r="A821" s="114"/>
      <c r="B821" s="114"/>
      <c r="C821" s="114"/>
      <c r="D821" s="114"/>
      <c r="E821" s="114"/>
      <c r="F821" s="114"/>
      <c r="G821" s="114"/>
    </row>
    <row r="822">
      <c r="A822" s="114"/>
      <c r="B822" s="114"/>
      <c r="C822" s="114"/>
      <c r="D822" s="114"/>
      <c r="E822" s="114"/>
      <c r="F822" s="114"/>
      <c r="G822" s="114"/>
    </row>
    <row r="823">
      <c r="A823" s="114"/>
      <c r="B823" s="114"/>
      <c r="C823" s="114"/>
      <c r="D823" s="114"/>
      <c r="E823" s="114"/>
      <c r="F823" s="114"/>
      <c r="G823" s="114"/>
    </row>
    <row r="824">
      <c r="A824" s="114"/>
      <c r="B824" s="114"/>
      <c r="C824" s="114"/>
      <c r="D824" s="114"/>
      <c r="E824" s="114"/>
      <c r="F824" s="114"/>
      <c r="G824" s="114"/>
    </row>
    <row r="825">
      <c r="A825" s="114"/>
      <c r="B825" s="114"/>
      <c r="C825" s="114"/>
      <c r="D825" s="114"/>
      <c r="E825" s="114"/>
      <c r="F825" s="114"/>
      <c r="G825" s="114"/>
    </row>
    <row r="826">
      <c r="A826" s="114"/>
      <c r="B826" s="114"/>
      <c r="C826" s="114"/>
      <c r="D826" s="114"/>
      <c r="E826" s="114"/>
      <c r="F826" s="114"/>
      <c r="G826" s="114"/>
    </row>
    <row r="827">
      <c r="A827" s="114"/>
      <c r="B827" s="114"/>
      <c r="C827" s="114"/>
      <c r="D827" s="114"/>
      <c r="E827" s="114"/>
      <c r="F827" s="114"/>
      <c r="G827" s="114"/>
    </row>
    <row r="828">
      <c r="A828" s="114"/>
      <c r="B828" s="114"/>
      <c r="C828" s="114"/>
      <c r="D828" s="114"/>
      <c r="E828" s="114"/>
      <c r="F828" s="114"/>
      <c r="G828" s="114"/>
    </row>
    <row r="829">
      <c r="A829" s="114"/>
      <c r="B829" s="114"/>
      <c r="C829" s="114"/>
      <c r="D829" s="114"/>
      <c r="E829" s="114"/>
      <c r="F829" s="114"/>
      <c r="G829" s="114"/>
    </row>
    <row r="830">
      <c r="A830" s="114"/>
      <c r="B830" s="114"/>
      <c r="C830" s="114"/>
      <c r="D830" s="114"/>
      <c r="E830" s="114"/>
      <c r="F830" s="114"/>
      <c r="G830" s="114"/>
    </row>
    <row r="831">
      <c r="A831" s="114"/>
      <c r="B831" s="114"/>
      <c r="C831" s="114"/>
      <c r="D831" s="114"/>
      <c r="E831" s="114"/>
      <c r="F831" s="114"/>
      <c r="G831" s="114"/>
    </row>
    <row r="832">
      <c r="A832" s="114"/>
      <c r="B832" s="114"/>
      <c r="C832" s="114"/>
      <c r="D832" s="114"/>
      <c r="E832" s="114"/>
      <c r="F832" s="114"/>
      <c r="G832" s="114"/>
    </row>
    <row r="833">
      <c r="A833" s="114"/>
      <c r="B833" s="114"/>
      <c r="C833" s="114"/>
      <c r="D833" s="114"/>
      <c r="E833" s="114"/>
      <c r="F833" s="114"/>
      <c r="G833" s="114"/>
    </row>
    <row r="834">
      <c r="A834" s="114"/>
      <c r="B834" s="114"/>
      <c r="C834" s="114"/>
      <c r="D834" s="114"/>
      <c r="E834" s="114"/>
      <c r="F834" s="114"/>
      <c r="G834" s="114"/>
    </row>
    <row r="835">
      <c r="A835" s="114"/>
      <c r="B835" s="114"/>
      <c r="C835" s="114"/>
      <c r="D835" s="114"/>
      <c r="E835" s="114"/>
      <c r="F835" s="114"/>
      <c r="G835" s="114"/>
    </row>
    <row r="836">
      <c r="A836" s="114"/>
      <c r="B836" s="114"/>
      <c r="C836" s="114"/>
      <c r="D836" s="114"/>
      <c r="E836" s="114"/>
      <c r="F836" s="114"/>
      <c r="G836" s="114"/>
    </row>
    <row r="837">
      <c r="A837" s="114"/>
      <c r="B837" s="114"/>
      <c r="C837" s="114"/>
      <c r="D837" s="114"/>
      <c r="E837" s="114"/>
      <c r="F837" s="114"/>
      <c r="G837" s="114"/>
    </row>
    <row r="838">
      <c r="A838" s="114"/>
      <c r="B838" s="114"/>
      <c r="C838" s="114"/>
      <c r="D838" s="114"/>
      <c r="E838" s="114"/>
      <c r="F838" s="114"/>
      <c r="G838" s="114"/>
    </row>
    <row r="839">
      <c r="A839" s="114"/>
      <c r="B839" s="114"/>
      <c r="C839" s="114"/>
      <c r="D839" s="114"/>
      <c r="E839" s="114"/>
      <c r="F839" s="114"/>
      <c r="G839" s="114"/>
    </row>
    <row r="840">
      <c r="A840" s="114"/>
      <c r="B840" s="114"/>
      <c r="C840" s="114"/>
      <c r="D840" s="114"/>
      <c r="E840" s="114"/>
      <c r="F840" s="114"/>
      <c r="G840" s="114"/>
    </row>
    <row r="841">
      <c r="A841" s="114"/>
      <c r="B841" s="114"/>
      <c r="C841" s="114"/>
      <c r="D841" s="114"/>
      <c r="E841" s="114"/>
      <c r="F841" s="114"/>
      <c r="G841" s="114"/>
    </row>
    <row r="842">
      <c r="A842" s="114"/>
      <c r="B842" s="114"/>
      <c r="C842" s="114"/>
      <c r="D842" s="114"/>
      <c r="E842" s="114"/>
      <c r="F842" s="114"/>
      <c r="G842" s="114"/>
    </row>
    <row r="843">
      <c r="A843" s="114"/>
      <c r="B843" s="114"/>
      <c r="C843" s="114"/>
      <c r="D843" s="114"/>
      <c r="E843" s="114"/>
      <c r="F843" s="114"/>
      <c r="G843" s="114"/>
    </row>
    <row r="844">
      <c r="A844" s="114"/>
      <c r="B844" s="114"/>
      <c r="C844" s="114"/>
      <c r="D844" s="114"/>
      <c r="E844" s="114"/>
      <c r="F844" s="114"/>
      <c r="G844" s="114"/>
    </row>
    <row r="845">
      <c r="A845" s="114"/>
      <c r="B845" s="114"/>
      <c r="C845" s="114"/>
      <c r="D845" s="114"/>
      <c r="E845" s="114"/>
      <c r="F845" s="114"/>
      <c r="G845" s="114"/>
    </row>
    <row r="846">
      <c r="A846" s="114"/>
      <c r="B846" s="114"/>
      <c r="C846" s="114"/>
      <c r="D846" s="114"/>
      <c r="E846" s="114"/>
      <c r="F846" s="114"/>
      <c r="G846" s="114"/>
    </row>
    <row r="847">
      <c r="A847" s="114"/>
      <c r="B847" s="114"/>
      <c r="C847" s="114"/>
      <c r="D847" s="114"/>
      <c r="E847" s="114"/>
      <c r="F847" s="114"/>
      <c r="G847" s="114"/>
    </row>
    <row r="848">
      <c r="A848" s="114"/>
      <c r="B848" s="114"/>
      <c r="C848" s="114"/>
      <c r="D848" s="114"/>
      <c r="E848" s="114"/>
      <c r="F848" s="114"/>
      <c r="G848" s="114"/>
    </row>
    <row r="849">
      <c r="A849" s="114"/>
      <c r="B849" s="114"/>
      <c r="C849" s="114"/>
      <c r="D849" s="114"/>
      <c r="E849" s="114"/>
      <c r="F849" s="114"/>
      <c r="G849" s="114"/>
    </row>
    <row r="850">
      <c r="A850" s="114"/>
      <c r="B850" s="114"/>
      <c r="C850" s="114"/>
      <c r="D850" s="114"/>
      <c r="E850" s="114"/>
      <c r="F850" s="114"/>
      <c r="G850" s="114"/>
    </row>
    <row r="851">
      <c r="A851" s="114"/>
      <c r="B851" s="114"/>
      <c r="C851" s="114"/>
      <c r="D851" s="114"/>
      <c r="E851" s="114"/>
      <c r="F851" s="114"/>
      <c r="G851" s="114"/>
    </row>
    <row r="852">
      <c r="A852" s="114"/>
      <c r="B852" s="114"/>
      <c r="C852" s="114"/>
      <c r="D852" s="114"/>
      <c r="E852" s="114"/>
      <c r="F852" s="114"/>
      <c r="G852" s="114"/>
    </row>
    <row r="853">
      <c r="A853" s="114"/>
      <c r="B853" s="114"/>
      <c r="C853" s="114"/>
      <c r="D853" s="114"/>
      <c r="E853" s="114"/>
      <c r="F853" s="114"/>
      <c r="G853" s="114"/>
    </row>
    <row r="854">
      <c r="A854" s="114"/>
      <c r="B854" s="114"/>
      <c r="C854" s="114"/>
      <c r="D854" s="114"/>
      <c r="E854" s="114"/>
      <c r="F854" s="114"/>
      <c r="G854" s="114"/>
    </row>
    <row r="855">
      <c r="A855" s="114"/>
      <c r="B855" s="114"/>
      <c r="C855" s="114"/>
      <c r="D855" s="114"/>
      <c r="E855" s="114"/>
      <c r="F855" s="114"/>
      <c r="G855" s="114"/>
    </row>
    <row r="856">
      <c r="A856" s="114"/>
      <c r="B856" s="114"/>
      <c r="C856" s="114"/>
      <c r="D856" s="114"/>
      <c r="E856" s="114"/>
      <c r="F856" s="114"/>
      <c r="G856" s="114"/>
    </row>
    <row r="857">
      <c r="A857" s="114"/>
      <c r="B857" s="114"/>
      <c r="C857" s="114"/>
      <c r="D857" s="114"/>
      <c r="E857" s="114"/>
      <c r="F857" s="114"/>
      <c r="G857" s="114"/>
    </row>
    <row r="858">
      <c r="A858" s="114"/>
      <c r="B858" s="114"/>
      <c r="C858" s="114"/>
      <c r="D858" s="114"/>
      <c r="E858" s="114"/>
      <c r="F858" s="114"/>
      <c r="G858" s="114"/>
    </row>
    <row r="859">
      <c r="A859" s="114"/>
      <c r="B859" s="114"/>
      <c r="C859" s="114"/>
      <c r="D859" s="114"/>
      <c r="E859" s="114"/>
      <c r="F859" s="114"/>
      <c r="G859" s="114"/>
    </row>
    <row r="860">
      <c r="A860" s="114"/>
      <c r="B860" s="114"/>
      <c r="C860" s="114"/>
      <c r="D860" s="114"/>
      <c r="E860" s="114"/>
      <c r="F860" s="114"/>
      <c r="G860" s="114"/>
    </row>
    <row r="861">
      <c r="A861" s="114"/>
      <c r="B861" s="114"/>
      <c r="C861" s="114"/>
      <c r="D861" s="114"/>
      <c r="E861" s="114"/>
      <c r="F861" s="114"/>
      <c r="G861" s="114"/>
    </row>
    <row r="862">
      <c r="A862" s="114"/>
      <c r="B862" s="114"/>
      <c r="C862" s="114"/>
      <c r="D862" s="114"/>
      <c r="E862" s="114"/>
      <c r="F862" s="114"/>
      <c r="G862" s="114"/>
    </row>
    <row r="863">
      <c r="A863" s="114"/>
      <c r="B863" s="114"/>
      <c r="C863" s="114"/>
      <c r="D863" s="114"/>
      <c r="E863" s="114"/>
      <c r="F863" s="114"/>
      <c r="G863" s="114"/>
    </row>
    <row r="864">
      <c r="A864" s="114"/>
      <c r="B864" s="114"/>
      <c r="C864" s="114"/>
      <c r="D864" s="114"/>
      <c r="E864" s="114"/>
      <c r="F864" s="114"/>
      <c r="G864" s="114"/>
    </row>
    <row r="865">
      <c r="A865" s="114"/>
      <c r="B865" s="114"/>
      <c r="C865" s="114"/>
      <c r="D865" s="114"/>
      <c r="E865" s="114"/>
      <c r="F865" s="114"/>
      <c r="G865" s="114"/>
    </row>
    <row r="866">
      <c r="A866" s="114"/>
      <c r="B866" s="114"/>
      <c r="C866" s="114"/>
      <c r="D866" s="114"/>
      <c r="E866" s="114"/>
      <c r="F866" s="114"/>
      <c r="G866" s="114"/>
    </row>
    <row r="867">
      <c r="A867" s="114"/>
      <c r="B867" s="114"/>
      <c r="C867" s="114"/>
      <c r="D867" s="114"/>
      <c r="E867" s="114"/>
      <c r="F867" s="114"/>
      <c r="G867" s="114"/>
    </row>
    <row r="868">
      <c r="A868" s="114"/>
      <c r="B868" s="114"/>
      <c r="C868" s="114"/>
      <c r="D868" s="114"/>
      <c r="E868" s="114"/>
      <c r="F868" s="114"/>
      <c r="G868" s="114"/>
    </row>
    <row r="869">
      <c r="A869" s="114"/>
      <c r="B869" s="114"/>
      <c r="C869" s="114"/>
      <c r="D869" s="114"/>
      <c r="E869" s="114"/>
      <c r="F869" s="114"/>
      <c r="G869" s="114"/>
    </row>
    <row r="870">
      <c r="A870" s="114"/>
      <c r="B870" s="114"/>
      <c r="C870" s="114"/>
      <c r="D870" s="114"/>
      <c r="E870" s="114"/>
      <c r="F870" s="114"/>
      <c r="G870" s="114"/>
    </row>
    <row r="871">
      <c r="A871" s="114"/>
      <c r="B871" s="114"/>
      <c r="C871" s="114"/>
      <c r="D871" s="114"/>
      <c r="E871" s="114"/>
      <c r="F871" s="114"/>
      <c r="G871" s="114"/>
    </row>
    <row r="872">
      <c r="A872" s="114"/>
      <c r="B872" s="114"/>
      <c r="C872" s="114"/>
      <c r="D872" s="114"/>
      <c r="E872" s="114"/>
      <c r="F872" s="114"/>
      <c r="G872" s="114"/>
    </row>
    <row r="873">
      <c r="A873" s="114"/>
      <c r="B873" s="114"/>
      <c r="C873" s="114"/>
      <c r="D873" s="114"/>
      <c r="E873" s="114"/>
      <c r="F873" s="114"/>
      <c r="G873" s="114"/>
    </row>
    <row r="874">
      <c r="A874" s="114"/>
      <c r="B874" s="114"/>
      <c r="C874" s="114"/>
      <c r="D874" s="114"/>
      <c r="E874" s="114"/>
      <c r="F874" s="114"/>
      <c r="G874" s="114"/>
    </row>
    <row r="875">
      <c r="A875" s="114"/>
      <c r="B875" s="114"/>
      <c r="C875" s="114"/>
      <c r="D875" s="114"/>
      <c r="E875" s="114"/>
      <c r="F875" s="114"/>
      <c r="G875" s="114"/>
    </row>
    <row r="876">
      <c r="A876" s="114"/>
      <c r="B876" s="114"/>
      <c r="C876" s="114"/>
      <c r="D876" s="114"/>
      <c r="E876" s="114"/>
      <c r="F876" s="114"/>
      <c r="G876" s="114"/>
    </row>
    <row r="877">
      <c r="A877" s="114"/>
      <c r="B877" s="114"/>
      <c r="C877" s="114"/>
      <c r="D877" s="114"/>
      <c r="E877" s="114"/>
      <c r="F877" s="114"/>
      <c r="G877" s="114"/>
    </row>
    <row r="878">
      <c r="A878" s="114"/>
      <c r="B878" s="114"/>
      <c r="C878" s="114"/>
      <c r="D878" s="114"/>
      <c r="E878" s="114"/>
      <c r="F878" s="114"/>
      <c r="G878" s="114"/>
    </row>
    <row r="879">
      <c r="A879" s="114"/>
      <c r="B879" s="114"/>
      <c r="C879" s="114"/>
      <c r="D879" s="114"/>
      <c r="E879" s="114"/>
      <c r="F879" s="114"/>
      <c r="G879" s="114"/>
    </row>
    <row r="880">
      <c r="A880" s="114"/>
      <c r="B880" s="114"/>
      <c r="C880" s="114"/>
      <c r="D880" s="114"/>
      <c r="E880" s="114"/>
      <c r="F880" s="114"/>
      <c r="G880" s="114"/>
    </row>
    <row r="881">
      <c r="A881" s="114"/>
      <c r="B881" s="114"/>
      <c r="C881" s="114"/>
      <c r="D881" s="114"/>
      <c r="E881" s="114"/>
      <c r="F881" s="114"/>
      <c r="G881" s="114"/>
    </row>
    <row r="882">
      <c r="A882" s="114"/>
      <c r="B882" s="114"/>
      <c r="C882" s="114"/>
      <c r="D882" s="114"/>
      <c r="E882" s="114"/>
      <c r="F882" s="114"/>
      <c r="G882" s="114"/>
    </row>
    <row r="883">
      <c r="A883" s="114"/>
      <c r="B883" s="114"/>
      <c r="C883" s="114"/>
      <c r="D883" s="114"/>
      <c r="E883" s="114"/>
      <c r="F883" s="114"/>
      <c r="G883" s="114"/>
    </row>
    <row r="884">
      <c r="A884" s="114"/>
      <c r="B884" s="114"/>
      <c r="C884" s="114"/>
      <c r="D884" s="114"/>
      <c r="E884" s="114"/>
      <c r="F884" s="114"/>
      <c r="G884" s="114"/>
    </row>
    <row r="885">
      <c r="A885" s="114"/>
      <c r="B885" s="114"/>
      <c r="C885" s="114"/>
      <c r="D885" s="114"/>
      <c r="E885" s="114"/>
      <c r="F885" s="114"/>
      <c r="G885" s="114"/>
    </row>
    <row r="886">
      <c r="A886" s="114"/>
      <c r="B886" s="114"/>
      <c r="C886" s="114"/>
      <c r="D886" s="114"/>
      <c r="E886" s="114"/>
      <c r="F886" s="114"/>
      <c r="G886" s="114"/>
    </row>
    <row r="887">
      <c r="A887" s="114"/>
      <c r="B887" s="114"/>
      <c r="C887" s="114"/>
      <c r="D887" s="114"/>
      <c r="E887" s="114"/>
      <c r="F887" s="114"/>
      <c r="G887" s="114"/>
    </row>
    <row r="888">
      <c r="A888" s="114"/>
      <c r="B888" s="114"/>
      <c r="C888" s="114"/>
      <c r="D888" s="114"/>
      <c r="E888" s="114"/>
      <c r="F888" s="114"/>
      <c r="G888" s="114"/>
    </row>
    <row r="889">
      <c r="A889" s="114"/>
      <c r="B889" s="114"/>
      <c r="C889" s="114"/>
      <c r="D889" s="114"/>
      <c r="E889" s="114"/>
      <c r="F889" s="114"/>
      <c r="G889" s="114"/>
    </row>
    <row r="890">
      <c r="A890" s="114"/>
      <c r="B890" s="114"/>
      <c r="C890" s="114"/>
      <c r="D890" s="114"/>
      <c r="E890" s="114"/>
      <c r="F890" s="114"/>
      <c r="G890" s="114"/>
    </row>
    <row r="891">
      <c r="A891" s="114"/>
      <c r="B891" s="114"/>
      <c r="C891" s="114"/>
      <c r="D891" s="114"/>
      <c r="E891" s="114"/>
      <c r="F891" s="114"/>
      <c r="G891" s="114"/>
    </row>
    <row r="892">
      <c r="A892" s="114"/>
      <c r="B892" s="114"/>
      <c r="C892" s="114"/>
      <c r="D892" s="114"/>
      <c r="E892" s="114"/>
      <c r="F892" s="114"/>
      <c r="G892" s="114"/>
    </row>
    <row r="893">
      <c r="A893" s="114"/>
      <c r="B893" s="114"/>
      <c r="C893" s="114"/>
      <c r="D893" s="114"/>
      <c r="E893" s="114"/>
      <c r="F893" s="114"/>
      <c r="G893" s="114"/>
    </row>
    <row r="894">
      <c r="A894" s="114"/>
      <c r="B894" s="114"/>
      <c r="C894" s="114"/>
      <c r="D894" s="114"/>
      <c r="E894" s="114"/>
      <c r="F894" s="114"/>
      <c r="G894" s="114"/>
    </row>
    <row r="895">
      <c r="A895" s="114"/>
      <c r="B895" s="114"/>
      <c r="C895" s="114"/>
      <c r="D895" s="114"/>
      <c r="E895" s="114"/>
      <c r="F895" s="114"/>
      <c r="G895" s="114"/>
    </row>
    <row r="896">
      <c r="A896" s="114"/>
      <c r="B896" s="114"/>
      <c r="C896" s="114"/>
      <c r="D896" s="114"/>
      <c r="E896" s="114"/>
      <c r="F896" s="114"/>
      <c r="G896" s="114"/>
    </row>
    <row r="897">
      <c r="A897" s="114"/>
      <c r="B897" s="114"/>
      <c r="C897" s="114"/>
      <c r="D897" s="114"/>
      <c r="E897" s="114"/>
      <c r="F897" s="114"/>
      <c r="G897" s="114"/>
    </row>
    <row r="898">
      <c r="A898" s="114"/>
      <c r="B898" s="114"/>
      <c r="C898" s="114"/>
      <c r="D898" s="114"/>
      <c r="E898" s="114"/>
      <c r="F898" s="114"/>
      <c r="G898" s="114"/>
    </row>
    <row r="899">
      <c r="A899" s="114"/>
      <c r="B899" s="114"/>
      <c r="C899" s="114"/>
      <c r="D899" s="114"/>
      <c r="E899" s="114"/>
      <c r="F899" s="114"/>
      <c r="G899" s="114"/>
    </row>
    <row r="900">
      <c r="A900" s="114"/>
      <c r="B900" s="114"/>
      <c r="C900" s="114"/>
      <c r="D900" s="114"/>
      <c r="E900" s="114"/>
      <c r="F900" s="114"/>
      <c r="G900" s="114"/>
    </row>
    <row r="901">
      <c r="A901" s="114"/>
      <c r="B901" s="114"/>
      <c r="C901" s="114"/>
      <c r="D901" s="114"/>
      <c r="E901" s="114"/>
      <c r="F901" s="114"/>
      <c r="G901" s="114"/>
    </row>
    <row r="902">
      <c r="A902" s="114"/>
      <c r="B902" s="114"/>
      <c r="C902" s="114"/>
      <c r="D902" s="114"/>
      <c r="E902" s="114"/>
      <c r="F902" s="114"/>
      <c r="G902" s="114"/>
    </row>
    <row r="903">
      <c r="A903" s="114"/>
      <c r="B903" s="114"/>
      <c r="C903" s="114"/>
      <c r="D903" s="114"/>
      <c r="E903" s="114"/>
      <c r="F903" s="114"/>
      <c r="G903" s="114"/>
    </row>
    <row r="904">
      <c r="A904" s="114"/>
      <c r="B904" s="114"/>
      <c r="C904" s="114"/>
      <c r="D904" s="114"/>
      <c r="E904" s="114"/>
      <c r="F904" s="114"/>
      <c r="G904" s="114"/>
    </row>
    <row r="905">
      <c r="A905" s="114"/>
      <c r="B905" s="114"/>
      <c r="C905" s="114"/>
      <c r="D905" s="114"/>
      <c r="E905" s="114"/>
      <c r="F905" s="114"/>
      <c r="G905" s="114"/>
    </row>
    <row r="906">
      <c r="A906" s="114"/>
      <c r="B906" s="114"/>
      <c r="C906" s="114"/>
      <c r="D906" s="114"/>
      <c r="E906" s="114"/>
      <c r="F906" s="114"/>
      <c r="G906" s="114"/>
    </row>
    <row r="907">
      <c r="A907" s="114"/>
      <c r="B907" s="114"/>
      <c r="C907" s="114"/>
      <c r="D907" s="114"/>
      <c r="E907" s="114"/>
      <c r="F907" s="114"/>
      <c r="G907" s="114"/>
    </row>
    <row r="908">
      <c r="A908" s="114"/>
      <c r="B908" s="114"/>
      <c r="C908" s="114"/>
      <c r="D908" s="114"/>
      <c r="E908" s="114"/>
      <c r="F908" s="114"/>
      <c r="G908" s="114"/>
    </row>
    <row r="909">
      <c r="A909" s="114"/>
      <c r="B909" s="114"/>
      <c r="C909" s="114"/>
      <c r="D909" s="114"/>
      <c r="E909" s="114"/>
      <c r="F909" s="114"/>
      <c r="G909" s="114"/>
    </row>
    <row r="910">
      <c r="A910" s="114"/>
      <c r="B910" s="114"/>
      <c r="C910" s="114"/>
      <c r="D910" s="114"/>
      <c r="E910" s="114"/>
      <c r="F910" s="114"/>
      <c r="G910" s="114"/>
    </row>
    <row r="911">
      <c r="A911" s="114"/>
      <c r="B911" s="114"/>
      <c r="C911" s="114"/>
      <c r="D911" s="114"/>
      <c r="E911" s="114"/>
      <c r="F911" s="114"/>
      <c r="G911" s="114"/>
    </row>
    <row r="912">
      <c r="A912" s="114"/>
      <c r="B912" s="114"/>
      <c r="C912" s="114"/>
      <c r="D912" s="114"/>
      <c r="E912" s="114"/>
      <c r="F912" s="114"/>
      <c r="G912" s="114"/>
    </row>
    <row r="913">
      <c r="A913" s="114"/>
      <c r="B913" s="114"/>
      <c r="C913" s="114"/>
      <c r="D913" s="114"/>
      <c r="E913" s="114"/>
      <c r="F913" s="114"/>
      <c r="G913" s="114"/>
    </row>
    <row r="914">
      <c r="A914" s="114"/>
      <c r="B914" s="114"/>
      <c r="C914" s="114"/>
      <c r="D914" s="114"/>
      <c r="E914" s="114"/>
      <c r="F914" s="114"/>
      <c r="G914" s="114"/>
    </row>
    <row r="915">
      <c r="A915" s="114"/>
      <c r="B915" s="114"/>
      <c r="C915" s="114"/>
      <c r="D915" s="114"/>
      <c r="E915" s="114"/>
      <c r="F915" s="114"/>
      <c r="G915" s="114"/>
    </row>
    <row r="916">
      <c r="A916" s="114"/>
      <c r="B916" s="114"/>
      <c r="C916" s="114"/>
      <c r="D916" s="114"/>
      <c r="E916" s="114"/>
      <c r="F916" s="114"/>
      <c r="G916" s="114"/>
    </row>
    <row r="917">
      <c r="A917" s="114"/>
      <c r="B917" s="114"/>
      <c r="C917" s="114"/>
      <c r="D917" s="114"/>
      <c r="E917" s="114"/>
      <c r="F917" s="114"/>
      <c r="G917" s="114"/>
    </row>
    <row r="918">
      <c r="A918" s="114"/>
      <c r="B918" s="114"/>
      <c r="C918" s="114"/>
      <c r="D918" s="114"/>
      <c r="E918" s="114"/>
      <c r="F918" s="114"/>
      <c r="G918" s="114"/>
    </row>
    <row r="919">
      <c r="A919" s="114"/>
      <c r="B919" s="114"/>
      <c r="C919" s="114"/>
      <c r="D919" s="114"/>
      <c r="E919" s="114"/>
      <c r="F919" s="114"/>
      <c r="G919" s="114"/>
    </row>
    <row r="920">
      <c r="A920" s="114"/>
      <c r="B920" s="114"/>
      <c r="C920" s="114"/>
      <c r="D920" s="114"/>
      <c r="E920" s="114"/>
      <c r="F920" s="114"/>
      <c r="G920" s="114"/>
    </row>
    <row r="921">
      <c r="A921" s="114"/>
      <c r="B921" s="114"/>
      <c r="C921" s="114"/>
      <c r="D921" s="114"/>
      <c r="E921" s="114"/>
      <c r="F921" s="114"/>
      <c r="G921" s="114"/>
    </row>
    <row r="922">
      <c r="A922" s="114"/>
      <c r="B922" s="114"/>
      <c r="C922" s="114"/>
      <c r="D922" s="114"/>
      <c r="E922" s="114"/>
      <c r="F922" s="114"/>
      <c r="G922" s="114"/>
    </row>
    <row r="923">
      <c r="A923" s="114"/>
      <c r="B923" s="114"/>
      <c r="C923" s="114"/>
      <c r="D923" s="114"/>
      <c r="E923" s="114"/>
      <c r="F923" s="114"/>
      <c r="G923" s="114"/>
    </row>
    <row r="924">
      <c r="A924" s="114"/>
      <c r="B924" s="114"/>
      <c r="C924" s="114"/>
      <c r="D924" s="114"/>
      <c r="E924" s="114"/>
      <c r="F924" s="114"/>
      <c r="G924" s="114"/>
    </row>
    <row r="925">
      <c r="A925" s="114"/>
      <c r="B925" s="114"/>
      <c r="C925" s="114"/>
      <c r="D925" s="114"/>
      <c r="E925" s="114"/>
      <c r="F925" s="114"/>
      <c r="G925" s="114"/>
    </row>
    <row r="926">
      <c r="A926" s="114"/>
      <c r="B926" s="114"/>
      <c r="C926" s="114"/>
      <c r="D926" s="114"/>
      <c r="E926" s="114"/>
      <c r="F926" s="114"/>
      <c r="G926" s="114"/>
    </row>
    <row r="927">
      <c r="A927" s="114"/>
      <c r="B927" s="114"/>
      <c r="C927" s="114"/>
      <c r="D927" s="114"/>
      <c r="E927" s="114"/>
      <c r="F927" s="114"/>
      <c r="G927" s="114"/>
    </row>
    <row r="928">
      <c r="A928" s="114"/>
      <c r="B928" s="114"/>
      <c r="C928" s="114"/>
      <c r="D928" s="114"/>
      <c r="E928" s="114"/>
      <c r="F928" s="114"/>
      <c r="G928" s="114"/>
    </row>
    <row r="929">
      <c r="A929" s="114"/>
      <c r="B929" s="114"/>
      <c r="C929" s="114"/>
      <c r="D929" s="114"/>
      <c r="E929" s="114"/>
      <c r="F929" s="114"/>
      <c r="G929" s="114"/>
    </row>
    <row r="930">
      <c r="A930" s="114"/>
      <c r="B930" s="114"/>
      <c r="C930" s="114"/>
      <c r="D930" s="114"/>
      <c r="E930" s="114"/>
      <c r="F930" s="114"/>
      <c r="G930" s="114"/>
    </row>
    <row r="931">
      <c r="A931" s="114"/>
      <c r="B931" s="114"/>
      <c r="C931" s="114"/>
      <c r="D931" s="114"/>
      <c r="E931" s="114"/>
      <c r="F931" s="114"/>
      <c r="G931" s="114"/>
    </row>
    <row r="932">
      <c r="A932" s="114"/>
      <c r="B932" s="114"/>
      <c r="C932" s="114"/>
      <c r="D932" s="114"/>
      <c r="E932" s="114"/>
      <c r="F932" s="114"/>
      <c r="G932" s="114"/>
    </row>
    <row r="933">
      <c r="A933" s="114"/>
      <c r="B933" s="114"/>
      <c r="C933" s="114"/>
      <c r="D933" s="114"/>
      <c r="E933" s="114"/>
      <c r="F933" s="114"/>
      <c r="G933" s="114"/>
    </row>
    <row r="934">
      <c r="A934" s="114"/>
      <c r="B934" s="114"/>
      <c r="C934" s="114"/>
      <c r="D934" s="114"/>
      <c r="E934" s="114"/>
      <c r="F934" s="114"/>
      <c r="G934" s="114"/>
    </row>
    <row r="935">
      <c r="A935" s="114"/>
      <c r="B935" s="114"/>
      <c r="C935" s="114"/>
      <c r="D935" s="114"/>
      <c r="E935" s="114"/>
      <c r="F935" s="114"/>
      <c r="G935" s="114"/>
    </row>
    <row r="936">
      <c r="A936" s="114"/>
      <c r="B936" s="114"/>
      <c r="C936" s="114"/>
      <c r="D936" s="114"/>
      <c r="E936" s="114"/>
      <c r="F936" s="114"/>
      <c r="G936" s="114"/>
    </row>
    <row r="937">
      <c r="A937" s="114"/>
      <c r="B937" s="114"/>
      <c r="C937" s="114"/>
      <c r="D937" s="114"/>
      <c r="E937" s="114"/>
      <c r="F937" s="114"/>
      <c r="G937" s="114"/>
    </row>
    <row r="938">
      <c r="A938" s="114"/>
      <c r="B938" s="114"/>
      <c r="C938" s="114"/>
      <c r="D938" s="114"/>
      <c r="E938" s="114"/>
      <c r="F938" s="114"/>
      <c r="G938" s="114"/>
    </row>
    <row r="939">
      <c r="A939" s="114"/>
      <c r="B939" s="114"/>
      <c r="C939" s="114"/>
      <c r="D939" s="114"/>
      <c r="E939" s="114"/>
      <c r="F939" s="114"/>
      <c r="G939" s="114"/>
    </row>
    <row r="940">
      <c r="A940" s="114"/>
      <c r="B940" s="114"/>
      <c r="C940" s="114"/>
      <c r="D940" s="114"/>
      <c r="E940" s="114"/>
      <c r="F940" s="114"/>
      <c r="G940" s="114"/>
    </row>
    <row r="941">
      <c r="A941" s="114"/>
      <c r="B941" s="114"/>
      <c r="C941" s="114"/>
      <c r="D941" s="114"/>
      <c r="E941" s="114"/>
      <c r="F941" s="114"/>
      <c r="G941" s="114"/>
    </row>
    <row r="942">
      <c r="A942" s="114"/>
      <c r="B942" s="114"/>
      <c r="C942" s="114"/>
      <c r="D942" s="114"/>
      <c r="E942" s="114"/>
      <c r="F942" s="114"/>
      <c r="G942" s="114"/>
    </row>
    <row r="943">
      <c r="A943" s="114"/>
      <c r="B943" s="114"/>
      <c r="C943" s="114"/>
      <c r="D943" s="114"/>
      <c r="E943" s="114"/>
      <c r="F943" s="114"/>
      <c r="G943" s="114"/>
    </row>
    <row r="944">
      <c r="A944" s="114"/>
      <c r="B944" s="114"/>
      <c r="C944" s="114"/>
      <c r="D944" s="114"/>
      <c r="E944" s="114"/>
      <c r="F944" s="114"/>
      <c r="G944" s="114"/>
    </row>
    <row r="945">
      <c r="A945" s="114"/>
      <c r="B945" s="114"/>
      <c r="C945" s="114"/>
      <c r="D945" s="114"/>
      <c r="E945" s="114"/>
      <c r="F945" s="114"/>
      <c r="G945" s="114"/>
    </row>
    <row r="946">
      <c r="A946" s="114"/>
      <c r="B946" s="114"/>
      <c r="C946" s="114"/>
      <c r="D946" s="114"/>
      <c r="E946" s="114"/>
      <c r="F946" s="114"/>
      <c r="G946" s="114"/>
    </row>
    <row r="947">
      <c r="A947" s="114"/>
      <c r="B947" s="114"/>
      <c r="C947" s="114"/>
      <c r="D947" s="114"/>
      <c r="E947" s="114"/>
      <c r="F947" s="114"/>
      <c r="G947" s="114"/>
    </row>
    <row r="948">
      <c r="A948" s="114"/>
      <c r="B948" s="114"/>
      <c r="C948" s="114"/>
      <c r="D948" s="114"/>
      <c r="E948" s="114"/>
      <c r="F948" s="114"/>
      <c r="G948" s="114"/>
    </row>
    <row r="949">
      <c r="A949" s="114"/>
      <c r="B949" s="114"/>
      <c r="C949" s="114"/>
      <c r="D949" s="114"/>
      <c r="E949" s="114"/>
      <c r="F949" s="114"/>
      <c r="G949" s="114"/>
    </row>
    <row r="950">
      <c r="A950" s="114"/>
      <c r="B950" s="114"/>
      <c r="C950" s="114"/>
      <c r="D950" s="114"/>
      <c r="E950" s="114"/>
      <c r="F950" s="114"/>
      <c r="G950" s="114"/>
    </row>
    <row r="951">
      <c r="A951" s="114"/>
      <c r="B951" s="114"/>
      <c r="C951" s="114"/>
      <c r="D951" s="114"/>
      <c r="E951" s="114"/>
      <c r="F951" s="114"/>
      <c r="G951" s="114"/>
    </row>
    <row r="952">
      <c r="A952" s="114"/>
      <c r="B952" s="114"/>
      <c r="C952" s="114"/>
      <c r="D952" s="114"/>
      <c r="E952" s="114"/>
      <c r="F952" s="114"/>
      <c r="G952" s="114"/>
    </row>
    <row r="953">
      <c r="A953" s="114"/>
      <c r="B953" s="114"/>
      <c r="C953" s="114"/>
      <c r="D953" s="114"/>
      <c r="E953" s="114"/>
      <c r="F953" s="114"/>
      <c r="G953" s="114"/>
    </row>
    <row r="954">
      <c r="A954" s="114"/>
      <c r="B954" s="114"/>
      <c r="C954" s="114"/>
      <c r="D954" s="114"/>
      <c r="E954" s="114"/>
      <c r="F954" s="114"/>
      <c r="G954" s="114"/>
    </row>
    <row r="955">
      <c r="A955" s="114"/>
      <c r="B955" s="114"/>
      <c r="C955" s="114"/>
      <c r="D955" s="114"/>
      <c r="E955" s="114"/>
      <c r="F955" s="114"/>
      <c r="G955" s="114"/>
    </row>
    <row r="956">
      <c r="A956" s="114"/>
      <c r="B956" s="114"/>
      <c r="C956" s="114"/>
      <c r="D956" s="114"/>
      <c r="E956" s="114"/>
      <c r="F956" s="114"/>
      <c r="G956" s="114"/>
    </row>
    <row r="957">
      <c r="A957" s="114"/>
      <c r="B957" s="114"/>
      <c r="C957" s="114"/>
      <c r="D957" s="114"/>
      <c r="E957" s="114"/>
      <c r="F957" s="114"/>
      <c r="G957" s="114"/>
    </row>
    <row r="958">
      <c r="A958" s="114"/>
      <c r="B958" s="114"/>
      <c r="C958" s="114"/>
      <c r="D958" s="114"/>
      <c r="E958" s="114"/>
      <c r="F958" s="114"/>
      <c r="G958" s="114"/>
    </row>
    <row r="959">
      <c r="A959" s="114"/>
      <c r="B959" s="114"/>
      <c r="C959" s="114"/>
      <c r="D959" s="114"/>
      <c r="E959" s="114"/>
      <c r="F959" s="114"/>
      <c r="G959" s="114"/>
    </row>
    <row r="960">
      <c r="A960" s="114"/>
      <c r="B960" s="114"/>
      <c r="C960" s="114"/>
      <c r="D960" s="114"/>
      <c r="E960" s="114"/>
      <c r="F960" s="114"/>
      <c r="G960" s="114"/>
    </row>
    <row r="961">
      <c r="A961" s="114"/>
      <c r="B961" s="114"/>
      <c r="C961" s="114"/>
      <c r="D961" s="114"/>
      <c r="E961" s="114"/>
      <c r="F961" s="114"/>
      <c r="G961" s="114"/>
    </row>
    <row r="962">
      <c r="A962" s="114"/>
      <c r="B962" s="114"/>
      <c r="C962" s="114"/>
      <c r="D962" s="114"/>
      <c r="E962" s="114"/>
      <c r="F962" s="114"/>
      <c r="G962" s="114"/>
    </row>
    <row r="963">
      <c r="A963" s="114"/>
      <c r="B963" s="114"/>
      <c r="C963" s="114"/>
      <c r="D963" s="114"/>
      <c r="E963" s="114"/>
      <c r="F963" s="114"/>
      <c r="G963" s="114"/>
    </row>
    <row r="964">
      <c r="A964" s="114"/>
      <c r="B964" s="114"/>
      <c r="C964" s="114"/>
      <c r="D964" s="114"/>
      <c r="E964" s="114"/>
      <c r="F964" s="114"/>
      <c r="G964" s="114"/>
    </row>
    <row r="965">
      <c r="A965" s="114"/>
      <c r="B965" s="114"/>
      <c r="C965" s="114"/>
      <c r="D965" s="114"/>
      <c r="E965" s="114"/>
      <c r="F965" s="114"/>
      <c r="G965" s="114"/>
    </row>
    <row r="966">
      <c r="A966" s="114"/>
      <c r="B966" s="114"/>
      <c r="C966" s="114"/>
      <c r="D966" s="114"/>
      <c r="E966" s="114"/>
      <c r="F966" s="114"/>
      <c r="G966" s="114"/>
    </row>
    <row r="967">
      <c r="A967" s="114"/>
      <c r="B967" s="114"/>
      <c r="C967" s="114"/>
      <c r="D967" s="114"/>
      <c r="E967" s="114"/>
      <c r="F967" s="114"/>
      <c r="G967" s="114"/>
    </row>
    <row r="968">
      <c r="A968" s="114"/>
      <c r="B968" s="114"/>
      <c r="C968" s="114"/>
      <c r="D968" s="114"/>
      <c r="E968" s="114"/>
      <c r="F968" s="114"/>
      <c r="G968" s="114"/>
    </row>
    <row r="969">
      <c r="A969" s="114"/>
      <c r="B969" s="114"/>
      <c r="C969" s="114"/>
      <c r="D969" s="114"/>
      <c r="E969" s="114"/>
      <c r="F969" s="114"/>
      <c r="G969" s="114"/>
    </row>
    <row r="970">
      <c r="A970" s="114"/>
      <c r="B970" s="114"/>
      <c r="C970" s="114"/>
      <c r="D970" s="114"/>
      <c r="E970" s="114"/>
      <c r="F970" s="114"/>
      <c r="G970" s="114"/>
    </row>
    <row r="971">
      <c r="A971" s="114"/>
      <c r="B971" s="114"/>
      <c r="C971" s="114"/>
      <c r="D971" s="114"/>
      <c r="E971" s="114"/>
      <c r="F971" s="114"/>
      <c r="G971" s="114"/>
    </row>
    <row r="972">
      <c r="A972" s="114"/>
      <c r="B972" s="114"/>
      <c r="C972" s="114"/>
      <c r="D972" s="114"/>
      <c r="E972" s="114"/>
      <c r="F972" s="114"/>
      <c r="G972" s="114"/>
    </row>
    <row r="973">
      <c r="A973" s="114"/>
      <c r="B973" s="114"/>
      <c r="C973" s="114"/>
      <c r="D973" s="114"/>
      <c r="E973" s="114"/>
      <c r="F973" s="114"/>
      <c r="G973" s="114"/>
    </row>
    <row r="974">
      <c r="A974" s="114"/>
      <c r="B974" s="114"/>
      <c r="C974" s="114"/>
      <c r="D974" s="114"/>
      <c r="E974" s="114"/>
      <c r="F974" s="114"/>
      <c r="G974" s="114"/>
    </row>
    <row r="975">
      <c r="A975" s="114"/>
      <c r="B975" s="114"/>
      <c r="C975" s="114"/>
      <c r="D975" s="114"/>
      <c r="E975" s="114"/>
      <c r="F975" s="114"/>
      <c r="G975" s="114"/>
    </row>
    <row r="976">
      <c r="A976" s="114"/>
      <c r="B976" s="114"/>
      <c r="C976" s="114"/>
      <c r="D976" s="114"/>
      <c r="E976" s="114"/>
      <c r="F976" s="114"/>
      <c r="G976" s="114"/>
    </row>
    <row r="977">
      <c r="A977" s="114"/>
      <c r="B977" s="114"/>
      <c r="C977" s="114"/>
      <c r="D977" s="114"/>
      <c r="E977" s="114"/>
      <c r="F977" s="114"/>
      <c r="G977" s="114"/>
    </row>
    <row r="978">
      <c r="A978" s="114"/>
      <c r="B978" s="114"/>
      <c r="C978" s="114"/>
      <c r="D978" s="114"/>
      <c r="E978" s="114"/>
      <c r="F978" s="114"/>
      <c r="G978" s="114"/>
    </row>
    <row r="979">
      <c r="A979" s="114"/>
      <c r="B979" s="114"/>
      <c r="C979" s="114"/>
      <c r="D979" s="114"/>
      <c r="E979" s="114"/>
      <c r="F979" s="114"/>
      <c r="G979" s="114"/>
    </row>
    <row r="980">
      <c r="A980" s="114"/>
      <c r="B980" s="114"/>
      <c r="C980" s="114"/>
      <c r="D980" s="114"/>
      <c r="E980" s="114"/>
      <c r="F980" s="114"/>
      <c r="G980" s="114"/>
    </row>
    <row r="981">
      <c r="A981" s="114"/>
      <c r="B981" s="114"/>
      <c r="C981" s="114"/>
      <c r="D981" s="114"/>
      <c r="E981" s="114"/>
      <c r="F981" s="114"/>
      <c r="G981" s="114"/>
    </row>
    <row r="982">
      <c r="A982" s="114"/>
      <c r="B982" s="114"/>
      <c r="C982" s="114"/>
      <c r="D982" s="114"/>
      <c r="E982" s="114"/>
      <c r="F982" s="114"/>
      <c r="G982" s="114"/>
    </row>
    <row r="983">
      <c r="A983" s="114"/>
      <c r="B983" s="114"/>
      <c r="C983" s="114"/>
      <c r="D983" s="114"/>
      <c r="E983" s="114"/>
      <c r="F983" s="114"/>
      <c r="G983" s="114"/>
    </row>
    <row r="984">
      <c r="A984" s="114"/>
      <c r="B984" s="114"/>
      <c r="C984" s="114"/>
      <c r="D984" s="114"/>
      <c r="E984" s="114"/>
      <c r="F984" s="114"/>
      <c r="G984" s="114"/>
    </row>
    <row r="985">
      <c r="A985" s="114"/>
      <c r="B985" s="114"/>
      <c r="C985" s="114"/>
      <c r="D985" s="114"/>
      <c r="E985" s="114"/>
      <c r="F985" s="114"/>
      <c r="G985" s="114"/>
    </row>
    <row r="986">
      <c r="A986" s="114"/>
      <c r="B986" s="114"/>
      <c r="C986" s="114"/>
      <c r="D986" s="114"/>
      <c r="E986" s="114"/>
      <c r="F986" s="114"/>
      <c r="G986" s="114"/>
    </row>
    <row r="987">
      <c r="A987" s="114"/>
      <c r="B987" s="114"/>
      <c r="C987" s="114"/>
      <c r="D987" s="114"/>
      <c r="E987" s="114"/>
      <c r="F987" s="114"/>
      <c r="G987" s="114"/>
    </row>
    <row r="988">
      <c r="A988" s="114"/>
      <c r="B988" s="114"/>
      <c r="C988" s="114"/>
      <c r="D988" s="114"/>
      <c r="E988" s="114"/>
      <c r="F988" s="114"/>
      <c r="G988" s="114"/>
    </row>
    <row r="989">
      <c r="A989" s="114"/>
      <c r="B989" s="114"/>
      <c r="C989" s="114"/>
      <c r="D989" s="114"/>
      <c r="E989" s="114"/>
      <c r="F989" s="114"/>
      <c r="G989" s="114"/>
    </row>
    <row r="990">
      <c r="A990" s="114"/>
      <c r="B990" s="114"/>
      <c r="C990" s="114"/>
      <c r="D990" s="114"/>
      <c r="E990" s="114"/>
      <c r="F990" s="114"/>
      <c r="G990" s="114"/>
    </row>
    <row r="991">
      <c r="A991" s="114"/>
      <c r="B991" s="114"/>
      <c r="C991" s="114"/>
      <c r="D991" s="114"/>
      <c r="E991" s="114"/>
      <c r="F991" s="114"/>
      <c r="G991" s="114"/>
    </row>
    <row r="992">
      <c r="A992" s="114"/>
      <c r="B992" s="114"/>
      <c r="C992" s="114"/>
      <c r="D992" s="114"/>
      <c r="E992" s="114"/>
      <c r="F992" s="114"/>
      <c r="G992" s="114"/>
    </row>
    <row r="993">
      <c r="A993" s="114"/>
      <c r="B993" s="114"/>
      <c r="C993" s="114"/>
      <c r="D993" s="114"/>
      <c r="E993" s="114"/>
      <c r="F993" s="114"/>
      <c r="G993" s="114"/>
    </row>
    <row r="994">
      <c r="A994" s="114"/>
      <c r="B994" s="114"/>
      <c r="C994" s="114"/>
      <c r="D994" s="114"/>
      <c r="E994" s="114"/>
      <c r="F994" s="114"/>
      <c r="G994" s="114"/>
    </row>
    <row r="995">
      <c r="A995" s="114"/>
      <c r="B995" s="114"/>
      <c r="C995" s="114"/>
      <c r="D995" s="114"/>
      <c r="E995" s="114"/>
      <c r="F995" s="114"/>
      <c r="G995" s="114"/>
    </row>
    <row r="996">
      <c r="A996" s="114"/>
      <c r="B996" s="114"/>
      <c r="C996" s="114"/>
      <c r="D996" s="114"/>
      <c r="E996" s="114"/>
      <c r="F996" s="114"/>
      <c r="G996" s="114"/>
    </row>
    <row r="997">
      <c r="A997" s="114"/>
      <c r="B997" s="114"/>
      <c r="C997" s="114"/>
      <c r="D997" s="114"/>
      <c r="E997" s="114"/>
      <c r="F997" s="114"/>
      <c r="G997" s="114"/>
    </row>
    <row r="998">
      <c r="A998" s="114"/>
      <c r="B998" s="114"/>
      <c r="C998" s="114"/>
      <c r="D998" s="114"/>
      <c r="E998" s="114"/>
      <c r="F998" s="114"/>
      <c r="G998" s="114"/>
    </row>
    <row r="999">
      <c r="A999" s="114"/>
      <c r="B999" s="114"/>
      <c r="C999" s="114"/>
      <c r="D999" s="114"/>
      <c r="E999" s="114"/>
      <c r="F999" s="114"/>
      <c r="G999" s="114"/>
    </row>
    <row r="1000">
      <c r="A1000" s="114"/>
      <c r="B1000" s="114"/>
      <c r="C1000" s="114"/>
      <c r="D1000" s="114"/>
      <c r="E1000" s="114"/>
      <c r="F1000" s="114"/>
      <c r="G1000" s="114"/>
    </row>
  </sheetData>
  <autoFilter ref="$A$1:$G$1000"/>
  <hyperlinks>
    <hyperlink r:id="rId1" ref="A53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3.63"/>
    <col customWidth="1" min="3" max="3" width="12.38"/>
    <col customWidth="1" min="4" max="4" width="7.13"/>
    <col customWidth="1" min="5" max="6" width="25.63"/>
    <col customWidth="1" min="7" max="7" width="19.75"/>
  </cols>
  <sheetData>
    <row r="1">
      <c r="A1" s="61" t="s">
        <v>7718</v>
      </c>
      <c r="B1" s="61" t="s">
        <v>4120</v>
      </c>
      <c r="C1" s="61" t="s">
        <v>60</v>
      </c>
      <c r="D1" s="61" t="s">
        <v>7719</v>
      </c>
      <c r="E1" s="61" t="s">
        <v>7720</v>
      </c>
      <c r="F1" s="61" t="s">
        <v>7721</v>
      </c>
      <c r="G1" s="61" t="s">
        <v>7722</v>
      </c>
    </row>
    <row r="2">
      <c r="A2" s="61" t="s">
        <v>5417</v>
      </c>
      <c r="B2" s="61" t="s">
        <v>2781</v>
      </c>
      <c r="C2" s="61" t="str">
        <f t="array" ref="C2">XLOOKUP(B2,'On-Boarding'!C:C,'On-Boarding'!D:D)</f>
        <v>Product Design</v>
      </c>
      <c r="D2" s="61" t="s">
        <v>7723</v>
      </c>
      <c r="E2" s="61" t="s">
        <v>7724</v>
      </c>
      <c r="F2" s="61" t="s">
        <v>7725</v>
      </c>
      <c r="G2" s="61">
        <v>2.0</v>
      </c>
    </row>
    <row r="3">
      <c r="A3" s="61" t="s">
        <v>4378</v>
      </c>
      <c r="B3" s="61" t="s">
        <v>2452</v>
      </c>
      <c r="C3" s="61" t="str">
        <f t="array" ref="C3">XLOOKUP(B3,'On-Boarding'!C:C,'On-Boarding'!D:D)</f>
        <v>Product Design</v>
      </c>
      <c r="D3" s="61" t="s">
        <v>7723</v>
      </c>
      <c r="E3" s="61" t="s">
        <v>7726</v>
      </c>
      <c r="F3" s="61" t="s">
        <v>7727</v>
      </c>
      <c r="G3" s="61">
        <v>21.0</v>
      </c>
    </row>
    <row r="4">
      <c r="A4" s="61" t="s">
        <v>7728</v>
      </c>
      <c r="B4" s="61" t="s">
        <v>2954</v>
      </c>
      <c r="C4" s="61" t="str">
        <f t="array" ref="C4">XLOOKUP(B4,'On-Boarding'!C:C,'On-Boarding'!D:D)</f>
        <v>Product Design</v>
      </c>
      <c r="D4" s="61" t="s">
        <v>7723</v>
      </c>
      <c r="E4" s="61" t="s">
        <v>7729</v>
      </c>
      <c r="F4" s="61" t="s">
        <v>7730</v>
      </c>
      <c r="G4" s="61">
        <v>11.0</v>
      </c>
    </row>
    <row r="5">
      <c r="A5" s="61" t="s">
        <v>4596</v>
      </c>
      <c r="B5" s="61" t="s">
        <v>2093</v>
      </c>
      <c r="C5" s="61" t="str">
        <f t="array" ref="C5">XLOOKUP(B5,'On-Boarding'!C:C,'On-Boarding'!D:D)</f>
        <v>Product Design</v>
      </c>
      <c r="D5" s="61" t="s">
        <v>7723</v>
      </c>
      <c r="E5" s="61" t="s">
        <v>7731</v>
      </c>
      <c r="F5" s="61" t="s">
        <v>7732</v>
      </c>
      <c r="G5" s="61">
        <v>8.0</v>
      </c>
    </row>
    <row r="6">
      <c r="A6" s="61" t="s">
        <v>4949</v>
      </c>
      <c r="B6" s="61" t="s">
        <v>2138</v>
      </c>
      <c r="C6" s="61" t="str">
        <f t="array" ref="C6">XLOOKUP(B6,'On-Boarding'!C:C,'On-Boarding'!D:D)</f>
        <v>Product Design</v>
      </c>
      <c r="D6" s="61" t="s">
        <v>7723</v>
      </c>
      <c r="E6" s="61" t="s">
        <v>7733</v>
      </c>
      <c r="F6" s="61" t="s">
        <v>7734</v>
      </c>
      <c r="G6" s="61">
        <v>3.0</v>
      </c>
    </row>
    <row r="7">
      <c r="A7" s="61" t="s">
        <v>5186</v>
      </c>
      <c r="B7" s="61" t="s">
        <v>1123</v>
      </c>
      <c r="C7" s="61" t="str">
        <f t="array" ref="C7">XLOOKUP(B7,'On-Boarding'!C:C,'On-Boarding'!D:D)</f>
        <v>Product Design</v>
      </c>
      <c r="D7" s="61" t="s">
        <v>7723</v>
      </c>
      <c r="E7" s="61" t="s">
        <v>7735</v>
      </c>
      <c r="F7" s="61" t="s">
        <v>7736</v>
      </c>
      <c r="G7" s="61">
        <v>11.0</v>
      </c>
    </row>
    <row r="8">
      <c r="A8" s="61" t="s">
        <v>1895</v>
      </c>
      <c r="B8" s="61" t="s">
        <v>1896</v>
      </c>
      <c r="C8" s="61" t="str">
        <f t="array" ref="C8">XLOOKUP(B8,'On-Boarding'!C:C,'On-Boarding'!D:D)</f>
        <v>Product Design</v>
      </c>
      <c r="D8" s="61" t="s">
        <v>7723</v>
      </c>
      <c r="E8" s="61" t="s">
        <v>7737</v>
      </c>
      <c r="F8" s="61" t="s">
        <v>7738</v>
      </c>
      <c r="G8" s="61">
        <v>1.0</v>
      </c>
    </row>
    <row r="9">
      <c r="A9" s="61" t="s">
        <v>4780</v>
      </c>
      <c r="B9" s="61" t="s">
        <v>2766</v>
      </c>
      <c r="C9" s="61" t="str">
        <f t="array" ref="C9">XLOOKUP(B9,'On-Boarding'!C:C,'On-Boarding'!D:D)</f>
        <v>Product Design</v>
      </c>
      <c r="D9" s="61" t="s">
        <v>7723</v>
      </c>
      <c r="E9" s="61" t="s">
        <v>7739</v>
      </c>
      <c r="F9" s="61" t="s">
        <v>7740</v>
      </c>
      <c r="G9" s="61">
        <v>1.0</v>
      </c>
    </row>
    <row r="10">
      <c r="A10" s="61" t="s">
        <v>3975</v>
      </c>
      <c r="B10" s="61" t="s">
        <v>1075</v>
      </c>
      <c r="C10" s="61" t="str">
        <f t="array" ref="C10">XLOOKUP(B10,'On-Boarding'!C:C,'On-Boarding'!D:D)</f>
        <v>Strategy</v>
      </c>
      <c r="D10" s="61" t="s">
        <v>7723</v>
      </c>
      <c r="E10" s="61" t="s">
        <v>7741</v>
      </c>
      <c r="F10" s="61" t="s">
        <v>7742</v>
      </c>
      <c r="G10" s="61">
        <v>8.0</v>
      </c>
    </row>
    <row r="11">
      <c r="A11" s="61" t="s">
        <v>7743</v>
      </c>
      <c r="B11" s="61" t="s">
        <v>2147</v>
      </c>
      <c r="C11" s="61" t="str">
        <f t="array" ref="C11">XLOOKUP(B11,'On-Boarding'!C:C,'On-Boarding'!D:D)</f>
        <v>IT Infra</v>
      </c>
      <c r="D11" s="61" t="s">
        <v>4913</v>
      </c>
      <c r="E11" s="61" t="s">
        <v>7744</v>
      </c>
      <c r="F11" s="61" t="s">
        <v>7745</v>
      </c>
      <c r="G11" s="61">
        <v>1.0</v>
      </c>
    </row>
    <row r="12">
      <c r="A12" s="61" t="s">
        <v>2576</v>
      </c>
      <c r="B12" s="61" t="s">
        <v>1125</v>
      </c>
      <c r="C12" s="61" t="str">
        <f t="array" ref="C12">XLOOKUP(B12,'On-Boarding'!C:C,'On-Boarding'!D:D)</f>
        <v>Product Design</v>
      </c>
      <c r="D12" s="61" t="s">
        <v>7723</v>
      </c>
      <c r="E12" s="61" t="s">
        <v>7746</v>
      </c>
      <c r="F12" s="61" t="s">
        <v>7747</v>
      </c>
      <c r="G12" s="61">
        <v>1.0</v>
      </c>
    </row>
    <row r="13">
      <c r="A13" s="61" t="s">
        <v>2682</v>
      </c>
      <c r="B13" s="61" t="s">
        <v>2683</v>
      </c>
      <c r="C13" s="61" t="str">
        <f t="array" ref="C13">XLOOKUP(B13,'On-Boarding'!C:C,'On-Boarding'!D:D)</f>
        <v>Product</v>
      </c>
      <c r="D13" s="61" t="s">
        <v>7723</v>
      </c>
      <c r="E13" s="61" t="s">
        <v>7748</v>
      </c>
      <c r="F13" s="61" t="s">
        <v>7749</v>
      </c>
      <c r="G13" s="61">
        <v>0.0</v>
      </c>
    </row>
    <row r="14">
      <c r="A14" s="61" t="s">
        <v>2688</v>
      </c>
      <c r="B14" s="61" t="s">
        <v>2689</v>
      </c>
      <c r="C14" s="61" t="str">
        <f t="array" ref="C14">XLOOKUP(B14,'On-Boarding'!C:C,'On-Boarding'!D:D)</f>
        <v>Product</v>
      </c>
      <c r="D14" s="61" t="s">
        <v>7723</v>
      </c>
      <c r="E14" s="61" t="s">
        <v>7750</v>
      </c>
      <c r="F14" s="61" t="s">
        <v>7751</v>
      </c>
      <c r="G14" s="61">
        <v>0.0</v>
      </c>
    </row>
    <row r="15">
      <c r="A15" s="61" t="s">
        <v>1674</v>
      </c>
      <c r="B15" s="61" t="s">
        <v>1675</v>
      </c>
      <c r="C15" s="61" t="str">
        <f t="array" ref="C15">XLOOKUP(B15,'On-Boarding'!C:C,'On-Boarding'!D:D)</f>
        <v>Product</v>
      </c>
      <c r="D15" s="61" t="s">
        <v>7723</v>
      </c>
      <c r="E15" s="61" t="s">
        <v>7752</v>
      </c>
      <c r="F15" s="61" t="s">
        <v>7753</v>
      </c>
      <c r="G15" s="61">
        <v>0.0</v>
      </c>
    </row>
    <row r="16">
      <c r="A16" s="61" t="s">
        <v>7754</v>
      </c>
      <c r="B16" s="61" t="s">
        <v>2236</v>
      </c>
      <c r="C16" s="61" t="str">
        <f t="array" ref="C16">XLOOKUP(B16,'On-Boarding'!C:C,'On-Boarding'!D:D)</f>
        <v>Product</v>
      </c>
      <c r="D16" s="61" t="s">
        <v>7723</v>
      </c>
      <c r="E16" s="61" t="s">
        <v>7755</v>
      </c>
      <c r="F16" s="61" t="s">
        <v>7756</v>
      </c>
      <c r="G16" s="61">
        <v>0.0</v>
      </c>
    </row>
    <row r="17">
      <c r="A17" s="61" t="s">
        <v>4579</v>
      </c>
      <c r="B17" s="61" t="s">
        <v>2122</v>
      </c>
      <c r="C17" s="61" t="str">
        <f t="array" ref="C17">XLOOKUP(B17,'On-Boarding'!C:C,'On-Boarding'!D:D)</f>
        <v>Product Design</v>
      </c>
      <c r="D17" s="61" t="s">
        <v>7723</v>
      </c>
      <c r="E17" s="61" t="s">
        <v>7757</v>
      </c>
      <c r="F17" s="61" t="s">
        <v>7758</v>
      </c>
      <c r="G17" s="61">
        <v>0.0</v>
      </c>
    </row>
    <row r="18">
      <c r="A18" s="61" t="s">
        <v>4441</v>
      </c>
      <c r="B18" s="61" t="s">
        <v>1649</v>
      </c>
      <c r="C18" s="61" t="str">
        <f t="array" ref="C18">XLOOKUP(B18,'On-Boarding'!C:C,'On-Boarding'!D:D)</f>
        <v>Product</v>
      </c>
      <c r="D18" s="61" t="s">
        <v>7723</v>
      </c>
      <c r="E18" s="61" t="s">
        <v>7759</v>
      </c>
      <c r="F18" s="61" t="s">
        <v>7760</v>
      </c>
      <c r="G18" s="61">
        <v>0.0</v>
      </c>
    </row>
    <row r="19">
      <c r="A19" s="61" t="s">
        <v>1999</v>
      </c>
      <c r="B19" s="61" t="s">
        <v>2000</v>
      </c>
      <c r="C19" s="61" t="str">
        <f t="array" ref="C19">XLOOKUP(B19,'On-Boarding'!C:C,'On-Boarding'!D:D)</f>
        <v>Product</v>
      </c>
      <c r="D19" s="61" t="s">
        <v>7723</v>
      </c>
      <c r="E19" s="61" t="s">
        <v>7761</v>
      </c>
      <c r="F19" s="61" t="s">
        <v>7762</v>
      </c>
      <c r="G19" s="61">
        <v>0.0</v>
      </c>
    </row>
    <row r="20">
      <c r="A20" s="61" t="s">
        <v>2027</v>
      </c>
      <c r="B20" s="61" t="s">
        <v>2028</v>
      </c>
      <c r="C20" s="61" t="str">
        <f t="array" ref="C20">XLOOKUP(B20,'On-Boarding'!C:C,'On-Boarding'!D:D)</f>
        <v>Product</v>
      </c>
      <c r="D20" s="61" t="s">
        <v>7723</v>
      </c>
      <c r="E20" s="61" t="s">
        <v>7763</v>
      </c>
      <c r="F20" s="61" t="s">
        <v>7764</v>
      </c>
      <c r="G20" s="61">
        <v>0.0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3" width="25.63"/>
    <col customWidth="1" min="4" max="4" width="16.5"/>
    <col customWidth="1" min="5" max="5" width="7.63"/>
    <col customWidth="1" min="6" max="6" width="14.63"/>
  </cols>
  <sheetData>
    <row r="1">
      <c r="A1" s="61" t="s">
        <v>7765</v>
      </c>
      <c r="B1" s="61" t="s">
        <v>7766</v>
      </c>
      <c r="C1" s="61" t="s">
        <v>7767</v>
      </c>
      <c r="D1" s="61" t="s">
        <v>7768</v>
      </c>
      <c r="E1" s="61" t="s">
        <v>7769</v>
      </c>
      <c r="F1" s="61" t="s">
        <v>7770</v>
      </c>
    </row>
    <row r="2" hidden="1">
      <c r="A2" s="61" t="s">
        <v>1022</v>
      </c>
      <c r="B2" s="61"/>
      <c r="C2" s="61" t="s">
        <v>1023</v>
      </c>
      <c r="D2" s="406">
        <v>45910.37045574655</v>
      </c>
      <c r="E2" s="61" t="s">
        <v>7771</v>
      </c>
      <c r="F2" s="61" t="s">
        <v>5632</v>
      </c>
      <c r="G2" s="407" t="str">
        <f t="array" ref="G2">XLOOKUP(C2,'Off-Boarding'!B:B,'Off-Boarding'!E:E)</f>
        <v>Suspend</v>
      </c>
    </row>
    <row r="3">
      <c r="A3" s="61" t="s">
        <v>1018</v>
      </c>
      <c r="B3" s="61" t="s">
        <v>7772</v>
      </c>
      <c r="C3" s="61" t="s">
        <v>1019</v>
      </c>
      <c r="D3" s="406">
        <v>45916.23415117846</v>
      </c>
      <c r="E3" s="61" t="s">
        <v>7771</v>
      </c>
      <c r="F3" s="61" t="s">
        <v>5632</v>
      </c>
      <c r="G3" s="407" t="str">
        <f t="array" ref="G3">XLOOKUP(C3,'Off-Boarding'!B:B,'Off-Boarding'!E:E)</f>
        <v>Suspend</v>
      </c>
    </row>
    <row r="4">
      <c r="A4" s="61" t="s">
        <v>1027</v>
      </c>
      <c r="B4" s="61" t="s">
        <v>7772</v>
      </c>
      <c r="C4" s="61" t="s">
        <v>1028</v>
      </c>
      <c r="D4" s="406">
        <v>45897.825511527335</v>
      </c>
      <c r="E4" s="61" t="s">
        <v>7771</v>
      </c>
      <c r="F4" s="61" t="s">
        <v>5632</v>
      </c>
      <c r="G4" s="407" t="str">
        <f t="array" ref="G4">XLOOKUP(C4,'Off-Boarding'!B:B,'Off-Boarding'!E:E)</f>
        <v>Suspend</v>
      </c>
    </row>
    <row r="5">
      <c r="A5" s="61" t="s">
        <v>1030</v>
      </c>
      <c r="B5" s="61" t="s">
        <v>7773</v>
      </c>
      <c r="C5" s="61" t="s">
        <v>1031</v>
      </c>
      <c r="D5" s="406">
        <v>45897.656538600684</v>
      </c>
      <c r="E5" s="61" t="s">
        <v>7771</v>
      </c>
      <c r="F5" s="61" t="s">
        <v>5632</v>
      </c>
      <c r="G5" s="407" t="str">
        <f t="array" ref="G5">XLOOKUP(C5,'Off-Boarding'!B:B,'Off-Boarding'!E:E)</f>
        <v>Suspend</v>
      </c>
    </row>
    <row r="6" hidden="1">
      <c r="A6" s="61" t="s">
        <v>2057</v>
      </c>
      <c r="B6" s="61"/>
      <c r="C6" s="61" t="s">
        <v>2058</v>
      </c>
      <c r="D6" s="406">
        <v>45915.572662433944</v>
      </c>
      <c r="E6" s="61" t="s">
        <v>7771</v>
      </c>
      <c r="F6" s="61" t="s">
        <v>5632</v>
      </c>
      <c r="G6" s="407" t="str">
        <f t="array" ref="G6">XLOOKUP(C6,'Off-Boarding'!B:B,'Off-Boarding'!E:E)</f>
        <v>Suspend</v>
      </c>
    </row>
    <row r="7" hidden="1">
      <c r="A7" s="61" t="s">
        <v>4792</v>
      </c>
      <c r="B7" s="61"/>
      <c r="C7" s="61" t="s">
        <v>2554</v>
      </c>
      <c r="D7" s="406">
        <v>45915.42471737092</v>
      </c>
      <c r="E7" s="61" t="s">
        <v>7771</v>
      </c>
      <c r="F7" s="61" t="s">
        <v>5632</v>
      </c>
      <c r="G7" s="113" t="str">
        <f t="array" ref="G7">XLOOKUP(C7,'Off-Boarding'!B:B,'Off-Boarding'!E:E)</f>
        <v>Suspend</v>
      </c>
    </row>
    <row r="8">
      <c r="A8" s="61" t="s">
        <v>2895</v>
      </c>
      <c r="B8" s="61" t="s">
        <v>7772</v>
      </c>
      <c r="C8" s="61" t="s">
        <v>2896</v>
      </c>
      <c r="D8" s="406">
        <v>45866.82645548517</v>
      </c>
      <c r="E8" s="61" t="s">
        <v>7771</v>
      </c>
      <c r="F8" s="61" t="s">
        <v>5632</v>
      </c>
      <c r="G8" s="407" t="str">
        <f t="array" ref="G8">XLOOKUP(C8,'Off-Boarding'!B:B,'Off-Boarding'!E:E)</f>
        <v>Suspend</v>
      </c>
    </row>
    <row r="9">
      <c r="A9" s="61" t="s">
        <v>4147</v>
      </c>
      <c r="B9" s="61" t="s">
        <v>7772</v>
      </c>
      <c r="C9" s="61" t="s">
        <v>1042</v>
      </c>
      <c r="D9" s="406">
        <v>45893.354124425234</v>
      </c>
      <c r="E9" s="61" t="s">
        <v>7771</v>
      </c>
      <c r="F9" s="61" t="s">
        <v>5632</v>
      </c>
      <c r="G9" s="407" t="str">
        <f t="array" ref="G9">XLOOKUP(C9,'Off-Boarding'!B:B,'Off-Boarding'!E:E)</f>
        <v>Suspend</v>
      </c>
    </row>
    <row r="10">
      <c r="A10" s="61" t="s">
        <v>1045</v>
      </c>
      <c r="B10" s="61" t="s">
        <v>7772</v>
      </c>
      <c r="C10" s="61" t="s">
        <v>1046</v>
      </c>
      <c r="D10" s="406">
        <v>45839.28216676821</v>
      </c>
      <c r="E10" s="61" t="s">
        <v>7771</v>
      </c>
      <c r="F10" s="61" t="s">
        <v>5632</v>
      </c>
      <c r="G10" s="407" t="str">
        <f t="array" ref="G10">XLOOKUP(C10,'Off-Boarding'!B:B,'Off-Boarding'!E:E)</f>
        <v>Suspend</v>
      </c>
    </row>
    <row r="11" hidden="1">
      <c r="A11" s="61" t="s">
        <v>1034</v>
      </c>
      <c r="B11" s="61"/>
      <c r="C11" s="61" t="s">
        <v>1054</v>
      </c>
      <c r="D11" s="406">
        <v>45899.521609362186</v>
      </c>
      <c r="E11" s="61" t="s">
        <v>7771</v>
      </c>
      <c r="F11" s="61" t="s">
        <v>5632</v>
      </c>
      <c r="G11" s="407" t="str">
        <f t="array" ref="G11">XLOOKUP(C11,'Off-Boarding'!B:B,'Off-Boarding'!E:E)</f>
        <v>Suspend</v>
      </c>
    </row>
    <row r="12">
      <c r="A12" s="61" t="s">
        <v>5182</v>
      </c>
      <c r="B12" s="61" t="s">
        <v>7772</v>
      </c>
      <c r="C12" s="61" t="s">
        <v>1049</v>
      </c>
      <c r="D12" s="406">
        <v>45889.38332246352</v>
      </c>
      <c r="E12" s="61" t="s">
        <v>7771</v>
      </c>
      <c r="F12" s="61" t="s">
        <v>5632</v>
      </c>
      <c r="G12" s="407" t="str">
        <f t="array" ref="G12">XLOOKUP(C12,'Off-Boarding'!B:B,'Off-Boarding'!E:E)</f>
        <v>Suspend</v>
      </c>
    </row>
    <row r="13" hidden="1">
      <c r="A13" s="61" t="s">
        <v>2926</v>
      </c>
      <c r="B13" s="61"/>
      <c r="C13" s="61" t="s">
        <v>2927</v>
      </c>
      <c r="D13" s="406">
        <v>45915.67728240463</v>
      </c>
      <c r="E13" s="61" t="s">
        <v>7771</v>
      </c>
      <c r="F13" s="61" t="s">
        <v>5632</v>
      </c>
      <c r="G13" s="113" t="str">
        <f t="array" ref="G13">XLOOKUP(C13,'Off-Boarding'!B:B,'Off-Boarding'!E:E)</f>
        <v>Suspend</v>
      </c>
    </row>
    <row r="14">
      <c r="A14" s="61" t="s">
        <v>3171</v>
      </c>
      <c r="B14" s="61" t="s">
        <v>7772</v>
      </c>
      <c r="C14" s="61" t="s">
        <v>3172</v>
      </c>
      <c r="D14" s="406">
        <v>45887.34009466651</v>
      </c>
      <c r="E14" s="61" t="s">
        <v>7771</v>
      </c>
      <c r="F14" s="61" t="s">
        <v>5632</v>
      </c>
      <c r="G14" s="407" t="str">
        <f t="array" ref="G14">XLOOKUP(C14,'Off-Boarding'!B:B,'Off-Boarding'!E:E)</f>
        <v>Suspend</v>
      </c>
    </row>
    <row r="15">
      <c r="A15" s="61" t="s">
        <v>115</v>
      </c>
      <c r="B15" s="61" t="s">
        <v>7772</v>
      </c>
      <c r="C15" s="61" t="s">
        <v>116</v>
      </c>
      <c r="D15" s="406">
        <v>45812.280408589286</v>
      </c>
      <c r="E15" s="61" t="s">
        <v>7771</v>
      </c>
      <c r="F15" s="61" t="s">
        <v>5632</v>
      </c>
      <c r="G15" s="407" t="str">
        <f t="array" ref="G15">XLOOKUP(C15,'Off-Boarding'!B:B,'Off-Boarding'!E:E)</f>
        <v>Suspend</v>
      </c>
    </row>
    <row r="16">
      <c r="A16" s="61" t="s">
        <v>7774</v>
      </c>
      <c r="B16" s="61" t="s">
        <v>7772</v>
      </c>
      <c r="C16" s="61" t="s">
        <v>3026</v>
      </c>
      <c r="D16" s="406">
        <v>45891.265559236235</v>
      </c>
      <c r="E16" s="61" t="s">
        <v>7771</v>
      </c>
      <c r="F16" s="61" t="s">
        <v>5632</v>
      </c>
      <c r="G16" s="407" t="str">
        <f t="array" ref="G16">XLOOKUP(C16,'Off-Boarding'!B:B,'Off-Boarding'!E:E)</f>
        <v>Suspend</v>
      </c>
    </row>
    <row r="17" hidden="1">
      <c r="A17" s="61" t="s">
        <v>7775</v>
      </c>
      <c r="B17" s="61"/>
      <c r="C17" s="61" t="s">
        <v>2605</v>
      </c>
      <c r="D17" s="406">
        <v>45914.79495709637</v>
      </c>
      <c r="E17" s="61" t="s">
        <v>7771</v>
      </c>
      <c r="F17" s="61" t="s">
        <v>5632</v>
      </c>
      <c r="G17" s="113" t="str">
        <f t="array" ref="G17">XLOOKUP(C17,'Off-Boarding'!B:B,'Off-Boarding'!E:E)</f>
        <v>#N/A</v>
      </c>
    </row>
    <row r="18" hidden="1">
      <c r="A18" s="61" t="s">
        <v>2602</v>
      </c>
      <c r="B18" s="61"/>
      <c r="C18" s="61" t="s">
        <v>2603</v>
      </c>
      <c r="D18" s="406">
        <v>45915.88496327744</v>
      </c>
      <c r="E18" s="61" t="s">
        <v>7771</v>
      </c>
      <c r="F18" s="61" t="s">
        <v>5632</v>
      </c>
      <c r="G18" s="113" t="str">
        <f t="array" ref="G18">XLOOKUP(C18,'Off-Boarding'!B:B,'Off-Boarding'!E:E)</f>
        <v>Suspend</v>
      </c>
    </row>
    <row r="19" hidden="1">
      <c r="A19" s="61" t="s">
        <v>2408</v>
      </c>
      <c r="B19" s="61"/>
      <c r="C19" s="61" t="s">
        <v>2409</v>
      </c>
      <c r="D19" s="406">
        <v>45910.460027355235</v>
      </c>
      <c r="E19" s="61" t="s">
        <v>7771</v>
      </c>
      <c r="F19" s="61" t="s">
        <v>5632</v>
      </c>
      <c r="G19" s="407" t="str">
        <f t="array" ref="G19">XLOOKUP(C19,'Off-Boarding'!B:B,'Off-Boarding'!E:E)</f>
        <v>Suspend</v>
      </c>
    </row>
    <row r="20">
      <c r="A20" s="61" t="s">
        <v>5341</v>
      </c>
      <c r="B20" s="61" t="s">
        <v>7772</v>
      </c>
      <c r="C20" s="61" t="s">
        <v>1084</v>
      </c>
      <c r="D20" s="406">
        <v>45897.33130240847</v>
      </c>
      <c r="E20" s="61" t="s">
        <v>7771</v>
      </c>
      <c r="F20" s="61" t="s">
        <v>5632</v>
      </c>
      <c r="G20" s="407" t="str">
        <f t="array" ref="G20">XLOOKUP(C20,'Off-Boarding'!B:B,'Off-Boarding'!E:E)</f>
        <v>Suspend</v>
      </c>
    </row>
    <row r="21" hidden="1">
      <c r="A21" s="61" t="s">
        <v>2454</v>
      </c>
      <c r="B21" s="61"/>
      <c r="C21" s="61" t="s">
        <v>2455</v>
      </c>
      <c r="D21" s="406">
        <v>45896.91372412886</v>
      </c>
      <c r="E21" s="61" t="s">
        <v>7771</v>
      </c>
      <c r="F21" s="61" t="s">
        <v>5632</v>
      </c>
      <c r="G21" s="407" t="str">
        <f t="array" ref="G21">XLOOKUP(C21,'Off-Boarding'!B:B,'Off-Boarding'!E:E)</f>
        <v>Suspend</v>
      </c>
    </row>
    <row r="22">
      <c r="A22" s="61" t="s">
        <v>5297</v>
      </c>
      <c r="B22" s="61" t="s">
        <v>7772</v>
      </c>
      <c r="C22" s="61" t="s">
        <v>1091</v>
      </c>
      <c r="D22" s="406">
        <v>45887.1578479117</v>
      </c>
      <c r="E22" s="61" t="s">
        <v>7771</v>
      </c>
      <c r="F22" s="61" t="s">
        <v>5632</v>
      </c>
      <c r="G22" s="407" t="str">
        <f t="array" ref="G22">XLOOKUP(C22,'Off-Boarding'!B:B,'Off-Boarding'!E:E)</f>
        <v>Suspend</v>
      </c>
    </row>
    <row r="23">
      <c r="A23" s="61" t="s">
        <v>7776</v>
      </c>
      <c r="B23" s="61" t="s">
        <v>7772</v>
      </c>
      <c r="C23" s="61" t="s">
        <v>3109</v>
      </c>
      <c r="D23" s="406">
        <v>45903.310675519766</v>
      </c>
      <c r="E23" s="61" t="s">
        <v>7771</v>
      </c>
      <c r="F23" s="61" t="s">
        <v>5632</v>
      </c>
      <c r="G23" s="407" t="str">
        <f t="array" ref="G23">XLOOKUP(C23,'Off-Boarding'!B:B,'Off-Boarding'!E:E)</f>
        <v>Suspend</v>
      </c>
    </row>
    <row r="24">
      <c r="A24" s="61" t="s">
        <v>139</v>
      </c>
      <c r="B24" s="61" t="s">
        <v>7772</v>
      </c>
      <c r="C24" s="61" t="s">
        <v>140</v>
      </c>
      <c r="D24" s="406">
        <v>45560.457104635636</v>
      </c>
      <c r="E24" s="61" t="s">
        <v>7771</v>
      </c>
      <c r="F24" s="61" t="s">
        <v>5632</v>
      </c>
      <c r="G24" s="407" t="str">
        <f t="array" ref="G24">XLOOKUP(C24,'Off-Boarding'!B:B,'Off-Boarding'!E:E)</f>
        <v>Suspend</v>
      </c>
    </row>
    <row r="25" hidden="1">
      <c r="A25" s="61" t="s">
        <v>2005</v>
      </c>
      <c r="B25" s="61"/>
      <c r="C25" s="61" t="s">
        <v>1116</v>
      </c>
      <c r="D25" s="406">
        <v>45911.58827506604</v>
      </c>
      <c r="E25" s="61" t="s">
        <v>7771</v>
      </c>
      <c r="F25" s="61" t="s">
        <v>5632</v>
      </c>
      <c r="G25" s="408">
        <f t="array" ref="G25">XLOOKUP(C25,'Off-Boarding'!B:B,'Off-Boarding'!E:E)</f>
        <v>46268</v>
      </c>
    </row>
    <row r="26" hidden="1">
      <c r="A26" s="61" t="s">
        <v>2005</v>
      </c>
      <c r="B26" s="61"/>
      <c r="C26" s="61" t="s">
        <v>1604</v>
      </c>
      <c r="D26" s="406">
        <v>45915.75916286977</v>
      </c>
      <c r="E26" s="61" t="s">
        <v>7771</v>
      </c>
      <c r="F26" s="61" t="s">
        <v>5632</v>
      </c>
      <c r="G26" s="113" t="str">
        <f t="array" ref="G26">XLOOKUP(C26,'Off-Boarding'!B:B,'Off-Boarding'!E:E)</f>
        <v>#N/A</v>
      </c>
    </row>
    <row r="27" hidden="1">
      <c r="A27" s="61" t="s">
        <v>4549</v>
      </c>
      <c r="B27" s="61"/>
      <c r="C27" s="61" t="s">
        <v>2311</v>
      </c>
      <c r="D27" s="406">
        <v>45915.9227415095</v>
      </c>
      <c r="E27" s="61" t="s">
        <v>7771</v>
      </c>
      <c r="F27" s="61" t="s">
        <v>5632</v>
      </c>
      <c r="G27" s="113" t="str">
        <f t="array" ref="G27">XLOOKUP(C27,'Off-Boarding'!B:B,'Off-Boarding'!E:E)</f>
        <v>Suspend</v>
      </c>
    </row>
    <row r="28" hidden="1">
      <c r="A28" s="61" t="s">
        <v>1946</v>
      </c>
      <c r="B28" s="61"/>
      <c r="C28" s="61" t="s">
        <v>1085</v>
      </c>
      <c r="D28" s="406">
        <v>45911.208076551666</v>
      </c>
      <c r="E28" s="61" t="s">
        <v>7771</v>
      </c>
      <c r="F28" s="61" t="s">
        <v>5632</v>
      </c>
      <c r="G28" s="113" t="str">
        <f t="array" ref="G28">XLOOKUP(C28,'Off-Boarding'!B:B,'Off-Boarding'!E:E)</f>
        <v>#N/A</v>
      </c>
    </row>
    <row r="29" hidden="1">
      <c r="A29" s="61" t="s">
        <v>1946</v>
      </c>
      <c r="B29" s="61"/>
      <c r="C29" s="61" t="s">
        <v>1658</v>
      </c>
      <c r="D29" s="406">
        <v>45916.252166776205</v>
      </c>
      <c r="E29" s="61" t="s">
        <v>7771</v>
      </c>
      <c r="F29" s="61" t="s">
        <v>5632</v>
      </c>
      <c r="G29" s="113" t="str">
        <f t="array" ref="G29">XLOOKUP(C29,'Off-Boarding'!B:B,'Off-Boarding'!E:E)</f>
        <v>Suspend</v>
      </c>
    </row>
    <row r="30" hidden="1">
      <c r="A30" s="61" t="s">
        <v>7777</v>
      </c>
      <c r="B30" s="61"/>
      <c r="C30" s="61" t="s">
        <v>2886</v>
      </c>
      <c r="D30" s="406">
        <v>45915.5105333629</v>
      </c>
      <c r="E30" s="61" t="s">
        <v>7771</v>
      </c>
      <c r="F30" s="61" t="s">
        <v>5632</v>
      </c>
      <c r="G30" s="113" t="str">
        <f t="array" ref="G30">XLOOKUP(C30,'Off-Boarding'!B:B,'Off-Boarding'!E:E)</f>
        <v>#N/A</v>
      </c>
    </row>
    <row r="31" hidden="1">
      <c r="A31" s="61" t="s">
        <v>7778</v>
      </c>
      <c r="B31" s="61"/>
      <c r="C31" s="61" t="s">
        <v>1021</v>
      </c>
      <c r="D31" s="406">
        <v>45915.389277708484</v>
      </c>
      <c r="E31" s="61" t="s">
        <v>7771</v>
      </c>
      <c r="F31" s="61" t="s">
        <v>5632</v>
      </c>
      <c r="G31" s="113" t="str">
        <f t="array" ref="G31">XLOOKUP(C31,'Off-Boarding'!B:B,'Off-Boarding'!E:E)</f>
        <v>Suspend</v>
      </c>
    </row>
    <row r="32" hidden="1">
      <c r="A32" s="61" t="s">
        <v>2203</v>
      </c>
      <c r="B32" s="61"/>
      <c r="C32" s="61" t="s">
        <v>2204</v>
      </c>
      <c r="D32" s="406">
        <v>45916.24417107397</v>
      </c>
      <c r="E32" s="61" t="s">
        <v>7771</v>
      </c>
      <c r="F32" s="61" t="s">
        <v>5632</v>
      </c>
      <c r="G32" s="407" t="str">
        <f t="array" ref="G32">XLOOKUP(C32,'Off-Boarding'!B:B,'Off-Boarding'!E:E)</f>
        <v>Suspend</v>
      </c>
    </row>
    <row r="33">
      <c r="A33" s="61" t="s">
        <v>1104</v>
      </c>
      <c r="B33" s="61" t="s">
        <v>7772</v>
      </c>
      <c r="C33" s="61" t="s">
        <v>1105</v>
      </c>
      <c r="D33" s="406">
        <v>45911.32782833379</v>
      </c>
      <c r="E33" s="61" t="s">
        <v>7771</v>
      </c>
      <c r="F33" s="61" t="s">
        <v>5632</v>
      </c>
      <c r="G33" s="407" t="str">
        <f t="array" ref="G33">XLOOKUP(C33,'Off-Boarding'!B:B,'Off-Boarding'!E:E)</f>
        <v>Suspend</v>
      </c>
    </row>
    <row r="34" hidden="1">
      <c r="A34" s="61" t="s">
        <v>1982</v>
      </c>
      <c r="B34" s="61"/>
      <c r="C34" s="61" t="s">
        <v>1331</v>
      </c>
      <c r="D34" s="406">
        <v>45913.372856884016</v>
      </c>
      <c r="E34" s="61" t="s">
        <v>7771</v>
      </c>
      <c r="F34" s="61" t="s">
        <v>5632</v>
      </c>
      <c r="G34" s="113" t="str">
        <f t="array" ref="G34">XLOOKUP(C34,'Off-Boarding'!B:B,'Off-Boarding'!E:E)</f>
        <v>#N/A</v>
      </c>
    </row>
    <row r="35" hidden="1">
      <c r="A35" s="61" t="s">
        <v>2607</v>
      </c>
      <c r="B35" s="61"/>
      <c r="C35" s="61" t="s">
        <v>2608</v>
      </c>
      <c r="D35" s="406">
        <v>45915.36583348859</v>
      </c>
      <c r="E35" s="61" t="s">
        <v>7771</v>
      </c>
      <c r="F35" s="61" t="s">
        <v>5632</v>
      </c>
      <c r="G35" s="113" t="str">
        <f t="array" ref="G35">XLOOKUP(C35,'Off-Boarding'!B:B,'Off-Boarding'!E:E)</f>
        <v>Suspend</v>
      </c>
    </row>
    <row r="36" hidden="1">
      <c r="A36" s="61" t="s">
        <v>4687</v>
      </c>
      <c r="B36" s="61"/>
      <c r="C36" s="61" t="s">
        <v>2244</v>
      </c>
      <c r="D36" s="406">
        <v>45912.20759905633</v>
      </c>
      <c r="E36" s="61" t="s">
        <v>7771</v>
      </c>
      <c r="F36" s="61" t="s">
        <v>5632</v>
      </c>
      <c r="G36" s="113" t="str">
        <f t="array" ref="G36">XLOOKUP(C36,'Off-Boarding'!B:B,'Off-Boarding'!E:E)</f>
        <v>Suspend</v>
      </c>
    </row>
    <row r="37" hidden="1">
      <c r="A37" s="61" t="s">
        <v>1952</v>
      </c>
      <c r="B37" s="61"/>
      <c r="C37" s="61" t="s">
        <v>1953</v>
      </c>
      <c r="D37" s="406">
        <v>45915.39887621362</v>
      </c>
      <c r="E37" s="61" t="s">
        <v>7771</v>
      </c>
      <c r="F37" s="61" t="s">
        <v>5632</v>
      </c>
      <c r="G37" s="113" t="str">
        <f t="array" ref="G37">XLOOKUP(C37,'Off-Boarding'!B:B,'Off-Boarding'!E:E)</f>
        <v>Suspend</v>
      </c>
    </row>
    <row r="38">
      <c r="A38" s="61" t="s">
        <v>1113</v>
      </c>
      <c r="B38" s="61" t="s">
        <v>7772</v>
      </c>
      <c r="C38" s="61" t="s">
        <v>1114</v>
      </c>
      <c r="D38" s="406">
        <v>45910.291022409874</v>
      </c>
      <c r="E38" s="61" t="s">
        <v>7771</v>
      </c>
      <c r="F38" s="61" t="s">
        <v>5632</v>
      </c>
      <c r="G38" s="407" t="str">
        <f t="array" ref="G38">XLOOKUP(C38,'Off-Boarding'!B:B,'Off-Boarding'!E:E)</f>
        <v>Suspend</v>
      </c>
    </row>
    <row r="39" hidden="1">
      <c r="A39" s="61" t="s">
        <v>2594</v>
      </c>
      <c r="B39" s="61"/>
      <c r="C39" s="61" t="s">
        <v>2595</v>
      </c>
      <c r="D39" s="406">
        <v>45916.308314854825</v>
      </c>
      <c r="E39" s="61" t="s">
        <v>7771</v>
      </c>
      <c r="F39" s="61" t="s">
        <v>5632</v>
      </c>
      <c r="G39" s="407" t="str">
        <f t="array" ref="G39">XLOOKUP(C39,'Off-Boarding'!B:B,'Off-Boarding'!E:E)</f>
        <v>Suspend</v>
      </c>
    </row>
    <row r="40">
      <c r="A40" s="61" t="s">
        <v>2924</v>
      </c>
      <c r="B40" s="61" t="s">
        <v>7772</v>
      </c>
      <c r="C40" s="61" t="s">
        <v>2925</v>
      </c>
      <c r="D40" s="406">
        <v>45915.29165644897</v>
      </c>
      <c r="E40" s="61" t="s">
        <v>7771</v>
      </c>
      <c r="F40" s="61" t="s">
        <v>5632</v>
      </c>
      <c r="G40" s="407" t="str">
        <f t="array" ref="G40">XLOOKUP(C40,'Off-Boarding'!B:B,'Off-Boarding'!E:E)</f>
        <v>Suspend</v>
      </c>
    </row>
    <row r="41">
      <c r="A41" s="61" t="s">
        <v>175</v>
      </c>
      <c r="B41" s="61" t="s">
        <v>7772</v>
      </c>
      <c r="C41" s="61" t="s">
        <v>176</v>
      </c>
      <c r="D41" s="406">
        <v>45702.373905329754</v>
      </c>
      <c r="E41" s="61" t="s">
        <v>7771</v>
      </c>
      <c r="F41" s="61" t="s">
        <v>5632</v>
      </c>
      <c r="G41" s="407" t="str">
        <f t="array" ref="G41">XLOOKUP(C41,'Off-Boarding'!B:B,'Off-Boarding'!E:E)</f>
        <v>Suspend</v>
      </c>
    </row>
    <row r="42" hidden="1">
      <c r="A42" s="61" t="s">
        <v>2629</v>
      </c>
      <c r="B42" s="61"/>
      <c r="C42" s="61" t="s">
        <v>2630</v>
      </c>
      <c r="D42" s="406">
        <v>45915.57141570155</v>
      </c>
      <c r="E42" s="61" t="s">
        <v>7771</v>
      </c>
      <c r="F42" s="61" t="s">
        <v>5632</v>
      </c>
      <c r="G42" s="407" t="str">
        <f t="array" ref="G42">XLOOKUP(C42,'Off-Boarding'!B:B,'Off-Boarding'!E:E)</f>
        <v>Suspend</v>
      </c>
    </row>
    <row r="43" hidden="1">
      <c r="A43" s="61" t="s">
        <v>1990</v>
      </c>
      <c r="B43" s="61"/>
      <c r="C43" s="61" t="s">
        <v>1991</v>
      </c>
      <c r="D43" s="406">
        <v>45916.28432995733</v>
      </c>
      <c r="E43" s="61" t="s">
        <v>7771</v>
      </c>
      <c r="F43" s="61" t="s">
        <v>5632</v>
      </c>
      <c r="G43" s="113" t="str">
        <f t="array" ref="G43">XLOOKUP(C43,'Off-Boarding'!B:B,'Off-Boarding'!E:E)</f>
        <v>Suspend</v>
      </c>
    </row>
    <row r="44" hidden="1">
      <c r="A44" s="61" t="s">
        <v>4276</v>
      </c>
      <c r="B44" s="61"/>
      <c r="C44" s="61" t="s">
        <v>2519</v>
      </c>
      <c r="D44" s="406">
        <v>45900.33154329848</v>
      </c>
      <c r="E44" s="61" t="s">
        <v>7771</v>
      </c>
      <c r="F44" s="61" t="s">
        <v>5632</v>
      </c>
      <c r="G44" s="407" t="str">
        <f t="array" ref="G44">XLOOKUP(C44,'Off-Boarding'!B:B,'Off-Boarding'!E:E)</f>
        <v>Suspend</v>
      </c>
    </row>
    <row r="45" hidden="1">
      <c r="A45" s="61" t="s">
        <v>2801</v>
      </c>
      <c r="B45" s="61"/>
      <c r="C45" s="61" t="s">
        <v>2802</v>
      </c>
      <c r="D45" s="406">
        <v>45828.73933758032</v>
      </c>
      <c r="E45" s="61" t="s">
        <v>7771</v>
      </c>
      <c r="F45" s="61" t="s">
        <v>5632</v>
      </c>
      <c r="G45" s="113" t="str">
        <f t="array" ref="G45">XLOOKUP(C45,'Off-Boarding'!B:B,'Off-Boarding'!E:E)</f>
        <v>Suspend</v>
      </c>
    </row>
    <row r="46" hidden="1">
      <c r="A46" s="61" t="s">
        <v>2751</v>
      </c>
      <c r="B46" s="61"/>
      <c r="C46" s="61" t="s">
        <v>2752</v>
      </c>
      <c r="D46" s="406">
        <v>45908.56060639044</v>
      </c>
      <c r="E46" s="61" t="s">
        <v>7771</v>
      </c>
      <c r="F46" s="61" t="s">
        <v>5632</v>
      </c>
      <c r="G46" s="113" t="str">
        <f t="array" ref="G46">XLOOKUP(C46,'Off-Boarding'!B:B,'Off-Boarding'!E:E)</f>
        <v>Suspend</v>
      </c>
    </row>
    <row r="47" hidden="1">
      <c r="A47" s="61" t="s">
        <v>1974</v>
      </c>
      <c r="B47" s="61"/>
      <c r="C47" s="61" t="s">
        <v>1061</v>
      </c>
      <c r="D47" s="406">
        <v>45904.41203670162</v>
      </c>
      <c r="E47" s="61" t="s">
        <v>7771</v>
      </c>
      <c r="F47" s="61" t="s">
        <v>5632</v>
      </c>
      <c r="G47" s="113" t="str">
        <f t="array" ref="G47">XLOOKUP(C47,'Off-Boarding'!B:B,'Off-Boarding'!E:E)</f>
        <v>#N/A</v>
      </c>
    </row>
    <row r="48">
      <c r="A48" s="61" t="s">
        <v>1143</v>
      </c>
      <c r="B48" s="61" t="s">
        <v>7772</v>
      </c>
      <c r="C48" s="61" t="s">
        <v>1144</v>
      </c>
      <c r="D48" s="406">
        <v>45888.45988279054</v>
      </c>
      <c r="E48" s="61" t="s">
        <v>7771</v>
      </c>
      <c r="F48" s="61" t="s">
        <v>5632</v>
      </c>
      <c r="G48" s="407" t="str">
        <f t="array" ref="G48">XLOOKUP(C48,'Off-Boarding'!B:B,'Off-Boarding'!E:E)</f>
        <v>Suspend</v>
      </c>
    </row>
    <row r="49">
      <c r="A49" s="61" t="s">
        <v>2958</v>
      </c>
      <c r="B49" s="61" t="s">
        <v>7772</v>
      </c>
      <c r="C49" s="61" t="s">
        <v>2959</v>
      </c>
      <c r="D49" s="406">
        <v>45856.452383817144</v>
      </c>
      <c r="E49" s="61" t="s">
        <v>7771</v>
      </c>
      <c r="F49" s="61" t="s">
        <v>5632</v>
      </c>
      <c r="G49" s="407" t="str">
        <f t="array" ref="G49">XLOOKUP(C49,'Off-Boarding'!B:B,'Off-Boarding'!E:E)</f>
        <v>Suspend</v>
      </c>
    </row>
    <row r="50">
      <c r="A50" s="61" t="s">
        <v>7779</v>
      </c>
      <c r="B50" s="61" t="s">
        <v>7772</v>
      </c>
      <c r="C50" s="61" t="s">
        <v>3064</v>
      </c>
      <c r="D50" s="406">
        <v>45911.47578264911</v>
      </c>
      <c r="E50" s="61" t="s">
        <v>7771</v>
      </c>
      <c r="F50" s="61" t="s">
        <v>5632</v>
      </c>
      <c r="G50" s="407" t="str">
        <f t="array" ref="G50">XLOOKUP(C50,'Off-Boarding'!B:B,'Off-Boarding'!E:E)</f>
        <v>Suspend</v>
      </c>
    </row>
    <row r="51">
      <c r="A51" s="61" t="s">
        <v>1154</v>
      </c>
      <c r="B51" s="61" t="s">
        <v>7772</v>
      </c>
      <c r="C51" s="61" t="s">
        <v>1155</v>
      </c>
      <c r="D51" s="406">
        <v>45897.50100565716</v>
      </c>
      <c r="E51" s="61" t="s">
        <v>7771</v>
      </c>
      <c r="F51" s="61" t="s">
        <v>5632</v>
      </c>
      <c r="G51" s="407" t="str">
        <f t="array" ref="G51">XLOOKUP(C51,'Off-Boarding'!B:B,'Off-Boarding'!E:E)</f>
        <v>Suspend</v>
      </c>
    </row>
    <row r="52">
      <c r="A52" s="61" t="s">
        <v>1157</v>
      </c>
      <c r="B52" s="61" t="s">
        <v>7772</v>
      </c>
      <c r="C52" s="61" t="s">
        <v>1158</v>
      </c>
      <c r="D52" s="406">
        <v>45835.56601120959</v>
      </c>
      <c r="E52" s="61" t="s">
        <v>5632</v>
      </c>
      <c r="F52" s="61" t="s">
        <v>5632</v>
      </c>
      <c r="G52" s="407" t="str">
        <f t="array" ref="G52">XLOOKUP(C52,'Off-Boarding'!B:B,'Off-Boarding'!E:E)</f>
        <v>Suspend</v>
      </c>
    </row>
    <row r="53" hidden="1">
      <c r="A53" s="61" t="s">
        <v>2531</v>
      </c>
      <c r="B53" s="61"/>
      <c r="C53" s="61" t="s">
        <v>2532</v>
      </c>
      <c r="D53" s="406">
        <v>45915.66908807232</v>
      </c>
      <c r="E53" s="61" t="s">
        <v>7771</v>
      </c>
      <c r="F53" s="61" t="s">
        <v>5632</v>
      </c>
      <c r="G53" s="407" t="str">
        <f t="array" ref="G53">XLOOKUP(C53,'Off-Boarding'!B:B,'Off-Boarding'!E:E)</f>
        <v>Suspend</v>
      </c>
    </row>
    <row r="54">
      <c r="A54" s="61" t="s">
        <v>7780</v>
      </c>
      <c r="B54" s="61" t="s">
        <v>7772</v>
      </c>
      <c r="C54" s="61" t="s">
        <v>2923</v>
      </c>
      <c r="D54" s="406">
        <v>45908.47472879638</v>
      </c>
      <c r="E54" s="61" t="s">
        <v>7771</v>
      </c>
      <c r="F54" s="61" t="s">
        <v>5632</v>
      </c>
      <c r="G54" s="407" t="str">
        <f t="array" ref="G54">XLOOKUP(C54,'Off-Boarding'!B:B,'Off-Boarding'!E:E)</f>
        <v>Suspend</v>
      </c>
    </row>
    <row r="55" hidden="1">
      <c r="A55" s="61" t="s">
        <v>1882</v>
      </c>
      <c r="B55" s="61"/>
      <c r="C55" s="61" t="s">
        <v>1883</v>
      </c>
      <c r="D55" s="406">
        <v>45916.1794532169</v>
      </c>
      <c r="E55" s="61" t="s">
        <v>7771</v>
      </c>
      <c r="F55" s="61" t="s">
        <v>5632</v>
      </c>
      <c r="G55" s="113" t="str">
        <f t="array" ref="G55">XLOOKUP(C55,'Off-Boarding'!B:B,'Off-Boarding'!E:E)</f>
        <v>#N/A</v>
      </c>
    </row>
    <row r="56" hidden="1">
      <c r="A56" s="61" t="s">
        <v>2571</v>
      </c>
      <c r="B56" s="61"/>
      <c r="C56" s="61" t="s">
        <v>2572</v>
      </c>
      <c r="D56" s="406">
        <v>45913.5434229323</v>
      </c>
      <c r="E56" s="61" t="s">
        <v>7771</v>
      </c>
      <c r="F56" s="61" t="s">
        <v>5632</v>
      </c>
      <c r="G56" s="113" t="str">
        <f t="array" ref="G56">XLOOKUP(C56,'Off-Boarding'!B:B,'Off-Boarding'!E:E)</f>
        <v>Suspend</v>
      </c>
    </row>
    <row r="57" hidden="1">
      <c r="A57" s="61" t="s">
        <v>4621</v>
      </c>
      <c r="B57" s="61"/>
      <c r="C57" s="61" t="s">
        <v>2612</v>
      </c>
      <c r="D57" s="406">
        <v>45916.220499145726</v>
      </c>
      <c r="E57" s="61" t="s">
        <v>7771</v>
      </c>
      <c r="F57" s="61" t="s">
        <v>5632</v>
      </c>
      <c r="G57" s="113" t="str">
        <f t="array" ref="G57">XLOOKUP(C57,'Off-Boarding'!B:B,'Off-Boarding'!E:E)</f>
        <v>Suspend</v>
      </c>
    </row>
    <row r="58" hidden="1">
      <c r="A58" s="61" t="s">
        <v>7781</v>
      </c>
      <c r="B58" s="61"/>
      <c r="C58" s="61" t="s">
        <v>2692</v>
      </c>
      <c r="D58" s="406">
        <v>45915.32938383982</v>
      </c>
      <c r="E58" s="61" t="s">
        <v>7771</v>
      </c>
      <c r="F58" s="61" t="s">
        <v>5632</v>
      </c>
      <c r="G58" s="113" t="str">
        <f t="array" ref="G58">XLOOKUP(C58,'Off-Boarding'!B:B,'Off-Boarding'!E:E)</f>
        <v>#N/A</v>
      </c>
    </row>
    <row r="59">
      <c r="A59" s="61" t="s">
        <v>1179</v>
      </c>
      <c r="B59" s="61" t="s">
        <v>7772</v>
      </c>
      <c r="C59" s="61" t="s">
        <v>1180</v>
      </c>
      <c r="D59" s="406">
        <v>45895.29330673189</v>
      </c>
      <c r="E59" s="61" t="s">
        <v>7771</v>
      </c>
      <c r="F59" s="61" t="s">
        <v>5632</v>
      </c>
      <c r="G59" s="407" t="str">
        <f t="array" ref="G59">XLOOKUP(C59,'Off-Boarding'!B:B,'Off-Boarding'!E:E)</f>
        <v>Suspend</v>
      </c>
    </row>
    <row r="60">
      <c r="A60" s="61" t="s">
        <v>261</v>
      </c>
      <c r="B60" s="61" t="s">
        <v>7772</v>
      </c>
      <c r="C60" s="61" t="s">
        <v>262</v>
      </c>
      <c r="D60" s="406">
        <v>45805.63725211468</v>
      </c>
      <c r="E60" s="61" t="s">
        <v>7771</v>
      </c>
      <c r="F60" s="61" t="s">
        <v>5632</v>
      </c>
      <c r="G60" s="407" t="str">
        <f t="array" ref="G60">XLOOKUP(C60,'Off-Boarding'!B:B,'Off-Boarding'!E:E)</f>
        <v>Suspend</v>
      </c>
    </row>
    <row r="61" hidden="1">
      <c r="A61" s="61" t="s">
        <v>4408</v>
      </c>
      <c r="B61" s="61"/>
      <c r="C61" s="61" t="s">
        <v>2367</v>
      </c>
      <c r="D61" s="406">
        <v>45916.28766175706</v>
      </c>
      <c r="E61" s="61" t="s">
        <v>7771</v>
      </c>
      <c r="F61" s="61" t="s">
        <v>5632</v>
      </c>
      <c r="G61" s="407" t="str">
        <f t="array" ref="G61">XLOOKUP(C61,'Off-Boarding'!B:B,'Off-Boarding'!E:E)</f>
        <v>Suspend</v>
      </c>
    </row>
    <row r="62" hidden="1">
      <c r="A62" s="61" t="s">
        <v>2415</v>
      </c>
      <c r="B62" s="61"/>
      <c r="C62" s="61" t="s">
        <v>2416</v>
      </c>
      <c r="D62" s="406">
        <v>45907.99665529573</v>
      </c>
      <c r="E62" s="61" t="s">
        <v>7771</v>
      </c>
      <c r="F62" s="61" t="s">
        <v>5632</v>
      </c>
      <c r="G62" s="113" t="str">
        <f t="array" ref="G62">XLOOKUP(C62,'Off-Boarding'!B:B,'Off-Boarding'!E:E)</f>
        <v>Suspend</v>
      </c>
    </row>
    <row r="63" hidden="1">
      <c r="A63" s="61" t="s">
        <v>273</v>
      </c>
      <c r="B63" s="61"/>
      <c r="C63" s="61" t="s">
        <v>2382</v>
      </c>
      <c r="D63" s="406">
        <v>45915.80827603792</v>
      </c>
      <c r="E63" s="61" t="s">
        <v>7771</v>
      </c>
      <c r="F63" s="61" t="s">
        <v>5632</v>
      </c>
      <c r="G63" s="113" t="str">
        <f t="array" ref="G63">XLOOKUP(C63,'Off-Boarding'!B:B,'Off-Boarding'!E:E)</f>
        <v>Suspend</v>
      </c>
    </row>
    <row r="64" hidden="1">
      <c r="A64" s="61" t="s">
        <v>277</v>
      </c>
      <c r="B64" s="61"/>
      <c r="C64" s="61" t="s">
        <v>278</v>
      </c>
      <c r="D64" s="406">
        <v>44915.52404503749</v>
      </c>
      <c r="E64" s="61" t="s">
        <v>7771</v>
      </c>
      <c r="F64" s="61" t="s">
        <v>5632</v>
      </c>
      <c r="G64" s="113" t="str">
        <f t="array" ref="G64">XLOOKUP(C64,'Off-Boarding'!B:B,'Off-Boarding'!E:E)</f>
        <v>#N/A</v>
      </c>
    </row>
    <row r="65" hidden="1">
      <c r="A65" s="61" t="s">
        <v>1201</v>
      </c>
      <c r="B65" s="61"/>
      <c r="C65" s="61" t="s">
        <v>1202</v>
      </c>
      <c r="D65" s="406">
        <v>45915.58827037567</v>
      </c>
      <c r="E65" s="61" t="s">
        <v>7771</v>
      </c>
      <c r="F65" s="61" t="s">
        <v>5632</v>
      </c>
      <c r="G65" s="407" t="str">
        <f t="array" ref="G65">XLOOKUP(C65,'Off-Boarding'!B:B,'Off-Boarding'!E:E)</f>
        <v>Suspend</v>
      </c>
    </row>
    <row r="66">
      <c r="A66" s="61" t="s">
        <v>275</v>
      </c>
      <c r="B66" s="61" t="s">
        <v>7772</v>
      </c>
      <c r="C66" s="61" t="s">
        <v>1198</v>
      </c>
      <c r="D66" s="406">
        <v>45911.41403923812</v>
      </c>
      <c r="E66" s="61" t="s">
        <v>7771</v>
      </c>
      <c r="F66" s="61" t="s">
        <v>5632</v>
      </c>
      <c r="G66" s="407" t="str">
        <f t="array" ref="G66">XLOOKUP(C66,'Off-Boarding'!B:B,'Off-Boarding'!E:E)</f>
        <v>Suspend</v>
      </c>
    </row>
    <row r="67">
      <c r="A67" s="61" t="s">
        <v>1193</v>
      </c>
      <c r="B67" s="61" t="s">
        <v>7772</v>
      </c>
      <c r="C67" s="61" t="s">
        <v>1194</v>
      </c>
      <c r="D67" s="406">
        <v>45905.31161059558</v>
      </c>
      <c r="E67" s="61" t="s">
        <v>7771</v>
      </c>
      <c r="F67" s="61" t="s">
        <v>5632</v>
      </c>
      <c r="G67" s="407" t="str">
        <f t="array" ref="G67">XLOOKUP(C67,'Off-Boarding'!B:B,'Off-Boarding'!E:E)</f>
        <v>Suspend</v>
      </c>
    </row>
    <row r="68" hidden="1">
      <c r="A68" s="61" t="s">
        <v>6979</v>
      </c>
      <c r="B68" s="61"/>
      <c r="C68" s="61" t="s">
        <v>284</v>
      </c>
      <c r="D68" s="406">
        <v>45373.3201668918</v>
      </c>
      <c r="E68" s="61" t="s">
        <v>7771</v>
      </c>
      <c r="F68" s="61" t="s">
        <v>5632</v>
      </c>
      <c r="G68" s="113" t="str">
        <f t="array" ref="G68">XLOOKUP(C68,'Off-Boarding'!B:B,'Off-Boarding'!E:E)</f>
        <v>#N/A</v>
      </c>
    </row>
    <row r="69" hidden="1">
      <c r="A69" s="61" t="s">
        <v>2891</v>
      </c>
      <c r="B69" s="61"/>
      <c r="C69" s="61" t="s">
        <v>2892</v>
      </c>
      <c r="D69" s="406">
        <v>45915.410191737734</v>
      </c>
      <c r="E69" s="61" t="s">
        <v>7771</v>
      </c>
      <c r="F69" s="61" t="s">
        <v>5632</v>
      </c>
      <c r="G69" s="113" t="str">
        <f t="array" ref="G69">XLOOKUP(C69,'Off-Boarding'!B:B,'Off-Boarding'!E:E)</f>
        <v>Suspend</v>
      </c>
    </row>
    <row r="70" hidden="1">
      <c r="A70" s="61" t="s">
        <v>7655</v>
      </c>
      <c r="B70" s="61"/>
      <c r="C70" s="61" t="s">
        <v>2067</v>
      </c>
      <c r="D70" s="406">
        <v>45916.003523119536</v>
      </c>
      <c r="E70" s="61" t="s">
        <v>7771</v>
      </c>
      <c r="F70" s="61" t="s">
        <v>5632</v>
      </c>
      <c r="G70" s="113" t="str">
        <f t="array" ref="G70">XLOOKUP(C70,'Off-Boarding'!B:B,'Off-Boarding'!E:E)</f>
        <v>#N/A</v>
      </c>
    </row>
    <row r="71">
      <c r="A71" s="61" t="s">
        <v>1221</v>
      </c>
      <c r="B71" s="61" t="s">
        <v>7772</v>
      </c>
      <c r="C71" s="61" t="s">
        <v>1222</v>
      </c>
      <c r="D71" s="406">
        <v>45890.60413696677</v>
      </c>
      <c r="E71" s="61" t="s">
        <v>7771</v>
      </c>
      <c r="F71" s="61" t="s">
        <v>5632</v>
      </c>
      <c r="G71" s="407" t="str">
        <f t="array" ref="G71">XLOOKUP(C71,'Off-Boarding'!B:B,'Off-Boarding'!E:E)</f>
        <v>Suspend</v>
      </c>
    </row>
    <row r="72">
      <c r="A72" s="61" t="s">
        <v>289</v>
      </c>
      <c r="B72" s="61" t="s">
        <v>7772</v>
      </c>
      <c r="C72" s="61" t="s">
        <v>290</v>
      </c>
      <c r="D72" s="406">
        <v>45782.5145369328</v>
      </c>
      <c r="E72" s="61" t="s">
        <v>7771</v>
      </c>
      <c r="F72" s="61" t="s">
        <v>5632</v>
      </c>
      <c r="G72" s="407" t="str">
        <f t="array" ref="G72">XLOOKUP(C72,'Off-Boarding'!B:B,'Off-Boarding'!E:E)</f>
        <v>Suspend</v>
      </c>
    </row>
    <row r="73">
      <c r="A73" s="61" t="s">
        <v>7782</v>
      </c>
      <c r="B73" s="61" t="s">
        <v>7772</v>
      </c>
      <c r="C73" s="61" t="s">
        <v>2938</v>
      </c>
      <c r="D73" s="406">
        <v>45863.338657384214</v>
      </c>
      <c r="E73" s="61" t="s">
        <v>7771</v>
      </c>
      <c r="F73" s="61" t="s">
        <v>5632</v>
      </c>
      <c r="G73" s="407" t="str">
        <f t="array" ref="G73">XLOOKUP(C73,'Off-Boarding'!B:B,'Off-Boarding'!E:E)</f>
        <v>Suspend</v>
      </c>
    </row>
    <row r="74" hidden="1">
      <c r="A74" s="61" t="s">
        <v>1970</v>
      </c>
      <c r="B74" s="61"/>
      <c r="C74" s="61" t="s">
        <v>1971</v>
      </c>
      <c r="D74" s="406">
        <v>45911.84210258282</v>
      </c>
      <c r="E74" s="61" t="s">
        <v>7771</v>
      </c>
      <c r="F74" s="61" t="s">
        <v>5632</v>
      </c>
      <c r="G74" s="113" t="str">
        <f t="array" ref="G74">XLOOKUP(C74,'Off-Boarding'!B:B,'Off-Boarding'!E:E)</f>
        <v>#N/A</v>
      </c>
    </row>
    <row r="75" hidden="1">
      <c r="A75" s="61" t="s">
        <v>2081</v>
      </c>
      <c r="B75" s="61"/>
      <c r="C75" s="61" t="s">
        <v>1479</v>
      </c>
      <c r="D75" s="406">
        <v>45916.25424386654</v>
      </c>
      <c r="E75" s="61" t="s">
        <v>7771</v>
      </c>
      <c r="F75" s="61" t="s">
        <v>5632</v>
      </c>
      <c r="G75" s="113" t="str">
        <f t="array" ref="G75">XLOOKUP(C75,'Off-Boarding'!B:B,'Off-Boarding'!E:E)</f>
        <v>Suspend</v>
      </c>
    </row>
    <row r="76">
      <c r="A76" s="61" t="s">
        <v>3072</v>
      </c>
      <c r="B76" s="61" t="s">
        <v>7772</v>
      </c>
      <c r="C76" s="61" t="s">
        <v>3073</v>
      </c>
      <c r="D76" s="406">
        <v>45904.348773917845</v>
      </c>
      <c r="E76" s="61" t="s">
        <v>7771</v>
      </c>
      <c r="F76" s="61" t="s">
        <v>5632</v>
      </c>
      <c r="G76" s="407" t="str">
        <f t="array" ref="G76">XLOOKUP(C76,'Off-Boarding'!B:B,'Off-Boarding'!E:E)</f>
        <v>Suspend</v>
      </c>
    </row>
    <row r="77" hidden="1">
      <c r="A77" s="61" t="s">
        <v>4089</v>
      </c>
      <c r="B77" s="61"/>
      <c r="C77" s="61" t="s">
        <v>2278</v>
      </c>
      <c r="D77" s="406">
        <v>45915.847247487996</v>
      </c>
      <c r="E77" s="61" t="s">
        <v>7771</v>
      </c>
      <c r="F77" s="61" t="s">
        <v>5632</v>
      </c>
      <c r="G77" s="113" t="str">
        <f t="array" ref="G77">XLOOKUP(C77,'Off-Boarding'!B:B,'Off-Boarding'!E:E)</f>
        <v>#N/A</v>
      </c>
    </row>
    <row r="78" hidden="1">
      <c r="A78" s="61" t="s">
        <v>1250</v>
      </c>
      <c r="B78" s="61"/>
      <c r="C78" s="61" t="s">
        <v>1251</v>
      </c>
      <c r="D78" s="406">
        <v>45916.25468479431</v>
      </c>
      <c r="E78" s="61" t="s">
        <v>7771</v>
      </c>
      <c r="F78" s="61" t="s">
        <v>5632</v>
      </c>
      <c r="G78" s="407" t="str">
        <f t="array" ref="G78">XLOOKUP(C78,'Off-Boarding'!B:B,'Off-Boarding'!E:E)</f>
        <v>Suspend</v>
      </c>
    </row>
    <row r="79">
      <c r="A79" s="61" t="s">
        <v>1254</v>
      </c>
      <c r="B79" s="61" t="s">
        <v>7773</v>
      </c>
      <c r="C79" s="61" t="s">
        <v>1255</v>
      </c>
      <c r="D79" s="406">
        <v>45910.172492486075</v>
      </c>
      <c r="E79" s="61" t="s">
        <v>7771</v>
      </c>
      <c r="F79" s="61" t="s">
        <v>5632</v>
      </c>
      <c r="G79" s="407" t="str">
        <f t="array" ref="G79">XLOOKUP(C79,'Off-Boarding'!B:B,'Off-Boarding'!E:E)</f>
        <v>Suspend</v>
      </c>
    </row>
    <row r="80" hidden="1">
      <c r="A80" s="61" t="s">
        <v>2859</v>
      </c>
      <c r="B80" s="61"/>
      <c r="C80" s="61" t="s">
        <v>2860</v>
      </c>
      <c r="D80" s="406">
        <v>45915.440971387034</v>
      </c>
      <c r="E80" s="61" t="s">
        <v>7771</v>
      </c>
      <c r="F80" s="61" t="s">
        <v>5632</v>
      </c>
      <c r="G80" s="407" t="str">
        <f t="array" ref="G80">XLOOKUP(C80,'Off-Boarding'!B:B,'Off-Boarding'!E:E)</f>
        <v>Suspend</v>
      </c>
    </row>
    <row r="81" hidden="1">
      <c r="A81" s="61" t="s">
        <v>2624</v>
      </c>
      <c r="B81" s="61"/>
      <c r="C81" s="61" t="s">
        <v>2625</v>
      </c>
      <c r="D81" s="406">
        <v>45915.51817967227</v>
      </c>
      <c r="E81" s="61" t="s">
        <v>7771</v>
      </c>
      <c r="F81" s="61" t="s">
        <v>5632</v>
      </c>
      <c r="G81" s="113" t="str">
        <f t="array" ref="G81">XLOOKUP(C81,'Off-Boarding'!B:B,'Off-Boarding'!E:E)</f>
        <v>#N/A</v>
      </c>
    </row>
    <row r="82" hidden="1">
      <c r="A82" s="61" t="s">
        <v>2075</v>
      </c>
      <c r="B82" s="61"/>
      <c r="C82" s="61" t="s">
        <v>2076</v>
      </c>
      <c r="D82" s="406">
        <v>45915.877305639944</v>
      </c>
      <c r="E82" s="61" t="s">
        <v>7771</v>
      </c>
      <c r="F82" s="61" t="s">
        <v>5632</v>
      </c>
      <c r="G82" s="113" t="str">
        <f t="array" ref="G82">XLOOKUP(C82,'Off-Boarding'!B:B,'Off-Boarding'!E:E)</f>
        <v>Suspend</v>
      </c>
    </row>
    <row r="83" hidden="1">
      <c r="A83" s="61" t="s">
        <v>5015</v>
      </c>
      <c r="B83" s="61"/>
      <c r="C83" s="61" t="s">
        <v>2651</v>
      </c>
      <c r="D83" s="406">
        <v>45915.528751783226</v>
      </c>
      <c r="E83" s="61" t="s">
        <v>7771</v>
      </c>
      <c r="F83" s="61" t="s">
        <v>5632</v>
      </c>
      <c r="G83" s="407" t="str">
        <f t="array" ref="G83">XLOOKUP(C83,'Off-Boarding'!B:B,'Off-Boarding'!E:E)</f>
        <v>Suspend</v>
      </c>
    </row>
    <row r="84" hidden="1">
      <c r="A84" s="61" t="s">
        <v>1930</v>
      </c>
      <c r="B84" s="61"/>
      <c r="C84" s="61" t="s">
        <v>1931</v>
      </c>
      <c r="D84" s="406">
        <v>45894.58948219949</v>
      </c>
      <c r="E84" s="61" t="s">
        <v>7771</v>
      </c>
      <c r="F84" s="61" t="s">
        <v>5632</v>
      </c>
      <c r="G84" s="113" t="str">
        <f t="array" ref="G84">XLOOKUP(C84,'Off-Boarding'!B:B,'Off-Boarding'!E:E)</f>
        <v>Suspend</v>
      </c>
    </row>
    <row r="85">
      <c r="A85" s="61" t="s">
        <v>7783</v>
      </c>
      <c r="B85" s="61" t="s">
        <v>7773</v>
      </c>
      <c r="C85" s="61" t="s">
        <v>3170</v>
      </c>
      <c r="D85" s="406">
        <v>45901.261388759536</v>
      </c>
      <c r="E85" s="61" t="s">
        <v>7771</v>
      </c>
      <c r="F85" s="61" t="s">
        <v>5632</v>
      </c>
      <c r="G85" s="407" t="str">
        <f t="array" ref="G85">XLOOKUP(C85,'Off-Boarding'!B:B,'Off-Boarding'!E:E)</f>
        <v>Suspend</v>
      </c>
    </row>
    <row r="86" hidden="1">
      <c r="A86" s="61" t="s">
        <v>2080</v>
      </c>
      <c r="B86" s="61"/>
      <c r="C86" s="61" t="s">
        <v>1197</v>
      </c>
      <c r="D86" s="406">
        <v>45889.51747077019</v>
      </c>
      <c r="E86" s="61" t="s">
        <v>7771</v>
      </c>
      <c r="F86" s="61" t="s">
        <v>5632</v>
      </c>
      <c r="G86" s="113" t="str">
        <f t="array" ref="G86">XLOOKUP(C86,'Off-Boarding'!B:B,'Off-Boarding'!E:E)</f>
        <v>#N/A</v>
      </c>
    </row>
    <row r="87" hidden="1">
      <c r="A87" s="61" t="s">
        <v>1268</v>
      </c>
      <c r="B87" s="61"/>
      <c r="C87" s="61" t="s">
        <v>1269</v>
      </c>
      <c r="D87" s="406">
        <v>45915.2752119684</v>
      </c>
      <c r="E87" s="61" t="s">
        <v>7771</v>
      </c>
      <c r="F87" s="61" t="s">
        <v>5632</v>
      </c>
      <c r="G87" s="407" t="str">
        <f t="array" ref="G87">XLOOKUP(C87,'Off-Boarding'!B:B,'Off-Boarding'!E:E)</f>
        <v>Suspend</v>
      </c>
    </row>
    <row r="88">
      <c r="A88" s="61" t="s">
        <v>4004</v>
      </c>
      <c r="B88" s="61" t="s">
        <v>7772</v>
      </c>
      <c r="C88" s="61" t="s">
        <v>3041</v>
      </c>
      <c r="D88" s="406">
        <v>45908.95739149187</v>
      </c>
      <c r="E88" s="61" t="s">
        <v>7771</v>
      </c>
      <c r="F88" s="61" t="s">
        <v>5632</v>
      </c>
      <c r="G88" s="407" t="str">
        <f t="array" ref="G88">XLOOKUP(C88,'Off-Boarding'!B:B,'Off-Boarding'!E:E)</f>
        <v>Suspend</v>
      </c>
    </row>
    <row r="89" hidden="1">
      <c r="A89" s="61" t="s">
        <v>3031</v>
      </c>
      <c r="B89" s="61"/>
      <c r="C89" s="61" t="s">
        <v>3032</v>
      </c>
      <c r="D89" s="406">
        <v>45908.322950808295</v>
      </c>
      <c r="E89" s="61" t="s">
        <v>7771</v>
      </c>
      <c r="F89" s="61" t="s">
        <v>5632</v>
      </c>
      <c r="G89" s="407" t="str">
        <f t="array" ref="G89">XLOOKUP(C89,'Off-Boarding'!B:B,'Off-Boarding'!E:E)</f>
        <v>Suspend</v>
      </c>
    </row>
    <row r="90" hidden="1">
      <c r="A90" s="61" t="s">
        <v>2328</v>
      </c>
      <c r="B90" s="61"/>
      <c r="C90" s="61" t="s">
        <v>2329</v>
      </c>
      <c r="D90" s="406">
        <v>45915.28606704048</v>
      </c>
      <c r="E90" s="61" t="s">
        <v>7771</v>
      </c>
      <c r="F90" s="61" t="s">
        <v>5632</v>
      </c>
      <c r="G90" s="113" t="str">
        <f t="array" ref="G90">XLOOKUP(C90,'Off-Boarding'!B:B,'Off-Boarding'!E:E)</f>
        <v>Suspend</v>
      </c>
    </row>
    <row r="91">
      <c r="A91" s="61" t="s">
        <v>1280</v>
      </c>
      <c r="B91" s="61" t="s">
        <v>7772</v>
      </c>
      <c r="C91" s="61" t="s">
        <v>1281</v>
      </c>
      <c r="D91" s="406">
        <v>45847.45203714008</v>
      </c>
      <c r="E91" s="61" t="s">
        <v>7771</v>
      </c>
      <c r="F91" s="61" t="s">
        <v>5632</v>
      </c>
      <c r="G91" s="407" t="str">
        <f t="array" ref="G91">XLOOKUP(C91,'Off-Boarding'!B:B,'Off-Boarding'!E:E)</f>
        <v>Suspend</v>
      </c>
    </row>
    <row r="92" hidden="1">
      <c r="A92" s="61" t="s">
        <v>367</v>
      </c>
      <c r="B92" s="61"/>
      <c r="C92" s="61" t="s">
        <v>368</v>
      </c>
      <c r="D92" s="406">
        <v>45474.2792486282</v>
      </c>
      <c r="E92" s="61" t="s">
        <v>7771</v>
      </c>
      <c r="F92" s="61" t="s">
        <v>5632</v>
      </c>
      <c r="G92" s="113" t="str">
        <f t="array" ref="G92">XLOOKUP(C92,'Off-Boarding'!B:B,'Off-Boarding'!E:E)</f>
        <v>#N/A</v>
      </c>
    </row>
    <row r="93">
      <c r="A93" s="61" t="s">
        <v>1282</v>
      </c>
      <c r="B93" s="61" t="s">
        <v>7772</v>
      </c>
      <c r="C93" s="61" t="s">
        <v>1283</v>
      </c>
      <c r="D93" s="406">
        <v>45839.28507348637</v>
      </c>
      <c r="E93" s="61" t="s">
        <v>7771</v>
      </c>
      <c r="F93" s="61" t="s">
        <v>5632</v>
      </c>
      <c r="G93" s="407" t="str">
        <f t="array" ref="G93">XLOOKUP(C93,'Off-Boarding'!B:B,'Off-Boarding'!E:E)</f>
        <v>Suspend</v>
      </c>
    </row>
    <row r="94" hidden="1">
      <c r="A94" s="61" t="s">
        <v>7784</v>
      </c>
      <c r="B94" s="61"/>
      <c r="C94" s="61" t="s">
        <v>374</v>
      </c>
      <c r="D94" s="406">
        <v>45488.32120638243</v>
      </c>
      <c r="E94" s="61" t="s">
        <v>7771</v>
      </c>
      <c r="F94" s="61" t="s">
        <v>5632</v>
      </c>
      <c r="G94" s="113" t="str">
        <f t="array" ref="G94">XLOOKUP(C94,'Off-Boarding'!B:B,'Off-Boarding'!E:E)</f>
        <v>#N/A</v>
      </c>
    </row>
    <row r="95">
      <c r="A95" s="61" t="s">
        <v>377</v>
      </c>
      <c r="B95" s="61" t="s">
        <v>7772</v>
      </c>
      <c r="C95" s="61" t="s">
        <v>378</v>
      </c>
      <c r="D95" s="406">
        <v>45771.3830763896</v>
      </c>
      <c r="E95" s="61" t="s">
        <v>7771</v>
      </c>
      <c r="F95" s="61" t="s">
        <v>5632</v>
      </c>
      <c r="G95" s="407" t="str">
        <f t="array" ref="G95">XLOOKUP(C95,'Off-Boarding'!B:B,'Off-Boarding'!E:E)</f>
        <v>Suspend</v>
      </c>
    </row>
    <row r="96" hidden="1">
      <c r="A96" s="61" t="s">
        <v>1291</v>
      </c>
      <c r="B96" s="61"/>
      <c r="C96" s="61" t="s">
        <v>1292</v>
      </c>
      <c r="D96" s="406">
        <v>45915.57605578522</v>
      </c>
      <c r="E96" s="61" t="s">
        <v>7771</v>
      </c>
      <c r="F96" s="61" t="s">
        <v>5632</v>
      </c>
      <c r="G96" s="407" t="str">
        <f t="array" ref="G96">XLOOKUP(C96,'Off-Boarding'!B:B,'Off-Boarding'!E:E)</f>
        <v>Suspend</v>
      </c>
    </row>
    <row r="97">
      <c r="A97" s="61" t="s">
        <v>5128</v>
      </c>
      <c r="B97" s="61" t="s">
        <v>7772</v>
      </c>
      <c r="C97" s="61" t="s">
        <v>3124</v>
      </c>
      <c r="D97" s="406">
        <v>45888.30806641185</v>
      </c>
      <c r="E97" s="61" t="s">
        <v>7771</v>
      </c>
      <c r="F97" s="61" t="s">
        <v>5632</v>
      </c>
      <c r="G97" s="407" t="str">
        <f t="array" ref="G97">XLOOKUP(C97,'Off-Boarding'!B:B,'Off-Boarding'!E:E)</f>
        <v>Suspend</v>
      </c>
    </row>
    <row r="98" hidden="1">
      <c r="A98" s="61" t="s">
        <v>3038</v>
      </c>
      <c r="B98" s="61"/>
      <c r="C98" s="61" t="s">
        <v>3039</v>
      </c>
      <c r="D98" s="406">
        <v>45916.19711216441</v>
      </c>
      <c r="E98" s="61" t="s">
        <v>7771</v>
      </c>
      <c r="F98" s="61" t="s">
        <v>5632</v>
      </c>
      <c r="G98" s="113" t="str">
        <f t="array" ref="G98">XLOOKUP(C98,'Off-Boarding'!B:B,'Off-Boarding'!E:E)</f>
        <v>Suspend</v>
      </c>
    </row>
    <row r="99" hidden="1">
      <c r="A99" s="61" t="s">
        <v>7785</v>
      </c>
      <c r="B99" s="61"/>
      <c r="C99" s="61" t="s">
        <v>2808</v>
      </c>
      <c r="D99" s="406">
        <v>45880.31594642047</v>
      </c>
      <c r="E99" s="61" t="s">
        <v>7771</v>
      </c>
      <c r="F99" s="61" t="s">
        <v>5632</v>
      </c>
      <c r="G99" s="113" t="str">
        <f t="array" ref="G99">XLOOKUP(C99,'Off-Boarding'!B:B,'Off-Boarding'!E:E)</f>
        <v>Suspend</v>
      </c>
    </row>
    <row r="100" hidden="1">
      <c r="A100" s="61" t="s">
        <v>5131</v>
      </c>
      <c r="B100" s="61"/>
      <c r="C100" s="61" t="s">
        <v>2384</v>
      </c>
      <c r="D100" s="406">
        <v>45915.77276562581</v>
      </c>
      <c r="E100" s="61" t="s">
        <v>7771</v>
      </c>
      <c r="F100" s="61" t="s">
        <v>5632</v>
      </c>
      <c r="G100" s="407" t="str">
        <f t="array" ref="G100">XLOOKUP(C100,'Off-Boarding'!B:B,'Off-Boarding'!E:E)</f>
        <v>Suspend</v>
      </c>
    </row>
    <row r="101" hidden="1">
      <c r="A101" s="61" t="s">
        <v>1294</v>
      </c>
      <c r="B101" s="61"/>
      <c r="C101" s="61" t="s">
        <v>1295</v>
      </c>
      <c r="D101" s="406">
        <v>45916.30520270547</v>
      </c>
      <c r="E101" s="61" t="s">
        <v>7771</v>
      </c>
      <c r="F101" s="61" t="s">
        <v>5632</v>
      </c>
      <c r="G101" s="407" t="str">
        <f t="array" ref="G101">XLOOKUP(C101,'Off-Boarding'!B:B,'Off-Boarding'!E:E)</f>
        <v>Suspend</v>
      </c>
    </row>
    <row r="102">
      <c r="A102" s="61" t="s">
        <v>1302</v>
      </c>
      <c r="B102" s="61" t="s">
        <v>7772</v>
      </c>
      <c r="C102" s="61" t="s">
        <v>1303</v>
      </c>
      <c r="D102" s="406">
        <v>45903.19342206392</v>
      </c>
      <c r="E102" s="61" t="s">
        <v>7771</v>
      </c>
      <c r="F102" s="61" t="s">
        <v>5632</v>
      </c>
      <c r="G102" s="407" t="str">
        <f t="array" ref="G102">XLOOKUP(C102,'Off-Boarding'!B:B,'Off-Boarding'!E:E)</f>
        <v>Suspend</v>
      </c>
    </row>
    <row r="103" hidden="1">
      <c r="A103" s="61" t="s">
        <v>2126</v>
      </c>
      <c r="B103" s="61"/>
      <c r="C103" s="61" t="s">
        <v>2127</v>
      </c>
      <c r="D103" s="406">
        <v>45915.866008490426</v>
      </c>
      <c r="E103" s="61" t="s">
        <v>7771</v>
      </c>
      <c r="F103" s="61" t="s">
        <v>5632</v>
      </c>
      <c r="G103" s="113" t="str">
        <f t="array" ref="G103">XLOOKUP(C103,'Off-Boarding'!B:B,'Off-Boarding'!E:E)</f>
        <v>Suspend</v>
      </c>
    </row>
    <row r="104" hidden="1">
      <c r="A104" s="61" t="s">
        <v>1329</v>
      </c>
      <c r="B104" s="61"/>
      <c r="C104" s="61" t="s">
        <v>1330</v>
      </c>
      <c r="D104" s="406">
        <v>45915.79648153876</v>
      </c>
      <c r="E104" s="61" t="s">
        <v>7771</v>
      </c>
      <c r="F104" s="61" t="s">
        <v>5632</v>
      </c>
      <c r="G104" s="407" t="str">
        <f t="array" ref="G104">XLOOKUP(C104,'Off-Boarding'!B:B,'Off-Boarding'!E:E)</f>
        <v>Suspend</v>
      </c>
    </row>
    <row r="105">
      <c r="A105" s="61" t="s">
        <v>7786</v>
      </c>
      <c r="B105" s="61" t="s">
        <v>7772</v>
      </c>
      <c r="C105" s="61" t="s">
        <v>1333</v>
      </c>
      <c r="D105" s="406">
        <v>45798.406017042325</v>
      </c>
      <c r="E105" s="61" t="s">
        <v>7771</v>
      </c>
      <c r="F105" s="61" t="s">
        <v>5632</v>
      </c>
      <c r="G105" s="407" t="str">
        <f t="array" ref="G105">XLOOKUP(C105,'Off-Boarding'!B:B,'Off-Boarding'!E:E)</f>
        <v>Suspend</v>
      </c>
    </row>
    <row r="106">
      <c r="A106" s="61" t="s">
        <v>407</v>
      </c>
      <c r="B106" s="61" t="s">
        <v>7772</v>
      </c>
      <c r="C106" s="61" t="s">
        <v>408</v>
      </c>
      <c r="D106" s="406">
        <v>45715.38904876465</v>
      </c>
      <c r="E106" s="61" t="s">
        <v>7771</v>
      </c>
      <c r="F106" s="61" t="s">
        <v>5632</v>
      </c>
      <c r="G106" s="407" t="str">
        <f t="array" ref="G106">XLOOKUP(C106,'Off-Boarding'!B:B,'Off-Boarding'!E:E)</f>
        <v>Suspend</v>
      </c>
    </row>
    <row r="107" hidden="1">
      <c r="A107" s="61" t="s">
        <v>5006</v>
      </c>
      <c r="B107" s="61"/>
      <c r="C107" s="61" t="s">
        <v>1984</v>
      </c>
      <c r="D107" s="406">
        <v>45915.67691361442</v>
      </c>
      <c r="E107" s="61" t="s">
        <v>7771</v>
      </c>
      <c r="F107" s="61" t="s">
        <v>5632</v>
      </c>
      <c r="G107" s="113" t="str">
        <f t="array" ref="G107">XLOOKUP(C107,'Off-Boarding'!B:B,'Off-Boarding'!E:E)</f>
        <v>Suspend</v>
      </c>
    </row>
    <row r="108" hidden="1">
      <c r="A108" s="61" t="s">
        <v>2279</v>
      </c>
      <c r="B108" s="61"/>
      <c r="C108" s="61" t="s">
        <v>1108</v>
      </c>
      <c r="D108" s="406">
        <v>45915.29497172708</v>
      </c>
      <c r="E108" s="61" t="s">
        <v>7771</v>
      </c>
      <c r="F108" s="61" t="s">
        <v>5632</v>
      </c>
      <c r="G108" s="113" t="str">
        <f t="array" ref="G108">XLOOKUP(C108,'Off-Boarding'!B:B,'Off-Boarding'!E:E)</f>
        <v>Suspend</v>
      </c>
    </row>
    <row r="109" hidden="1">
      <c r="A109" s="61" t="s">
        <v>2944</v>
      </c>
      <c r="B109" s="61"/>
      <c r="C109" s="61" t="s">
        <v>2945</v>
      </c>
      <c r="D109" s="406">
        <v>45915.247810727604</v>
      </c>
      <c r="E109" s="61" t="s">
        <v>7771</v>
      </c>
      <c r="F109" s="61" t="s">
        <v>5632</v>
      </c>
      <c r="G109" s="407" t="str">
        <f t="array" ref="G109">XLOOKUP(C109,'Off-Boarding'!B:B,'Off-Boarding'!E:E)</f>
        <v>Suspend</v>
      </c>
    </row>
    <row r="110">
      <c r="A110" s="61" t="s">
        <v>7787</v>
      </c>
      <c r="B110" s="61" t="s">
        <v>7772</v>
      </c>
      <c r="C110" s="61" t="s">
        <v>1346</v>
      </c>
      <c r="D110" s="406">
        <v>45911.25843103508</v>
      </c>
      <c r="E110" s="61" t="s">
        <v>7771</v>
      </c>
      <c r="F110" s="61" t="s">
        <v>5632</v>
      </c>
      <c r="G110" s="407" t="str">
        <f t="array" ref="G110">XLOOKUP(C110,'Off-Boarding'!B:B,'Off-Boarding'!E:E)</f>
        <v>Suspend</v>
      </c>
    </row>
    <row r="111">
      <c r="A111" s="61" t="s">
        <v>1357</v>
      </c>
      <c r="B111" s="61" t="s">
        <v>7772</v>
      </c>
      <c r="C111" s="61" t="s">
        <v>1358</v>
      </c>
      <c r="D111" s="406">
        <v>45838.418094355395</v>
      </c>
      <c r="E111" s="61" t="s">
        <v>7771</v>
      </c>
      <c r="F111" s="61" t="s">
        <v>5632</v>
      </c>
      <c r="G111" s="407" t="str">
        <f t="array" ref="G111">XLOOKUP(C111,'Off-Boarding'!B:B,'Off-Boarding'!E:E)</f>
        <v>Suspend</v>
      </c>
    </row>
    <row r="112" hidden="1">
      <c r="A112" s="61" t="s">
        <v>1994</v>
      </c>
      <c r="B112" s="61"/>
      <c r="C112" s="61" t="s">
        <v>1995</v>
      </c>
      <c r="D112" s="406">
        <v>45916.31092930645</v>
      </c>
      <c r="E112" s="61" t="s">
        <v>7771</v>
      </c>
      <c r="F112" s="61" t="s">
        <v>5632</v>
      </c>
      <c r="G112" s="113" t="str">
        <f t="array" ref="G112">XLOOKUP(C112,'Off-Boarding'!B:B,'Off-Boarding'!E:E)</f>
        <v>Suspend</v>
      </c>
    </row>
    <row r="113" hidden="1">
      <c r="A113" s="61" t="s">
        <v>2338</v>
      </c>
      <c r="B113" s="61"/>
      <c r="C113" s="61" t="s">
        <v>2339</v>
      </c>
      <c r="D113" s="406">
        <v>45914.59520873816</v>
      </c>
      <c r="E113" s="61" t="s">
        <v>7771</v>
      </c>
      <c r="F113" s="61" t="s">
        <v>5632</v>
      </c>
      <c r="G113" s="407" t="str">
        <f t="array" ref="G113">XLOOKUP(C113,'Off-Boarding'!B:B,'Off-Boarding'!E:E)</f>
        <v>Suspend</v>
      </c>
    </row>
    <row r="114" hidden="1">
      <c r="A114" s="61" t="s">
        <v>2338</v>
      </c>
      <c r="B114" s="61"/>
      <c r="C114" s="61" t="s">
        <v>7788</v>
      </c>
      <c r="D114" s="406">
        <v>45653.37168466648</v>
      </c>
      <c r="E114" s="61" t="s">
        <v>7771</v>
      </c>
      <c r="F114" s="61" t="s">
        <v>5632</v>
      </c>
      <c r="G114" s="113" t="str">
        <f t="array" ref="G114">XLOOKUP(C114,'Off-Boarding'!B:B,'Off-Boarding'!E:E)</f>
        <v>#N/A</v>
      </c>
    </row>
    <row r="115" hidden="1">
      <c r="A115" s="61" t="s">
        <v>2476</v>
      </c>
      <c r="B115" s="61"/>
      <c r="C115" s="61" t="s">
        <v>2477</v>
      </c>
      <c r="D115" s="406">
        <v>45909.238987180695</v>
      </c>
      <c r="E115" s="61" t="s">
        <v>7771</v>
      </c>
      <c r="F115" s="61" t="s">
        <v>5632</v>
      </c>
      <c r="G115" s="113" t="str">
        <f t="array" ref="G115">XLOOKUP(C115,'Off-Boarding'!B:B,'Off-Boarding'!E:E)</f>
        <v>Suspend</v>
      </c>
    </row>
    <row r="116">
      <c r="A116" s="61" t="s">
        <v>3008</v>
      </c>
      <c r="B116" s="61" t="s">
        <v>7773</v>
      </c>
      <c r="C116" s="61" t="s">
        <v>3009</v>
      </c>
      <c r="D116" s="406">
        <v>45887.54142820709</v>
      </c>
      <c r="E116" s="61" t="s">
        <v>7771</v>
      </c>
      <c r="F116" s="61" t="s">
        <v>5632</v>
      </c>
      <c r="G116" s="407" t="str">
        <f t="array" ref="G116">XLOOKUP(C116,'Off-Boarding'!B:B,'Off-Boarding'!E:E)</f>
        <v>Suspend</v>
      </c>
    </row>
    <row r="117">
      <c r="A117" s="61" t="s">
        <v>5482</v>
      </c>
      <c r="B117" s="61" t="s">
        <v>7773</v>
      </c>
      <c r="C117" s="61" t="s">
        <v>1375</v>
      </c>
      <c r="D117" s="406">
        <v>45880.49552307106</v>
      </c>
      <c r="E117" s="61" t="s">
        <v>7771</v>
      </c>
      <c r="F117" s="61" t="s">
        <v>5632</v>
      </c>
      <c r="G117" s="407" t="str">
        <f t="array" ref="G117">XLOOKUP(C117,'Off-Boarding'!B:B,'Off-Boarding'!E:E)</f>
        <v>Suspend</v>
      </c>
    </row>
    <row r="118" hidden="1">
      <c r="A118" s="61" t="s">
        <v>2795</v>
      </c>
      <c r="B118" s="61"/>
      <c r="C118" s="61" t="s">
        <v>2796</v>
      </c>
      <c r="D118" s="406">
        <v>45916.26938503494</v>
      </c>
      <c r="E118" s="61" t="s">
        <v>7771</v>
      </c>
      <c r="F118" s="61" t="s">
        <v>5632</v>
      </c>
      <c r="G118" s="113" t="str">
        <f t="array" ref="G118">XLOOKUP(C118,'Off-Boarding'!B:B,'Off-Boarding'!E:E)</f>
        <v>#N/A</v>
      </c>
    </row>
    <row r="119">
      <c r="A119" s="61" t="s">
        <v>3094</v>
      </c>
      <c r="B119" s="61" t="s">
        <v>7772</v>
      </c>
      <c r="C119" s="61" t="s">
        <v>3095</v>
      </c>
      <c r="D119" s="406">
        <v>45909.79926545244</v>
      </c>
      <c r="E119" s="61" t="s">
        <v>7771</v>
      </c>
      <c r="F119" s="61" t="s">
        <v>5632</v>
      </c>
      <c r="G119" s="407" t="str">
        <f t="array" ref="G119">XLOOKUP(C119,'Off-Boarding'!B:B,'Off-Boarding'!E:E)</f>
        <v>Suspend</v>
      </c>
    </row>
    <row r="120">
      <c r="A120" s="61" t="s">
        <v>1386</v>
      </c>
      <c r="B120" s="61" t="s">
        <v>7772</v>
      </c>
      <c r="C120" s="61" t="s">
        <v>1387</v>
      </c>
      <c r="D120" s="406">
        <v>45800.303130204884</v>
      </c>
      <c r="E120" s="61" t="s">
        <v>7771</v>
      </c>
      <c r="F120" s="61" t="s">
        <v>5632</v>
      </c>
      <c r="G120" s="407" t="str">
        <f t="array" ref="G120">XLOOKUP(C120,'Off-Boarding'!B:B,'Off-Boarding'!E:E)</f>
        <v>Suspend</v>
      </c>
    </row>
    <row r="121" hidden="1">
      <c r="A121" s="61" t="s">
        <v>5218</v>
      </c>
      <c r="B121" s="61"/>
      <c r="C121" s="61" t="s">
        <v>2102</v>
      </c>
      <c r="D121" s="406">
        <v>45914.81863441634</v>
      </c>
      <c r="E121" s="61" t="s">
        <v>7771</v>
      </c>
      <c r="F121" s="61" t="s">
        <v>5632</v>
      </c>
      <c r="G121" s="113" t="str">
        <f t="array" ref="G121">XLOOKUP(C121,'Off-Boarding'!B:B,'Off-Boarding'!E:E)</f>
        <v>Suspend</v>
      </c>
    </row>
    <row r="122">
      <c r="A122" s="61" t="s">
        <v>1391</v>
      </c>
      <c r="B122" s="61" t="s">
        <v>7772</v>
      </c>
      <c r="C122" s="61" t="s">
        <v>1392</v>
      </c>
      <c r="D122" s="406">
        <v>45889.27113222644</v>
      </c>
      <c r="E122" s="61" t="s">
        <v>7771</v>
      </c>
      <c r="F122" s="61" t="s">
        <v>5632</v>
      </c>
      <c r="G122" s="407" t="str">
        <f t="array" ref="G122">XLOOKUP(C122,'Off-Boarding'!B:B,'Off-Boarding'!E:E)</f>
        <v>Suspend</v>
      </c>
    </row>
    <row r="123" hidden="1">
      <c r="A123" s="61" t="s">
        <v>2743</v>
      </c>
      <c r="B123" s="61"/>
      <c r="C123" s="61" t="s">
        <v>2744</v>
      </c>
      <c r="D123" s="406">
        <v>45916.25479881758</v>
      </c>
      <c r="E123" s="61" t="s">
        <v>7771</v>
      </c>
      <c r="F123" s="61" t="s">
        <v>5632</v>
      </c>
      <c r="G123" s="113" t="str">
        <f t="array" ref="G123">XLOOKUP(C123,'Off-Boarding'!B:B,'Off-Boarding'!E:E)</f>
        <v>Suspend</v>
      </c>
    </row>
    <row r="124" hidden="1">
      <c r="A124" s="61" t="s">
        <v>2861</v>
      </c>
      <c r="B124" s="61"/>
      <c r="C124" s="61" t="s">
        <v>2862</v>
      </c>
      <c r="D124" s="406">
        <v>45914.61280953335</v>
      </c>
      <c r="E124" s="61" t="s">
        <v>7771</v>
      </c>
      <c r="F124" s="61" t="s">
        <v>5632</v>
      </c>
      <c r="G124" s="113" t="str">
        <f t="array" ref="G124">XLOOKUP(C124,'Off-Boarding'!B:B,'Off-Boarding'!E:E)</f>
        <v>Suspend</v>
      </c>
    </row>
    <row r="125">
      <c r="A125" s="61" t="s">
        <v>2920</v>
      </c>
      <c r="B125" s="61" t="s">
        <v>7772</v>
      </c>
      <c r="C125" s="61" t="s">
        <v>2921</v>
      </c>
      <c r="D125" s="406">
        <v>45911.78370077923</v>
      </c>
      <c r="E125" s="61" t="s">
        <v>7771</v>
      </c>
      <c r="F125" s="61" t="s">
        <v>5632</v>
      </c>
      <c r="G125" s="407" t="str">
        <f t="array" ref="G125">XLOOKUP(C125,'Off-Boarding'!B:B,'Off-Boarding'!E:E)</f>
        <v>Suspend</v>
      </c>
    </row>
    <row r="126">
      <c r="A126" s="61" t="s">
        <v>4888</v>
      </c>
      <c r="B126" s="61" t="s">
        <v>7772</v>
      </c>
      <c r="C126" s="61" t="s">
        <v>1402</v>
      </c>
      <c r="D126" s="406">
        <v>45908.699938942074</v>
      </c>
      <c r="E126" s="61" t="s">
        <v>7771</v>
      </c>
      <c r="F126" s="61" t="s">
        <v>5632</v>
      </c>
      <c r="G126" s="407" t="str">
        <f t="array" ref="G126">XLOOKUP(C126,'Off-Boarding'!B:B,'Off-Boarding'!E:E)</f>
        <v>Suspend</v>
      </c>
    </row>
    <row r="127" hidden="1">
      <c r="A127" s="61" t="s">
        <v>7789</v>
      </c>
      <c r="B127" s="61"/>
      <c r="C127" s="61" t="s">
        <v>7790</v>
      </c>
      <c r="D127" s="406">
        <v>45901.5005529245</v>
      </c>
      <c r="E127" s="61" t="s">
        <v>7771</v>
      </c>
      <c r="F127" s="61" t="s">
        <v>5632</v>
      </c>
      <c r="G127" s="113" t="str">
        <f t="array" ref="G127">XLOOKUP(C127,'Off-Boarding'!B:B,'Off-Boarding'!E:E)</f>
        <v>#N/A</v>
      </c>
    </row>
    <row r="128" hidden="1">
      <c r="A128" s="61" t="s">
        <v>3127</v>
      </c>
      <c r="B128" s="61"/>
      <c r="C128" s="61" t="s">
        <v>3128</v>
      </c>
      <c r="D128" s="406">
        <v>45916.230366100186</v>
      </c>
      <c r="E128" s="61" t="s">
        <v>7771</v>
      </c>
      <c r="F128" s="61" t="s">
        <v>5632</v>
      </c>
      <c r="G128" s="407" t="str">
        <f t="array" ref="G128">XLOOKUP(C128,'Off-Boarding'!B:B,'Off-Boarding'!E:E)</f>
        <v>Suspend</v>
      </c>
    </row>
    <row r="129">
      <c r="A129" s="61" t="s">
        <v>3061</v>
      </c>
      <c r="B129" s="61" t="s">
        <v>7772</v>
      </c>
      <c r="C129" s="61" t="s">
        <v>3062</v>
      </c>
      <c r="D129" s="406">
        <v>45907.71761769639</v>
      </c>
      <c r="E129" s="61" t="s">
        <v>7771</v>
      </c>
      <c r="F129" s="61" t="s">
        <v>5632</v>
      </c>
      <c r="G129" s="407" t="str">
        <f t="array" ref="G129">XLOOKUP(C129,'Off-Boarding'!B:B,'Off-Boarding'!E:E)</f>
        <v>Suspend</v>
      </c>
    </row>
    <row r="130">
      <c r="A130" s="61" t="s">
        <v>1406</v>
      </c>
      <c r="B130" s="61" t="s">
        <v>7772</v>
      </c>
      <c r="C130" s="61" t="s">
        <v>1407</v>
      </c>
      <c r="D130" s="406">
        <v>45891.24557086365</v>
      </c>
      <c r="E130" s="61" t="s">
        <v>7771</v>
      </c>
      <c r="F130" s="61" t="s">
        <v>5632</v>
      </c>
      <c r="G130" s="407" t="str">
        <f t="array" ref="G130">XLOOKUP(C130,'Off-Boarding'!B:B,'Off-Boarding'!E:E)</f>
        <v>Suspend</v>
      </c>
    </row>
    <row r="131">
      <c r="A131" s="61" t="s">
        <v>5534</v>
      </c>
      <c r="B131" s="61" t="s">
        <v>7772</v>
      </c>
      <c r="C131" s="61" t="s">
        <v>1413</v>
      </c>
      <c r="D131" s="406">
        <v>45909.48208519793</v>
      </c>
      <c r="E131" s="61" t="s">
        <v>7771</v>
      </c>
      <c r="F131" s="61" t="s">
        <v>5632</v>
      </c>
      <c r="G131" s="407" t="str">
        <f t="array" ref="G131">XLOOKUP(C131,'Off-Boarding'!B:B,'Off-Boarding'!E:E)</f>
        <v>Suspend</v>
      </c>
    </row>
    <row r="132">
      <c r="A132" s="61" t="s">
        <v>1426</v>
      </c>
      <c r="B132" s="61" t="s">
        <v>7772</v>
      </c>
      <c r="C132" s="61" t="s">
        <v>1427</v>
      </c>
      <c r="D132" s="406">
        <v>45784.500906791654</v>
      </c>
      <c r="E132" s="61" t="s">
        <v>7771</v>
      </c>
      <c r="F132" s="61" t="s">
        <v>5632</v>
      </c>
      <c r="G132" s="407" t="str">
        <f t="array" ref="G132">XLOOKUP(C132,'Off-Boarding'!B:B,'Off-Boarding'!E:E)</f>
        <v>Suspend</v>
      </c>
    </row>
    <row r="133">
      <c r="A133" s="61" t="s">
        <v>1430</v>
      </c>
      <c r="B133" s="61" t="s">
        <v>7772</v>
      </c>
      <c r="C133" s="61" t="s">
        <v>1431</v>
      </c>
      <c r="D133" s="406">
        <v>45890.38255801741</v>
      </c>
      <c r="E133" s="61" t="s">
        <v>7771</v>
      </c>
      <c r="F133" s="61" t="s">
        <v>5632</v>
      </c>
      <c r="G133" s="407" t="str">
        <f t="array" ref="G133">XLOOKUP(C133,'Off-Boarding'!B:B,'Off-Boarding'!E:E)</f>
        <v>Suspend</v>
      </c>
    </row>
    <row r="134">
      <c r="A134" s="61" t="s">
        <v>1433</v>
      </c>
      <c r="B134" s="61" t="s">
        <v>7772</v>
      </c>
      <c r="C134" s="61" t="s">
        <v>1434</v>
      </c>
      <c r="D134" s="406">
        <v>45911.457218058335</v>
      </c>
      <c r="E134" s="61" t="s">
        <v>7771</v>
      </c>
      <c r="F134" s="61" t="s">
        <v>5632</v>
      </c>
      <c r="G134" s="407" t="str">
        <f t="array" ref="G134">XLOOKUP(C134,'Off-Boarding'!B:B,'Off-Boarding'!E:E)</f>
        <v>Suspend</v>
      </c>
    </row>
    <row r="135">
      <c r="A135" s="61" t="s">
        <v>4291</v>
      </c>
      <c r="B135" s="61" t="s">
        <v>7772</v>
      </c>
      <c r="C135" s="61" t="s">
        <v>1436</v>
      </c>
      <c r="D135" s="406">
        <v>45896.78185297184</v>
      </c>
      <c r="E135" s="61" t="s">
        <v>7771</v>
      </c>
      <c r="F135" s="61" t="s">
        <v>5632</v>
      </c>
      <c r="G135" s="407" t="str">
        <f t="array" ref="G135">XLOOKUP(C135,'Off-Boarding'!B:B,'Off-Boarding'!E:E)</f>
        <v>Suspend</v>
      </c>
    </row>
    <row r="136">
      <c r="A136" s="61" t="s">
        <v>1440</v>
      </c>
      <c r="B136" s="61" t="s">
        <v>7772</v>
      </c>
      <c r="C136" s="61" t="s">
        <v>1441</v>
      </c>
      <c r="D136" s="406">
        <v>45887.58615591788</v>
      </c>
      <c r="E136" s="61" t="s">
        <v>7771</v>
      </c>
      <c r="F136" s="61" t="s">
        <v>5632</v>
      </c>
      <c r="G136" s="407" t="str">
        <f t="array" ref="G136">XLOOKUP(C136,'Off-Boarding'!B:B,'Off-Boarding'!E:E)</f>
        <v>Suspend</v>
      </c>
    </row>
    <row r="137" hidden="1">
      <c r="A137" s="61" t="s">
        <v>7791</v>
      </c>
      <c r="B137" s="61"/>
      <c r="C137" s="61" t="s">
        <v>2992</v>
      </c>
      <c r="D137" s="406">
        <v>45915.289314041445</v>
      </c>
      <c r="E137" s="61" t="s">
        <v>7771</v>
      </c>
      <c r="F137" s="61" t="s">
        <v>5632</v>
      </c>
      <c r="G137" s="113" t="str">
        <f t="array" ref="G137">XLOOKUP(C137,'Off-Boarding'!B:B,'Off-Boarding'!E:E)</f>
        <v>#N/A</v>
      </c>
    </row>
    <row r="138">
      <c r="A138" s="61" t="s">
        <v>519</v>
      </c>
      <c r="B138" s="61" t="s">
        <v>7772</v>
      </c>
      <c r="C138" s="61" t="s">
        <v>520</v>
      </c>
      <c r="D138" s="406">
        <v>45600.68209679589</v>
      </c>
      <c r="E138" s="61" t="s">
        <v>7771</v>
      </c>
      <c r="F138" s="61" t="s">
        <v>5632</v>
      </c>
      <c r="G138" s="407" t="str">
        <f t="array" ref="G138">XLOOKUP(C138,'Off-Boarding'!B:B,'Off-Boarding'!E:E)</f>
        <v>Suspend</v>
      </c>
    </row>
    <row r="139">
      <c r="A139" s="61" t="s">
        <v>3930</v>
      </c>
      <c r="B139" s="61" t="s">
        <v>7772</v>
      </c>
      <c r="C139" s="61" t="s">
        <v>1456</v>
      </c>
      <c r="D139" s="406">
        <v>45892.7464883741</v>
      </c>
      <c r="E139" s="61" t="s">
        <v>7771</v>
      </c>
      <c r="F139" s="61" t="s">
        <v>5632</v>
      </c>
      <c r="G139" s="407" t="str">
        <f t="array" ref="G139">XLOOKUP(C139,'Off-Boarding'!B:B,'Off-Boarding'!E:E)</f>
        <v>Suspend</v>
      </c>
    </row>
    <row r="140" hidden="1">
      <c r="A140" s="61" t="s">
        <v>2267</v>
      </c>
      <c r="B140" s="61"/>
      <c r="C140" s="61" t="s">
        <v>2268</v>
      </c>
      <c r="D140" s="406">
        <v>45916.24907678331</v>
      </c>
      <c r="E140" s="61" t="s">
        <v>7771</v>
      </c>
      <c r="F140" s="61" t="s">
        <v>5632</v>
      </c>
      <c r="G140" s="113" t="str">
        <f t="array" ref="G140">XLOOKUP(C140,'Off-Boarding'!B:B,'Off-Boarding'!E:E)</f>
        <v>#N/A</v>
      </c>
    </row>
    <row r="141">
      <c r="A141" s="61" t="s">
        <v>7792</v>
      </c>
      <c r="B141" s="61" t="s">
        <v>7772</v>
      </c>
      <c r="C141" s="61" t="s">
        <v>1452</v>
      </c>
      <c r="D141" s="406">
        <v>45910.62501378878</v>
      </c>
      <c r="E141" s="61" t="s">
        <v>7771</v>
      </c>
      <c r="F141" s="61" t="s">
        <v>5632</v>
      </c>
      <c r="G141" s="407" t="str">
        <f t="array" ref="G141">XLOOKUP(C141,'Off-Boarding'!B:B,'Off-Boarding'!E:E)</f>
        <v>Suspend</v>
      </c>
    </row>
    <row r="142" hidden="1">
      <c r="A142" s="61" t="s">
        <v>4907</v>
      </c>
      <c r="B142" s="61"/>
      <c r="C142" s="61" t="s">
        <v>2201</v>
      </c>
      <c r="D142" s="406">
        <v>45915.30780879293</v>
      </c>
      <c r="E142" s="61" t="s">
        <v>7771</v>
      </c>
      <c r="F142" s="61" t="s">
        <v>5632</v>
      </c>
      <c r="G142" s="407" t="str">
        <f t="array" ref="G142">XLOOKUP(C142,'Off-Boarding'!B:B,'Off-Boarding'!E:E)</f>
        <v>Suspend</v>
      </c>
    </row>
    <row r="143" hidden="1">
      <c r="A143" s="61" t="s">
        <v>1461</v>
      </c>
      <c r="B143" s="61"/>
      <c r="C143" s="61" t="s">
        <v>1462</v>
      </c>
      <c r="D143" s="406">
        <v>45915.563207230625</v>
      </c>
      <c r="E143" s="61" t="s">
        <v>7771</v>
      </c>
      <c r="F143" s="61" t="s">
        <v>5632</v>
      </c>
      <c r="G143" s="407" t="str">
        <f t="array" ref="G143">XLOOKUP(C143,'Off-Boarding'!B:B,'Off-Boarding'!E:E)</f>
        <v>Suspend</v>
      </c>
    </row>
    <row r="144" hidden="1">
      <c r="A144" s="61" t="s">
        <v>2264</v>
      </c>
      <c r="B144" s="61"/>
      <c r="C144" s="61" t="s">
        <v>2265</v>
      </c>
      <c r="D144" s="406">
        <v>45910.72519003838</v>
      </c>
      <c r="E144" s="61" t="s">
        <v>7771</v>
      </c>
      <c r="F144" s="61" t="s">
        <v>5632</v>
      </c>
      <c r="G144" s="113" t="str">
        <f t="array" ref="G144">XLOOKUP(C144,'Off-Boarding'!B:B,'Off-Boarding'!E:E)</f>
        <v>Suspend</v>
      </c>
    </row>
    <row r="145">
      <c r="A145" s="61" t="s">
        <v>1466</v>
      </c>
      <c r="B145" s="61" t="s">
        <v>7772</v>
      </c>
      <c r="C145" s="61" t="s">
        <v>1467</v>
      </c>
      <c r="D145" s="406">
        <v>45910.55726847581</v>
      </c>
      <c r="E145" s="61" t="s">
        <v>7771</v>
      </c>
      <c r="F145" s="61" t="s">
        <v>5632</v>
      </c>
      <c r="G145" s="407" t="str">
        <f t="array" ref="G145">XLOOKUP(C145,'Off-Boarding'!B:B,'Off-Boarding'!E:E)</f>
        <v>Suspend</v>
      </c>
    </row>
    <row r="146">
      <c r="A146" s="61" t="s">
        <v>1475</v>
      </c>
      <c r="B146" s="61" t="s">
        <v>7772</v>
      </c>
      <c r="C146" s="61" t="s">
        <v>1476</v>
      </c>
      <c r="D146" s="406">
        <v>45910.32442843028</v>
      </c>
      <c r="E146" s="61" t="s">
        <v>7771</v>
      </c>
      <c r="F146" s="61" t="s">
        <v>5632</v>
      </c>
      <c r="G146" s="407" t="str">
        <f t="array" ref="G146">XLOOKUP(C146,'Off-Boarding'!B:B,'Off-Boarding'!E:E)</f>
        <v>Suspend</v>
      </c>
    </row>
    <row r="147" hidden="1">
      <c r="A147" s="61" t="s">
        <v>4779</v>
      </c>
      <c r="B147" s="61"/>
      <c r="C147" s="61" t="s">
        <v>2181</v>
      </c>
      <c r="D147" s="406">
        <v>45915.3737528382</v>
      </c>
      <c r="E147" s="61" t="s">
        <v>7771</v>
      </c>
      <c r="F147" s="61" t="s">
        <v>5632</v>
      </c>
      <c r="G147" s="113" t="str">
        <f t="array" ref="G147">XLOOKUP(C147,'Off-Boarding'!B:B,'Off-Boarding'!E:E)</f>
        <v>#N/A</v>
      </c>
    </row>
    <row r="148" hidden="1">
      <c r="A148" s="61" t="s">
        <v>1939</v>
      </c>
      <c r="B148" s="61"/>
      <c r="C148" s="61" t="s">
        <v>1429</v>
      </c>
      <c r="D148" s="406">
        <v>45915.36776445503</v>
      </c>
      <c r="E148" s="61" t="s">
        <v>7771</v>
      </c>
      <c r="F148" s="61" t="s">
        <v>5632</v>
      </c>
      <c r="G148" s="113" t="str">
        <f t="array" ref="G148">XLOOKUP(C148,'Off-Boarding'!B:B,'Off-Boarding'!E:E)</f>
        <v>#N/A</v>
      </c>
    </row>
    <row r="149" hidden="1">
      <c r="A149" s="61" t="s">
        <v>1487</v>
      </c>
      <c r="B149" s="61"/>
      <c r="C149" s="61" t="s">
        <v>2037</v>
      </c>
      <c r="D149" s="406">
        <v>45913.690409968425</v>
      </c>
      <c r="E149" s="61" t="s">
        <v>7771</v>
      </c>
      <c r="F149" s="61" t="s">
        <v>5632</v>
      </c>
      <c r="G149" s="113" t="str">
        <f t="array" ref="G149">XLOOKUP(C149,'Off-Boarding'!B:B,'Off-Boarding'!E:E)</f>
        <v>#N/A</v>
      </c>
    </row>
    <row r="150">
      <c r="A150" s="61" t="s">
        <v>1483</v>
      </c>
      <c r="B150" s="61" t="s">
        <v>7772</v>
      </c>
      <c r="C150" s="61" t="s">
        <v>1484</v>
      </c>
      <c r="D150" s="406">
        <v>45896.667371997304</v>
      </c>
      <c r="E150" s="61" t="s">
        <v>7771</v>
      </c>
      <c r="F150" s="61" t="s">
        <v>5632</v>
      </c>
      <c r="G150" s="407" t="str">
        <f t="array" ref="G150">XLOOKUP(C150,'Off-Boarding'!B:B,'Off-Boarding'!E:E)</f>
        <v>Suspend</v>
      </c>
    </row>
    <row r="151">
      <c r="A151" s="61" t="s">
        <v>3176</v>
      </c>
      <c r="B151" s="61" t="s">
        <v>7772</v>
      </c>
      <c r="C151" s="61" t="s">
        <v>3177</v>
      </c>
      <c r="D151" s="406">
        <v>45909.40043702484</v>
      </c>
      <c r="E151" s="61" t="s">
        <v>7771</v>
      </c>
      <c r="F151" s="61" t="s">
        <v>5632</v>
      </c>
      <c r="G151" s="407" t="str">
        <f t="array" ref="G151">XLOOKUP(C151,'Off-Boarding'!B:B,'Off-Boarding'!E:E)</f>
        <v>Suspend</v>
      </c>
    </row>
    <row r="152" hidden="1">
      <c r="A152" s="61" t="s">
        <v>1958</v>
      </c>
      <c r="B152" s="61"/>
      <c r="C152" s="61" t="s">
        <v>1959</v>
      </c>
      <c r="D152" s="406">
        <v>45915.28842663984</v>
      </c>
      <c r="E152" s="61" t="s">
        <v>7771</v>
      </c>
      <c r="F152" s="61" t="s">
        <v>5632</v>
      </c>
      <c r="G152" s="113" t="str">
        <f t="array" ref="G152">XLOOKUP(C152,'Off-Boarding'!B:B,'Off-Boarding'!E:E)</f>
        <v>#N/A</v>
      </c>
    </row>
    <row r="153">
      <c r="A153" s="61" t="s">
        <v>1500</v>
      </c>
      <c r="B153" s="61" t="s">
        <v>7772</v>
      </c>
      <c r="C153" s="61" t="s">
        <v>1501</v>
      </c>
      <c r="D153" s="406">
        <v>45911.44631458207</v>
      </c>
      <c r="E153" s="61" t="s">
        <v>7771</v>
      </c>
      <c r="F153" s="61" t="s">
        <v>5632</v>
      </c>
      <c r="G153" s="407" t="str">
        <f t="array" ref="G153">XLOOKUP(C153,'Off-Boarding'!B:B,'Off-Boarding'!E:E)</f>
        <v>Suspend</v>
      </c>
    </row>
    <row r="154" hidden="1">
      <c r="A154" s="61" t="s">
        <v>1985</v>
      </c>
      <c r="B154" s="61"/>
      <c r="C154" s="61" t="s">
        <v>1725</v>
      </c>
      <c r="D154" s="406">
        <v>45914.63290601206</v>
      </c>
      <c r="E154" s="61" t="s">
        <v>7771</v>
      </c>
      <c r="F154" s="61" t="s">
        <v>5632</v>
      </c>
      <c r="G154" s="113" t="str">
        <f t="array" ref="G154">XLOOKUP(C154,'Off-Boarding'!B:B,'Off-Boarding'!E:E)</f>
        <v>#N/A</v>
      </c>
    </row>
    <row r="155" hidden="1">
      <c r="A155" s="61" t="s">
        <v>2104</v>
      </c>
      <c r="B155" s="61"/>
      <c r="C155" s="61" t="s">
        <v>2105</v>
      </c>
      <c r="D155" s="406">
        <v>45916.27298797043</v>
      </c>
      <c r="E155" s="61" t="s">
        <v>7771</v>
      </c>
      <c r="F155" s="61" t="s">
        <v>5632</v>
      </c>
      <c r="G155" s="113" t="str">
        <f t="array" ref="G155">XLOOKUP(C155,'Off-Boarding'!B:B,'Off-Boarding'!E:E)</f>
        <v>#N/A</v>
      </c>
    </row>
    <row r="156">
      <c r="A156" s="61" t="s">
        <v>1498</v>
      </c>
      <c r="B156" s="61" t="s">
        <v>7772</v>
      </c>
      <c r="C156" s="61" t="s">
        <v>1499</v>
      </c>
      <c r="D156" s="406">
        <v>45875.22411691493</v>
      </c>
      <c r="E156" s="61" t="s">
        <v>7771</v>
      </c>
      <c r="F156" s="61" t="s">
        <v>5632</v>
      </c>
      <c r="G156" s="407" t="str">
        <f t="array" ref="G156">XLOOKUP(C156,'Off-Boarding'!B:B,'Off-Boarding'!E:E)</f>
        <v>Suspend</v>
      </c>
    </row>
    <row r="157" hidden="1">
      <c r="A157" s="61" t="s">
        <v>5568</v>
      </c>
      <c r="B157" s="61"/>
      <c r="C157" s="61" t="s">
        <v>2876</v>
      </c>
      <c r="D157" s="406">
        <v>45916.27522656776</v>
      </c>
      <c r="E157" s="61" t="s">
        <v>7771</v>
      </c>
      <c r="F157" s="61" t="s">
        <v>5632</v>
      </c>
      <c r="G157" s="407" t="str">
        <f t="array" ref="G157">XLOOKUP(C157,'Off-Boarding'!B:B,'Off-Boarding'!E:E)</f>
        <v>Suspend</v>
      </c>
    </row>
    <row r="158">
      <c r="A158" s="61" t="s">
        <v>5555</v>
      </c>
      <c r="B158" s="61" t="s">
        <v>7772</v>
      </c>
      <c r="C158" s="61" t="s">
        <v>1512</v>
      </c>
      <c r="D158" s="406">
        <v>45910.51990575752</v>
      </c>
      <c r="E158" s="61" t="s">
        <v>7771</v>
      </c>
      <c r="F158" s="61" t="s">
        <v>5632</v>
      </c>
      <c r="G158" s="407" t="str">
        <f t="array" ref="G158">XLOOKUP(C158,'Off-Boarding'!B:B,'Off-Boarding'!E:E)</f>
        <v>Suspend</v>
      </c>
    </row>
    <row r="159" hidden="1">
      <c r="A159" s="61" t="s">
        <v>3004</v>
      </c>
      <c r="B159" s="61"/>
      <c r="C159" s="61" t="s">
        <v>3005</v>
      </c>
      <c r="D159" s="406">
        <v>45916.23132572339</v>
      </c>
      <c r="E159" s="61" t="s">
        <v>7771</v>
      </c>
      <c r="F159" s="61" t="s">
        <v>5632</v>
      </c>
      <c r="G159" s="113" t="str">
        <f t="array" ref="G159">XLOOKUP(C159,'Off-Boarding'!B:B,'Off-Boarding'!E:E)</f>
        <v>Suspend</v>
      </c>
    </row>
    <row r="160">
      <c r="A160" s="61" t="s">
        <v>4229</v>
      </c>
      <c r="B160" s="61" t="s">
        <v>7772</v>
      </c>
      <c r="C160" s="61" t="s">
        <v>1514</v>
      </c>
      <c r="D160" s="406">
        <v>45913.28675488141</v>
      </c>
      <c r="E160" s="61" t="s">
        <v>7771</v>
      </c>
      <c r="F160" s="61" t="s">
        <v>5632</v>
      </c>
      <c r="G160" s="407" t="str">
        <f t="array" ref="G160">XLOOKUP(C160,'Off-Boarding'!B:B,'Off-Boarding'!E:E)</f>
        <v>Suspend</v>
      </c>
    </row>
    <row r="161" hidden="1">
      <c r="A161" s="61" t="s">
        <v>2591</v>
      </c>
      <c r="B161" s="61"/>
      <c r="C161" s="61" t="s">
        <v>1121</v>
      </c>
      <c r="D161" s="406">
        <v>45841.440007688194</v>
      </c>
      <c r="E161" s="61" t="s">
        <v>7771</v>
      </c>
      <c r="F161" s="61" t="s">
        <v>5632</v>
      </c>
      <c r="G161" s="113" t="str">
        <f t="array" ref="G161">XLOOKUP(C161,'Off-Boarding'!B:B,'Off-Boarding'!E:E)</f>
        <v>#N/A</v>
      </c>
    </row>
    <row r="162" hidden="1">
      <c r="A162" s="61" t="s">
        <v>581</v>
      </c>
      <c r="B162" s="61"/>
      <c r="C162" s="61" t="s">
        <v>582</v>
      </c>
      <c r="D162" s="406">
        <v>44957.20519515753</v>
      </c>
      <c r="E162" s="61" t="s">
        <v>7771</v>
      </c>
      <c r="F162" s="61" t="s">
        <v>5632</v>
      </c>
      <c r="G162" s="113" t="str">
        <f t="array" ref="G162">XLOOKUP(C162,'Off-Boarding'!B:B,'Off-Boarding'!E:E)</f>
        <v>#N/A</v>
      </c>
    </row>
    <row r="163" hidden="1">
      <c r="A163" s="61" t="s">
        <v>2387</v>
      </c>
      <c r="B163" s="61"/>
      <c r="C163" s="61" t="s">
        <v>2388</v>
      </c>
      <c r="D163" s="406">
        <v>45916.28017751941</v>
      </c>
      <c r="E163" s="61" t="s">
        <v>7771</v>
      </c>
      <c r="F163" s="61" t="s">
        <v>5632</v>
      </c>
      <c r="G163" s="407" t="str">
        <f t="array" ref="G163">XLOOKUP(C163,'Off-Boarding'!B:B,'Off-Boarding'!E:E)</f>
        <v>Suspend</v>
      </c>
    </row>
    <row r="164" hidden="1">
      <c r="A164" s="61" t="s">
        <v>2150</v>
      </c>
      <c r="B164" s="61"/>
      <c r="C164" s="61" t="s">
        <v>2129</v>
      </c>
      <c r="D164" s="406">
        <v>45915.29231163742</v>
      </c>
      <c r="E164" s="61" t="s">
        <v>7771</v>
      </c>
      <c r="F164" s="61" t="s">
        <v>5632</v>
      </c>
      <c r="G164" s="113" t="str">
        <f t="array" ref="G164">XLOOKUP(C164,'Off-Boarding'!B:B,'Off-Boarding'!E:E)</f>
        <v>Suspend</v>
      </c>
    </row>
    <row r="165" hidden="1">
      <c r="A165" s="61" t="s">
        <v>1521</v>
      </c>
      <c r="B165" s="61"/>
      <c r="C165" s="61" t="s">
        <v>1522</v>
      </c>
      <c r="D165" s="406">
        <v>45915.30401530963</v>
      </c>
      <c r="E165" s="61" t="s">
        <v>7771</v>
      </c>
      <c r="F165" s="61" t="s">
        <v>5632</v>
      </c>
      <c r="G165" s="407" t="str">
        <f t="array" ref="G165">XLOOKUP(C165,'Off-Boarding'!B:B,'Off-Boarding'!E:E)</f>
        <v>Suspend</v>
      </c>
    </row>
    <row r="166" hidden="1">
      <c r="A166" s="61" t="s">
        <v>2325</v>
      </c>
      <c r="B166" s="61"/>
      <c r="C166" s="61" t="s">
        <v>2326</v>
      </c>
      <c r="D166" s="406">
        <v>45916.286394562594</v>
      </c>
      <c r="E166" s="61" t="s">
        <v>7771</v>
      </c>
      <c r="F166" s="61" t="s">
        <v>5632</v>
      </c>
      <c r="G166" s="407" t="str">
        <f t="array" ref="G166">XLOOKUP(C166,'Off-Boarding'!B:B,'Off-Boarding'!E:E)</f>
        <v>Suspend</v>
      </c>
    </row>
    <row r="167" hidden="1">
      <c r="A167" s="61" t="s">
        <v>2950</v>
      </c>
      <c r="B167" s="61"/>
      <c r="C167" s="61" t="s">
        <v>2951</v>
      </c>
      <c r="D167" s="406">
        <v>45916.22960485431</v>
      </c>
      <c r="E167" s="61" t="s">
        <v>7771</v>
      </c>
      <c r="F167" s="61" t="s">
        <v>5632</v>
      </c>
      <c r="G167" s="407" t="str">
        <f t="array" ref="G167">XLOOKUP(C167,'Off-Boarding'!B:B,'Off-Boarding'!E:E)</f>
        <v>Suspend</v>
      </c>
    </row>
    <row r="168" hidden="1">
      <c r="A168" s="61" t="s">
        <v>1920</v>
      </c>
      <c r="B168" s="61"/>
      <c r="C168" s="61" t="s">
        <v>1486</v>
      </c>
      <c r="D168" s="406">
        <v>45913.60566451072</v>
      </c>
      <c r="E168" s="61" t="s">
        <v>7771</v>
      </c>
      <c r="F168" s="61" t="s">
        <v>5632</v>
      </c>
      <c r="G168" s="113" t="str">
        <f t="array" ref="G168">XLOOKUP(C168,'Off-Boarding'!B:B,'Off-Boarding'!E:E)</f>
        <v>#N/A</v>
      </c>
    </row>
    <row r="169" hidden="1">
      <c r="A169" s="61" t="s">
        <v>2748</v>
      </c>
      <c r="B169" s="61"/>
      <c r="C169" s="61" t="s">
        <v>2749</v>
      </c>
      <c r="D169" s="406">
        <v>45910.778574324744</v>
      </c>
      <c r="E169" s="61" t="s">
        <v>7771</v>
      </c>
      <c r="F169" s="61" t="s">
        <v>5632</v>
      </c>
      <c r="G169" s="113" t="str">
        <f t="array" ref="G169">XLOOKUP(C169,'Off-Boarding'!B:B,'Off-Boarding'!E:E)</f>
        <v>Suspend</v>
      </c>
    </row>
    <row r="170" hidden="1">
      <c r="A170" s="61" t="s">
        <v>4743</v>
      </c>
      <c r="B170" s="61"/>
      <c r="C170" s="61" t="s">
        <v>2253</v>
      </c>
      <c r="D170" s="406">
        <v>45915.78584308339</v>
      </c>
      <c r="E170" s="61" t="s">
        <v>7771</v>
      </c>
      <c r="F170" s="61" t="s">
        <v>5632</v>
      </c>
      <c r="G170" s="407" t="str">
        <f t="array" ref="G170">XLOOKUP(C170,'Off-Boarding'!B:B,'Off-Boarding'!E:E)</f>
        <v>Suspend</v>
      </c>
    </row>
    <row r="171" hidden="1">
      <c r="A171" s="61" t="s">
        <v>2555</v>
      </c>
      <c r="B171" s="61"/>
      <c r="C171" s="61" t="s">
        <v>2556</v>
      </c>
      <c r="D171" s="406">
        <v>45915.347064317255</v>
      </c>
      <c r="E171" s="61" t="s">
        <v>7771</v>
      </c>
      <c r="F171" s="61" t="s">
        <v>5632</v>
      </c>
      <c r="G171" s="113" t="str">
        <f t="array" ref="G171">XLOOKUP(C171,'Off-Boarding'!B:B,'Off-Boarding'!E:E)</f>
        <v>Suspend</v>
      </c>
    </row>
    <row r="172" hidden="1">
      <c r="A172" s="61" t="s">
        <v>2993</v>
      </c>
      <c r="B172" s="61"/>
      <c r="C172" s="61" t="s">
        <v>2994</v>
      </c>
      <c r="D172" s="406">
        <v>45915.52999425958</v>
      </c>
      <c r="E172" s="61" t="s">
        <v>7771</v>
      </c>
      <c r="F172" s="61" t="s">
        <v>5632</v>
      </c>
      <c r="G172" s="407" t="str">
        <f t="array" ref="G172">XLOOKUP(C172,'Off-Boarding'!B:B,'Off-Boarding'!E:E)</f>
        <v>Suspend</v>
      </c>
    </row>
    <row r="173" hidden="1">
      <c r="A173" s="61" t="s">
        <v>1880</v>
      </c>
      <c r="B173" s="61"/>
      <c r="C173" s="61" t="s">
        <v>1147</v>
      </c>
      <c r="D173" s="406">
        <v>45916.27263006457</v>
      </c>
      <c r="E173" s="61" t="s">
        <v>7771</v>
      </c>
      <c r="F173" s="61" t="s">
        <v>5632</v>
      </c>
      <c r="G173" s="113" t="str">
        <f t="array" ref="G173">XLOOKUP(C173,'Off-Boarding'!B:B,'Off-Boarding'!E:E)</f>
        <v>Suspend</v>
      </c>
    </row>
    <row r="174">
      <c r="A174" s="61" t="s">
        <v>1538</v>
      </c>
      <c r="B174" s="61" t="s">
        <v>7772</v>
      </c>
      <c r="C174" s="61" t="s">
        <v>1539</v>
      </c>
      <c r="D174" s="406">
        <v>45911.401716495726</v>
      </c>
      <c r="E174" s="61" t="s">
        <v>7771</v>
      </c>
      <c r="F174" s="61" t="s">
        <v>5632</v>
      </c>
      <c r="G174" s="407" t="str">
        <f t="array" ref="G174">XLOOKUP(C174,'Off-Boarding'!B:B,'Off-Boarding'!E:E)</f>
        <v>Suspend</v>
      </c>
    </row>
    <row r="175" hidden="1">
      <c r="A175" s="61" t="s">
        <v>5550</v>
      </c>
      <c r="B175" s="61"/>
      <c r="C175" s="61" t="s">
        <v>1542</v>
      </c>
      <c r="D175" s="406">
        <v>45887.287814455696</v>
      </c>
      <c r="E175" s="61" t="s">
        <v>7771</v>
      </c>
      <c r="F175" s="61" t="s">
        <v>5632</v>
      </c>
      <c r="G175" s="407" t="str">
        <f t="array" ref="G175">XLOOKUP(C175,'Off-Boarding'!B:B,'Off-Boarding'!E:E)</f>
        <v>Suspend</v>
      </c>
    </row>
    <row r="176" hidden="1">
      <c r="A176" s="61" t="s">
        <v>613</v>
      </c>
      <c r="B176" s="61"/>
      <c r="C176" s="61" t="s">
        <v>614</v>
      </c>
      <c r="D176" s="406">
        <v>45512.26613896567</v>
      </c>
      <c r="E176" s="61" t="s">
        <v>7771</v>
      </c>
      <c r="F176" s="61" t="s">
        <v>5632</v>
      </c>
      <c r="G176" s="113" t="str">
        <f t="array" ref="G176">XLOOKUP(C176,'Off-Boarding'!B:B,'Off-Boarding'!E:E)</f>
        <v>#N/A</v>
      </c>
    </row>
    <row r="177">
      <c r="A177" s="61" t="s">
        <v>5548</v>
      </c>
      <c r="B177" s="61" t="s">
        <v>7772</v>
      </c>
      <c r="C177" s="61" t="s">
        <v>1544</v>
      </c>
      <c r="D177" s="406">
        <v>45860.31824121993</v>
      </c>
      <c r="E177" s="61" t="s">
        <v>7771</v>
      </c>
      <c r="F177" s="61" t="s">
        <v>5632</v>
      </c>
      <c r="G177" s="407" t="str">
        <f t="array" ref="G177">XLOOKUP(C177,'Off-Boarding'!B:B,'Off-Boarding'!E:E)</f>
        <v>Suspend</v>
      </c>
    </row>
    <row r="178">
      <c r="A178" s="61" t="s">
        <v>615</v>
      </c>
      <c r="B178" s="61" t="s">
        <v>7772</v>
      </c>
      <c r="C178" s="61" t="s">
        <v>616</v>
      </c>
      <c r="D178" s="406">
        <v>45737.836630950645</v>
      </c>
      <c r="E178" s="61" t="s">
        <v>7771</v>
      </c>
      <c r="F178" s="61" t="s">
        <v>5632</v>
      </c>
      <c r="G178" s="407" t="str">
        <f t="array" ref="G178">XLOOKUP(C178,'Off-Boarding'!B:B,'Off-Boarding'!E:E)</f>
        <v>Suspend</v>
      </c>
    </row>
    <row r="179" hidden="1">
      <c r="A179" s="61" t="s">
        <v>615</v>
      </c>
      <c r="B179" s="61"/>
      <c r="C179" s="61" t="s">
        <v>7793</v>
      </c>
      <c r="D179" s="406">
        <v>45610.27069962584</v>
      </c>
      <c r="E179" s="61" t="s">
        <v>7771</v>
      </c>
      <c r="F179" s="61" t="s">
        <v>5632</v>
      </c>
      <c r="G179" s="113" t="str">
        <f t="array" ref="G179">XLOOKUP(C179,'Off-Boarding'!B:B,'Off-Boarding'!E:E)</f>
        <v>#N/A</v>
      </c>
    </row>
    <row r="180" hidden="1">
      <c r="A180" s="61" t="s">
        <v>2165</v>
      </c>
      <c r="B180" s="61"/>
      <c r="C180" s="61" t="s">
        <v>2166</v>
      </c>
      <c r="D180" s="406">
        <v>45915.54051164794</v>
      </c>
      <c r="E180" s="61" t="s">
        <v>7771</v>
      </c>
      <c r="F180" s="61" t="s">
        <v>5632</v>
      </c>
      <c r="G180" s="113" t="str">
        <f t="array" ref="G180">XLOOKUP(C180,'Off-Boarding'!B:B,'Off-Boarding'!E:E)</f>
        <v>Suspend</v>
      </c>
    </row>
    <row r="181" hidden="1">
      <c r="A181" s="61" t="s">
        <v>617</v>
      </c>
      <c r="B181" s="61"/>
      <c r="C181" s="61" t="s">
        <v>618</v>
      </c>
      <c r="D181" s="406">
        <v>45155.562814605044</v>
      </c>
      <c r="E181" s="61" t="s">
        <v>7771</v>
      </c>
      <c r="F181" s="61" t="s">
        <v>5632</v>
      </c>
      <c r="G181" s="113" t="str">
        <f t="array" ref="G181">XLOOKUP(C181,'Off-Boarding'!B:B,'Off-Boarding'!E:E)</f>
        <v>#N/A</v>
      </c>
    </row>
    <row r="182" hidden="1">
      <c r="A182" s="61" t="s">
        <v>5014</v>
      </c>
      <c r="B182" s="61"/>
      <c r="C182" s="61" t="s">
        <v>2649</v>
      </c>
      <c r="D182" s="406">
        <v>45916.29654360398</v>
      </c>
      <c r="E182" s="61" t="s">
        <v>7771</v>
      </c>
      <c r="F182" s="61" t="s">
        <v>5632</v>
      </c>
      <c r="G182" s="113" t="str">
        <f t="array" ref="G182">XLOOKUP(C182,'Off-Boarding'!B:B,'Off-Boarding'!E:E)</f>
        <v>Suspend</v>
      </c>
    </row>
    <row r="183">
      <c r="A183" s="61" t="s">
        <v>7794</v>
      </c>
      <c r="B183" s="61" t="s">
        <v>7772</v>
      </c>
      <c r="C183" s="61" t="s">
        <v>3030</v>
      </c>
      <c r="D183" s="406">
        <v>45910.83515721987</v>
      </c>
      <c r="E183" s="61" t="s">
        <v>7771</v>
      </c>
      <c r="F183" s="61" t="s">
        <v>5632</v>
      </c>
      <c r="G183" s="407" t="str">
        <f t="array" ref="G183">XLOOKUP(C183,'Off-Boarding'!B:B,'Off-Boarding'!E:E)</f>
        <v>Suspend</v>
      </c>
    </row>
    <row r="184">
      <c r="A184" s="61" t="s">
        <v>2918</v>
      </c>
      <c r="B184" s="61" t="s">
        <v>7772</v>
      </c>
      <c r="C184" s="61" t="s">
        <v>2919</v>
      </c>
      <c r="D184" s="406">
        <v>45910.51785711893</v>
      </c>
      <c r="E184" s="61" t="s">
        <v>7771</v>
      </c>
      <c r="F184" s="61" t="s">
        <v>5632</v>
      </c>
      <c r="G184" s="407" t="str">
        <f t="array" ref="G184">XLOOKUP(C184,'Off-Boarding'!B:B,'Off-Boarding'!E:E)</f>
        <v>Suspend</v>
      </c>
    </row>
    <row r="185">
      <c r="A185" s="61" t="s">
        <v>3164</v>
      </c>
      <c r="B185" s="61" t="s">
        <v>7772</v>
      </c>
      <c r="C185" s="61" t="s">
        <v>3165</v>
      </c>
      <c r="D185" s="406">
        <v>45905.46210113896</v>
      </c>
      <c r="E185" s="61" t="s">
        <v>7771</v>
      </c>
      <c r="F185" s="61" t="s">
        <v>5632</v>
      </c>
      <c r="G185" s="407" t="str">
        <f t="array" ref="G185">XLOOKUP(C185,'Off-Boarding'!B:B,'Off-Boarding'!E:E)</f>
        <v>Suspend</v>
      </c>
    </row>
    <row r="186" hidden="1">
      <c r="A186" s="61" t="s">
        <v>631</v>
      </c>
      <c r="B186" s="61"/>
      <c r="C186" s="61" t="s">
        <v>2369</v>
      </c>
      <c r="D186" s="406">
        <v>45905.71345778829</v>
      </c>
      <c r="E186" s="61" t="s">
        <v>7771</v>
      </c>
      <c r="F186" s="61" t="s">
        <v>5632</v>
      </c>
      <c r="G186" s="113" t="str">
        <f t="array" ref="G186">XLOOKUP(C186,'Off-Boarding'!B:B,'Off-Boarding'!E:E)</f>
        <v>Suspend</v>
      </c>
    </row>
    <row r="187" hidden="1">
      <c r="A187" s="61" t="s">
        <v>2474</v>
      </c>
      <c r="B187" s="61"/>
      <c r="C187" s="61" t="s">
        <v>2475</v>
      </c>
      <c r="D187" s="406">
        <v>45914.617290311704</v>
      </c>
      <c r="E187" s="61" t="s">
        <v>7771</v>
      </c>
      <c r="F187" s="61" t="s">
        <v>5632</v>
      </c>
      <c r="G187" s="113" t="str">
        <f t="array" ref="G187">XLOOKUP(C187,'Off-Boarding'!B:B,'Off-Boarding'!E:E)</f>
        <v>Suspend</v>
      </c>
    </row>
    <row r="188" hidden="1">
      <c r="A188" s="61" t="s">
        <v>1558</v>
      </c>
      <c r="B188" s="61"/>
      <c r="C188" s="61" t="s">
        <v>1559</v>
      </c>
      <c r="D188" s="406">
        <v>45915.97115798214</v>
      </c>
      <c r="E188" s="61" t="s">
        <v>7771</v>
      </c>
      <c r="F188" s="61" t="s">
        <v>5632</v>
      </c>
      <c r="G188" s="407" t="str">
        <f t="array" ref="G188">XLOOKUP(C188,'Off-Boarding'!B:B,'Off-Boarding'!E:E)</f>
        <v>Suspend</v>
      </c>
    </row>
    <row r="189" hidden="1">
      <c r="A189" s="61" t="s">
        <v>2693</v>
      </c>
      <c r="B189" s="61"/>
      <c r="C189" s="61" t="s">
        <v>2694</v>
      </c>
      <c r="D189" s="406">
        <v>45915.88164654955</v>
      </c>
      <c r="E189" s="61" t="s">
        <v>7771</v>
      </c>
      <c r="F189" s="61" t="s">
        <v>5632</v>
      </c>
      <c r="G189" s="113" t="str">
        <f t="array" ref="G189">XLOOKUP(C189,'Off-Boarding'!B:B,'Off-Boarding'!E:E)</f>
        <v>Suspend</v>
      </c>
    </row>
    <row r="190" hidden="1">
      <c r="A190" s="61" t="s">
        <v>2614</v>
      </c>
      <c r="B190" s="61"/>
      <c r="C190" s="61" t="s">
        <v>2615</v>
      </c>
      <c r="D190" s="406">
        <v>45915.697229998405</v>
      </c>
      <c r="E190" s="61" t="s">
        <v>7771</v>
      </c>
      <c r="F190" s="61" t="s">
        <v>5632</v>
      </c>
      <c r="G190" s="113" t="str">
        <f t="array" ref="G190">XLOOKUP(C190,'Off-Boarding'!B:B,'Off-Boarding'!E:E)</f>
        <v>#N/A</v>
      </c>
    </row>
    <row r="191">
      <c r="A191" s="61" t="s">
        <v>659</v>
      </c>
      <c r="B191" s="61" t="s">
        <v>7772</v>
      </c>
      <c r="C191" s="61" t="s">
        <v>660</v>
      </c>
      <c r="D191" s="406">
        <v>45820.60779002671</v>
      </c>
      <c r="E191" s="61" t="s">
        <v>7771</v>
      </c>
      <c r="F191" s="61" t="s">
        <v>5632</v>
      </c>
      <c r="G191" s="407" t="str">
        <f t="array" ref="G191">XLOOKUP(C191,'Off-Boarding'!B:B,'Off-Boarding'!E:E)</f>
        <v>Suspend</v>
      </c>
    </row>
    <row r="192" hidden="1">
      <c r="A192" s="61" t="s">
        <v>661</v>
      </c>
      <c r="B192" s="61"/>
      <c r="C192" s="61" t="s">
        <v>662</v>
      </c>
      <c r="D192" s="406">
        <v>45247.52382861903</v>
      </c>
      <c r="E192" s="61" t="s">
        <v>7771</v>
      </c>
      <c r="F192" s="61" t="s">
        <v>5632</v>
      </c>
      <c r="G192" s="113" t="str">
        <f t="array" ref="G192">XLOOKUP(C192,'Off-Boarding'!B:B,'Off-Boarding'!E:E)</f>
        <v>#N/A</v>
      </c>
    </row>
    <row r="193">
      <c r="A193" s="61" t="s">
        <v>1576</v>
      </c>
      <c r="B193" s="61" t="s">
        <v>7772</v>
      </c>
      <c r="C193" s="61" t="s">
        <v>1577</v>
      </c>
      <c r="D193" s="406">
        <v>45887.46738756658</v>
      </c>
      <c r="E193" s="61" t="s">
        <v>7771</v>
      </c>
      <c r="F193" s="61" t="s">
        <v>5632</v>
      </c>
      <c r="G193" s="407" t="str">
        <f t="array" ref="G193">XLOOKUP(C193,'Off-Boarding'!B:B,'Off-Boarding'!E:E)</f>
        <v>Suspend</v>
      </c>
    </row>
    <row r="194" hidden="1">
      <c r="A194" s="61" t="s">
        <v>2043</v>
      </c>
      <c r="B194" s="61"/>
      <c r="C194" s="61" t="s">
        <v>2044</v>
      </c>
      <c r="D194" s="406">
        <v>45915.23005909526</v>
      </c>
      <c r="E194" s="61" t="s">
        <v>7771</v>
      </c>
      <c r="F194" s="61" t="s">
        <v>5632</v>
      </c>
      <c r="G194" s="113" t="str">
        <f t="array" ref="G194">XLOOKUP(C194,'Off-Boarding'!B:B,'Off-Boarding'!E:E)</f>
        <v>Suspend</v>
      </c>
    </row>
    <row r="195" hidden="1">
      <c r="A195" s="61" t="s">
        <v>1584</v>
      </c>
      <c r="B195" s="61"/>
      <c r="C195" s="61" t="s">
        <v>1029</v>
      </c>
      <c r="D195" s="406">
        <v>45915.94535915074</v>
      </c>
      <c r="E195" s="61" t="s">
        <v>7771</v>
      </c>
      <c r="F195" s="61" t="s">
        <v>5632</v>
      </c>
      <c r="G195" s="113" t="str">
        <f t="array" ref="G195">XLOOKUP(C195,'Off-Boarding'!B:B,'Off-Boarding'!E:E)</f>
        <v>#N/A</v>
      </c>
    </row>
    <row r="196" hidden="1">
      <c r="A196" s="61" t="s">
        <v>2578</v>
      </c>
      <c r="B196" s="61"/>
      <c r="C196" s="61" t="s">
        <v>2579</v>
      </c>
      <c r="D196" s="406">
        <v>45915.3727651525</v>
      </c>
      <c r="E196" s="61" t="s">
        <v>7771</v>
      </c>
      <c r="F196" s="61" t="s">
        <v>5632</v>
      </c>
      <c r="G196" s="113" t="str">
        <f t="array" ref="G196">XLOOKUP(C196,'Off-Boarding'!B:B,'Off-Boarding'!E:E)</f>
        <v>#N/A</v>
      </c>
    </row>
    <row r="197" hidden="1">
      <c r="A197" s="61" t="s">
        <v>7795</v>
      </c>
      <c r="B197" s="61"/>
      <c r="C197" s="61" t="s">
        <v>1582</v>
      </c>
      <c r="D197" s="406">
        <v>45916.28120519832</v>
      </c>
      <c r="E197" s="61" t="s">
        <v>7771</v>
      </c>
      <c r="F197" s="61" t="s">
        <v>5632</v>
      </c>
      <c r="G197" s="407" t="str">
        <f t="array" ref="G197">XLOOKUP(C197,'Off-Boarding'!B:B,'Off-Boarding'!E:E)</f>
        <v>Suspend</v>
      </c>
    </row>
    <row r="198" hidden="1">
      <c r="A198" s="61" t="s">
        <v>1578</v>
      </c>
      <c r="B198" s="61"/>
      <c r="C198" s="61" t="s">
        <v>3104</v>
      </c>
      <c r="D198" s="406">
        <v>45916.26468115692</v>
      </c>
      <c r="E198" s="61" t="s">
        <v>7771</v>
      </c>
      <c r="F198" s="61" t="s">
        <v>5632</v>
      </c>
      <c r="G198" s="113" t="str">
        <f t="array" ref="G198">XLOOKUP(C198,'Off-Boarding'!B:B,'Off-Boarding'!E:E)</f>
        <v>Suspend</v>
      </c>
    </row>
    <row r="199" hidden="1">
      <c r="A199" s="61" t="s">
        <v>2308</v>
      </c>
      <c r="B199" s="61"/>
      <c r="C199" s="61" t="s">
        <v>2309</v>
      </c>
      <c r="D199" s="406">
        <v>45916.22107636074</v>
      </c>
      <c r="E199" s="61" t="s">
        <v>7771</v>
      </c>
      <c r="F199" s="61" t="s">
        <v>5632</v>
      </c>
      <c r="G199" s="113" t="str">
        <f t="array" ref="G199">XLOOKUP(C199,'Off-Boarding'!B:B,'Off-Boarding'!E:E)</f>
        <v>#N/A</v>
      </c>
    </row>
    <row r="200">
      <c r="A200" s="61" t="s">
        <v>1599</v>
      </c>
      <c r="B200" s="61" t="s">
        <v>7772</v>
      </c>
      <c r="C200" s="61" t="s">
        <v>1600</v>
      </c>
      <c r="D200" s="406">
        <v>45897.57973060434</v>
      </c>
      <c r="E200" s="61" t="s">
        <v>7771</v>
      </c>
      <c r="F200" s="61" t="s">
        <v>5632</v>
      </c>
      <c r="G200" s="407" t="str">
        <f t="array" ref="G200">XLOOKUP(C200,'Off-Boarding'!B:B,'Off-Boarding'!E:E)</f>
        <v>Suspend</v>
      </c>
    </row>
    <row r="201" hidden="1">
      <c r="A201" s="61" t="s">
        <v>1903</v>
      </c>
      <c r="B201" s="61"/>
      <c r="C201" s="61" t="s">
        <v>1885</v>
      </c>
      <c r="D201" s="406">
        <v>45915.59305399208</v>
      </c>
      <c r="E201" s="61" t="s">
        <v>7771</v>
      </c>
      <c r="F201" s="61" t="s">
        <v>5632</v>
      </c>
      <c r="G201" s="113" t="str">
        <f t="array" ref="G201">XLOOKUP(C201,'Off-Boarding'!B:B,'Off-Boarding'!E:E)</f>
        <v>#N/A</v>
      </c>
    </row>
    <row r="202">
      <c r="A202" s="61" t="s">
        <v>1609</v>
      </c>
      <c r="B202" s="61" t="s">
        <v>7772</v>
      </c>
      <c r="C202" s="61" t="s">
        <v>1610</v>
      </c>
      <c r="D202" s="406">
        <v>45910.262294700195</v>
      </c>
      <c r="E202" s="61" t="s">
        <v>7771</v>
      </c>
      <c r="F202" s="61" t="s">
        <v>5632</v>
      </c>
      <c r="G202" s="407" t="str">
        <f t="array" ref="G202">XLOOKUP(C202,'Off-Boarding'!B:B,'Off-Boarding'!E:E)</f>
        <v>Suspend</v>
      </c>
    </row>
    <row r="203">
      <c r="A203" s="61" t="s">
        <v>1612</v>
      </c>
      <c r="B203" s="61" t="s">
        <v>7772</v>
      </c>
      <c r="C203" s="61" t="s">
        <v>1613</v>
      </c>
      <c r="D203" s="406">
        <v>45841.3237104825</v>
      </c>
      <c r="E203" s="61" t="s">
        <v>7771</v>
      </c>
      <c r="F203" s="61" t="s">
        <v>5632</v>
      </c>
      <c r="G203" s="407" t="str">
        <f t="array" ref="G203">XLOOKUP(C203,'Off-Boarding'!B:B,'Off-Boarding'!E:E)</f>
        <v>Suspend</v>
      </c>
    </row>
    <row r="204" hidden="1">
      <c r="A204" s="61" t="s">
        <v>2763</v>
      </c>
      <c r="B204" s="61"/>
      <c r="C204" s="61" t="s">
        <v>2764</v>
      </c>
      <c r="D204" s="406">
        <v>45915.235488485116</v>
      </c>
      <c r="E204" s="61" t="s">
        <v>7771</v>
      </c>
      <c r="F204" s="61" t="s">
        <v>5632</v>
      </c>
      <c r="G204" s="407" t="str">
        <f t="array" ref="G204">XLOOKUP(C204,'Off-Boarding'!B:B,'Off-Boarding'!E:E)</f>
        <v>Suspend</v>
      </c>
    </row>
    <row r="205" hidden="1">
      <c r="A205" s="61" t="s">
        <v>2811</v>
      </c>
      <c r="B205" s="61"/>
      <c r="C205" s="61" t="s">
        <v>2812</v>
      </c>
      <c r="D205" s="406">
        <v>45911.29322441504</v>
      </c>
      <c r="E205" s="61" t="s">
        <v>7771</v>
      </c>
      <c r="F205" s="61" t="s">
        <v>5632</v>
      </c>
      <c r="G205" s="113" t="str">
        <f t="array" ref="G205">XLOOKUP(C205,'Off-Boarding'!B:B,'Off-Boarding'!E:E)</f>
        <v>#N/A</v>
      </c>
    </row>
    <row r="206" hidden="1">
      <c r="A206" s="61" t="s">
        <v>2294</v>
      </c>
      <c r="B206" s="61"/>
      <c r="C206" s="61" t="s">
        <v>2295</v>
      </c>
      <c r="D206" s="406">
        <v>45915.50241164419</v>
      </c>
      <c r="E206" s="61" t="s">
        <v>7771</v>
      </c>
      <c r="F206" s="61" t="s">
        <v>5632</v>
      </c>
      <c r="G206" s="407" t="str">
        <f t="array" ref="G206">XLOOKUP(C206,'Off-Boarding'!B:B,'Off-Boarding'!E:E)</f>
        <v>Suspend</v>
      </c>
    </row>
    <row r="207" hidden="1">
      <c r="A207" s="61" t="s">
        <v>2430</v>
      </c>
      <c r="B207" s="61"/>
      <c r="C207" s="61" t="s">
        <v>2431</v>
      </c>
      <c r="D207" s="406">
        <v>45916.31485671059</v>
      </c>
      <c r="E207" s="61" t="s">
        <v>7771</v>
      </c>
      <c r="F207" s="61" t="s">
        <v>5632</v>
      </c>
      <c r="G207" s="113" t="str">
        <f t="array" ref="G207">XLOOKUP(C207,'Off-Boarding'!B:B,'Off-Boarding'!E:E)</f>
        <v>Suspend</v>
      </c>
    </row>
    <row r="208" hidden="1">
      <c r="A208" s="61" t="s">
        <v>2946</v>
      </c>
      <c r="B208" s="61"/>
      <c r="C208" s="61" t="s">
        <v>2947</v>
      </c>
      <c r="D208" s="406">
        <v>45867.64032694831</v>
      </c>
      <c r="E208" s="61" t="s">
        <v>7771</v>
      </c>
      <c r="F208" s="61" t="s">
        <v>5632</v>
      </c>
      <c r="G208" s="113" t="str">
        <f t="array" ref="G208">XLOOKUP(C208,'Off-Boarding'!B:B,'Off-Boarding'!E:E)</f>
        <v>Suspend</v>
      </c>
    </row>
    <row r="209">
      <c r="A209" s="61" t="s">
        <v>3091</v>
      </c>
      <c r="B209" s="61" t="s">
        <v>7772</v>
      </c>
      <c r="C209" s="61" t="s">
        <v>3092</v>
      </c>
      <c r="D209" s="406">
        <v>45887.42132293072</v>
      </c>
      <c r="E209" s="61" t="s">
        <v>7771</v>
      </c>
      <c r="F209" s="61" t="s">
        <v>5632</v>
      </c>
      <c r="G209" s="407" t="str">
        <f t="array" ref="G209">XLOOKUP(C209,'Off-Boarding'!B:B,'Off-Boarding'!E:E)</f>
        <v>Suspend</v>
      </c>
    </row>
    <row r="210">
      <c r="A210" s="61" t="s">
        <v>1628</v>
      </c>
      <c r="B210" s="61" t="s">
        <v>7772</v>
      </c>
      <c r="C210" s="61" t="s">
        <v>1629</v>
      </c>
      <c r="D210" s="406">
        <v>45911.320945066225</v>
      </c>
      <c r="E210" s="61" t="s">
        <v>7771</v>
      </c>
      <c r="F210" s="61" t="s">
        <v>5632</v>
      </c>
      <c r="G210" s="407" t="str">
        <f t="array" ref="G210">XLOOKUP(C210,'Off-Boarding'!B:B,'Off-Boarding'!E:E)</f>
        <v>Suspend</v>
      </c>
    </row>
    <row r="211" hidden="1">
      <c r="A211" s="61" t="s">
        <v>7796</v>
      </c>
      <c r="B211" s="61"/>
      <c r="C211" s="61" t="s">
        <v>2070</v>
      </c>
      <c r="D211" s="406">
        <v>45915.492933913105</v>
      </c>
      <c r="E211" s="61" t="s">
        <v>7771</v>
      </c>
      <c r="F211" s="61" t="s">
        <v>5632</v>
      </c>
      <c r="G211" s="113" t="str">
        <f t="array" ref="G211">XLOOKUP(C211,'Off-Boarding'!B:B,'Off-Boarding'!E:E)</f>
        <v>Suspend</v>
      </c>
    </row>
    <row r="212">
      <c r="A212" s="61" t="s">
        <v>711</v>
      </c>
      <c r="B212" s="61" t="s">
        <v>7772</v>
      </c>
      <c r="C212" s="61" t="s">
        <v>712</v>
      </c>
      <c r="D212" s="406">
        <v>45744.361488072995</v>
      </c>
      <c r="E212" s="61" t="s">
        <v>7771</v>
      </c>
      <c r="F212" s="61" t="s">
        <v>5632</v>
      </c>
      <c r="G212" s="407" t="str">
        <f t="array" ref="G212">XLOOKUP(C212,'Off-Boarding'!B:B,'Off-Boarding'!E:E)</f>
        <v>Suspend</v>
      </c>
    </row>
    <row r="213" hidden="1">
      <c r="A213" s="61" t="s">
        <v>7662</v>
      </c>
      <c r="B213" s="61"/>
      <c r="C213" s="61" t="s">
        <v>2035</v>
      </c>
      <c r="D213" s="406">
        <v>45915.6681501199</v>
      </c>
      <c r="E213" s="61" t="s">
        <v>7771</v>
      </c>
      <c r="F213" s="61" t="s">
        <v>5632</v>
      </c>
      <c r="G213" s="113" t="str">
        <f t="array" ref="G213">XLOOKUP(C213,'Off-Boarding'!B:B,'Off-Boarding'!E:E)</f>
        <v>#N/A</v>
      </c>
    </row>
    <row r="214" hidden="1">
      <c r="A214" s="61" t="s">
        <v>5532</v>
      </c>
      <c r="B214" s="61"/>
      <c r="C214" s="61" t="s">
        <v>2853</v>
      </c>
      <c r="D214" s="406">
        <v>45915.765434748</v>
      </c>
      <c r="E214" s="61" t="s">
        <v>7771</v>
      </c>
      <c r="F214" s="61" t="s">
        <v>5632</v>
      </c>
      <c r="G214" s="113" t="str">
        <f t="array" ref="G214">XLOOKUP(C214,'Off-Boarding'!B:B,'Off-Boarding'!E:E)</f>
        <v>30-01-2026</v>
      </c>
    </row>
    <row r="215">
      <c r="A215" s="61" t="s">
        <v>1643</v>
      </c>
      <c r="B215" s="61" t="s">
        <v>7772</v>
      </c>
      <c r="C215" s="61" t="s">
        <v>1644</v>
      </c>
      <c r="D215" s="406">
        <v>45911.29889402464</v>
      </c>
      <c r="E215" s="61" t="s">
        <v>7771</v>
      </c>
      <c r="F215" s="61" t="s">
        <v>5632</v>
      </c>
      <c r="G215" s="407" t="str">
        <f t="array" ref="G215">XLOOKUP(C215,'Off-Boarding'!B:B,'Off-Boarding'!E:E)</f>
        <v>Suspend</v>
      </c>
    </row>
    <row r="216" hidden="1">
      <c r="A216" s="61" t="s">
        <v>2010</v>
      </c>
      <c r="B216" s="61"/>
      <c r="C216" s="61" t="s">
        <v>1264</v>
      </c>
      <c r="D216" s="406">
        <v>45916.300366625976</v>
      </c>
      <c r="E216" s="61" t="s">
        <v>7771</v>
      </c>
      <c r="F216" s="61" t="s">
        <v>5632</v>
      </c>
      <c r="G216" s="113" t="str">
        <f t="array" ref="G216">XLOOKUP(C216,'Off-Boarding'!B:B,'Off-Boarding'!E:E)</f>
        <v>#N/A</v>
      </c>
    </row>
    <row r="217" hidden="1">
      <c r="A217" s="61" t="s">
        <v>2616</v>
      </c>
      <c r="B217" s="61"/>
      <c r="C217" s="61" t="s">
        <v>2617</v>
      </c>
      <c r="D217" s="406">
        <v>45916.28528967169</v>
      </c>
      <c r="E217" s="61" t="s">
        <v>7771</v>
      </c>
      <c r="F217" s="61" t="s">
        <v>5632</v>
      </c>
      <c r="G217" s="113" t="str">
        <f t="array" ref="G217">XLOOKUP(C217,'Off-Boarding'!B:B,'Off-Boarding'!E:E)</f>
        <v>Suspend</v>
      </c>
    </row>
    <row r="218">
      <c r="A218" s="61" t="s">
        <v>729</v>
      </c>
      <c r="B218" s="61" t="s">
        <v>7772</v>
      </c>
      <c r="C218" s="61" t="s">
        <v>730</v>
      </c>
      <c r="D218" s="406">
        <v>45792.4140843036</v>
      </c>
      <c r="E218" s="61" t="s">
        <v>7771</v>
      </c>
      <c r="F218" s="61" t="s">
        <v>5632</v>
      </c>
      <c r="G218" s="407" t="str">
        <f t="array" ref="G218">XLOOKUP(C218,'Off-Boarding'!B:B,'Off-Boarding'!E:E)</f>
        <v>Suspend</v>
      </c>
    </row>
    <row r="219" hidden="1">
      <c r="A219" s="61" t="s">
        <v>5479</v>
      </c>
      <c r="B219" s="61"/>
      <c r="C219" s="61" t="s">
        <v>2790</v>
      </c>
      <c r="D219" s="406">
        <v>45876.25702493438</v>
      </c>
      <c r="E219" s="61" t="s">
        <v>7771</v>
      </c>
      <c r="F219" s="61" t="s">
        <v>5632</v>
      </c>
      <c r="G219" s="113" t="str">
        <f t="array" ref="G219">XLOOKUP(C219,'Off-Boarding'!B:B,'Off-Boarding'!E:E)</f>
        <v>#N/A</v>
      </c>
    </row>
    <row r="220" hidden="1">
      <c r="A220" s="61" t="s">
        <v>2832</v>
      </c>
      <c r="B220" s="61"/>
      <c r="C220" s="61" t="s">
        <v>2833</v>
      </c>
      <c r="D220" s="406">
        <v>45915.74684713269</v>
      </c>
      <c r="E220" s="61" t="s">
        <v>7771</v>
      </c>
      <c r="F220" s="61" t="s">
        <v>5632</v>
      </c>
      <c r="G220" s="113" t="str">
        <f t="array" ref="G220">XLOOKUP(C220,'Off-Boarding'!B:B,'Off-Boarding'!E:E)</f>
        <v>#N/A</v>
      </c>
    </row>
    <row r="221">
      <c r="A221" s="61" t="s">
        <v>3158</v>
      </c>
      <c r="B221" s="61" t="s">
        <v>7772</v>
      </c>
      <c r="C221" s="61" t="s">
        <v>3159</v>
      </c>
      <c r="D221" s="406">
        <v>45910.4952979359</v>
      </c>
      <c r="E221" s="61" t="s">
        <v>7771</v>
      </c>
      <c r="F221" s="61" t="s">
        <v>5632</v>
      </c>
      <c r="G221" s="407" t="str">
        <f t="array" ref="G221">XLOOKUP(C221,'Off-Boarding'!B:B,'Off-Boarding'!E:E)</f>
        <v>Suspend</v>
      </c>
    </row>
    <row r="222" hidden="1">
      <c r="A222" s="61" t="s">
        <v>2079</v>
      </c>
      <c r="B222" s="61"/>
      <c r="C222" s="61" t="s">
        <v>1048</v>
      </c>
      <c r="D222" s="406">
        <v>45916.06669220535</v>
      </c>
      <c r="E222" s="61" t="s">
        <v>7771</v>
      </c>
      <c r="F222" s="61" t="s">
        <v>5632</v>
      </c>
      <c r="G222" s="407" t="str">
        <f t="array" ref="G222">XLOOKUP(C222,'Off-Boarding'!B:B,'Off-Boarding'!E:E)</f>
        <v>Suspend</v>
      </c>
    </row>
    <row r="223">
      <c r="A223" s="61" t="s">
        <v>1655</v>
      </c>
      <c r="B223" s="61" t="s">
        <v>7772</v>
      </c>
      <c r="C223" s="61" t="s">
        <v>1656</v>
      </c>
      <c r="D223" s="406">
        <v>45888.2438386903</v>
      </c>
      <c r="E223" s="61" t="s">
        <v>7771</v>
      </c>
      <c r="F223" s="61" t="s">
        <v>5632</v>
      </c>
      <c r="G223" s="407" t="str">
        <f t="array" ref="G223">XLOOKUP(C223,'Off-Boarding'!B:B,'Off-Boarding'!E:E)</f>
        <v>Suspend</v>
      </c>
    </row>
    <row r="224" hidden="1">
      <c r="A224" s="61" t="s">
        <v>2113</v>
      </c>
      <c r="B224" s="61"/>
      <c r="C224" s="61" t="s">
        <v>2114</v>
      </c>
      <c r="D224" s="406">
        <v>45912.38811764583</v>
      </c>
      <c r="E224" s="61" t="s">
        <v>7771</v>
      </c>
      <c r="F224" s="61" t="s">
        <v>5632</v>
      </c>
      <c r="G224" s="407" t="str">
        <f t="array" ref="G224">XLOOKUP(C224,'Off-Boarding'!B:B,'Off-Boarding'!E:E)</f>
        <v>Suspend</v>
      </c>
    </row>
    <row r="225" hidden="1">
      <c r="A225" s="61" t="s">
        <v>4774</v>
      </c>
      <c r="B225" s="61"/>
      <c r="C225" s="61" t="s">
        <v>2228</v>
      </c>
      <c r="D225" s="406">
        <v>45907.88291212865</v>
      </c>
      <c r="E225" s="61" t="s">
        <v>7771</v>
      </c>
      <c r="F225" s="61" t="s">
        <v>5632</v>
      </c>
      <c r="G225" s="407" t="str">
        <f t="array" ref="G225">XLOOKUP(C225,'Off-Boarding'!B:B,'Off-Boarding'!E:E)</f>
        <v>Suspend</v>
      </c>
    </row>
    <row r="226" hidden="1">
      <c r="A226" s="61" t="s">
        <v>2469</v>
      </c>
      <c r="B226" s="61"/>
      <c r="C226" s="61" t="s">
        <v>2470</v>
      </c>
      <c r="D226" s="406">
        <v>45915.78602383552</v>
      </c>
      <c r="E226" s="61" t="s">
        <v>7771</v>
      </c>
      <c r="F226" s="61" t="s">
        <v>5632</v>
      </c>
      <c r="G226" s="113" t="str">
        <f t="array" ref="G226">XLOOKUP(C226,'Off-Boarding'!B:B,'Off-Boarding'!E:E)</f>
        <v>#N/A</v>
      </c>
    </row>
    <row r="227" hidden="1">
      <c r="A227" s="61" t="s">
        <v>2544</v>
      </c>
      <c r="B227" s="61"/>
      <c r="C227" s="61" t="s">
        <v>2545</v>
      </c>
      <c r="D227" s="406">
        <v>45915.43468970658</v>
      </c>
      <c r="E227" s="61" t="s">
        <v>7771</v>
      </c>
      <c r="F227" s="61" t="s">
        <v>5632</v>
      </c>
      <c r="G227" s="113" t="str">
        <f t="array" ref="G227">XLOOKUP(C227,'Off-Boarding'!B:B,'Off-Boarding'!E:E)</f>
        <v>Suspend</v>
      </c>
    </row>
    <row r="228" hidden="1">
      <c r="A228" s="61" t="s">
        <v>757</v>
      </c>
      <c r="B228" s="61"/>
      <c r="C228" s="61" t="s">
        <v>758</v>
      </c>
      <c r="D228" s="406">
        <v>45536.45648100016</v>
      </c>
      <c r="E228" s="61" t="s">
        <v>7771</v>
      </c>
      <c r="F228" s="61" t="s">
        <v>5632</v>
      </c>
      <c r="G228" s="113" t="str">
        <f t="array" ref="G228">XLOOKUP(C228,'Off-Boarding'!B:B,'Off-Boarding'!E:E)</f>
        <v>#N/A</v>
      </c>
    </row>
    <row r="229" hidden="1">
      <c r="A229" s="61" t="s">
        <v>3067</v>
      </c>
      <c r="B229" s="61"/>
      <c r="C229" s="61" t="s">
        <v>3068</v>
      </c>
      <c r="D229" s="406">
        <v>45912.32004433067</v>
      </c>
      <c r="E229" s="61" t="s">
        <v>7771</v>
      </c>
      <c r="F229" s="61" t="s">
        <v>5632</v>
      </c>
      <c r="G229" s="407" t="str">
        <f t="array" ref="G229">XLOOKUP(C229,'Off-Boarding'!B:B,'Off-Boarding'!E:E)</f>
        <v>Suspend</v>
      </c>
    </row>
    <row r="230" hidden="1">
      <c r="A230" s="61" t="s">
        <v>2972</v>
      </c>
      <c r="B230" s="61"/>
      <c r="C230" s="61" t="s">
        <v>2973</v>
      </c>
      <c r="D230" s="406">
        <v>45915.19532147851</v>
      </c>
      <c r="E230" s="61" t="s">
        <v>7771</v>
      </c>
      <c r="F230" s="61" t="s">
        <v>5632</v>
      </c>
      <c r="G230" s="113" t="str">
        <f t="array" ref="G230">XLOOKUP(C230,'Off-Boarding'!B:B,'Off-Boarding'!E:E)</f>
        <v>Suspend</v>
      </c>
    </row>
    <row r="231" hidden="1">
      <c r="A231" s="61" t="s">
        <v>763</v>
      </c>
      <c r="B231" s="61"/>
      <c r="C231" s="61" t="s">
        <v>764</v>
      </c>
      <c r="D231" s="406">
        <v>45379.25690523496</v>
      </c>
      <c r="E231" s="61" t="s">
        <v>7771</v>
      </c>
      <c r="F231" s="61" t="s">
        <v>5632</v>
      </c>
      <c r="G231" s="113" t="str">
        <f t="array" ref="G231">XLOOKUP(C231,'Off-Boarding'!B:B,'Off-Boarding'!E:E)</f>
        <v>#N/A</v>
      </c>
    </row>
    <row r="232" hidden="1">
      <c r="A232" s="61" t="s">
        <v>2169</v>
      </c>
      <c r="B232" s="61"/>
      <c r="C232" s="61" t="s">
        <v>2170</v>
      </c>
      <c r="D232" s="406">
        <v>45912.810809242415</v>
      </c>
      <c r="E232" s="61" t="s">
        <v>7771</v>
      </c>
      <c r="F232" s="61" t="s">
        <v>5632</v>
      </c>
      <c r="G232" s="113" t="str">
        <f t="array" ref="G232">XLOOKUP(C232,'Off-Boarding'!B:B,'Off-Boarding'!E:E)</f>
        <v>#N/A</v>
      </c>
    </row>
    <row r="233" hidden="1">
      <c r="A233" s="61" t="s">
        <v>2257</v>
      </c>
      <c r="B233" s="61"/>
      <c r="C233" s="61" t="s">
        <v>2258</v>
      </c>
      <c r="D233" s="406">
        <v>45908.36488026366</v>
      </c>
      <c r="E233" s="61" t="s">
        <v>7771</v>
      </c>
      <c r="F233" s="61" t="s">
        <v>5632</v>
      </c>
      <c r="G233" s="113" t="str">
        <f t="array" ref="G233">XLOOKUP(C233,'Off-Boarding'!B:B,'Off-Boarding'!E:E)</f>
        <v>Suspend</v>
      </c>
    </row>
    <row r="234" hidden="1">
      <c r="A234" s="61" t="s">
        <v>7797</v>
      </c>
      <c r="B234" s="61"/>
      <c r="C234" s="61" t="s">
        <v>1297</v>
      </c>
      <c r="D234" s="406">
        <v>45915.49609214593</v>
      </c>
      <c r="E234" s="61" t="s">
        <v>7771</v>
      </c>
      <c r="F234" s="61" t="s">
        <v>5632</v>
      </c>
      <c r="G234" s="407" t="str">
        <f t="array" ref="G234">XLOOKUP(C234,'Off-Boarding'!B:B,'Off-Boarding'!E:E)</f>
        <v>Suspend</v>
      </c>
    </row>
    <row r="235">
      <c r="A235" s="61" t="s">
        <v>1685</v>
      </c>
      <c r="B235" s="61" t="s">
        <v>7772</v>
      </c>
      <c r="C235" s="61" t="s">
        <v>1686</v>
      </c>
      <c r="D235" s="406">
        <v>45889.34585827457</v>
      </c>
      <c r="E235" s="61" t="s">
        <v>7771</v>
      </c>
      <c r="F235" s="61" t="s">
        <v>5632</v>
      </c>
      <c r="G235" s="407" t="str">
        <f t="array" ref="G235">XLOOKUP(C235,'Off-Boarding'!B:B,'Off-Boarding'!E:E)</f>
        <v>Suspend</v>
      </c>
    </row>
    <row r="236" hidden="1">
      <c r="A236" s="61" t="s">
        <v>1961</v>
      </c>
      <c r="B236" s="61"/>
      <c r="C236" s="61" t="s">
        <v>1445</v>
      </c>
      <c r="D236" s="406">
        <v>45910.39833334416</v>
      </c>
      <c r="E236" s="61" t="s">
        <v>7771</v>
      </c>
      <c r="F236" s="61" t="s">
        <v>5632</v>
      </c>
      <c r="G236" s="113" t="str">
        <f t="array" ref="G236">XLOOKUP(C236,'Off-Boarding'!B:B,'Off-Boarding'!E:E)</f>
        <v>#N/A</v>
      </c>
    </row>
    <row r="237" hidden="1">
      <c r="A237" s="61" t="s">
        <v>2775</v>
      </c>
      <c r="B237" s="61"/>
      <c r="C237" s="61" t="s">
        <v>2776</v>
      </c>
      <c r="D237" s="406">
        <v>45915.47014566087</v>
      </c>
      <c r="E237" s="61" t="s">
        <v>7771</v>
      </c>
      <c r="F237" s="61" t="s">
        <v>5632</v>
      </c>
      <c r="G237" s="113" t="str">
        <f t="array" ref="G237">XLOOKUP(C237,'Off-Boarding'!B:B,'Off-Boarding'!E:E)</f>
        <v>Suspend</v>
      </c>
    </row>
    <row r="238">
      <c r="A238" s="61" t="s">
        <v>3889</v>
      </c>
      <c r="B238" s="61" t="s">
        <v>7772</v>
      </c>
      <c r="C238" s="61" t="s">
        <v>772</v>
      </c>
      <c r="D238" s="406">
        <v>45701.33193737587</v>
      </c>
      <c r="E238" s="61" t="s">
        <v>7771</v>
      </c>
      <c r="F238" s="61" t="s">
        <v>5632</v>
      </c>
      <c r="G238" s="407" t="str">
        <f t="array" ref="G238">XLOOKUP(C238,'Off-Boarding'!B:B,'Off-Boarding'!E:E)</f>
        <v>Suspend</v>
      </c>
    </row>
    <row r="239">
      <c r="A239" s="61" t="s">
        <v>1687</v>
      </c>
      <c r="B239" s="61" t="s">
        <v>7772</v>
      </c>
      <c r="C239" s="61" t="s">
        <v>1688</v>
      </c>
      <c r="D239" s="406">
        <v>45894.5523268744</v>
      </c>
      <c r="E239" s="61" t="s">
        <v>7771</v>
      </c>
      <c r="F239" s="61" t="s">
        <v>5632</v>
      </c>
      <c r="G239" s="407" t="str">
        <f t="array" ref="G239">XLOOKUP(C239,'Off-Boarding'!B:B,'Off-Boarding'!E:E)</f>
        <v>Suspend</v>
      </c>
    </row>
    <row r="240">
      <c r="A240" s="61" t="s">
        <v>7798</v>
      </c>
      <c r="B240" s="61" t="s">
        <v>7772</v>
      </c>
      <c r="C240" s="61" t="s">
        <v>2907</v>
      </c>
      <c r="D240" s="406">
        <v>45889.329608194756</v>
      </c>
      <c r="E240" s="61" t="s">
        <v>7771</v>
      </c>
      <c r="F240" s="61" t="s">
        <v>5632</v>
      </c>
      <c r="G240" s="407" t="str">
        <f t="array" ref="G240">XLOOKUP(C240,'Off-Boarding'!B:B,'Off-Boarding'!E:E)</f>
        <v>Suspend</v>
      </c>
    </row>
    <row r="241" hidden="1">
      <c r="A241" s="61" t="s">
        <v>2077</v>
      </c>
      <c r="B241" s="61"/>
      <c r="C241" s="61" t="s">
        <v>1026</v>
      </c>
      <c r="D241" s="406">
        <v>45911.32921415505</v>
      </c>
      <c r="E241" s="61" t="s">
        <v>7771</v>
      </c>
      <c r="F241" s="61" t="s">
        <v>5632</v>
      </c>
      <c r="G241" s="113" t="str">
        <f t="array" ref="G241">XLOOKUP(C241,'Off-Boarding'!B:B,'Off-Boarding'!E:E)</f>
        <v>#N/A</v>
      </c>
    </row>
    <row r="242" hidden="1">
      <c r="A242" s="61" t="s">
        <v>1874</v>
      </c>
      <c r="B242" s="61"/>
      <c r="C242" s="61" t="s">
        <v>1875</v>
      </c>
      <c r="D242" s="406">
        <v>45915.907224177165</v>
      </c>
      <c r="E242" s="61" t="s">
        <v>7771</v>
      </c>
      <c r="F242" s="61" t="s">
        <v>5632</v>
      </c>
      <c r="G242" s="408">
        <f t="array" ref="G242">XLOOKUP(C242,'Off-Boarding'!B:B,'Off-Boarding'!E:E)</f>
        <v>46176</v>
      </c>
    </row>
    <row r="243">
      <c r="A243" s="61" t="s">
        <v>1689</v>
      </c>
      <c r="B243" s="61" t="s">
        <v>7772</v>
      </c>
      <c r="C243" s="61" t="s">
        <v>1690</v>
      </c>
      <c r="D243" s="406">
        <v>45892.15040031282</v>
      </c>
      <c r="E243" s="61" t="s">
        <v>7771</v>
      </c>
      <c r="F243" s="61" t="s">
        <v>5632</v>
      </c>
      <c r="G243" s="407" t="str">
        <f t="array" ref="G243">XLOOKUP(C243,'Off-Boarding'!B:B,'Off-Boarding'!E:E)</f>
        <v>Suspend</v>
      </c>
    </row>
    <row r="244" hidden="1">
      <c r="A244" s="61" t="s">
        <v>1968</v>
      </c>
      <c r="B244" s="61"/>
      <c r="C244" s="61" t="s">
        <v>1969</v>
      </c>
      <c r="D244" s="406">
        <v>45916.28366755033</v>
      </c>
      <c r="E244" s="61" t="s">
        <v>7771</v>
      </c>
      <c r="F244" s="61" t="s">
        <v>5632</v>
      </c>
      <c r="G244" s="113" t="str">
        <f t="array" ref="G244">XLOOKUP(C244,'Off-Boarding'!B:B,'Off-Boarding'!E:E)</f>
        <v>Suspend</v>
      </c>
    </row>
    <row r="245">
      <c r="A245" s="61" t="s">
        <v>1691</v>
      </c>
      <c r="B245" s="61" t="s">
        <v>7772</v>
      </c>
      <c r="C245" s="61" t="s">
        <v>1692</v>
      </c>
      <c r="D245" s="406">
        <v>45856.41646614853</v>
      </c>
      <c r="E245" s="61" t="s">
        <v>7771</v>
      </c>
      <c r="F245" s="61" t="s">
        <v>5632</v>
      </c>
      <c r="G245" s="407" t="str">
        <f t="array" ref="G245">XLOOKUP(C245,'Off-Boarding'!B:B,'Off-Boarding'!E:E)</f>
        <v>Suspend</v>
      </c>
    </row>
    <row r="246" hidden="1">
      <c r="A246" s="61" t="s">
        <v>2318</v>
      </c>
      <c r="B246" s="61"/>
      <c r="C246" s="61" t="s">
        <v>2319</v>
      </c>
      <c r="D246" s="406">
        <v>45553.076578009066</v>
      </c>
      <c r="E246" s="61" t="s">
        <v>7771</v>
      </c>
      <c r="F246" s="61" t="s">
        <v>5632</v>
      </c>
      <c r="G246" s="113" t="str">
        <f t="array" ref="G246">XLOOKUP(C246,'Off-Boarding'!B:B,'Off-Boarding'!E:E)</f>
        <v>#N/A</v>
      </c>
    </row>
    <row r="247">
      <c r="A247" s="61" t="s">
        <v>5167</v>
      </c>
      <c r="B247" s="61" t="s">
        <v>7772</v>
      </c>
      <c r="C247" s="61" t="s">
        <v>1694</v>
      </c>
      <c r="D247" s="406">
        <v>45894.393792812116</v>
      </c>
      <c r="E247" s="61" t="s">
        <v>7771</v>
      </c>
      <c r="F247" s="61" t="s">
        <v>5632</v>
      </c>
      <c r="G247" s="407" t="str">
        <f t="array" ref="G247">XLOOKUP(C247,'Off-Boarding'!B:B,'Off-Boarding'!E:E)</f>
        <v>Suspend</v>
      </c>
    </row>
    <row r="248" hidden="1">
      <c r="A248" s="61" t="s">
        <v>2045</v>
      </c>
      <c r="B248" s="61"/>
      <c r="C248" s="61" t="s">
        <v>1200</v>
      </c>
      <c r="D248" s="406">
        <v>45915.740924818354</v>
      </c>
      <c r="E248" s="61" t="s">
        <v>7771</v>
      </c>
      <c r="F248" s="61" t="s">
        <v>5632</v>
      </c>
      <c r="G248" s="407" t="str">
        <f t="array" ref="G248">XLOOKUP(C248,'Off-Boarding'!B:B,'Off-Boarding'!E:E)</f>
        <v>Suspend</v>
      </c>
    </row>
    <row r="249" hidden="1">
      <c r="A249" s="61" t="s">
        <v>2045</v>
      </c>
      <c r="B249" s="61"/>
      <c r="C249" s="61" t="s">
        <v>2524</v>
      </c>
      <c r="D249" s="406">
        <v>45915.565906403775</v>
      </c>
      <c r="E249" s="61" t="s">
        <v>7771</v>
      </c>
      <c r="F249" s="61" t="s">
        <v>5632</v>
      </c>
      <c r="G249" s="113" t="str">
        <f t="array" ref="G249">XLOOKUP(C249,'Off-Boarding'!B:B,'Off-Boarding'!E:E)</f>
        <v>#N/A</v>
      </c>
    </row>
    <row r="250">
      <c r="A250" s="61" t="s">
        <v>1703</v>
      </c>
      <c r="B250" s="61" t="s">
        <v>7772</v>
      </c>
      <c r="C250" s="61" t="s">
        <v>1704</v>
      </c>
      <c r="D250" s="406">
        <v>45910.57984287598</v>
      </c>
      <c r="E250" s="61" t="s">
        <v>7771</v>
      </c>
      <c r="F250" s="61" t="s">
        <v>5632</v>
      </c>
      <c r="G250" s="407" t="str">
        <f t="array" ref="G250">XLOOKUP(C250,'Off-Boarding'!B:B,'Off-Boarding'!E:E)</f>
        <v>Suspend</v>
      </c>
    </row>
    <row r="251">
      <c r="A251" s="61" t="s">
        <v>1712</v>
      </c>
      <c r="B251" s="61" t="s">
        <v>7772</v>
      </c>
      <c r="C251" s="61" t="s">
        <v>1713</v>
      </c>
      <c r="D251" s="406">
        <v>45889.2390742897</v>
      </c>
      <c r="E251" s="61" t="s">
        <v>7771</v>
      </c>
      <c r="F251" s="61" t="s">
        <v>5632</v>
      </c>
      <c r="G251" s="407" t="str">
        <f t="array" ref="G251">XLOOKUP(C251,'Off-Boarding'!B:B,'Off-Boarding'!E:E)</f>
        <v>Suspend</v>
      </c>
    </row>
    <row r="252">
      <c r="A252" s="61" t="s">
        <v>3059</v>
      </c>
      <c r="B252" s="61" t="s">
        <v>7772</v>
      </c>
      <c r="C252" s="61" t="s">
        <v>3060</v>
      </c>
      <c r="D252" s="406">
        <v>45912.308742949106</v>
      </c>
      <c r="E252" s="61" t="s">
        <v>7771</v>
      </c>
      <c r="F252" s="61" t="s">
        <v>5632</v>
      </c>
      <c r="G252" s="407" t="str">
        <f t="array" ref="G252">XLOOKUP(C252,'Off-Boarding'!B:B,'Off-Boarding'!E:E)</f>
        <v>Suspend</v>
      </c>
    </row>
    <row r="253">
      <c r="A253" s="61" t="s">
        <v>821</v>
      </c>
      <c r="B253" s="61" t="s">
        <v>7772</v>
      </c>
      <c r="C253" s="61" t="s">
        <v>822</v>
      </c>
      <c r="D253" s="406">
        <v>45648.32929357742</v>
      </c>
      <c r="E253" s="61" t="s">
        <v>7771</v>
      </c>
      <c r="F253" s="61" t="s">
        <v>5632</v>
      </c>
      <c r="G253" s="407" t="str">
        <f t="array" ref="G253">XLOOKUP(C253,'Off-Boarding'!B:B,'Off-Boarding'!E:E)</f>
        <v>Suspend</v>
      </c>
    </row>
    <row r="254">
      <c r="A254" s="61" t="s">
        <v>827</v>
      </c>
      <c r="B254" s="61" t="s">
        <v>7772</v>
      </c>
      <c r="C254" s="61" t="s">
        <v>828</v>
      </c>
      <c r="D254" s="406">
        <v>45572.292081888394</v>
      </c>
      <c r="E254" s="61" t="s">
        <v>7771</v>
      </c>
      <c r="F254" s="61" t="s">
        <v>5632</v>
      </c>
      <c r="G254" s="407" t="str">
        <f t="array" ref="G254">XLOOKUP(C254,'Off-Boarding'!B:B,'Off-Boarding'!E:E)</f>
        <v>Suspend</v>
      </c>
    </row>
    <row r="255" hidden="1">
      <c r="A255" s="61" t="s">
        <v>2618</v>
      </c>
      <c r="B255" s="61"/>
      <c r="C255" s="61" t="s">
        <v>2619</v>
      </c>
      <c r="D255" s="406">
        <v>45915.38265664696</v>
      </c>
      <c r="E255" s="61" t="s">
        <v>7771</v>
      </c>
      <c r="F255" s="61" t="s">
        <v>5632</v>
      </c>
      <c r="G255" s="113" t="str">
        <f t="array" ref="G255">XLOOKUP(C255,'Off-Boarding'!B:B,'Off-Boarding'!E:E)</f>
        <v>#N/A</v>
      </c>
    </row>
    <row r="256" hidden="1">
      <c r="A256" s="61" t="s">
        <v>1908</v>
      </c>
      <c r="B256" s="61"/>
      <c r="C256" s="61" t="s">
        <v>1909</v>
      </c>
      <c r="D256" s="406">
        <v>45890.314739704256</v>
      </c>
      <c r="E256" s="61" t="s">
        <v>7771</v>
      </c>
      <c r="F256" s="61" t="s">
        <v>5632</v>
      </c>
      <c r="G256" s="113" t="str">
        <f t="array" ref="G256">XLOOKUP(C256,'Off-Boarding'!B:B,'Off-Boarding'!E:E)</f>
        <v>Suspend</v>
      </c>
    </row>
    <row r="257">
      <c r="A257" s="61" t="s">
        <v>1719</v>
      </c>
      <c r="B257" s="61" t="s">
        <v>7772</v>
      </c>
      <c r="C257" s="61" t="s">
        <v>1720</v>
      </c>
      <c r="D257" s="406">
        <v>45889.51923262905</v>
      </c>
      <c r="E257" s="61" t="s">
        <v>7771</v>
      </c>
      <c r="F257" s="61" t="s">
        <v>5632</v>
      </c>
      <c r="G257" s="407" t="str">
        <f t="array" ref="G257">XLOOKUP(C257,'Off-Boarding'!B:B,'Off-Boarding'!E:E)</f>
        <v>Suspend</v>
      </c>
    </row>
    <row r="258" hidden="1">
      <c r="A258" s="61" t="s">
        <v>1723</v>
      </c>
      <c r="B258" s="61"/>
      <c r="C258" s="61" t="s">
        <v>1724</v>
      </c>
      <c r="D258" s="406">
        <v>45915.619377068644</v>
      </c>
      <c r="E258" s="61" t="s">
        <v>7771</v>
      </c>
      <c r="F258" s="61" t="s">
        <v>5632</v>
      </c>
      <c r="G258" s="407" t="str">
        <f t="array" ref="G258">XLOOKUP(C258,'Off-Boarding'!B:B,'Off-Boarding'!E:E)</f>
        <v>Suspend</v>
      </c>
    </row>
    <row r="259" hidden="1">
      <c r="A259" s="61" t="s">
        <v>3129</v>
      </c>
      <c r="B259" s="61"/>
      <c r="C259" s="61" t="s">
        <v>3130</v>
      </c>
      <c r="D259" s="406">
        <v>45916.262368356445</v>
      </c>
      <c r="E259" s="61" t="s">
        <v>7771</v>
      </c>
      <c r="F259" s="61" t="s">
        <v>5632</v>
      </c>
      <c r="G259" s="113" t="str">
        <f t="array" ref="G259">XLOOKUP(C259,'Off-Boarding'!B:B,'Off-Boarding'!E:E)</f>
        <v>Suspend</v>
      </c>
    </row>
    <row r="260" hidden="1">
      <c r="A260" s="61" t="s">
        <v>1731</v>
      </c>
      <c r="B260" s="61"/>
      <c r="C260" s="61" t="s">
        <v>2046</v>
      </c>
      <c r="D260" s="406">
        <v>45916.18842972653</v>
      </c>
      <c r="E260" s="61" t="s">
        <v>7771</v>
      </c>
      <c r="F260" s="61" t="s">
        <v>5632</v>
      </c>
      <c r="G260" s="113" t="str">
        <f t="array" ref="G260">XLOOKUP(C260,'Off-Boarding'!B:B,'Off-Boarding'!E:E)</f>
        <v>Suspend</v>
      </c>
    </row>
    <row r="261" hidden="1">
      <c r="A261" s="61" t="s">
        <v>1731</v>
      </c>
      <c r="B261" s="61"/>
      <c r="C261" s="61" t="s">
        <v>1732</v>
      </c>
      <c r="D261" s="406">
        <v>45915.50342315632</v>
      </c>
      <c r="E261" s="61" t="s">
        <v>7771</v>
      </c>
      <c r="F261" s="61" t="s">
        <v>5632</v>
      </c>
      <c r="G261" s="407" t="str">
        <f t="array" ref="G261">XLOOKUP(C261,'Off-Boarding'!B:B,'Off-Boarding'!E:E)</f>
        <v>Suspend</v>
      </c>
    </row>
    <row r="262">
      <c r="A262" s="61" t="s">
        <v>2982</v>
      </c>
      <c r="B262" s="61" t="s">
        <v>7772</v>
      </c>
      <c r="C262" s="61" t="s">
        <v>2983</v>
      </c>
      <c r="D262" s="406">
        <v>45908.30934498443</v>
      </c>
      <c r="E262" s="61" t="s">
        <v>7771</v>
      </c>
      <c r="F262" s="61" t="s">
        <v>5632</v>
      </c>
      <c r="G262" s="407" t="str">
        <f t="array" ref="G262">XLOOKUP(C262,'Off-Boarding'!B:B,'Off-Boarding'!E:E)</f>
        <v>Suspend</v>
      </c>
    </row>
    <row r="263" hidden="1">
      <c r="A263" s="61" t="s">
        <v>5432</v>
      </c>
      <c r="B263" s="61"/>
      <c r="C263" s="61" t="s">
        <v>1735</v>
      </c>
      <c r="D263" s="406">
        <v>45915.32020009345</v>
      </c>
      <c r="E263" s="61" t="s">
        <v>7771</v>
      </c>
      <c r="F263" s="61" t="s">
        <v>5632</v>
      </c>
      <c r="G263" s="407" t="str">
        <f t="array" ref="G263">XLOOKUP(C263,'Off-Boarding'!B:B,'Off-Boarding'!E:E)</f>
        <v>Suspend</v>
      </c>
    </row>
    <row r="264">
      <c r="A264" s="61" t="s">
        <v>7799</v>
      </c>
      <c r="B264" s="61" t="s">
        <v>7772</v>
      </c>
      <c r="C264" s="61" t="s">
        <v>1739</v>
      </c>
      <c r="D264" s="406">
        <v>45903.3200420089</v>
      </c>
      <c r="E264" s="61" t="s">
        <v>7771</v>
      </c>
      <c r="F264" s="61" t="s">
        <v>5632</v>
      </c>
      <c r="G264" s="407" t="str">
        <f t="array" ref="G264">XLOOKUP(C264,'Off-Boarding'!B:B,'Off-Boarding'!E:E)</f>
        <v>Suspend</v>
      </c>
    </row>
    <row r="265">
      <c r="A265" s="61" t="s">
        <v>1748</v>
      </c>
      <c r="B265" s="61" t="s">
        <v>7772</v>
      </c>
      <c r="C265" s="61" t="s">
        <v>1749</v>
      </c>
      <c r="D265" s="406">
        <v>45910.261888682304</v>
      </c>
      <c r="E265" s="61" t="s">
        <v>7771</v>
      </c>
      <c r="F265" s="61" t="s">
        <v>5632</v>
      </c>
      <c r="G265" s="407" t="str">
        <f t="array" ref="G265">XLOOKUP(C265,'Off-Boarding'!B:B,'Off-Boarding'!E:E)</f>
        <v>Suspend</v>
      </c>
    </row>
    <row r="266">
      <c r="A266" s="61" t="s">
        <v>1750</v>
      </c>
      <c r="B266" s="61" t="s">
        <v>7772</v>
      </c>
      <c r="C266" s="61" t="s">
        <v>1751</v>
      </c>
      <c r="D266" s="406">
        <v>45910.68863112832</v>
      </c>
      <c r="E266" s="61" t="s">
        <v>7771</v>
      </c>
      <c r="F266" s="61" t="s">
        <v>5632</v>
      </c>
      <c r="G266" s="407" t="str">
        <f t="array" ref="G266">XLOOKUP(C266,'Off-Boarding'!B:B,'Off-Boarding'!E:E)</f>
        <v>Suspend</v>
      </c>
    </row>
    <row r="267" hidden="1">
      <c r="A267" s="61" t="s">
        <v>2481</v>
      </c>
      <c r="B267" s="61"/>
      <c r="C267" s="61" t="s">
        <v>2482</v>
      </c>
      <c r="D267" s="406">
        <v>45916.252070214985</v>
      </c>
      <c r="E267" s="61" t="s">
        <v>7771</v>
      </c>
      <c r="F267" s="61" t="s">
        <v>5632</v>
      </c>
      <c r="G267" s="113" t="str">
        <f t="array" ref="G267">XLOOKUP(C267,'Off-Boarding'!B:B,'Off-Boarding'!E:E)</f>
        <v>Suspend</v>
      </c>
    </row>
    <row r="268" hidden="1">
      <c r="A268" s="61" t="s">
        <v>2550</v>
      </c>
      <c r="B268" s="61"/>
      <c r="C268" s="61" t="s">
        <v>2551</v>
      </c>
      <c r="D268" s="406">
        <v>45915.889626914155</v>
      </c>
      <c r="E268" s="61" t="s">
        <v>7771</v>
      </c>
      <c r="F268" s="61" t="s">
        <v>5632</v>
      </c>
      <c r="G268" s="407" t="str">
        <f t="array" ref="G268">XLOOKUP(C268,'Off-Boarding'!B:B,'Off-Boarding'!E:E)</f>
        <v>Suspend</v>
      </c>
    </row>
    <row r="269">
      <c r="A269" s="61" t="s">
        <v>3125</v>
      </c>
      <c r="B269" s="61" t="s">
        <v>7772</v>
      </c>
      <c r="C269" s="61" t="s">
        <v>3126</v>
      </c>
      <c r="D269" s="406">
        <v>45891.37490081266</v>
      </c>
      <c r="E269" s="61" t="s">
        <v>7771</v>
      </c>
      <c r="F269" s="61" t="s">
        <v>5632</v>
      </c>
      <c r="G269" s="407" t="str">
        <f t="array" ref="G269">XLOOKUP(C269,'Off-Boarding'!B:B,'Off-Boarding'!E:E)</f>
        <v>Suspend</v>
      </c>
    </row>
    <row r="270" hidden="1">
      <c r="A270" s="61" t="s">
        <v>4989</v>
      </c>
      <c r="B270" s="61"/>
      <c r="C270" s="61" t="s">
        <v>1987</v>
      </c>
      <c r="D270" s="406">
        <v>45916.283956550054</v>
      </c>
      <c r="E270" s="61" t="s">
        <v>7771</v>
      </c>
      <c r="F270" s="61" t="s">
        <v>5632</v>
      </c>
      <c r="G270" s="113" t="str">
        <f t="array" ref="G270">XLOOKUP(C270,'Off-Boarding'!B:B,'Off-Boarding'!E:E)</f>
        <v>#N/A</v>
      </c>
    </row>
    <row r="271" hidden="1">
      <c r="A271" s="61" t="s">
        <v>1898</v>
      </c>
      <c r="B271" s="61"/>
      <c r="C271" s="61" t="s">
        <v>1695</v>
      </c>
      <c r="D271" s="406">
        <v>45916.27860563258</v>
      </c>
      <c r="E271" s="61" t="s">
        <v>7771</v>
      </c>
      <c r="F271" s="61" t="s">
        <v>5632</v>
      </c>
      <c r="G271" s="113" t="str">
        <f t="array" ref="G271">XLOOKUP(C271,'Off-Boarding'!B:B,'Off-Boarding'!E:E)</f>
        <v>#N/A</v>
      </c>
    </row>
    <row r="272">
      <c r="A272" s="61" t="s">
        <v>3866</v>
      </c>
      <c r="B272" s="61" t="s">
        <v>7772</v>
      </c>
      <c r="C272" s="61" t="s">
        <v>895</v>
      </c>
      <c r="D272" s="406">
        <v>45580.08572185798</v>
      </c>
      <c r="E272" s="61" t="s">
        <v>7771</v>
      </c>
      <c r="F272" s="61" t="s">
        <v>5632</v>
      </c>
      <c r="G272" s="407" t="str">
        <f t="array" ref="G272">XLOOKUP(C272,'Off-Boarding'!B:B,'Off-Boarding'!E:E)</f>
        <v>Suspend</v>
      </c>
    </row>
    <row r="273" hidden="1">
      <c r="A273" s="61" t="s">
        <v>2501</v>
      </c>
      <c r="B273" s="61"/>
      <c r="C273" s="61" t="s">
        <v>2502</v>
      </c>
      <c r="D273" s="406">
        <v>45916.29323570096</v>
      </c>
      <c r="E273" s="61" t="s">
        <v>7771</v>
      </c>
      <c r="F273" s="61" t="s">
        <v>5632</v>
      </c>
      <c r="G273" s="113" t="str">
        <f t="array" ref="G273">XLOOKUP(C273,'Off-Boarding'!B:B,'Off-Boarding'!E:E)</f>
        <v>#N/A</v>
      </c>
    </row>
    <row r="274">
      <c r="A274" s="61" t="s">
        <v>902</v>
      </c>
      <c r="B274" s="61" t="s">
        <v>7772</v>
      </c>
      <c r="C274" s="61" t="s">
        <v>903</v>
      </c>
      <c r="D274" s="406">
        <v>45691.4202085551</v>
      </c>
      <c r="E274" s="61" t="s">
        <v>7771</v>
      </c>
      <c r="F274" s="61" t="s">
        <v>5632</v>
      </c>
      <c r="G274" s="407" t="str">
        <f t="array" ref="G274">XLOOKUP(C274,'Off-Boarding'!B:B,'Off-Boarding'!E:E)</f>
        <v>Suspend</v>
      </c>
    </row>
    <row r="275">
      <c r="A275" s="61" t="s">
        <v>1764</v>
      </c>
      <c r="B275" s="61" t="s">
        <v>7772</v>
      </c>
      <c r="C275" s="61" t="s">
        <v>1765</v>
      </c>
      <c r="D275" s="406">
        <v>45888.496640427235</v>
      </c>
      <c r="E275" s="61" t="s">
        <v>7771</v>
      </c>
      <c r="F275" s="61" t="s">
        <v>5632</v>
      </c>
      <c r="G275" s="407" t="str">
        <f t="array" ref="G275">XLOOKUP(C275,'Off-Boarding'!B:B,'Off-Boarding'!E:E)</f>
        <v>Suspend</v>
      </c>
    </row>
    <row r="276">
      <c r="A276" s="61" t="s">
        <v>2942</v>
      </c>
      <c r="B276" s="61" t="s">
        <v>7772</v>
      </c>
      <c r="C276" s="61" t="s">
        <v>2943</v>
      </c>
      <c r="D276" s="406">
        <v>45901.537021827826</v>
      </c>
      <c r="E276" s="61" t="s">
        <v>7771</v>
      </c>
      <c r="F276" s="61" t="s">
        <v>5632</v>
      </c>
      <c r="G276" s="407" t="str">
        <f t="array" ref="G276">XLOOKUP(C276,'Off-Boarding'!B:B,'Off-Boarding'!E:E)</f>
        <v>Suspend</v>
      </c>
    </row>
    <row r="277">
      <c r="A277" s="61" t="s">
        <v>1770</v>
      </c>
      <c r="B277" s="61" t="s">
        <v>7772</v>
      </c>
      <c r="C277" s="61" t="s">
        <v>1771</v>
      </c>
      <c r="D277" s="406">
        <v>45897.60690487991</v>
      </c>
      <c r="E277" s="61" t="s">
        <v>7771</v>
      </c>
      <c r="F277" s="61" t="s">
        <v>5632</v>
      </c>
      <c r="G277" s="407" t="str">
        <f t="array" ref="G277">XLOOKUP(C277,'Off-Boarding'!B:B,'Off-Boarding'!E:E)</f>
        <v>Suspend</v>
      </c>
    </row>
    <row r="278">
      <c r="A278" s="61" t="s">
        <v>2963</v>
      </c>
      <c r="B278" s="61" t="s">
        <v>7772</v>
      </c>
      <c r="C278" s="61" t="s">
        <v>2964</v>
      </c>
      <c r="D278" s="406">
        <v>45855.325439141874</v>
      </c>
      <c r="E278" s="61" t="s">
        <v>7771</v>
      </c>
      <c r="F278" s="61" t="s">
        <v>5632</v>
      </c>
      <c r="G278" s="407" t="str">
        <f t="array" ref="G278">XLOOKUP(C278,'Off-Boarding'!B:B,'Off-Boarding'!E:E)</f>
        <v>Suspend</v>
      </c>
    </row>
    <row r="279">
      <c r="A279" s="61" t="s">
        <v>1772</v>
      </c>
      <c r="B279" s="61" t="s">
        <v>7772</v>
      </c>
      <c r="C279" s="61" t="s">
        <v>1773</v>
      </c>
      <c r="D279" s="406">
        <v>45909.23140198458</v>
      </c>
      <c r="E279" s="61" t="s">
        <v>7771</v>
      </c>
      <c r="F279" s="61" t="s">
        <v>5632</v>
      </c>
      <c r="G279" s="407" t="str">
        <f t="array" ref="G279">XLOOKUP(C279,'Off-Boarding'!B:B,'Off-Boarding'!E:E)</f>
        <v>Suspend</v>
      </c>
    </row>
    <row r="280" hidden="1">
      <c r="A280" s="61" t="s">
        <v>2320</v>
      </c>
      <c r="B280" s="61"/>
      <c r="C280" s="61" t="s">
        <v>2321</v>
      </c>
      <c r="D280" s="406">
        <v>45534.22880559533</v>
      </c>
      <c r="E280" s="61" t="s">
        <v>7771</v>
      </c>
      <c r="F280" s="61" t="s">
        <v>5632</v>
      </c>
      <c r="G280" s="113" t="str">
        <f t="array" ref="G280">XLOOKUP(C280,'Off-Boarding'!B:B,'Off-Boarding'!E:E)</f>
        <v>#N/A</v>
      </c>
    </row>
    <row r="281" hidden="1">
      <c r="A281" s="61" t="s">
        <v>7800</v>
      </c>
      <c r="B281" s="61"/>
      <c r="C281" s="61" t="s">
        <v>2262</v>
      </c>
      <c r="D281" s="406">
        <v>45892.50374292247</v>
      </c>
      <c r="E281" s="61" t="s">
        <v>7771</v>
      </c>
      <c r="F281" s="61" t="s">
        <v>5632</v>
      </c>
      <c r="G281" s="113" t="str">
        <f t="array" ref="G281">XLOOKUP(C281,'Off-Boarding'!B:B,'Off-Boarding'!E:E)</f>
        <v>#N/A</v>
      </c>
    </row>
    <row r="282" hidden="1">
      <c r="A282" s="61" t="s">
        <v>2821</v>
      </c>
      <c r="B282" s="61"/>
      <c r="C282" s="61" t="s">
        <v>2822</v>
      </c>
      <c r="D282" s="406">
        <v>45914.799584626344</v>
      </c>
      <c r="E282" s="61" t="s">
        <v>7771</v>
      </c>
      <c r="F282" s="61" t="s">
        <v>5632</v>
      </c>
      <c r="G282" s="113" t="str">
        <f t="array" ref="G282">XLOOKUP(C282,'Off-Boarding'!B:B,'Off-Boarding'!E:E)</f>
        <v>Suspend</v>
      </c>
    </row>
    <row r="283" hidden="1">
      <c r="A283" s="61" t="s">
        <v>4613</v>
      </c>
      <c r="B283" s="61"/>
      <c r="C283" s="61" t="s">
        <v>2621</v>
      </c>
      <c r="D283" s="406">
        <v>45916.12391685976</v>
      </c>
      <c r="E283" s="61" t="s">
        <v>7771</v>
      </c>
      <c r="F283" s="61" t="s">
        <v>5632</v>
      </c>
      <c r="G283" s="113" t="str">
        <f t="array" ref="G283">XLOOKUP(C283,'Off-Boarding'!B:B,'Off-Boarding'!E:E)</f>
        <v>Suspend</v>
      </c>
    </row>
    <row r="284" hidden="1">
      <c r="A284" s="61" t="s">
        <v>2140</v>
      </c>
      <c r="B284" s="61"/>
      <c r="C284" s="61" t="s">
        <v>2141</v>
      </c>
      <c r="D284" s="406">
        <v>45910.39367195993</v>
      </c>
      <c r="E284" s="61" t="s">
        <v>7771</v>
      </c>
      <c r="F284" s="61" t="s">
        <v>5632</v>
      </c>
      <c r="G284" s="408">
        <f t="array" ref="G284">XLOOKUP(C284,'Off-Boarding'!B:B,'Off-Boarding'!E:E)</f>
        <v>46268</v>
      </c>
    </row>
    <row r="285" hidden="1">
      <c r="A285" s="61" t="s">
        <v>2622</v>
      </c>
      <c r="B285" s="61"/>
      <c r="C285" s="61" t="s">
        <v>2623</v>
      </c>
      <c r="D285" s="406">
        <v>45915.306254412084</v>
      </c>
      <c r="E285" s="61" t="s">
        <v>7771</v>
      </c>
      <c r="F285" s="61" t="s">
        <v>5632</v>
      </c>
      <c r="G285" s="113" t="str">
        <f t="array" ref="G285">XLOOKUP(C285,'Off-Boarding'!B:B,'Off-Boarding'!E:E)</f>
        <v>Suspend</v>
      </c>
    </row>
    <row r="286" hidden="1">
      <c r="A286" s="61" t="s">
        <v>7801</v>
      </c>
      <c r="B286" s="61"/>
      <c r="C286" s="61" t="s">
        <v>1802</v>
      </c>
      <c r="D286" s="406">
        <v>45915.56975548375</v>
      </c>
      <c r="E286" s="61" t="s">
        <v>7771</v>
      </c>
      <c r="F286" s="61" t="s">
        <v>5632</v>
      </c>
      <c r="G286" s="407" t="str">
        <f t="array" ref="G286">XLOOKUP(C286,'Off-Boarding'!B:B,'Off-Boarding'!E:E)</f>
        <v>Suspend</v>
      </c>
    </row>
    <row r="287">
      <c r="A287" s="61" t="s">
        <v>3006</v>
      </c>
      <c r="B287" s="61" t="s">
        <v>7772</v>
      </c>
      <c r="C287" s="61" t="s">
        <v>3007</v>
      </c>
      <c r="D287" s="406">
        <v>45859.293131289305</v>
      </c>
      <c r="E287" s="61" t="s">
        <v>7771</v>
      </c>
      <c r="F287" s="61" t="s">
        <v>5632</v>
      </c>
      <c r="G287" s="407" t="str">
        <f t="array" ref="G287">XLOOKUP(C287,'Off-Boarding'!B:B,'Off-Boarding'!E:E)</f>
        <v>Suspend</v>
      </c>
    </row>
    <row r="288">
      <c r="A288" s="61" t="s">
        <v>5294</v>
      </c>
      <c r="B288" s="61" t="s">
        <v>7772</v>
      </c>
      <c r="C288" s="61" t="s">
        <v>1804</v>
      </c>
      <c r="D288" s="406">
        <v>45812.28568854318</v>
      </c>
      <c r="E288" s="61" t="s">
        <v>7771</v>
      </c>
      <c r="F288" s="61" t="s">
        <v>5632</v>
      </c>
      <c r="G288" s="407" t="str">
        <f t="array" ref="G288">XLOOKUP(C288,'Off-Boarding'!B:B,'Off-Boarding'!E:E)</f>
        <v>Suspend</v>
      </c>
    </row>
    <row r="289" hidden="1">
      <c r="A289" s="61" t="s">
        <v>2873</v>
      </c>
      <c r="B289" s="61"/>
      <c r="C289" s="61" t="s">
        <v>2874</v>
      </c>
      <c r="D289" s="406">
        <v>45915.35864772439</v>
      </c>
      <c r="E289" s="61" t="s">
        <v>7771</v>
      </c>
      <c r="F289" s="61" t="s">
        <v>5632</v>
      </c>
      <c r="G289" s="113" t="str">
        <f t="array" ref="G289">XLOOKUP(C289,'Off-Boarding'!B:B,'Off-Boarding'!E:E)</f>
        <v>Suspend</v>
      </c>
    </row>
    <row r="290">
      <c r="A290" s="61" t="s">
        <v>1805</v>
      </c>
      <c r="B290" s="61" t="s">
        <v>7772</v>
      </c>
      <c r="C290" s="61" t="s">
        <v>1806</v>
      </c>
      <c r="D290" s="406">
        <v>45882.73682421814</v>
      </c>
      <c r="E290" s="61" t="s">
        <v>7771</v>
      </c>
      <c r="F290" s="61" t="s">
        <v>5632</v>
      </c>
      <c r="G290" s="407" t="str">
        <f t="array" ref="G290">XLOOKUP(C290,'Off-Boarding'!B:B,'Off-Boarding'!E:E)</f>
        <v>Suspend</v>
      </c>
    </row>
    <row r="291" hidden="1">
      <c r="A291" s="61" t="s">
        <v>2048</v>
      </c>
      <c r="B291" s="61"/>
      <c r="C291" s="61" t="s">
        <v>2049</v>
      </c>
      <c r="D291" s="406">
        <v>45914.382018238866</v>
      </c>
      <c r="E291" s="61" t="s">
        <v>7771</v>
      </c>
      <c r="F291" s="61" t="s">
        <v>5632</v>
      </c>
      <c r="G291" s="407" t="str">
        <f t="array" ref="G291">XLOOKUP(C291,'Off-Boarding'!B:B,'Off-Boarding'!E:E)</f>
        <v>Suspend</v>
      </c>
    </row>
    <row r="292">
      <c r="A292" s="61" t="s">
        <v>956</v>
      </c>
      <c r="B292" s="61" t="s">
        <v>7772</v>
      </c>
      <c r="C292" s="61" t="s">
        <v>957</v>
      </c>
      <c r="D292" s="406">
        <v>45762.24735438838</v>
      </c>
      <c r="E292" s="61" t="s">
        <v>7771</v>
      </c>
      <c r="F292" s="61" t="s">
        <v>5632</v>
      </c>
      <c r="G292" s="407" t="str">
        <f t="array" ref="G292">XLOOKUP(C292,'Off-Boarding'!B:B,'Off-Boarding'!E:E)</f>
        <v>Suspend</v>
      </c>
    </row>
    <row r="293" hidden="1">
      <c r="A293" s="61" t="s">
        <v>7802</v>
      </c>
      <c r="B293" s="61"/>
      <c r="C293" s="61" t="s">
        <v>3157</v>
      </c>
      <c r="D293" s="406">
        <v>45915.46292370072</v>
      </c>
      <c r="E293" s="61" t="s">
        <v>7771</v>
      </c>
      <c r="F293" s="61" t="s">
        <v>5632</v>
      </c>
      <c r="G293" s="113" t="str">
        <f t="array" ref="G293">XLOOKUP(C293,'Off-Boarding'!B:B,'Off-Boarding'!E:E)</f>
        <v>Suspend</v>
      </c>
    </row>
    <row r="294" hidden="1">
      <c r="A294" s="61" t="s">
        <v>2734</v>
      </c>
      <c r="B294" s="61"/>
      <c r="C294" s="61" t="s">
        <v>2735</v>
      </c>
      <c r="D294" s="406">
        <v>45916.28412100046</v>
      </c>
      <c r="E294" s="61" t="s">
        <v>7771</v>
      </c>
      <c r="F294" s="61" t="s">
        <v>5632</v>
      </c>
      <c r="G294" s="113" t="str">
        <f t="array" ref="G294">XLOOKUP(C294,'Off-Boarding'!B:B,'Off-Boarding'!E:E)</f>
        <v>Suspend</v>
      </c>
    </row>
    <row r="295">
      <c r="A295" s="61" t="s">
        <v>3183</v>
      </c>
      <c r="B295" s="61" t="s">
        <v>7772</v>
      </c>
      <c r="C295" s="61" t="s">
        <v>3184</v>
      </c>
      <c r="D295" s="406">
        <v>45910.7111901742</v>
      </c>
      <c r="E295" s="61" t="s">
        <v>7771</v>
      </c>
      <c r="F295" s="61" t="s">
        <v>5632</v>
      </c>
      <c r="G295" s="407" t="str">
        <f t="array" ref="G295">XLOOKUP(C295,'Off-Boarding'!B:B,'Off-Boarding'!E:E)</f>
        <v>Suspend</v>
      </c>
    </row>
    <row r="296" hidden="1">
      <c r="A296" s="61" t="s">
        <v>7803</v>
      </c>
      <c r="B296" s="61"/>
      <c r="C296" s="61" t="s">
        <v>2051</v>
      </c>
      <c r="D296" s="406">
        <v>45914.404850733124</v>
      </c>
      <c r="E296" s="61" t="s">
        <v>7771</v>
      </c>
      <c r="F296" s="61" t="s">
        <v>5632</v>
      </c>
      <c r="G296" s="113" t="str">
        <f t="array" ref="G296">XLOOKUP(C296,'Off-Boarding'!B:B,'Off-Boarding'!E:E)</f>
        <v>Suspend</v>
      </c>
    </row>
    <row r="297">
      <c r="A297" s="61" t="s">
        <v>974</v>
      </c>
      <c r="B297" s="61" t="s">
        <v>7772</v>
      </c>
      <c r="C297" s="61" t="s">
        <v>975</v>
      </c>
      <c r="D297" s="406">
        <v>45812.59150191065</v>
      </c>
      <c r="E297" s="61" t="s">
        <v>7771</v>
      </c>
      <c r="F297" s="61" t="s">
        <v>5632</v>
      </c>
      <c r="G297" s="407" t="str">
        <f t="array" ref="G297">XLOOKUP(C297,'Off-Boarding'!B:B,'Off-Boarding'!E:E)</f>
        <v>Suspend</v>
      </c>
    </row>
    <row r="298">
      <c r="A298" s="61" t="s">
        <v>978</v>
      </c>
      <c r="B298" s="61" t="s">
        <v>7772</v>
      </c>
      <c r="C298" s="61" t="s">
        <v>979</v>
      </c>
      <c r="D298" s="406">
        <v>45709.38832093787</v>
      </c>
      <c r="E298" s="61" t="s">
        <v>7771</v>
      </c>
      <c r="F298" s="61" t="s">
        <v>5632</v>
      </c>
      <c r="G298" s="407" t="str">
        <f t="array" ref="G298">XLOOKUP(C298,'Off-Boarding'!B:B,'Off-Boarding'!E:E)</f>
        <v>Suspend</v>
      </c>
    </row>
    <row r="299" hidden="1">
      <c r="A299" s="61" t="s">
        <v>2449</v>
      </c>
      <c r="B299" s="61"/>
      <c r="C299" s="61" t="s">
        <v>1094</v>
      </c>
      <c r="D299" s="406">
        <v>45890.42495461076</v>
      </c>
      <c r="E299" s="61" t="s">
        <v>7771</v>
      </c>
      <c r="F299" s="61" t="s">
        <v>5632</v>
      </c>
      <c r="G299" s="113" t="str">
        <f t="array" ref="G299">XLOOKUP(C299,'Off-Boarding'!B:B,'Off-Boarding'!E:E)</f>
        <v>Suspend</v>
      </c>
    </row>
    <row r="300" hidden="1">
      <c r="A300" s="61" t="s">
        <v>1927</v>
      </c>
      <c r="B300" s="61"/>
      <c r="C300" s="61" t="s">
        <v>1044</v>
      </c>
      <c r="D300" s="406">
        <v>45916.097335653874</v>
      </c>
      <c r="E300" s="61" t="s">
        <v>7771</v>
      </c>
      <c r="F300" s="61" t="s">
        <v>5632</v>
      </c>
      <c r="G300" s="113" t="str">
        <f t="array" ref="G300">XLOOKUP(C300,'Off-Boarding'!B:B,'Off-Boarding'!E:E)</f>
        <v>Suspend</v>
      </c>
    </row>
    <row r="301" hidden="1">
      <c r="A301" s="61" t="s">
        <v>984</v>
      </c>
      <c r="B301" s="61"/>
      <c r="C301" s="61" t="s">
        <v>985</v>
      </c>
      <c r="D301" s="406">
        <v>45502.3361941109</v>
      </c>
      <c r="E301" s="61" t="s">
        <v>7771</v>
      </c>
      <c r="F301" s="61" t="s">
        <v>5632</v>
      </c>
      <c r="G301" s="113" t="str">
        <f t="array" ref="G301">XLOOKUP(C301,'Off-Boarding'!B:B,'Off-Boarding'!E:E)</f>
        <v>#N/A</v>
      </c>
    </row>
    <row r="302" hidden="1">
      <c r="A302" s="61" t="s">
        <v>2055</v>
      </c>
      <c r="B302" s="61"/>
      <c r="C302" s="61" t="s">
        <v>2056</v>
      </c>
      <c r="D302" s="406">
        <v>45916.31142917314</v>
      </c>
      <c r="E302" s="61" t="s">
        <v>7771</v>
      </c>
      <c r="F302" s="61" t="s">
        <v>5632</v>
      </c>
      <c r="G302" s="113" t="str">
        <f t="array" ref="G302">XLOOKUP(C302,'Off-Boarding'!B:B,'Off-Boarding'!E:E)</f>
        <v>Suspend</v>
      </c>
    </row>
    <row r="303">
      <c r="A303" s="61" t="s">
        <v>7804</v>
      </c>
      <c r="B303" s="61" t="s">
        <v>7772</v>
      </c>
      <c r="C303" s="61" t="s">
        <v>3028</v>
      </c>
      <c r="D303" s="406">
        <v>45894.52011188961</v>
      </c>
      <c r="E303" s="61" t="s">
        <v>7771</v>
      </c>
      <c r="F303" s="61" t="s">
        <v>5632</v>
      </c>
      <c r="G303" s="407" t="str">
        <f t="array" ref="G303">XLOOKUP(C303,'Off-Boarding'!B:B,'Off-Boarding'!E:E)</f>
        <v>Suspend</v>
      </c>
    </row>
    <row r="304">
      <c r="A304" s="61" t="s">
        <v>992</v>
      </c>
      <c r="B304" s="61" t="s">
        <v>7772</v>
      </c>
      <c r="C304" s="61" t="s">
        <v>2905</v>
      </c>
      <c r="D304" s="406">
        <v>45889.44566267344</v>
      </c>
      <c r="E304" s="61" t="s">
        <v>7771</v>
      </c>
      <c r="F304" s="61" t="s">
        <v>5632</v>
      </c>
      <c r="G304" s="407" t="str">
        <f t="array" ref="G304">XLOOKUP(C304,'Off-Boarding'!B:B,'Off-Boarding'!E:E)</f>
        <v>Suspend</v>
      </c>
    </row>
    <row r="305">
      <c r="A305" s="61" t="s">
        <v>1834</v>
      </c>
      <c r="B305" s="61" t="s">
        <v>7772</v>
      </c>
      <c r="C305" s="61" t="s">
        <v>1835</v>
      </c>
      <c r="D305" s="406">
        <v>45838.55755978554</v>
      </c>
      <c r="E305" s="61" t="s">
        <v>7771</v>
      </c>
      <c r="F305" s="61" t="s">
        <v>5632</v>
      </c>
      <c r="G305" s="407" t="str">
        <f t="array" ref="G305">XLOOKUP(C305,'Off-Boarding'!B:B,'Off-Boarding'!E:E)</f>
        <v>Suspend</v>
      </c>
    </row>
    <row r="306">
      <c r="A306" s="61" t="s">
        <v>7805</v>
      </c>
      <c r="B306" s="61" t="s">
        <v>7772</v>
      </c>
      <c r="C306" s="61" t="s">
        <v>2981</v>
      </c>
      <c r="D306" s="406">
        <v>45876.640226606076</v>
      </c>
      <c r="E306" s="61" t="s">
        <v>7771</v>
      </c>
      <c r="F306" s="61" t="s">
        <v>5632</v>
      </c>
      <c r="G306" s="407" t="str">
        <f t="array" ref="G306">XLOOKUP(C306,'Off-Boarding'!B:B,'Off-Boarding'!E:E)</f>
        <v>Suspend</v>
      </c>
    </row>
    <row r="307" hidden="1">
      <c r="A307" s="61" t="s">
        <v>5526</v>
      </c>
      <c r="B307" s="61"/>
      <c r="C307" s="61" t="s">
        <v>2842</v>
      </c>
      <c r="D307" s="406">
        <v>45916.2475993303</v>
      </c>
      <c r="E307" s="61" t="s">
        <v>7771</v>
      </c>
      <c r="F307" s="61" t="s">
        <v>5632</v>
      </c>
      <c r="G307" s="113" t="str">
        <f t="array" ref="G307">XLOOKUP(C307,'Off-Boarding'!B:B,'Off-Boarding'!E:E)</f>
        <v>27-02-2026</v>
      </c>
    </row>
    <row r="308">
      <c r="A308" s="61" t="s">
        <v>7806</v>
      </c>
      <c r="B308" s="61" t="s">
        <v>7772</v>
      </c>
      <c r="C308" s="61" t="s">
        <v>1846</v>
      </c>
      <c r="D308" s="406">
        <v>45826.298930193996</v>
      </c>
      <c r="E308" s="61" t="s">
        <v>7771</v>
      </c>
      <c r="F308" s="61" t="s">
        <v>5632</v>
      </c>
      <c r="G308" s="407" t="str">
        <f t="array" ref="G308">XLOOKUP(C308,'Off-Boarding'!B:B,'Off-Boarding'!E:E)</f>
        <v>Suspend</v>
      </c>
    </row>
    <row r="309" hidden="1">
      <c r="A309" s="61" t="s">
        <v>2210</v>
      </c>
      <c r="B309" s="61"/>
      <c r="C309" s="61" t="s">
        <v>1033</v>
      </c>
      <c r="D309" s="406">
        <v>45915.32385515176</v>
      </c>
      <c r="E309" s="61" t="s">
        <v>7771</v>
      </c>
      <c r="F309" s="61" t="s">
        <v>5632</v>
      </c>
      <c r="G309" s="113" t="str">
        <f t="array" ref="G309">XLOOKUP(C309,'Off-Boarding'!B:B,'Off-Boarding'!E:E)</f>
        <v>Suspend</v>
      </c>
    </row>
    <row r="310" hidden="1">
      <c r="A310" s="61" t="s">
        <v>7807</v>
      </c>
      <c r="B310" s="61"/>
      <c r="C310" s="61" t="s">
        <v>2287</v>
      </c>
      <c r="D310" s="406">
        <v>45915.414408839664</v>
      </c>
      <c r="E310" s="61" t="s">
        <v>7771</v>
      </c>
      <c r="F310" s="61" t="s">
        <v>5632</v>
      </c>
      <c r="G310" s="113" t="str">
        <f t="array" ref="G310">XLOOKUP(C310,'Off-Boarding'!B:B,'Off-Boarding'!E:E)</f>
        <v>#N/A</v>
      </c>
    </row>
    <row r="311" hidden="1">
      <c r="A311" s="61" t="s">
        <v>7808</v>
      </c>
      <c r="B311" s="61"/>
      <c r="C311" s="61" t="s">
        <v>2226</v>
      </c>
      <c r="D311" s="406">
        <v>45916.25727417972</v>
      </c>
      <c r="E311" s="61" t="s">
        <v>7771</v>
      </c>
      <c r="F311" s="61" t="s">
        <v>5632</v>
      </c>
      <c r="G311" s="113" t="str">
        <f t="array" ref="G311">XLOOKUP(C311,'Off-Boarding'!B:B,'Off-Boarding'!E:E)</f>
        <v>#N/A</v>
      </c>
    </row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A$1000">
    <filterColumn colId="6">
      <filters>
        <filter val="09-03-2026"/>
        <filter val="06-03-2026"/>
        <filter val="Suspend"/>
        <filter val="27-02-2026"/>
        <filter val="30-01-2026"/>
      </filters>
    </filterColumn>
  </autoFil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7.63"/>
    <col customWidth="1" min="3" max="3" width="25.25"/>
    <col customWidth="1" min="4" max="4" width="16.5"/>
    <col customWidth="1" min="5" max="5" width="10.13"/>
    <col customWidth="1" min="6" max="6" width="9.75"/>
  </cols>
  <sheetData>
    <row r="1">
      <c r="A1" s="117" t="s">
        <v>7765</v>
      </c>
      <c r="B1" s="117"/>
      <c r="C1" s="117" t="s">
        <v>7767</v>
      </c>
      <c r="D1" s="117" t="s">
        <v>7768</v>
      </c>
      <c r="E1" s="117" t="s">
        <v>7769</v>
      </c>
      <c r="F1" s="117" t="s">
        <v>7770</v>
      </c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</row>
    <row r="2" hidden="1">
      <c r="A2" s="117" t="s">
        <v>1022</v>
      </c>
      <c r="B2" s="409" t="str">
        <f t="array" ref="B2">XLOOKUP(C2,'Off-Boarding'!B:B,'Off-Boarding'!E:E)</f>
        <v>Suspend</v>
      </c>
      <c r="C2" s="117" t="s">
        <v>1023</v>
      </c>
      <c r="D2" s="410">
        <v>45910.37045574655</v>
      </c>
      <c r="E2" s="117" t="s">
        <v>7771</v>
      </c>
      <c r="F2" s="117" t="s">
        <v>5632</v>
      </c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</row>
    <row r="3">
      <c r="A3" s="117" t="s">
        <v>1018</v>
      </c>
      <c r="B3" s="117" t="s">
        <v>7772</v>
      </c>
      <c r="C3" s="117" t="s">
        <v>1019</v>
      </c>
      <c r="D3" s="410">
        <v>45916.23415117846</v>
      </c>
      <c r="E3" s="117" t="s">
        <v>7771</v>
      </c>
      <c r="F3" s="117" t="s">
        <v>5632</v>
      </c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</row>
    <row r="4">
      <c r="A4" s="117" t="s">
        <v>1027</v>
      </c>
      <c r="B4" s="117" t="s">
        <v>7772</v>
      </c>
      <c r="C4" s="117" t="s">
        <v>1028</v>
      </c>
      <c r="D4" s="410">
        <v>45897.825511527335</v>
      </c>
      <c r="E4" s="117" t="s">
        <v>7771</v>
      </c>
      <c r="F4" s="117" t="s">
        <v>5632</v>
      </c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</row>
    <row r="5" hidden="1">
      <c r="A5" s="117" t="s">
        <v>2057</v>
      </c>
      <c r="B5" s="409" t="str">
        <f t="array" ref="B5">XLOOKUP(C5,'Off-Boarding'!B:B,'Off-Boarding'!E:E)</f>
        <v>Suspend</v>
      </c>
      <c r="C5" s="117" t="s">
        <v>2058</v>
      </c>
      <c r="D5" s="410">
        <v>45915.572662433944</v>
      </c>
      <c r="E5" s="117" t="s">
        <v>7771</v>
      </c>
      <c r="F5" s="117" t="s">
        <v>5632</v>
      </c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</row>
    <row r="6" hidden="1">
      <c r="A6" s="117" t="s">
        <v>4792</v>
      </c>
      <c r="B6" s="117" t="str">
        <f t="array" ref="B6">XLOOKUP(C6,'Off-Boarding'!B:B,'Off-Boarding'!E:E)</f>
        <v>Suspend</v>
      </c>
      <c r="C6" s="117" t="s">
        <v>2554</v>
      </c>
      <c r="D6" s="410">
        <v>45915.42471737092</v>
      </c>
      <c r="E6" s="117" t="s">
        <v>7771</v>
      </c>
      <c r="F6" s="117" t="s">
        <v>5632</v>
      </c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</row>
    <row r="7">
      <c r="A7" s="117" t="s">
        <v>4147</v>
      </c>
      <c r="B7" s="117" t="s">
        <v>7772</v>
      </c>
      <c r="C7" s="117" t="s">
        <v>1042</v>
      </c>
      <c r="D7" s="410">
        <v>45893.354124425234</v>
      </c>
      <c r="E7" s="117" t="s">
        <v>7771</v>
      </c>
      <c r="F7" s="117" t="s">
        <v>5632</v>
      </c>
      <c r="G7" s="116"/>
      <c r="H7" s="116"/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</row>
    <row r="8">
      <c r="A8" s="117" t="s">
        <v>1045</v>
      </c>
      <c r="B8" s="117" t="s">
        <v>7772</v>
      </c>
      <c r="C8" s="117" t="s">
        <v>1046</v>
      </c>
      <c r="D8" s="410">
        <v>45839.28216676821</v>
      </c>
      <c r="E8" s="117" t="s">
        <v>7771</v>
      </c>
      <c r="F8" s="117" t="s">
        <v>5632</v>
      </c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</row>
    <row r="9">
      <c r="A9" s="117" t="s">
        <v>7809</v>
      </c>
      <c r="B9" s="117" t="s">
        <v>7772</v>
      </c>
      <c r="C9" s="117" t="s">
        <v>2966</v>
      </c>
      <c r="D9" s="410">
        <v>45910.22325205044</v>
      </c>
      <c r="E9" s="117" t="s">
        <v>7771</v>
      </c>
      <c r="F9" s="117" t="s">
        <v>5632</v>
      </c>
      <c r="G9" s="116"/>
      <c r="H9" s="116"/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</row>
    <row r="10" hidden="1">
      <c r="A10" s="117" t="s">
        <v>1034</v>
      </c>
      <c r="B10" s="409" t="str">
        <f t="array" ref="B10">XLOOKUP(C10,'Off-Boarding'!B:B,'Off-Boarding'!E:E)</f>
        <v>Suspend</v>
      </c>
      <c r="C10" s="117" t="s">
        <v>1035</v>
      </c>
      <c r="D10" s="410">
        <v>45916.22803702</v>
      </c>
      <c r="E10" s="117" t="s">
        <v>7771</v>
      </c>
      <c r="F10" s="117" t="s">
        <v>5632</v>
      </c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</row>
    <row r="11" hidden="1">
      <c r="A11" s="117" t="s">
        <v>1034</v>
      </c>
      <c r="B11" s="409" t="str">
        <f t="array" ref="B11">XLOOKUP(C11,'Off-Boarding'!B:B,'Off-Boarding'!E:E)</f>
        <v>Suspend</v>
      </c>
      <c r="C11" s="117" t="s">
        <v>1054</v>
      </c>
      <c r="D11" s="410">
        <v>45899.521609362186</v>
      </c>
      <c r="E11" s="117" t="s">
        <v>7771</v>
      </c>
      <c r="F11" s="117" t="s">
        <v>5632</v>
      </c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</row>
    <row r="12">
      <c r="A12" s="117" t="s">
        <v>5182</v>
      </c>
      <c r="B12" s="117" t="s">
        <v>7772</v>
      </c>
      <c r="C12" s="117" t="s">
        <v>1049</v>
      </c>
      <c r="D12" s="410">
        <v>45889.38332246352</v>
      </c>
      <c r="E12" s="117" t="s">
        <v>7771</v>
      </c>
      <c r="F12" s="117" t="s">
        <v>5632</v>
      </c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</row>
    <row r="13">
      <c r="A13" s="117" t="s">
        <v>1057</v>
      </c>
      <c r="B13" s="117" t="s">
        <v>7772</v>
      </c>
      <c r="C13" s="117" t="s">
        <v>1058</v>
      </c>
      <c r="D13" s="410">
        <v>45890.25787783727</v>
      </c>
      <c r="E13" s="117" t="s">
        <v>7771</v>
      </c>
      <c r="F13" s="117" t="s">
        <v>5632</v>
      </c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</row>
    <row r="14" hidden="1">
      <c r="A14" s="117" t="s">
        <v>2275</v>
      </c>
      <c r="B14" s="117" t="str">
        <f t="array" ref="B14">XLOOKUP(C14,'Off-Boarding'!B:B,'Off-Boarding'!E:E)</f>
        <v>Suspend</v>
      </c>
      <c r="C14" s="117" t="s">
        <v>2276</v>
      </c>
      <c r="D14" s="410">
        <v>45914.48964382369</v>
      </c>
      <c r="E14" s="117" t="s">
        <v>7771</v>
      </c>
      <c r="F14" s="117" t="s">
        <v>5632</v>
      </c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</row>
    <row r="15">
      <c r="A15" s="117" t="s">
        <v>115</v>
      </c>
      <c r="B15" s="117" t="s">
        <v>7772</v>
      </c>
      <c r="C15" s="117" t="s">
        <v>116</v>
      </c>
      <c r="D15" s="410">
        <v>45812.280408589286</v>
      </c>
      <c r="E15" s="117" t="s">
        <v>7771</v>
      </c>
      <c r="F15" s="117" t="s">
        <v>5632</v>
      </c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</row>
    <row r="16" hidden="1">
      <c r="A16" s="117" t="s">
        <v>7775</v>
      </c>
      <c r="B16" s="117" t="str">
        <f t="array" ref="B16">XLOOKUP(C16,'Off-Boarding'!B:B,'Off-Boarding'!E:E)</f>
        <v>#N/A</v>
      </c>
      <c r="C16" s="117" t="s">
        <v>2605</v>
      </c>
      <c r="D16" s="410">
        <v>45914.79495709637</v>
      </c>
      <c r="E16" s="117" t="s">
        <v>7771</v>
      </c>
      <c r="F16" s="117" t="s">
        <v>5632</v>
      </c>
      <c r="G16" s="116"/>
      <c r="H16" s="116"/>
      <c r="I16" s="116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</row>
    <row r="17" hidden="1">
      <c r="A17" s="117" t="s">
        <v>2602</v>
      </c>
      <c r="B17" s="117" t="str">
        <f t="array" ref="B17">XLOOKUP(C17,'Off-Boarding'!B:B,'Off-Boarding'!E:E)</f>
        <v>Suspend</v>
      </c>
      <c r="C17" s="117" t="s">
        <v>2603</v>
      </c>
      <c r="D17" s="410">
        <v>45915.88496327744</v>
      </c>
      <c r="E17" s="117" t="s">
        <v>7771</v>
      </c>
      <c r="F17" s="117" t="s">
        <v>5632</v>
      </c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</row>
    <row r="18" hidden="1">
      <c r="A18" s="117" t="s">
        <v>2408</v>
      </c>
      <c r="B18" s="409" t="str">
        <f t="array" ref="B18">XLOOKUP(C18,'Off-Boarding'!B:B,'Off-Boarding'!E:E)</f>
        <v>Suspend</v>
      </c>
      <c r="C18" s="117" t="s">
        <v>2409</v>
      </c>
      <c r="D18" s="410">
        <v>45910.460027355235</v>
      </c>
      <c r="E18" s="117" t="s">
        <v>7771</v>
      </c>
      <c r="F18" s="117" t="s">
        <v>5632</v>
      </c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</row>
    <row r="19" hidden="1">
      <c r="A19" s="117" t="s">
        <v>2454</v>
      </c>
      <c r="B19" s="409" t="str">
        <f t="array" ref="B19">XLOOKUP(C19,'Off-Boarding'!B:B,'Off-Boarding'!E:E)</f>
        <v>Suspend</v>
      </c>
      <c r="C19" s="117" t="s">
        <v>2455</v>
      </c>
      <c r="D19" s="410">
        <v>45896.91372412886</v>
      </c>
      <c r="E19" s="117" t="s">
        <v>7771</v>
      </c>
      <c r="F19" s="117" t="s">
        <v>5632</v>
      </c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</row>
    <row r="20">
      <c r="A20" s="117" t="s">
        <v>139</v>
      </c>
      <c r="B20" s="117" t="s">
        <v>7772</v>
      </c>
      <c r="C20" s="117" t="s">
        <v>140</v>
      </c>
      <c r="D20" s="410">
        <v>45560.457104635636</v>
      </c>
      <c r="E20" s="117" t="s">
        <v>7771</v>
      </c>
      <c r="F20" s="117" t="s">
        <v>5632</v>
      </c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</row>
    <row r="21" hidden="1">
      <c r="A21" s="117" t="s">
        <v>2005</v>
      </c>
      <c r="B21" s="117" t="str">
        <f t="array" ref="B21">XLOOKUP(C21,'Off-Boarding'!B:B,'Off-Boarding'!E:E)</f>
        <v>#N/A</v>
      </c>
      <c r="C21" s="117" t="s">
        <v>1604</v>
      </c>
      <c r="D21" s="410">
        <v>45915.75916286977</v>
      </c>
      <c r="E21" s="117" t="s">
        <v>7771</v>
      </c>
      <c r="F21" s="117" t="s">
        <v>5632</v>
      </c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</row>
    <row r="22" hidden="1">
      <c r="A22" s="117" t="s">
        <v>2005</v>
      </c>
      <c r="B22" s="411">
        <f t="array" ref="B22">XLOOKUP(C22,'Off-Boarding'!B:B,'Off-Boarding'!E:E)</f>
        <v>46268</v>
      </c>
      <c r="C22" s="117" t="s">
        <v>1116</v>
      </c>
      <c r="D22" s="410">
        <v>45911.58827506604</v>
      </c>
      <c r="E22" s="117" t="s">
        <v>7771</v>
      </c>
      <c r="F22" s="117" t="s">
        <v>5632</v>
      </c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</row>
    <row r="23" hidden="1">
      <c r="A23" s="117" t="s">
        <v>4549</v>
      </c>
      <c r="B23" s="117" t="str">
        <f t="array" ref="B23">XLOOKUP(C23,'Off-Boarding'!B:B,'Off-Boarding'!E:E)</f>
        <v>Suspend</v>
      </c>
      <c r="C23" s="117" t="s">
        <v>2311</v>
      </c>
      <c r="D23" s="410">
        <v>45915.9227415095</v>
      </c>
      <c r="E23" s="117" t="s">
        <v>7771</v>
      </c>
      <c r="F23" s="117" t="s">
        <v>5632</v>
      </c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hidden="1">
      <c r="A24" s="117" t="s">
        <v>1946</v>
      </c>
      <c r="B24" s="117" t="str">
        <f t="array" ref="B24">XLOOKUP(C24,'Off-Boarding'!B:B,'Off-Boarding'!E:E)</f>
        <v>#N/A</v>
      </c>
      <c r="C24" s="117" t="s">
        <v>1085</v>
      </c>
      <c r="D24" s="410">
        <v>45911.208076551666</v>
      </c>
      <c r="E24" s="117" t="s">
        <v>7771</v>
      </c>
      <c r="F24" s="117" t="s">
        <v>5632</v>
      </c>
      <c r="G24" s="116"/>
      <c r="H24" s="116"/>
      <c r="I24" s="116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hidden="1">
      <c r="A25" s="117" t="s">
        <v>1946</v>
      </c>
      <c r="B25" s="117" t="str">
        <f t="array" ref="B25">XLOOKUP(C25,'Off-Boarding'!B:B,'Off-Boarding'!E:E)</f>
        <v>Suspend</v>
      </c>
      <c r="C25" s="117" t="s">
        <v>1658</v>
      </c>
      <c r="D25" s="410">
        <v>45916.252166776205</v>
      </c>
      <c r="E25" s="117" t="s">
        <v>7771</v>
      </c>
      <c r="F25" s="117" t="s">
        <v>5632</v>
      </c>
      <c r="G25" s="116"/>
      <c r="H25" s="116"/>
      <c r="I25" s="116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hidden="1">
      <c r="A26" s="117" t="s">
        <v>7778</v>
      </c>
      <c r="B26" s="117" t="str">
        <f t="array" ref="B26">XLOOKUP(C26,'Off-Boarding'!B:B,'Off-Boarding'!E:E)</f>
        <v>Suspend</v>
      </c>
      <c r="C26" s="117" t="s">
        <v>1021</v>
      </c>
      <c r="D26" s="410">
        <v>45915.389277708484</v>
      </c>
      <c r="E26" s="117" t="s">
        <v>7771</v>
      </c>
      <c r="F26" s="117" t="s">
        <v>5632</v>
      </c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>
      <c r="A27" s="117" t="s">
        <v>1104</v>
      </c>
      <c r="B27" s="117" t="s">
        <v>7772</v>
      </c>
      <c r="C27" s="117" t="s">
        <v>1105</v>
      </c>
      <c r="D27" s="410">
        <v>45911.32782833379</v>
      </c>
      <c r="E27" s="117" t="s">
        <v>7771</v>
      </c>
      <c r="F27" s="117" t="s">
        <v>5632</v>
      </c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hidden="1">
      <c r="A28" s="117" t="s">
        <v>1982</v>
      </c>
      <c r="B28" s="117" t="str">
        <f t="array" ref="B28">XLOOKUP(C28,'Off-Boarding'!B:B,'Off-Boarding'!E:E)</f>
        <v>#N/A</v>
      </c>
      <c r="C28" s="117" t="s">
        <v>1331</v>
      </c>
      <c r="D28" s="410">
        <v>45913.372856884016</v>
      </c>
      <c r="E28" s="117" t="s">
        <v>7771</v>
      </c>
      <c r="F28" s="117" t="s">
        <v>5632</v>
      </c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</row>
    <row r="29" hidden="1">
      <c r="A29" s="117" t="s">
        <v>2607</v>
      </c>
      <c r="B29" s="117" t="str">
        <f t="array" ref="B29">XLOOKUP(C29,'Off-Boarding'!B:B,'Off-Boarding'!E:E)</f>
        <v>Suspend</v>
      </c>
      <c r="C29" s="117" t="s">
        <v>2608</v>
      </c>
      <c r="D29" s="410">
        <v>45916.39027215146</v>
      </c>
      <c r="E29" s="117" t="s">
        <v>7771</v>
      </c>
      <c r="F29" s="117" t="s">
        <v>5632</v>
      </c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hidden="1">
      <c r="A30" s="117" t="s">
        <v>4687</v>
      </c>
      <c r="B30" s="117" t="str">
        <f t="array" ref="B30">XLOOKUP(C30,'Off-Boarding'!B:B,'Off-Boarding'!E:E)</f>
        <v>Suspend</v>
      </c>
      <c r="C30" s="117" t="s">
        <v>2244</v>
      </c>
      <c r="D30" s="410">
        <v>45912.20759905633</v>
      </c>
      <c r="E30" s="117" t="s">
        <v>7771</v>
      </c>
      <c r="F30" s="117" t="s">
        <v>5632</v>
      </c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hidden="1">
      <c r="A31" s="117" t="s">
        <v>7810</v>
      </c>
      <c r="B31" s="117" t="str">
        <f t="array" ref="B31">XLOOKUP(C31,'Off-Boarding'!B:B,'Off-Boarding'!E:E)</f>
        <v>Suspend</v>
      </c>
      <c r="C31" s="117" t="s">
        <v>2084</v>
      </c>
      <c r="D31" s="410">
        <v>45435.336116570135</v>
      </c>
      <c r="E31" s="117" t="s">
        <v>7771</v>
      </c>
      <c r="F31" s="117" t="s">
        <v>5632</v>
      </c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>
      <c r="A32" s="117" t="s">
        <v>1113</v>
      </c>
      <c r="B32" s="117" t="s">
        <v>7772</v>
      </c>
      <c r="C32" s="117" t="s">
        <v>1114</v>
      </c>
      <c r="D32" s="410">
        <v>45910.291022409874</v>
      </c>
      <c r="E32" s="117" t="s">
        <v>7771</v>
      </c>
      <c r="F32" s="117" t="s">
        <v>5632</v>
      </c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hidden="1">
      <c r="A33" s="117" t="s">
        <v>2594</v>
      </c>
      <c r="B33" s="409" t="str">
        <f t="array" ref="B33">XLOOKUP(C33,'Off-Boarding'!B:B,'Off-Boarding'!E:E)</f>
        <v>Suspend</v>
      </c>
      <c r="C33" s="117" t="s">
        <v>2595</v>
      </c>
      <c r="D33" s="410">
        <v>45916.308314854825</v>
      </c>
      <c r="E33" s="117" t="s">
        <v>7771</v>
      </c>
      <c r="F33" s="117" t="s">
        <v>5632</v>
      </c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>
      <c r="A34" s="117" t="s">
        <v>175</v>
      </c>
      <c r="B34" s="117" t="s">
        <v>7772</v>
      </c>
      <c r="C34" s="117" t="s">
        <v>176</v>
      </c>
      <c r="D34" s="410">
        <v>45702.373905329754</v>
      </c>
      <c r="E34" s="117" t="s">
        <v>7771</v>
      </c>
      <c r="F34" s="117" t="s">
        <v>5632</v>
      </c>
      <c r="G34" s="116"/>
      <c r="H34" s="116"/>
      <c r="I34" s="116"/>
      <c r="J34" s="116"/>
      <c r="K34" s="116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hidden="1">
      <c r="A35" s="117" t="s">
        <v>2629</v>
      </c>
      <c r="B35" s="409" t="str">
        <f t="array" ref="B35">XLOOKUP(C35,'Off-Boarding'!B:B,'Off-Boarding'!E:E)</f>
        <v>Suspend</v>
      </c>
      <c r="C35" s="117" t="s">
        <v>2630</v>
      </c>
      <c r="D35" s="410">
        <v>45915.57141570155</v>
      </c>
      <c r="E35" s="117" t="s">
        <v>7771</v>
      </c>
      <c r="F35" s="117" t="s">
        <v>5632</v>
      </c>
      <c r="G35" s="116"/>
      <c r="H35" s="116"/>
      <c r="I35" s="116"/>
      <c r="J35" s="116"/>
      <c r="K35" s="116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hidden="1">
      <c r="A36" s="117" t="s">
        <v>1990</v>
      </c>
      <c r="B36" s="117" t="str">
        <f t="array" ref="B36">XLOOKUP(C36,'Off-Boarding'!B:B,'Off-Boarding'!E:E)</f>
        <v>Suspend</v>
      </c>
      <c r="C36" s="117" t="s">
        <v>1991</v>
      </c>
      <c r="D36" s="410">
        <v>45916.28432995733</v>
      </c>
      <c r="E36" s="117" t="s">
        <v>7771</v>
      </c>
      <c r="F36" s="117" t="s">
        <v>5632</v>
      </c>
      <c r="G36" s="116"/>
      <c r="H36" s="116"/>
      <c r="I36" s="116"/>
      <c r="J36" s="116"/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hidden="1">
      <c r="A37" s="117" t="s">
        <v>4276</v>
      </c>
      <c r="B37" s="409" t="str">
        <f t="array" ref="B37">XLOOKUP(C37,'Off-Boarding'!B:B,'Off-Boarding'!E:E)</f>
        <v>Suspend</v>
      </c>
      <c r="C37" s="117" t="s">
        <v>2519</v>
      </c>
      <c r="D37" s="410">
        <v>45900.33154329848</v>
      </c>
      <c r="E37" s="117" t="s">
        <v>7771</v>
      </c>
      <c r="F37" s="117" t="s">
        <v>5632</v>
      </c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hidden="1">
      <c r="A38" s="117" t="s">
        <v>2099</v>
      </c>
      <c r="B38" s="117" t="str">
        <f t="array" ref="B38">XLOOKUP(C38,'Off-Boarding'!B:B,'Off-Boarding'!E:E)</f>
        <v>Suspend</v>
      </c>
      <c r="C38" s="117" t="s">
        <v>2100</v>
      </c>
      <c r="D38" s="410">
        <v>45915.72780742889</v>
      </c>
      <c r="E38" s="117" t="s">
        <v>7771</v>
      </c>
      <c r="F38" s="117" t="s">
        <v>5632</v>
      </c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hidden="1">
      <c r="A39" s="117" t="s">
        <v>2751</v>
      </c>
      <c r="B39" s="117" t="str">
        <f t="array" ref="B39">XLOOKUP(C39,'Off-Boarding'!B:B,'Off-Boarding'!E:E)</f>
        <v>Suspend</v>
      </c>
      <c r="C39" s="117" t="s">
        <v>2752</v>
      </c>
      <c r="D39" s="410">
        <v>45908.56060639044</v>
      </c>
      <c r="E39" s="117" t="s">
        <v>7771</v>
      </c>
      <c r="F39" s="117" t="s">
        <v>5632</v>
      </c>
      <c r="G39" s="116"/>
      <c r="H39" s="116"/>
      <c r="I39" s="116"/>
      <c r="J39" s="116"/>
      <c r="K39" s="116"/>
      <c r="L39" s="116"/>
      <c r="M39" s="116"/>
      <c r="N39" s="116"/>
      <c r="O39" s="116"/>
      <c r="P39" s="116"/>
      <c r="Q39" s="116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hidden="1">
      <c r="A40" s="117" t="s">
        <v>2183</v>
      </c>
      <c r="B40" s="117" t="str">
        <f t="array" ref="B40">XLOOKUP(C40,'Off-Boarding'!B:B,'Off-Boarding'!E:E)</f>
        <v>Suspend</v>
      </c>
      <c r="C40" s="117" t="s">
        <v>1206</v>
      </c>
      <c r="D40" s="410">
        <v>45916.368119609884</v>
      </c>
      <c r="E40" s="117" t="s">
        <v>7771</v>
      </c>
      <c r="F40" s="117" t="s">
        <v>5632</v>
      </c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</row>
    <row r="41" hidden="1">
      <c r="A41" s="117" t="s">
        <v>1974</v>
      </c>
      <c r="B41" s="117" t="str">
        <f t="array" ref="B41">XLOOKUP(C41,'Off-Boarding'!B:B,'Off-Boarding'!E:E)</f>
        <v>#N/A</v>
      </c>
      <c r="C41" s="117" t="s">
        <v>1061</v>
      </c>
      <c r="D41" s="410">
        <v>45904.41203670162</v>
      </c>
      <c r="E41" s="117" t="s">
        <v>7771</v>
      </c>
      <c r="F41" s="117" t="s">
        <v>5632</v>
      </c>
      <c r="G41" s="116"/>
      <c r="H41" s="116"/>
      <c r="I41" s="116"/>
      <c r="J41" s="116"/>
      <c r="K41" s="116"/>
      <c r="L41" s="116"/>
      <c r="M41" s="116"/>
      <c r="N41" s="116"/>
      <c r="O41" s="116"/>
      <c r="P41" s="116"/>
      <c r="Q41" s="116"/>
      <c r="R41" s="116"/>
      <c r="S41" s="116"/>
      <c r="T41" s="116"/>
      <c r="U41" s="116"/>
      <c r="V41" s="116"/>
      <c r="W41" s="116"/>
      <c r="X41" s="116"/>
      <c r="Y41" s="116"/>
      <c r="Z41" s="116"/>
      <c r="AA41" s="116"/>
    </row>
    <row r="42">
      <c r="A42" s="117" t="s">
        <v>1143</v>
      </c>
      <c r="B42" s="117" t="s">
        <v>7772</v>
      </c>
      <c r="C42" s="117" t="s">
        <v>1144</v>
      </c>
      <c r="D42" s="410">
        <v>45888.45988279054</v>
      </c>
      <c r="E42" s="117" t="s">
        <v>7771</v>
      </c>
      <c r="F42" s="117" t="s">
        <v>5632</v>
      </c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</row>
    <row r="43">
      <c r="A43" s="117" t="s">
        <v>7811</v>
      </c>
      <c r="B43" s="117" t="s">
        <v>7772</v>
      </c>
      <c r="C43" s="117" t="s">
        <v>194</v>
      </c>
      <c r="D43" s="410">
        <v>45733.31437584648</v>
      </c>
      <c r="E43" s="117" t="s">
        <v>7771</v>
      </c>
      <c r="F43" s="117" t="s">
        <v>5632</v>
      </c>
      <c r="G43" s="116"/>
      <c r="H43" s="116"/>
      <c r="I43" s="116"/>
      <c r="J43" s="116"/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</row>
    <row r="44" hidden="1">
      <c r="A44" s="117" t="s">
        <v>2809</v>
      </c>
      <c r="B44" s="117" t="str">
        <f t="array" ref="B44">XLOOKUP(C44,'Off-Boarding'!B:B,'Off-Boarding'!E:E)</f>
        <v>Suspend</v>
      </c>
      <c r="C44" s="117" t="s">
        <v>2810</v>
      </c>
      <c r="D44" s="410">
        <v>45915.21683716619</v>
      </c>
      <c r="E44" s="117" t="s">
        <v>7771</v>
      </c>
      <c r="F44" s="117" t="s">
        <v>5632</v>
      </c>
      <c r="G44" s="116"/>
      <c r="H44" s="116"/>
      <c r="I44" s="116"/>
      <c r="J44" s="116"/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</row>
    <row r="45" hidden="1">
      <c r="A45" s="117" t="s">
        <v>2531</v>
      </c>
      <c r="B45" s="409" t="str">
        <f t="array" ref="B45">XLOOKUP(C45,'Off-Boarding'!B:B,'Off-Boarding'!E:E)</f>
        <v>Suspend</v>
      </c>
      <c r="C45" s="117" t="s">
        <v>2532</v>
      </c>
      <c r="D45" s="410">
        <v>45915.66908807232</v>
      </c>
      <c r="E45" s="117" t="s">
        <v>7771</v>
      </c>
      <c r="F45" s="117" t="s">
        <v>5632</v>
      </c>
      <c r="G45" s="116"/>
      <c r="H45" s="116"/>
      <c r="I45" s="116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</row>
    <row r="46">
      <c r="A46" s="117" t="s">
        <v>7780</v>
      </c>
      <c r="B46" s="117" t="s">
        <v>7772</v>
      </c>
      <c r="C46" s="117" t="s">
        <v>2923</v>
      </c>
      <c r="D46" s="410">
        <v>45908.47472879638</v>
      </c>
      <c r="E46" s="117" t="s">
        <v>7771</v>
      </c>
      <c r="F46" s="117" t="s">
        <v>5632</v>
      </c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</row>
    <row r="47" hidden="1">
      <c r="A47" s="117" t="s">
        <v>1882</v>
      </c>
      <c r="B47" s="117" t="str">
        <f t="array" ref="B47">XLOOKUP(C47,'Off-Boarding'!B:B,'Off-Boarding'!E:E)</f>
        <v>#N/A</v>
      </c>
      <c r="C47" s="117" t="s">
        <v>1883</v>
      </c>
      <c r="D47" s="410">
        <v>45916.1794532169</v>
      </c>
      <c r="E47" s="117" t="s">
        <v>7771</v>
      </c>
      <c r="F47" s="117" t="s">
        <v>5632</v>
      </c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6"/>
      <c r="R47" s="116"/>
      <c r="S47" s="116"/>
      <c r="T47" s="116"/>
      <c r="U47" s="116"/>
      <c r="V47" s="116"/>
      <c r="W47" s="116"/>
      <c r="X47" s="116"/>
      <c r="Y47" s="116"/>
      <c r="Z47" s="116"/>
      <c r="AA47" s="116"/>
    </row>
    <row r="48" hidden="1">
      <c r="A48" s="117" t="s">
        <v>2571</v>
      </c>
      <c r="B48" s="117" t="str">
        <f t="array" ref="B48">XLOOKUP(C48,'Off-Boarding'!B:B,'Off-Boarding'!E:E)</f>
        <v>Suspend</v>
      </c>
      <c r="C48" s="117" t="s">
        <v>2572</v>
      </c>
      <c r="D48" s="410">
        <v>45913.5434229323</v>
      </c>
      <c r="E48" s="117" t="s">
        <v>7771</v>
      </c>
      <c r="F48" s="117" t="s">
        <v>5632</v>
      </c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</row>
    <row r="49" hidden="1">
      <c r="A49" s="117" t="s">
        <v>2208</v>
      </c>
      <c r="B49" s="117" t="str">
        <f t="array" ref="B49">XLOOKUP(C49,'Off-Boarding'!B:B,'Off-Boarding'!E:E)</f>
        <v>Suspend</v>
      </c>
      <c r="C49" s="117" t="s">
        <v>2209</v>
      </c>
      <c r="D49" s="410">
        <v>45887.37381252828</v>
      </c>
      <c r="E49" s="117" t="s">
        <v>7771</v>
      </c>
      <c r="F49" s="117" t="s">
        <v>5632</v>
      </c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6"/>
      <c r="U49" s="116"/>
      <c r="V49" s="116"/>
      <c r="W49" s="116"/>
      <c r="X49" s="116"/>
      <c r="Y49" s="116"/>
      <c r="Z49" s="116"/>
      <c r="AA49" s="116"/>
    </row>
    <row r="50">
      <c r="A50" s="117" t="s">
        <v>1179</v>
      </c>
      <c r="B50" s="117" t="s">
        <v>7772</v>
      </c>
      <c r="C50" s="117" t="s">
        <v>1180</v>
      </c>
      <c r="D50" s="410">
        <v>45895.29330673189</v>
      </c>
      <c r="E50" s="117" t="s">
        <v>7771</v>
      </c>
      <c r="F50" s="117" t="s">
        <v>5632</v>
      </c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</row>
    <row r="51">
      <c r="A51" s="117" t="s">
        <v>261</v>
      </c>
      <c r="B51" s="117" t="s">
        <v>7772</v>
      </c>
      <c r="C51" s="117" t="s">
        <v>262</v>
      </c>
      <c r="D51" s="410">
        <v>45805.63725211468</v>
      </c>
      <c r="E51" s="117" t="s">
        <v>7771</v>
      </c>
      <c r="F51" s="117" t="s">
        <v>5632</v>
      </c>
      <c r="G51" s="116"/>
      <c r="H51" s="116"/>
      <c r="I51" s="116"/>
      <c r="J51" s="116"/>
      <c r="K51" s="116"/>
      <c r="L51" s="116"/>
      <c r="M51" s="116"/>
      <c r="N51" s="116"/>
      <c r="O51" s="116"/>
      <c r="P51" s="116"/>
      <c r="Q51" s="116"/>
      <c r="R51" s="116"/>
      <c r="S51" s="116"/>
      <c r="T51" s="116"/>
      <c r="U51" s="116"/>
      <c r="V51" s="116"/>
      <c r="W51" s="116"/>
      <c r="X51" s="116"/>
      <c r="Y51" s="116"/>
      <c r="Z51" s="116"/>
      <c r="AA51" s="116"/>
    </row>
    <row r="52" hidden="1">
      <c r="A52" s="117" t="s">
        <v>4408</v>
      </c>
      <c r="B52" s="409" t="str">
        <f t="array" ref="B52">XLOOKUP(C52,'Off-Boarding'!B:B,'Off-Boarding'!E:E)</f>
        <v>Suspend</v>
      </c>
      <c r="C52" s="117" t="s">
        <v>2367</v>
      </c>
      <c r="D52" s="410">
        <v>45916.28766175706</v>
      </c>
      <c r="E52" s="117" t="s">
        <v>7771</v>
      </c>
      <c r="F52" s="117" t="s">
        <v>5632</v>
      </c>
      <c r="G52" s="116"/>
      <c r="H52" s="116"/>
      <c r="I52" s="116"/>
      <c r="J52" s="116"/>
      <c r="K52" s="116"/>
      <c r="L52" s="116"/>
      <c r="M52" s="116"/>
      <c r="N52" s="116"/>
      <c r="O52" s="116"/>
      <c r="P52" s="116"/>
      <c r="Q52" s="116"/>
      <c r="R52" s="116"/>
      <c r="S52" s="116"/>
      <c r="T52" s="116"/>
      <c r="U52" s="116"/>
      <c r="V52" s="116"/>
      <c r="W52" s="116"/>
      <c r="X52" s="116"/>
      <c r="Y52" s="116"/>
      <c r="Z52" s="116"/>
      <c r="AA52" s="116"/>
    </row>
    <row r="53" hidden="1">
      <c r="A53" s="117" t="s">
        <v>265</v>
      </c>
      <c r="B53" s="117" t="str">
        <f t="array" ref="B53">XLOOKUP(C53,'Off-Boarding'!B:B,'Off-Boarding'!E:E)</f>
        <v>#N/A</v>
      </c>
      <c r="C53" s="117" t="s">
        <v>266</v>
      </c>
      <c r="D53" s="410">
        <v>45386.247830836925</v>
      </c>
      <c r="E53" s="117" t="s">
        <v>7771</v>
      </c>
      <c r="F53" s="117" t="s">
        <v>5632</v>
      </c>
      <c r="G53" s="116"/>
      <c r="H53" s="116"/>
      <c r="I53" s="116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</row>
    <row r="54" hidden="1">
      <c r="A54" s="117" t="s">
        <v>2415</v>
      </c>
      <c r="B54" s="117" t="str">
        <f t="array" ref="B54">XLOOKUP(C54,'Off-Boarding'!B:B,'Off-Boarding'!E:E)</f>
        <v>Suspend</v>
      </c>
      <c r="C54" s="117" t="s">
        <v>2416</v>
      </c>
      <c r="D54" s="410">
        <v>45907.99665529573</v>
      </c>
      <c r="E54" s="117" t="s">
        <v>7771</v>
      </c>
      <c r="F54" s="117" t="s">
        <v>5632</v>
      </c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</row>
    <row r="55" hidden="1">
      <c r="A55" s="117" t="s">
        <v>273</v>
      </c>
      <c r="B55" s="117" t="str">
        <f t="array" ref="B55">XLOOKUP(C55,'Off-Boarding'!B:B,'Off-Boarding'!E:E)</f>
        <v>Suspend</v>
      </c>
      <c r="C55" s="117" t="s">
        <v>2382</v>
      </c>
      <c r="D55" s="410">
        <v>45915.80827603792</v>
      </c>
      <c r="E55" s="117" t="s">
        <v>7771</v>
      </c>
      <c r="F55" s="117" t="s">
        <v>5632</v>
      </c>
      <c r="G55" s="116"/>
      <c r="H55" s="116"/>
      <c r="I55" s="116"/>
      <c r="J55" s="116"/>
      <c r="K55" s="116"/>
      <c r="L55" s="116"/>
      <c r="M55" s="116"/>
      <c r="N55" s="116"/>
      <c r="O55" s="116"/>
      <c r="P55" s="116"/>
      <c r="Q55" s="116"/>
      <c r="R55" s="116"/>
      <c r="S55" s="116"/>
      <c r="T55" s="116"/>
      <c r="U55" s="116"/>
      <c r="V55" s="116"/>
      <c r="W55" s="116"/>
      <c r="X55" s="116"/>
      <c r="Y55" s="116"/>
      <c r="Z55" s="116"/>
      <c r="AA55" s="116"/>
    </row>
    <row r="56" hidden="1">
      <c r="A56" s="117" t="s">
        <v>1201</v>
      </c>
      <c r="B56" s="409" t="str">
        <f t="array" ref="B56">XLOOKUP(C56,'Off-Boarding'!B:B,'Off-Boarding'!E:E)</f>
        <v>Suspend</v>
      </c>
      <c r="C56" s="117" t="s">
        <v>1202</v>
      </c>
      <c r="D56" s="410">
        <v>45915.58827037567</v>
      </c>
      <c r="E56" s="117" t="s">
        <v>7771</v>
      </c>
      <c r="F56" s="117" t="s">
        <v>5632</v>
      </c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</row>
    <row r="57">
      <c r="A57" s="117" t="s">
        <v>1193</v>
      </c>
      <c r="B57" s="117" t="s">
        <v>7772</v>
      </c>
      <c r="C57" s="117" t="s">
        <v>1194</v>
      </c>
      <c r="D57" s="410">
        <v>45905.31161059558</v>
      </c>
      <c r="E57" s="117" t="s">
        <v>7771</v>
      </c>
      <c r="F57" s="117" t="s">
        <v>5632</v>
      </c>
      <c r="G57" s="116"/>
      <c r="H57" s="116"/>
      <c r="I57" s="116"/>
      <c r="J57" s="116"/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</row>
    <row r="58" hidden="1">
      <c r="A58" s="117" t="s">
        <v>6979</v>
      </c>
      <c r="B58" s="117" t="str">
        <f t="array" ref="B58">XLOOKUP(C58,'Off-Boarding'!B:B,'Off-Boarding'!E:E)</f>
        <v>#N/A</v>
      </c>
      <c r="C58" s="117" t="s">
        <v>284</v>
      </c>
      <c r="D58" s="410">
        <v>45373.3201668918</v>
      </c>
      <c r="E58" s="117" t="s">
        <v>7771</v>
      </c>
      <c r="F58" s="117" t="s">
        <v>5632</v>
      </c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  <c r="U58" s="116"/>
      <c r="V58" s="116"/>
      <c r="W58" s="116"/>
      <c r="X58" s="116"/>
      <c r="Y58" s="116"/>
      <c r="Z58" s="116"/>
      <c r="AA58" s="116"/>
    </row>
    <row r="59">
      <c r="A59" s="117" t="s">
        <v>7812</v>
      </c>
      <c r="B59" s="117" t="s">
        <v>7772</v>
      </c>
      <c r="C59" s="117" t="s">
        <v>1036</v>
      </c>
      <c r="D59" s="410">
        <v>45910.61790251609</v>
      </c>
      <c r="E59" s="117" t="s">
        <v>7771</v>
      </c>
      <c r="F59" s="117" t="s">
        <v>5632</v>
      </c>
      <c r="G59" s="116"/>
      <c r="H59" s="116"/>
      <c r="I59" s="116"/>
      <c r="J59" s="116"/>
      <c r="K59" s="116"/>
      <c r="L59" s="116"/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</row>
    <row r="60" hidden="1">
      <c r="A60" s="117" t="s">
        <v>7655</v>
      </c>
      <c r="B60" s="117" t="str">
        <f t="array" ref="B60">XLOOKUP(C60,'Off-Boarding'!B:B,'Off-Boarding'!E:E)</f>
        <v>#N/A</v>
      </c>
      <c r="C60" s="117" t="s">
        <v>2067</v>
      </c>
      <c r="D60" s="410">
        <v>45916.003523119536</v>
      </c>
      <c r="E60" s="117" t="s">
        <v>7771</v>
      </c>
      <c r="F60" s="117" t="s">
        <v>5632</v>
      </c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</row>
    <row r="61">
      <c r="A61" s="117" t="s">
        <v>7782</v>
      </c>
      <c r="B61" s="117" t="s">
        <v>7772</v>
      </c>
      <c r="C61" s="117" t="s">
        <v>2938</v>
      </c>
      <c r="D61" s="410">
        <v>45863.338657384214</v>
      </c>
      <c r="E61" s="117" t="s">
        <v>7771</v>
      </c>
      <c r="F61" s="117" t="s">
        <v>5632</v>
      </c>
      <c r="G61" s="116"/>
      <c r="H61" s="116"/>
      <c r="I61" s="116"/>
      <c r="J61" s="116"/>
      <c r="K61" s="116"/>
      <c r="L61" s="116"/>
      <c r="M61" s="116"/>
      <c r="N61" s="116"/>
      <c r="O61" s="116"/>
      <c r="P61" s="116"/>
      <c r="Q61" s="116"/>
      <c r="R61" s="116"/>
      <c r="S61" s="116"/>
      <c r="T61" s="116"/>
      <c r="U61" s="116"/>
      <c r="V61" s="116"/>
      <c r="W61" s="116"/>
      <c r="X61" s="116"/>
      <c r="Y61" s="116"/>
      <c r="Z61" s="116"/>
      <c r="AA61" s="116"/>
    </row>
    <row r="62" hidden="1">
      <c r="A62" s="117" t="s">
        <v>1970</v>
      </c>
      <c r="B62" s="117" t="str">
        <f t="array" ref="B62">XLOOKUP(C62,'Off-Boarding'!B:B,'Off-Boarding'!E:E)</f>
        <v>#N/A</v>
      </c>
      <c r="C62" s="117" t="s">
        <v>1971</v>
      </c>
      <c r="D62" s="410">
        <v>45911.84210258282</v>
      </c>
      <c r="E62" s="117" t="s">
        <v>7771</v>
      </c>
      <c r="F62" s="117" t="s">
        <v>5632</v>
      </c>
      <c r="G62" s="116"/>
      <c r="H62" s="116"/>
      <c r="I62" s="116"/>
      <c r="J62" s="116"/>
      <c r="K62" s="116"/>
      <c r="L62" s="116"/>
      <c r="M62" s="116"/>
      <c r="N62" s="116"/>
      <c r="O62" s="116"/>
      <c r="P62" s="116"/>
      <c r="Q62" s="116"/>
      <c r="R62" s="116"/>
      <c r="S62" s="116"/>
      <c r="T62" s="116"/>
      <c r="U62" s="116"/>
      <c r="V62" s="116"/>
      <c r="W62" s="116"/>
      <c r="X62" s="116"/>
      <c r="Y62" s="116"/>
      <c r="Z62" s="116"/>
      <c r="AA62" s="116"/>
    </row>
    <row r="63" hidden="1">
      <c r="A63" s="117" t="s">
        <v>2081</v>
      </c>
      <c r="B63" s="117" t="str">
        <f t="array" ref="B63">XLOOKUP(C63,'Off-Boarding'!B:B,'Off-Boarding'!E:E)</f>
        <v>Suspend</v>
      </c>
      <c r="C63" s="117" t="s">
        <v>1479</v>
      </c>
      <c r="D63" s="410">
        <v>45916.25424386654</v>
      </c>
      <c r="E63" s="117" t="s">
        <v>7771</v>
      </c>
      <c r="F63" s="117" t="s">
        <v>5632</v>
      </c>
      <c r="G63" s="116"/>
      <c r="H63" s="116"/>
      <c r="I63" s="116"/>
      <c r="J63" s="116"/>
      <c r="K63" s="116"/>
      <c r="L63" s="116"/>
      <c r="M63" s="116"/>
      <c r="N63" s="116"/>
      <c r="O63" s="116"/>
      <c r="P63" s="116"/>
      <c r="Q63" s="116"/>
      <c r="R63" s="116"/>
      <c r="S63" s="116"/>
      <c r="T63" s="116"/>
      <c r="U63" s="116"/>
      <c r="V63" s="116"/>
      <c r="W63" s="116"/>
      <c r="X63" s="116"/>
      <c r="Y63" s="116"/>
      <c r="Z63" s="116"/>
      <c r="AA63" s="116"/>
    </row>
    <row r="64">
      <c r="A64" s="117" t="s">
        <v>3072</v>
      </c>
      <c r="B64" s="117" t="s">
        <v>7772</v>
      </c>
      <c r="C64" s="117" t="s">
        <v>3073</v>
      </c>
      <c r="D64" s="410">
        <v>45904.348773917845</v>
      </c>
      <c r="E64" s="117" t="s">
        <v>7771</v>
      </c>
      <c r="F64" s="117" t="s">
        <v>5632</v>
      </c>
      <c r="G64" s="116"/>
      <c r="H64" s="116"/>
      <c r="I64" s="116"/>
      <c r="J64" s="116"/>
      <c r="K64" s="116"/>
      <c r="L64" s="116"/>
      <c r="M64" s="116"/>
      <c r="N64" s="116"/>
      <c r="O64" s="116"/>
      <c r="P64" s="116"/>
      <c r="Q64" s="116"/>
      <c r="R64" s="116"/>
      <c r="S64" s="116"/>
      <c r="T64" s="116"/>
      <c r="U64" s="116"/>
      <c r="V64" s="116"/>
      <c r="W64" s="116"/>
      <c r="X64" s="116"/>
      <c r="Y64" s="116"/>
      <c r="Z64" s="116"/>
      <c r="AA64" s="116"/>
    </row>
    <row r="65" hidden="1">
      <c r="A65" s="117" t="s">
        <v>4089</v>
      </c>
      <c r="B65" s="117" t="str">
        <f t="array" ref="B65">XLOOKUP(C65,'Off-Boarding'!B:B,'Off-Boarding'!E:E)</f>
        <v>#N/A</v>
      </c>
      <c r="C65" s="117" t="s">
        <v>2278</v>
      </c>
      <c r="D65" s="410">
        <v>45915.847247487996</v>
      </c>
      <c r="E65" s="117" t="s">
        <v>7771</v>
      </c>
      <c r="F65" s="117" t="s">
        <v>5632</v>
      </c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6"/>
      <c r="R65" s="116"/>
      <c r="S65" s="116"/>
      <c r="T65" s="116"/>
      <c r="U65" s="116"/>
      <c r="V65" s="116"/>
      <c r="W65" s="116"/>
      <c r="X65" s="116"/>
      <c r="Y65" s="116"/>
      <c r="Z65" s="116"/>
      <c r="AA65" s="116"/>
    </row>
    <row r="66">
      <c r="A66" s="117" t="s">
        <v>1254</v>
      </c>
      <c r="B66" s="117" t="s">
        <v>7772</v>
      </c>
      <c r="C66" s="117" t="s">
        <v>1255</v>
      </c>
      <c r="D66" s="410">
        <v>45910.172492486075</v>
      </c>
      <c r="E66" s="117" t="s">
        <v>7771</v>
      </c>
      <c r="F66" s="117" t="s">
        <v>5632</v>
      </c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</row>
    <row r="67" hidden="1">
      <c r="A67" s="117" t="s">
        <v>2075</v>
      </c>
      <c r="B67" s="117" t="str">
        <f t="array" ref="B67">XLOOKUP(C67,'Off-Boarding'!B:B,'Off-Boarding'!E:E)</f>
        <v>Suspend</v>
      </c>
      <c r="C67" s="117" t="s">
        <v>2076</v>
      </c>
      <c r="D67" s="410">
        <v>45915.877305639944</v>
      </c>
      <c r="E67" s="117" t="s">
        <v>7771</v>
      </c>
      <c r="F67" s="117" t="s">
        <v>5632</v>
      </c>
      <c r="G67" s="116"/>
      <c r="H67" s="116"/>
      <c r="I67" s="116"/>
      <c r="J67" s="116"/>
      <c r="K67" s="116"/>
      <c r="L67" s="116"/>
      <c r="M67" s="116"/>
      <c r="N67" s="116"/>
      <c r="O67" s="116"/>
      <c r="P67" s="116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</row>
    <row r="68" hidden="1">
      <c r="A68" s="117" t="s">
        <v>5015</v>
      </c>
      <c r="B68" s="409" t="str">
        <f t="array" ref="B68">XLOOKUP(C68,'Off-Boarding'!B:B,'Off-Boarding'!E:E)</f>
        <v>Suspend</v>
      </c>
      <c r="C68" s="117" t="s">
        <v>2651</v>
      </c>
      <c r="D68" s="410">
        <v>45915.528751783226</v>
      </c>
      <c r="E68" s="117" t="s">
        <v>7771</v>
      </c>
      <c r="F68" s="117" t="s">
        <v>5632</v>
      </c>
      <c r="G68" s="116"/>
      <c r="H68" s="116"/>
      <c r="I68" s="116"/>
      <c r="J68" s="116"/>
      <c r="K68" s="116"/>
      <c r="L68" s="116"/>
      <c r="M68" s="116"/>
      <c r="N68" s="116"/>
      <c r="O68" s="116"/>
      <c r="P68" s="116"/>
      <c r="Q68" s="116"/>
      <c r="R68" s="116"/>
      <c r="S68" s="116"/>
      <c r="T68" s="116"/>
      <c r="U68" s="116"/>
      <c r="V68" s="116"/>
      <c r="W68" s="116"/>
      <c r="X68" s="116"/>
      <c r="Y68" s="116"/>
      <c r="Z68" s="116"/>
      <c r="AA68" s="116"/>
    </row>
    <row r="69" hidden="1">
      <c r="A69" s="117" t="s">
        <v>1930</v>
      </c>
      <c r="B69" s="117" t="str">
        <f t="array" ref="B69">XLOOKUP(C69,'Off-Boarding'!B:B,'Off-Boarding'!E:E)</f>
        <v>Suspend</v>
      </c>
      <c r="C69" s="117" t="s">
        <v>1931</v>
      </c>
      <c r="D69" s="410">
        <v>45894.58948219949</v>
      </c>
      <c r="E69" s="117" t="s">
        <v>7771</v>
      </c>
      <c r="F69" s="117" t="s">
        <v>5632</v>
      </c>
      <c r="G69" s="116"/>
      <c r="H69" s="116"/>
      <c r="I69" s="116"/>
      <c r="J69" s="116"/>
      <c r="K69" s="116"/>
      <c r="L69" s="116"/>
      <c r="M69" s="116"/>
      <c r="N69" s="116"/>
      <c r="O69" s="116"/>
      <c r="P69" s="116"/>
      <c r="Q69" s="116"/>
      <c r="R69" s="116"/>
      <c r="S69" s="116"/>
      <c r="T69" s="116"/>
      <c r="U69" s="116"/>
      <c r="V69" s="116"/>
      <c r="W69" s="116"/>
      <c r="X69" s="116"/>
      <c r="Y69" s="116"/>
      <c r="Z69" s="116"/>
      <c r="AA69" s="116"/>
    </row>
    <row r="70">
      <c r="A70" s="117" t="s">
        <v>1261</v>
      </c>
      <c r="B70" s="117" t="s">
        <v>7772</v>
      </c>
      <c r="C70" s="117" t="s">
        <v>1262</v>
      </c>
      <c r="D70" s="410">
        <v>45904.0013053036</v>
      </c>
      <c r="E70" s="117" t="s">
        <v>7771</v>
      </c>
      <c r="F70" s="117" t="s">
        <v>5632</v>
      </c>
      <c r="G70" s="116"/>
      <c r="H70" s="116"/>
      <c r="I70" s="116"/>
      <c r="J70" s="116"/>
      <c r="K70" s="116"/>
      <c r="L70" s="116"/>
      <c r="M70" s="116"/>
      <c r="N70" s="116"/>
      <c r="O70" s="116"/>
      <c r="P70" s="116"/>
      <c r="Q70" s="116"/>
      <c r="R70" s="116"/>
      <c r="S70" s="116"/>
      <c r="T70" s="116"/>
      <c r="U70" s="116"/>
      <c r="V70" s="116"/>
      <c r="W70" s="116"/>
      <c r="X70" s="116"/>
      <c r="Y70" s="116"/>
      <c r="Z70" s="116"/>
      <c r="AA70" s="116"/>
    </row>
    <row r="71" hidden="1">
      <c r="A71" s="117" t="s">
        <v>2080</v>
      </c>
      <c r="B71" s="117" t="str">
        <f t="array" ref="B71">XLOOKUP(C71,'Off-Boarding'!B:B,'Off-Boarding'!E:E)</f>
        <v>#N/A</v>
      </c>
      <c r="C71" s="117" t="s">
        <v>1197</v>
      </c>
      <c r="D71" s="410">
        <v>45889.51747077019</v>
      </c>
      <c r="E71" s="117" t="s">
        <v>7771</v>
      </c>
      <c r="F71" s="117" t="s">
        <v>5632</v>
      </c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</row>
    <row r="72" hidden="1">
      <c r="A72" s="117" t="s">
        <v>1268</v>
      </c>
      <c r="B72" s="409" t="str">
        <f t="array" ref="B72">XLOOKUP(C72,'Off-Boarding'!B:B,'Off-Boarding'!E:E)</f>
        <v>Suspend</v>
      </c>
      <c r="C72" s="117" t="s">
        <v>1269</v>
      </c>
      <c r="D72" s="410">
        <v>45915.2752119684</v>
      </c>
      <c r="E72" s="117" t="s">
        <v>7771</v>
      </c>
      <c r="F72" s="117" t="s">
        <v>5632</v>
      </c>
      <c r="G72" s="116"/>
      <c r="H72" s="116"/>
      <c r="I72" s="116"/>
      <c r="J72" s="116"/>
      <c r="K72" s="116"/>
      <c r="L72" s="116"/>
      <c r="M72" s="116"/>
      <c r="N72" s="116"/>
      <c r="O72" s="116"/>
      <c r="P72" s="116"/>
      <c r="Q72" s="116"/>
      <c r="R72" s="116"/>
      <c r="S72" s="116"/>
      <c r="T72" s="116"/>
      <c r="U72" s="116"/>
      <c r="V72" s="116"/>
      <c r="W72" s="116"/>
      <c r="X72" s="116"/>
      <c r="Y72" s="116"/>
      <c r="Z72" s="116"/>
      <c r="AA72" s="116"/>
    </row>
    <row r="73" hidden="1">
      <c r="A73" s="117" t="s">
        <v>2755</v>
      </c>
      <c r="B73" s="117" t="str">
        <f t="array" ref="B73">XLOOKUP(C73,'Off-Boarding'!B:B,'Off-Boarding'!E:E)</f>
        <v>Suspend</v>
      </c>
      <c r="C73" s="117" t="s">
        <v>2756</v>
      </c>
      <c r="D73" s="410">
        <v>45916.3051505746</v>
      </c>
      <c r="E73" s="117" t="s">
        <v>7771</v>
      </c>
      <c r="F73" s="117" t="s">
        <v>5632</v>
      </c>
      <c r="G73" s="116"/>
      <c r="H73" s="116"/>
      <c r="I73" s="116"/>
      <c r="J73" s="116"/>
      <c r="K73" s="116"/>
      <c r="L73" s="116"/>
      <c r="M73" s="116"/>
      <c r="N73" s="116"/>
      <c r="O73" s="116"/>
      <c r="P73" s="116"/>
      <c r="Q73" s="116"/>
      <c r="R73" s="116"/>
      <c r="S73" s="116"/>
      <c r="T73" s="116"/>
      <c r="U73" s="116"/>
      <c r="V73" s="116"/>
      <c r="W73" s="116"/>
      <c r="X73" s="116"/>
      <c r="Y73" s="116"/>
      <c r="Z73" s="116"/>
      <c r="AA73" s="116"/>
    </row>
    <row r="74" hidden="1">
      <c r="A74" s="117" t="s">
        <v>7813</v>
      </c>
      <c r="B74" s="117" t="str">
        <f t="array" ref="B74">XLOOKUP(C74,'Off-Boarding'!B:B,'Off-Boarding'!E:E)</f>
        <v>#N/A</v>
      </c>
      <c r="C74" s="117" t="s">
        <v>3117</v>
      </c>
      <c r="D74" s="410">
        <v>45916.3099396486</v>
      </c>
      <c r="E74" s="117" t="s">
        <v>7771</v>
      </c>
      <c r="F74" s="117" t="s">
        <v>5632</v>
      </c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6"/>
      <c r="V74" s="116"/>
      <c r="W74" s="116"/>
      <c r="X74" s="116"/>
      <c r="Y74" s="116"/>
      <c r="Z74" s="116"/>
      <c r="AA74" s="116"/>
    </row>
    <row r="75" hidden="1">
      <c r="A75" s="117" t="s">
        <v>7814</v>
      </c>
      <c r="B75" s="117" t="str">
        <f t="array" ref="B75">XLOOKUP(C75,'Off-Boarding'!B:B,'Off-Boarding'!E:E)</f>
        <v>Suspend</v>
      </c>
      <c r="C75" s="117" t="s">
        <v>1976</v>
      </c>
      <c r="D75" s="410">
        <v>45916.31118646412</v>
      </c>
      <c r="E75" s="117" t="s">
        <v>7771</v>
      </c>
      <c r="F75" s="117" t="s">
        <v>5632</v>
      </c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6"/>
      <c r="V75" s="116"/>
      <c r="W75" s="116"/>
      <c r="X75" s="116"/>
      <c r="Y75" s="116"/>
      <c r="Z75" s="116"/>
      <c r="AA75" s="116"/>
    </row>
    <row r="76" hidden="1">
      <c r="A76" s="117" t="s">
        <v>2328</v>
      </c>
      <c r="B76" s="117" t="str">
        <f t="array" ref="B76">XLOOKUP(C76,'Off-Boarding'!B:B,'Off-Boarding'!E:E)</f>
        <v>Suspend</v>
      </c>
      <c r="C76" s="117" t="s">
        <v>2329</v>
      </c>
      <c r="D76" s="410">
        <v>45915.28606704048</v>
      </c>
      <c r="E76" s="117" t="s">
        <v>7771</v>
      </c>
      <c r="F76" s="117" t="s">
        <v>5632</v>
      </c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6"/>
      <c r="V76" s="116"/>
      <c r="W76" s="116"/>
      <c r="X76" s="116"/>
      <c r="Y76" s="116"/>
      <c r="Z76" s="116"/>
      <c r="AA76" s="116"/>
    </row>
    <row r="77" hidden="1">
      <c r="A77" s="117" t="s">
        <v>367</v>
      </c>
      <c r="B77" s="117" t="str">
        <f t="array" ref="B77">XLOOKUP(C77,'Off-Boarding'!B:B,'Off-Boarding'!E:E)</f>
        <v>#N/A</v>
      </c>
      <c r="C77" s="117" t="s">
        <v>368</v>
      </c>
      <c r="D77" s="410">
        <v>45474.2792486282</v>
      </c>
      <c r="E77" s="117" t="s">
        <v>7771</v>
      </c>
      <c r="F77" s="117" t="s">
        <v>5632</v>
      </c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</row>
    <row r="78">
      <c r="A78" s="117" t="s">
        <v>1282</v>
      </c>
      <c r="B78" s="117" t="s">
        <v>7772</v>
      </c>
      <c r="C78" s="117" t="s">
        <v>1283</v>
      </c>
      <c r="D78" s="410">
        <v>45839.28507348637</v>
      </c>
      <c r="E78" s="117" t="s">
        <v>7771</v>
      </c>
      <c r="F78" s="117" t="s">
        <v>5632</v>
      </c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6"/>
      <c r="V78" s="116"/>
      <c r="W78" s="116"/>
      <c r="X78" s="116"/>
      <c r="Y78" s="116"/>
      <c r="Z78" s="116"/>
      <c r="AA78" s="116"/>
    </row>
    <row r="79">
      <c r="A79" s="117" t="s">
        <v>377</v>
      </c>
      <c r="B79" s="117" t="s">
        <v>7772</v>
      </c>
      <c r="C79" s="117" t="s">
        <v>378</v>
      </c>
      <c r="D79" s="410">
        <v>45771.3830763896</v>
      </c>
      <c r="E79" s="117" t="s">
        <v>7771</v>
      </c>
      <c r="F79" s="117" t="s">
        <v>5632</v>
      </c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</row>
    <row r="80" hidden="1">
      <c r="A80" s="117" t="s">
        <v>1291</v>
      </c>
      <c r="B80" s="409" t="str">
        <f t="array" ref="B80">XLOOKUP(C80,'Off-Boarding'!B:B,'Off-Boarding'!E:E)</f>
        <v>Suspend</v>
      </c>
      <c r="C80" s="117" t="s">
        <v>1292</v>
      </c>
      <c r="D80" s="410">
        <v>45915.57605578522</v>
      </c>
      <c r="E80" s="117" t="s">
        <v>7771</v>
      </c>
      <c r="F80" s="117" t="s">
        <v>5632</v>
      </c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6"/>
      <c r="V80" s="116"/>
      <c r="W80" s="116"/>
      <c r="X80" s="116"/>
      <c r="Y80" s="116"/>
      <c r="Z80" s="116"/>
      <c r="AA80" s="116"/>
    </row>
    <row r="81" hidden="1">
      <c r="A81" s="117" t="s">
        <v>1294</v>
      </c>
      <c r="B81" s="409" t="str">
        <f t="array" ref="B81">XLOOKUP(C81,'Off-Boarding'!B:B,'Off-Boarding'!E:E)</f>
        <v>Suspend</v>
      </c>
      <c r="C81" s="117" t="s">
        <v>1295</v>
      </c>
      <c r="D81" s="410">
        <v>45916.30520270547</v>
      </c>
      <c r="E81" s="117" t="s">
        <v>7771</v>
      </c>
      <c r="F81" s="117" t="s">
        <v>5632</v>
      </c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6"/>
      <c r="V81" s="116"/>
      <c r="W81" s="116"/>
      <c r="X81" s="116"/>
      <c r="Y81" s="116"/>
      <c r="Z81" s="116"/>
      <c r="AA81" s="116"/>
    </row>
    <row r="82">
      <c r="A82" s="117" t="s">
        <v>1316</v>
      </c>
      <c r="B82" s="117" t="s">
        <v>7772</v>
      </c>
      <c r="C82" s="117" t="s">
        <v>1317</v>
      </c>
      <c r="D82" s="410">
        <v>45739.07266167078</v>
      </c>
      <c r="E82" s="117" t="s">
        <v>7771</v>
      </c>
      <c r="F82" s="117" t="s">
        <v>5632</v>
      </c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6"/>
      <c r="V82" s="116"/>
      <c r="W82" s="116"/>
      <c r="X82" s="116"/>
      <c r="Y82" s="116"/>
      <c r="Z82" s="116"/>
      <c r="AA82" s="116"/>
    </row>
    <row r="83" hidden="1">
      <c r="A83" s="117" t="s">
        <v>2126</v>
      </c>
      <c r="B83" s="117" t="str">
        <f t="array" ref="B83">XLOOKUP(C83,'Off-Boarding'!B:B,'Off-Boarding'!E:E)</f>
        <v>Suspend</v>
      </c>
      <c r="C83" s="117" t="s">
        <v>2127</v>
      </c>
      <c r="D83" s="410">
        <v>45915.866008490426</v>
      </c>
      <c r="E83" s="117" t="s">
        <v>7771</v>
      </c>
      <c r="F83" s="117" t="s">
        <v>5632</v>
      </c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6"/>
      <c r="V83" s="116"/>
      <c r="W83" s="116"/>
      <c r="X83" s="116"/>
      <c r="Y83" s="116"/>
      <c r="Z83" s="116"/>
      <c r="AA83" s="116"/>
    </row>
    <row r="84" hidden="1">
      <c r="A84" s="117" t="s">
        <v>7815</v>
      </c>
      <c r="B84" s="117" t="str">
        <f t="array" ref="B84">XLOOKUP(C84,'Off-Boarding'!B:B,'Off-Boarding'!E:E)</f>
        <v>#N/A</v>
      </c>
      <c r="C84" s="117" t="s">
        <v>406</v>
      </c>
      <c r="D84" s="410">
        <v>45518.35706604862</v>
      </c>
      <c r="E84" s="117" t="s">
        <v>7771</v>
      </c>
      <c r="F84" s="117" t="s">
        <v>5632</v>
      </c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6"/>
      <c r="V84" s="116"/>
      <c r="W84" s="116"/>
      <c r="X84" s="116"/>
      <c r="Y84" s="116"/>
      <c r="Z84" s="116"/>
      <c r="AA84" s="116"/>
    </row>
    <row r="85">
      <c r="A85" s="117" t="s">
        <v>407</v>
      </c>
      <c r="B85" s="117" t="s">
        <v>7772</v>
      </c>
      <c r="C85" s="117" t="s">
        <v>408</v>
      </c>
      <c r="D85" s="410">
        <v>45715.38904876465</v>
      </c>
      <c r="E85" s="117" t="s">
        <v>7771</v>
      </c>
      <c r="F85" s="117" t="s">
        <v>5632</v>
      </c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6"/>
      <c r="V85" s="116"/>
      <c r="W85" s="116"/>
      <c r="X85" s="116"/>
      <c r="Y85" s="116"/>
      <c r="Z85" s="116"/>
      <c r="AA85" s="116"/>
    </row>
    <row r="86" hidden="1">
      <c r="A86" s="117" t="s">
        <v>2279</v>
      </c>
      <c r="B86" s="117" t="str">
        <f t="array" ref="B86">XLOOKUP(C86,'Off-Boarding'!B:B,'Off-Boarding'!E:E)</f>
        <v>Suspend</v>
      </c>
      <c r="C86" s="117" t="s">
        <v>1108</v>
      </c>
      <c r="D86" s="410">
        <v>45915.29497172708</v>
      </c>
      <c r="E86" s="117" t="s">
        <v>7771</v>
      </c>
      <c r="F86" s="117" t="s">
        <v>5632</v>
      </c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6"/>
      <c r="V86" s="116"/>
      <c r="W86" s="116"/>
      <c r="X86" s="116"/>
      <c r="Y86" s="116"/>
      <c r="Z86" s="116"/>
      <c r="AA86" s="116"/>
    </row>
    <row r="87" hidden="1">
      <c r="A87" s="117" t="s">
        <v>2944</v>
      </c>
      <c r="B87" s="409" t="str">
        <f t="array" ref="B87">XLOOKUP(C87,'Off-Boarding'!B:B,'Off-Boarding'!E:E)</f>
        <v>Suspend</v>
      </c>
      <c r="C87" s="117" t="s">
        <v>2945</v>
      </c>
      <c r="D87" s="410">
        <v>45915.247810727604</v>
      </c>
      <c r="E87" s="117" t="s">
        <v>7771</v>
      </c>
      <c r="F87" s="117" t="s">
        <v>5632</v>
      </c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</row>
    <row r="88">
      <c r="A88" s="117" t="s">
        <v>7787</v>
      </c>
      <c r="B88" s="117" t="s">
        <v>7772</v>
      </c>
      <c r="C88" s="117" t="s">
        <v>1346</v>
      </c>
      <c r="D88" s="410">
        <v>45911.25843103508</v>
      </c>
      <c r="E88" s="117" t="s">
        <v>7771</v>
      </c>
      <c r="F88" s="117" t="s">
        <v>5632</v>
      </c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6"/>
      <c r="V88" s="116"/>
      <c r="W88" s="116"/>
      <c r="X88" s="116"/>
      <c r="Y88" s="116"/>
      <c r="Z88" s="116"/>
      <c r="AA88" s="116"/>
    </row>
    <row r="89">
      <c r="A89" s="117" t="s">
        <v>1357</v>
      </c>
      <c r="B89" s="117" t="s">
        <v>7772</v>
      </c>
      <c r="C89" s="117" t="s">
        <v>1358</v>
      </c>
      <c r="D89" s="410">
        <v>45838.418094355395</v>
      </c>
      <c r="E89" s="117" t="s">
        <v>7771</v>
      </c>
      <c r="F89" s="117" t="s">
        <v>5632</v>
      </c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6"/>
      <c r="V89" s="116"/>
      <c r="W89" s="116"/>
      <c r="X89" s="116"/>
      <c r="Y89" s="116"/>
      <c r="Z89" s="116"/>
      <c r="AA89" s="116"/>
    </row>
    <row r="90" hidden="1">
      <c r="A90" s="117" t="s">
        <v>2659</v>
      </c>
      <c r="B90" s="117" t="str">
        <f t="array" ref="B90">XLOOKUP(C90,'Off-Boarding'!B:B,'Off-Boarding'!E:E)</f>
        <v>#N/A</v>
      </c>
      <c r="C90" s="117" t="s">
        <v>2660</v>
      </c>
      <c r="D90" s="410">
        <v>45916.28682928632</v>
      </c>
      <c r="E90" s="117" t="s">
        <v>7771</v>
      </c>
      <c r="F90" s="117" t="s">
        <v>5632</v>
      </c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</row>
    <row r="91" hidden="1">
      <c r="A91" s="117" t="s">
        <v>7816</v>
      </c>
      <c r="B91" s="117" t="str">
        <f t="array" ref="B91">XLOOKUP(C91,'Off-Boarding'!B:B,'Off-Boarding'!E:E)</f>
        <v>#N/A</v>
      </c>
      <c r="C91" s="117" t="s">
        <v>2039</v>
      </c>
      <c r="D91" s="410">
        <v>45915.37989926842</v>
      </c>
      <c r="E91" s="117" t="s">
        <v>7771</v>
      </c>
      <c r="F91" s="117" t="s">
        <v>5632</v>
      </c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</row>
    <row r="92" hidden="1">
      <c r="A92" s="117" t="s">
        <v>2338</v>
      </c>
      <c r="B92" s="409" t="str">
        <f t="array" ref="B92">XLOOKUP(C92,'Off-Boarding'!B:B,'Off-Boarding'!E:E)</f>
        <v>Suspend</v>
      </c>
      <c r="C92" s="117" t="s">
        <v>2339</v>
      </c>
      <c r="D92" s="410">
        <v>45914.59520873816</v>
      </c>
      <c r="E92" s="117" t="s">
        <v>7771</v>
      </c>
      <c r="F92" s="117" t="s">
        <v>5632</v>
      </c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</row>
    <row r="93" hidden="1">
      <c r="A93" s="117" t="s">
        <v>6677</v>
      </c>
      <c r="B93" s="117" t="str">
        <f t="array" ref="B93">XLOOKUP(C93,'Off-Boarding'!B:B,'Off-Boarding'!E:E)</f>
        <v>#N/A</v>
      </c>
      <c r="C93" s="117" t="s">
        <v>440</v>
      </c>
      <c r="D93" s="410">
        <v>45477.586857114584</v>
      </c>
      <c r="E93" s="117" t="s">
        <v>7771</v>
      </c>
      <c r="F93" s="117" t="s">
        <v>5632</v>
      </c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</row>
    <row r="94">
      <c r="A94" s="117" t="s">
        <v>3094</v>
      </c>
      <c r="B94" s="117" t="s">
        <v>7772</v>
      </c>
      <c r="C94" s="117" t="s">
        <v>3095</v>
      </c>
      <c r="D94" s="410">
        <v>45909.79926545244</v>
      </c>
      <c r="E94" s="117" t="s">
        <v>7771</v>
      </c>
      <c r="F94" s="117" t="s">
        <v>5632</v>
      </c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6"/>
      <c r="V94" s="116"/>
      <c r="W94" s="116"/>
      <c r="X94" s="116"/>
      <c r="Y94" s="116"/>
      <c r="Z94" s="116"/>
      <c r="AA94" s="116"/>
    </row>
    <row r="95" hidden="1">
      <c r="A95" s="117" t="s">
        <v>2022</v>
      </c>
      <c r="B95" s="117" t="str">
        <f t="array" ref="B95">XLOOKUP(C95,'Off-Boarding'!B:B,'Off-Boarding'!E:E)</f>
        <v>#N/A</v>
      </c>
      <c r="C95" s="117" t="s">
        <v>2023</v>
      </c>
      <c r="D95" s="410">
        <v>45916.29432517668</v>
      </c>
      <c r="E95" s="117" t="s">
        <v>7771</v>
      </c>
      <c r="F95" s="117" t="s">
        <v>5632</v>
      </c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116"/>
      <c r="X95" s="116"/>
      <c r="Y95" s="116"/>
      <c r="Z95" s="116"/>
      <c r="AA95" s="116"/>
    </row>
    <row r="96">
      <c r="A96" s="117" t="s">
        <v>1386</v>
      </c>
      <c r="B96" s="117" t="s">
        <v>7772</v>
      </c>
      <c r="C96" s="117" t="s">
        <v>1387</v>
      </c>
      <c r="D96" s="410">
        <v>45800.303130204884</v>
      </c>
      <c r="E96" s="117" t="s">
        <v>7771</v>
      </c>
      <c r="F96" s="117" t="s">
        <v>5632</v>
      </c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6"/>
      <c r="V96" s="116"/>
      <c r="W96" s="116"/>
      <c r="X96" s="116"/>
      <c r="Y96" s="116"/>
      <c r="Z96" s="116"/>
      <c r="AA96" s="116"/>
    </row>
    <row r="97" hidden="1">
      <c r="A97" s="117" t="s">
        <v>5218</v>
      </c>
      <c r="B97" s="117" t="str">
        <f t="array" ref="B97">XLOOKUP(C97,'Off-Boarding'!B:B,'Off-Boarding'!E:E)</f>
        <v>Suspend</v>
      </c>
      <c r="C97" s="117" t="s">
        <v>2102</v>
      </c>
      <c r="D97" s="410">
        <v>45914.81863441634</v>
      </c>
      <c r="E97" s="117" t="s">
        <v>7771</v>
      </c>
      <c r="F97" s="117" t="s">
        <v>5632</v>
      </c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6"/>
      <c r="V97" s="116"/>
      <c r="W97" s="116"/>
      <c r="X97" s="116"/>
      <c r="Y97" s="116"/>
      <c r="Z97" s="116"/>
      <c r="AA97" s="116"/>
    </row>
    <row r="98">
      <c r="A98" s="117" t="s">
        <v>7817</v>
      </c>
      <c r="B98" s="117" t="s">
        <v>7772</v>
      </c>
      <c r="C98" s="117" t="s">
        <v>2999</v>
      </c>
      <c r="D98" s="410">
        <v>45911.18730832037</v>
      </c>
      <c r="E98" s="117" t="s">
        <v>7771</v>
      </c>
      <c r="F98" s="117" t="s">
        <v>5632</v>
      </c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6"/>
      <c r="V98" s="116"/>
      <c r="W98" s="116"/>
      <c r="X98" s="116"/>
      <c r="Y98" s="116"/>
      <c r="Z98" s="116"/>
      <c r="AA98" s="116"/>
    </row>
    <row r="99">
      <c r="A99" s="117" t="s">
        <v>4888</v>
      </c>
      <c r="B99" s="117" t="s">
        <v>7772</v>
      </c>
      <c r="C99" s="117" t="s">
        <v>1402</v>
      </c>
      <c r="D99" s="410">
        <v>45908.699938942074</v>
      </c>
      <c r="E99" s="117" t="s">
        <v>7771</v>
      </c>
      <c r="F99" s="117" t="s">
        <v>5632</v>
      </c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</row>
    <row r="100" hidden="1">
      <c r="A100" s="117" t="s">
        <v>7789</v>
      </c>
      <c r="B100" s="117" t="str">
        <f t="array" ref="B100">XLOOKUP(C100,'Off-Boarding'!B:B,'Off-Boarding'!E:E)</f>
        <v>#N/A</v>
      </c>
      <c r="C100" s="117" t="s">
        <v>7790</v>
      </c>
      <c r="D100" s="410">
        <v>45901.5005529245</v>
      </c>
      <c r="E100" s="117" t="s">
        <v>7771</v>
      </c>
      <c r="F100" s="117" t="s">
        <v>5632</v>
      </c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6"/>
      <c r="V100" s="116"/>
      <c r="W100" s="116"/>
      <c r="X100" s="116"/>
      <c r="Y100" s="116"/>
      <c r="Z100" s="116"/>
      <c r="AA100" s="116"/>
    </row>
    <row r="101">
      <c r="A101" s="117" t="s">
        <v>5534</v>
      </c>
      <c r="B101" s="117" t="s">
        <v>7772</v>
      </c>
      <c r="C101" s="117" t="s">
        <v>1413</v>
      </c>
      <c r="D101" s="410">
        <v>45909.48208519793</v>
      </c>
      <c r="E101" s="117" t="s">
        <v>7771</v>
      </c>
      <c r="F101" s="117" t="s">
        <v>5632</v>
      </c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6"/>
      <c r="V101" s="116"/>
      <c r="W101" s="116"/>
      <c r="X101" s="116"/>
      <c r="Y101" s="116"/>
      <c r="Z101" s="116"/>
      <c r="AA101" s="116"/>
    </row>
    <row r="102">
      <c r="A102" s="117" t="s">
        <v>1426</v>
      </c>
      <c r="B102" s="117" t="s">
        <v>7772</v>
      </c>
      <c r="C102" s="117" t="s">
        <v>1427</v>
      </c>
      <c r="D102" s="410">
        <v>45784.500906791654</v>
      </c>
      <c r="E102" s="117" t="s">
        <v>7771</v>
      </c>
      <c r="F102" s="117" t="s">
        <v>5632</v>
      </c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6"/>
      <c r="V102" s="116"/>
      <c r="W102" s="116"/>
      <c r="X102" s="116"/>
      <c r="Y102" s="116"/>
      <c r="Z102" s="116"/>
      <c r="AA102" s="116"/>
    </row>
    <row r="103">
      <c r="A103" s="117" t="s">
        <v>1422</v>
      </c>
      <c r="B103" s="117" t="s">
        <v>7772</v>
      </c>
      <c r="C103" s="117" t="s">
        <v>1423</v>
      </c>
      <c r="D103" s="410">
        <v>45908.93680366441</v>
      </c>
      <c r="E103" s="117" t="s">
        <v>7771</v>
      </c>
      <c r="F103" s="117" t="s">
        <v>5632</v>
      </c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6"/>
      <c r="V103" s="116"/>
      <c r="W103" s="116"/>
      <c r="X103" s="116"/>
      <c r="Y103" s="116"/>
      <c r="Z103" s="116"/>
      <c r="AA103" s="116"/>
    </row>
    <row r="104">
      <c r="A104" s="117" t="s">
        <v>1430</v>
      </c>
      <c r="B104" s="117" t="s">
        <v>7772</v>
      </c>
      <c r="C104" s="117" t="s">
        <v>1431</v>
      </c>
      <c r="D104" s="410">
        <v>45890.38255801741</v>
      </c>
      <c r="E104" s="117" t="s">
        <v>7771</v>
      </c>
      <c r="F104" s="117" t="s">
        <v>5632</v>
      </c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6"/>
      <c r="V104" s="116"/>
      <c r="W104" s="116"/>
      <c r="X104" s="116"/>
      <c r="Y104" s="116"/>
      <c r="Z104" s="116"/>
      <c r="AA104" s="116"/>
    </row>
    <row r="105">
      <c r="A105" s="117" t="s">
        <v>1433</v>
      </c>
      <c r="B105" s="117" t="s">
        <v>7772</v>
      </c>
      <c r="C105" s="117" t="s">
        <v>1434</v>
      </c>
      <c r="D105" s="410">
        <v>45911.457218058335</v>
      </c>
      <c r="E105" s="117" t="s">
        <v>7771</v>
      </c>
      <c r="F105" s="117" t="s">
        <v>5632</v>
      </c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6"/>
      <c r="V105" s="116"/>
      <c r="W105" s="116"/>
      <c r="X105" s="116"/>
      <c r="Y105" s="116"/>
      <c r="Z105" s="116"/>
      <c r="AA105" s="116"/>
    </row>
    <row r="106">
      <c r="A106" s="117" t="s">
        <v>1440</v>
      </c>
      <c r="B106" s="117" t="s">
        <v>7772</v>
      </c>
      <c r="C106" s="117" t="s">
        <v>1441</v>
      </c>
      <c r="D106" s="410">
        <v>45887.58615591788</v>
      </c>
      <c r="E106" s="117" t="s">
        <v>7771</v>
      </c>
      <c r="F106" s="117" t="s">
        <v>5632</v>
      </c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6"/>
      <c r="V106" s="116"/>
      <c r="W106" s="116"/>
      <c r="X106" s="116"/>
      <c r="Y106" s="116"/>
      <c r="Z106" s="116"/>
      <c r="AA106" s="116"/>
    </row>
    <row r="107">
      <c r="A107" s="117" t="s">
        <v>1446</v>
      </c>
      <c r="B107" s="117" t="s">
        <v>7772</v>
      </c>
      <c r="C107" s="117" t="s">
        <v>1447</v>
      </c>
      <c r="D107" s="410">
        <v>45905.020099418</v>
      </c>
      <c r="E107" s="117" t="s">
        <v>7771</v>
      </c>
      <c r="F107" s="117" t="s">
        <v>5632</v>
      </c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6"/>
      <c r="V107" s="116"/>
      <c r="W107" s="116"/>
      <c r="X107" s="116"/>
      <c r="Y107" s="116"/>
      <c r="Z107" s="116"/>
      <c r="AA107" s="116"/>
    </row>
    <row r="108">
      <c r="A108" s="117" t="s">
        <v>519</v>
      </c>
      <c r="B108" s="117" t="s">
        <v>7772</v>
      </c>
      <c r="C108" s="117" t="s">
        <v>520</v>
      </c>
      <c r="D108" s="410">
        <v>45600.68209679589</v>
      </c>
      <c r="E108" s="117" t="s">
        <v>7771</v>
      </c>
      <c r="F108" s="117" t="s">
        <v>5632</v>
      </c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/>
      <c r="AA108" s="116"/>
    </row>
    <row r="109">
      <c r="A109" s="117" t="s">
        <v>3930</v>
      </c>
      <c r="B109" s="117" t="s">
        <v>7772</v>
      </c>
      <c r="C109" s="117" t="s">
        <v>1456</v>
      </c>
      <c r="D109" s="410">
        <v>45892.7464883741</v>
      </c>
      <c r="E109" s="117" t="s">
        <v>7771</v>
      </c>
      <c r="F109" s="117" t="s">
        <v>5632</v>
      </c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6"/>
      <c r="V109" s="116"/>
      <c r="W109" s="116"/>
      <c r="X109" s="116"/>
      <c r="Y109" s="116"/>
      <c r="Z109" s="116"/>
      <c r="AA109" s="116"/>
    </row>
    <row r="110" hidden="1">
      <c r="A110" s="117" t="s">
        <v>2267</v>
      </c>
      <c r="B110" s="117" t="str">
        <f t="array" ref="B110">XLOOKUP(C110,'Off-Boarding'!B:B,'Off-Boarding'!E:E)</f>
        <v>#N/A</v>
      </c>
      <c r="C110" s="117" t="s">
        <v>2268</v>
      </c>
      <c r="D110" s="410">
        <v>45916.24907678331</v>
      </c>
      <c r="E110" s="117" t="s">
        <v>7771</v>
      </c>
      <c r="F110" s="117" t="s">
        <v>5632</v>
      </c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6"/>
      <c r="V110" s="116"/>
      <c r="W110" s="116"/>
      <c r="X110" s="116"/>
      <c r="Y110" s="116"/>
      <c r="Z110" s="116"/>
      <c r="AA110" s="116"/>
    </row>
    <row r="111">
      <c r="A111" s="117" t="s">
        <v>7792</v>
      </c>
      <c r="B111" s="117" t="s">
        <v>7772</v>
      </c>
      <c r="C111" s="117" t="s">
        <v>1452</v>
      </c>
      <c r="D111" s="410">
        <v>45910.62501378878</v>
      </c>
      <c r="E111" s="117" t="s">
        <v>7771</v>
      </c>
      <c r="F111" s="117" t="s">
        <v>5632</v>
      </c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6"/>
      <c r="V111" s="116"/>
      <c r="W111" s="116"/>
      <c r="X111" s="116"/>
      <c r="Y111" s="116"/>
      <c r="Z111" s="116"/>
      <c r="AA111" s="116"/>
    </row>
    <row r="112" hidden="1">
      <c r="A112" s="117" t="s">
        <v>1461</v>
      </c>
      <c r="B112" s="409" t="str">
        <f t="array" ref="B112">XLOOKUP(C112,'Off-Boarding'!B:B,'Off-Boarding'!E:E)</f>
        <v>Suspend</v>
      </c>
      <c r="C112" s="117" t="s">
        <v>1462</v>
      </c>
      <c r="D112" s="410">
        <v>45915.563207230625</v>
      </c>
      <c r="E112" s="117" t="s">
        <v>7771</v>
      </c>
      <c r="F112" s="117" t="s">
        <v>5632</v>
      </c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6"/>
      <c r="V112" s="116"/>
      <c r="W112" s="116"/>
      <c r="X112" s="116"/>
      <c r="Y112" s="116"/>
      <c r="Z112" s="116"/>
      <c r="AA112" s="116"/>
    </row>
    <row r="113" hidden="1">
      <c r="A113" s="117" t="s">
        <v>529</v>
      </c>
      <c r="B113" s="117" t="str">
        <f t="array" ref="B113">XLOOKUP(C113,'Off-Boarding'!B:B,'Off-Boarding'!E:E)</f>
        <v>#N/A</v>
      </c>
      <c r="C113" s="117" t="s">
        <v>530</v>
      </c>
      <c r="D113" s="410">
        <v>44419.5834276543</v>
      </c>
      <c r="E113" s="117" t="s">
        <v>7771</v>
      </c>
      <c r="F113" s="117" t="s">
        <v>5632</v>
      </c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6"/>
      <c r="V113" s="116"/>
      <c r="W113" s="116"/>
      <c r="X113" s="116"/>
      <c r="Y113" s="116"/>
      <c r="Z113" s="116"/>
      <c r="AA113" s="116"/>
    </row>
    <row r="114" hidden="1">
      <c r="A114" s="117" t="s">
        <v>2264</v>
      </c>
      <c r="B114" s="117" t="str">
        <f t="array" ref="B114">XLOOKUP(C114,'Off-Boarding'!B:B,'Off-Boarding'!E:E)</f>
        <v>Suspend</v>
      </c>
      <c r="C114" s="117" t="s">
        <v>2265</v>
      </c>
      <c r="D114" s="410">
        <v>45910.72519003838</v>
      </c>
      <c r="E114" s="117" t="s">
        <v>7771</v>
      </c>
      <c r="F114" s="117" t="s">
        <v>5632</v>
      </c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6"/>
      <c r="V114" s="116"/>
      <c r="W114" s="116"/>
      <c r="X114" s="116"/>
      <c r="Y114" s="116"/>
      <c r="Z114" s="116"/>
      <c r="AA114" s="116"/>
    </row>
    <row r="115">
      <c r="A115" s="117" t="s">
        <v>1475</v>
      </c>
      <c r="B115" s="117" t="s">
        <v>7772</v>
      </c>
      <c r="C115" s="117" t="s">
        <v>1476</v>
      </c>
      <c r="D115" s="410">
        <v>45910.32442843028</v>
      </c>
      <c r="E115" s="117" t="s">
        <v>7771</v>
      </c>
      <c r="F115" s="117" t="s">
        <v>5632</v>
      </c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6"/>
      <c r="V115" s="116"/>
      <c r="W115" s="116"/>
      <c r="X115" s="116"/>
      <c r="Y115" s="116"/>
      <c r="Z115" s="116"/>
      <c r="AA115" s="116"/>
    </row>
    <row r="116" hidden="1">
      <c r="A116" s="117" t="s">
        <v>1939</v>
      </c>
      <c r="B116" s="117" t="str">
        <f t="array" ref="B116">XLOOKUP(C116,'Off-Boarding'!B:B,'Off-Boarding'!E:E)</f>
        <v>#N/A</v>
      </c>
      <c r="C116" s="117" t="s">
        <v>1429</v>
      </c>
      <c r="D116" s="410">
        <v>45915.36776445503</v>
      </c>
      <c r="E116" s="117" t="s">
        <v>7771</v>
      </c>
      <c r="F116" s="117" t="s">
        <v>5632</v>
      </c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6"/>
      <c r="V116" s="116"/>
      <c r="W116" s="116"/>
      <c r="X116" s="116"/>
      <c r="Y116" s="116"/>
      <c r="Z116" s="116"/>
      <c r="AA116" s="116"/>
    </row>
    <row r="117">
      <c r="A117" s="117" t="s">
        <v>1477</v>
      </c>
      <c r="B117" s="117" t="s">
        <v>7772</v>
      </c>
      <c r="C117" s="117" t="s">
        <v>1478</v>
      </c>
      <c r="D117" s="410">
        <v>45910.29293468874</v>
      </c>
      <c r="E117" s="117" t="s">
        <v>7771</v>
      </c>
      <c r="F117" s="117" t="s">
        <v>5632</v>
      </c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6"/>
      <c r="V117" s="116"/>
      <c r="W117" s="116"/>
      <c r="X117" s="116"/>
      <c r="Y117" s="116"/>
      <c r="Z117" s="116"/>
      <c r="AA117" s="116"/>
    </row>
    <row r="118" hidden="1">
      <c r="A118" s="117" t="s">
        <v>1487</v>
      </c>
      <c r="B118" s="117" t="str">
        <f t="array" ref="B118">XLOOKUP(C118,'Off-Boarding'!B:B,'Off-Boarding'!E:E)</f>
        <v>#N/A</v>
      </c>
      <c r="C118" s="117" t="s">
        <v>2037</v>
      </c>
      <c r="D118" s="410">
        <v>45913.690409968425</v>
      </c>
      <c r="E118" s="117" t="s">
        <v>7771</v>
      </c>
      <c r="F118" s="117" t="s">
        <v>5632</v>
      </c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6"/>
      <c r="V118" s="116"/>
      <c r="W118" s="116"/>
      <c r="X118" s="116"/>
      <c r="Y118" s="116"/>
      <c r="Z118" s="116"/>
      <c r="AA118" s="116"/>
    </row>
    <row r="119">
      <c r="A119" s="117" t="s">
        <v>7818</v>
      </c>
      <c r="B119" s="117" t="s">
        <v>7772</v>
      </c>
      <c r="C119" s="117" t="s">
        <v>1488</v>
      </c>
      <c r="D119" s="410">
        <v>45498.228393783866</v>
      </c>
      <c r="E119" s="117" t="s">
        <v>7771</v>
      </c>
      <c r="F119" s="117" t="s">
        <v>5632</v>
      </c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6"/>
      <c r="V119" s="116"/>
      <c r="W119" s="116"/>
      <c r="X119" s="116"/>
      <c r="Y119" s="116"/>
      <c r="Z119" s="116"/>
      <c r="AA119" s="116"/>
    </row>
    <row r="120">
      <c r="A120" s="117" t="s">
        <v>1483</v>
      </c>
      <c r="B120" s="117" t="s">
        <v>7772</v>
      </c>
      <c r="C120" s="117" t="s">
        <v>1484</v>
      </c>
      <c r="D120" s="410">
        <v>45896.667371997304</v>
      </c>
      <c r="E120" s="117" t="s">
        <v>7771</v>
      </c>
      <c r="F120" s="117" t="s">
        <v>5632</v>
      </c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6"/>
      <c r="V120" s="116"/>
      <c r="W120" s="116"/>
      <c r="X120" s="116"/>
      <c r="Y120" s="116"/>
      <c r="Z120" s="116"/>
      <c r="AA120" s="116"/>
    </row>
    <row r="121" hidden="1">
      <c r="A121" s="117" t="s">
        <v>1958</v>
      </c>
      <c r="B121" s="117" t="str">
        <f t="array" ref="B121">XLOOKUP(C121,'Off-Boarding'!B:B,'Off-Boarding'!E:E)</f>
        <v>#N/A</v>
      </c>
      <c r="C121" s="117" t="s">
        <v>1959</v>
      </c>
      <c r="D121" s="410">
        <v>45915.28842663984</v>
      </c>
      <c r="E121" s="117" t="s">
        <v>7771</v>
      </c>
      <c r="F121" s="117" t="s">
        <v>5632</v>
      </c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6"/>
      <c r="V121" s="116"/>
      <c r="W121" s="116"/>
      <c r="X121" s="116"/>
      <c r="Y121" s="116"/>
      <c r="Z121" s="116"/>
      <c r="AA121" s="116"/>
    </row>
    <row r="122">
      <c r="A122" s="117" t="s">
        <v>1492</v>
      </c>
      <c r="B122" s="117" t="s">
        <v>7772</v>
      </c>
      <c r="C122" s="117" t="s">
        <v>1493</v>
      </c>
      <c r="D122" s="410">
        <v>45904.33260390498</v>
      </c>
      <c r="E122" s="117" t="s">
        <v>7771</v>
      </c>
      <c r="F122" s="117" t="s">
        <v>5632</v>
      </c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6"/>
      <c r="V122" s="116"/>
      <c r="W122" s="116"/>
      <c r="X122" s="116"/>
      <c r="Y122" s="116"/>
      <c r="Z122" s="116"/>
      <c r="AA122" s="116"/>
    </row>
    <row r="123">
      <c r="A123" s="117" t="s">
        <v>7819</v>
      </c>
      <c r="B123" s="117" t="s">
        <v>7772</v>
      </c>
      <c r="C123" s="117" t="s">
        <v>542</v>
      </c>
      <c r="D123" s="410">
        <v>45659.46446937977</v>
      </c>
      <c r="E123" s="117" t="s">
        <v>7771</v>
      </c>
      <c r="F123" s="117" t="s">
        <v>5632</v>
      </c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6"/>
      <c r="V123" s="116"/>
      <c r="W123" s="116"/>
      <c r="X123" s="116"/>
      <c r="Y123" s="116"/>
      <c r="Z123" s="116"/>
      <c r="AA123" s="116"/>
    </row>
    <row r="124">
      <c r="A124" s="117" t="s">
        <v>1500</v>
      </c>
      <c r="B124" s="117" t="s">
        <v>7772</v>
      </c>
      <c r="C124" s="117" t="s">
        <v>1501</v>
      </c>
      <c r="D124" s="410">
        <v>45911.44631458207</v>
      </c>
      <c r="E124" s="117" t="s">
        <v>7771</v>
      </c>
      <c r="F124" s="117" t="s">
        <v>5632</v>
      </c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6"/>
      <c r="V124" s="116"/>
      <c r="W124" s="116"/>
      <c r="X124" s="116"/>
      <c r="Y124" s="116"/>
      <c r="Z124" s="116"/>
      <c r="AA124" s="116"/>
    </row>
    <row r="125" hidden="1">
      <c r="A125" s="117" t="s">
        <v>1985</v>
      </c>
      <c r="B125" s="117" t="str">
        <f t="array" ref="B125">XLOOKUP(C125,'Off-Boarding'!B:B,'Off-Boarding'!E:E)</f>
        <v>#N/A</v>
      </c>
      <c r="C125" s="117" t="s">
        <v>1725</v>
      </c>
      <c r="D125" s="410">
        <v>45914.63290601206</v>
      </c>
      <c r="E125" s="117" t="s">
        <v>7771</v>
      </c>
      <c r="F125" s="117" t="s">
        <v>5632</v>
      </c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6"/>
      <c r="V125" s="116"/>
      <c r="W125" s="116"/>
      <c r="X125" s="116"/>
      <c r="Y125" s="116"/>
      <c r="Z125" s="116"/>
      <c r="AA125" s="116"/>
    </row>
    <row r="126" hidden="1">
      <c r="A126" s="117" t="s">
        <v>2104</v>
      </c>
      <c r="B126" s="117" t="str">
        <f t="array" ref="B126">XLOOKUP(C126,'Off-Boarding'!B:B,'Off-Boarding'!E:E)</f>
        <v>#N/A</v>
      </c>
      <c r="C126" s="117" t="s">
        <v>2105</v>
      </c>
      <c r="D126" s="410">
        <v>45916.27298797043</v>
      </c>
      <c r="E126" s="117" t="s">
        <v>7771</v>
      </c>
      <c r="F126" s="117" t="s">
        <v>5632</v>
      </c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</row>
    <row r="127" hidden="1">
      <c r="A127" s="117" t="s">
        <v>551</v>
      </c>
      <c r="B127" s="117" t="str">
        <f t="array" ref="B127">XLOOKUP(C127,'Off-Boarding'!B:B,'Off-Boarding'!E:E)</f>
        <v>Suspend</v>
      </c>
      <c r="C127" s="117" t="s">
        <v>2238</v>
      </c>
      <c r="D127" s="410">
        <v>45915.40623826104</v>
      </c>
      <c r="E127" s="117" t="s">
        <v>7771</v>
      </c>
      <c r="F127" s="117" t="s">
        <v>5632</v>
      </c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6"/>
      <c r="V127" s="116"/>
      <c r="W127" s="116"/>
      <c r="X127" s="116"/>
      <c r="Y127" s="116"/>
      <c r="Z127" s="116"/>
      <c r="AA127" s="116"/>
    </row>
    <row r="128" hidden="1">
      <c r="A128" s="117" t="s">
        <v>553</v>
      </c>
      <c r="B128" s="117" t="str">
        <f t="array" ref="B128">XLOOKUP(C128,'Off-Boarding'!B:B,'Off-Boarding'!E:E)</f>
        <v>#N/A</v>
      </c>
      <c r="C128" s="117" t="s">
        <v>554</v>
      </c>
      <c r="D128" s="410">
        <v>44728.78046356563</v>
      </c>
      <c r="E128" s="117" t="s">
        <v>7771</v>
      </c>
      <c r="F128" s="117" t="s">
        <v>5632</v>
      </c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6"/>
      <c r="V128" s="116"/>
      <c r="W128" s="116"/>
      <c r="X128" s="116"/>
      <c r="Y128" s="116"/>
      <c r="Z128" s="116"/>
      <c r="AA128" s="116"/>
    </row>
    <row r="129" hidden="1">
      <c r="A129" s="117" t="s">
        <v>3173</v>
      </c>
      <c r="B129" s="117" t="str">
        <f t="array" ref="B129">XLOOKUP(C129,'Off-Boarding'!B:B,'Off-Boarding'!E:E)</f>
        <v>Suspend</v>
      </c>
      <c r="C129" s="117" t="s">
        <v>3174</v>
      </c>
      <c r="D129" s="410">
        <v>45916.35059204039</v>
      </c>
      <c r="E129" s="117" t="s">
        <v>7771</v>
      </c>
      <c r="F129" s="117" t="s">
        <v>5632</v>
      </c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6"/>
      <c r="V129" s="116"/>
      <c r="W129" s="116"/>
      <c r="X129" s="116"/>
      <c r="Y129" s="116"/>
      <c r="Z129" s="116"/>
      <c r="AA129" s="116"/>
    </row>
    <row r="130">
      <c r="A130" s="117" t="s">
        <v>5555</v>
      </c>
      <c r="B130" s="117" t="s">
        <v>7772</v>
      </c>
      <c r="C130" s="117" t="s">
        <v>1512</v>
      </c>
      <c r="D130" s="410">
        <v>45910.51990575752</v>
      </c>
      <c r="E130" s="117" t="s">
        <v>7771</v>
      </c>
      <c r="F130" s="117" t="s">
        <v>5632</v>
      </c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6"/>
      <c r="V130" s="116"/>
      <c r="W130" s="116"/>
      <c r="X130" s="116"/>
      <c r="Y130" s="116"/>
      <c r="Z130" s="116"/>
      <c r="AA130" s="116"/>
    </row>
    <row r="131" hidden="1">
      <c r="A131" s="117" t="s">
        <v>3004</v>
      </c>
      <c r="B131" s="117" t="str">
        <f t="array" ref="B131">XLOOKUP(C131,'Off-Boarding'!B:B,'Off-Boarding'!E:E)</f>
        <v>Suspend</v>
      </c>
      <c r="C131" s="117" t="s">
        <v>3005</v>
      </c>
      <c r="D131" s="410">
        <v>45916.23132572339</v>
      </c>
      <c r="E131" s="117" t="s">
        <v>7771</v>
      </c>
      <c r="F131" s="117" t="s">
        <v>5632</v>
      </c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</row>
    <row r="132" hidden="1">
      <c r="A132" s="117" t="s">
        <v>3136</v>
      </c>
      <c r="B132" s="117" t="str">
        <f t="array" ref="B132">XLOOKUP(C132,'Off-Boarding'!B:B,'Off-Boarding'!E:E)</f>
        <v>Suspend</v>
      </c>
      <c r="C132" s="117" t="s">
        <v>3137</v>
      </c>
      <c r="D132" s="410">
        <v>45916.287631270905</v>
      </c>
      <c r="E132" s="117" t="s">
        <v>7771</v>
      </c>
      <c r="F132" s="117" t="s">
        <v>5632</v>
      </c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6"/>
      <c r="V132" s="116"/>
      <c r="W132" s="116"/>
      <c r="X132" s="116"/>
      <c r="Y132" s="116"/>
      <c r="Z132" s="116"/>
      <c r="AA132" s="116"/>
    </row>
    <row r="133">
      <c r="A133" s="117" t="s">
        <v>4229</v>
      </c>
      <c r="B133" s="117" t="s">
        <v>7772</v>
      </c>
      <c r="C133" s="117" t="s">
        <v>1514</v>
      </c>
      <c r="D133" s="410">
        <v>45913.28675488141</v>
      </c>
      <c r="E133" s="117" t="s">
        <v>7771</v>
      </c>
      <c r="F133" s="117" t="s">
        <v>5632</v>
      </c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6"/>
      <c r="V133" s="116"/>
      <c r="W133" s="116"/>
      <c r="X133" s="116"/>
      <c r="Y133" s="116"/>
      <c r="Z133" s="116"/>
      <c r="AA133" s="116"/>
    </row>
    <row r="134">
      <c r="A134" s="117" t="s">
        <v>1515</v>
      </c>
      <c r="B134" s="117" t="s">
        <v>7772</v>
      </c>
      <c r="C134" s="117" t="s">
        <v>1516</v>
      </c>
      <c r="D134" s="410">
        <v>45894.52000487764</v>
      </c>
      <c r="E134" s="117" t="s">
        <v>7771</v>
      </c>
      <c r="F134" s="117" t="s">
        <v>5632</v>
      </c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6"/>
      <c r="V134" s="116"/>
      <c r="W134" s="116"/>
      <c r="X134" s="116"/>
      <c r="Y134" s="116"/>
      <c r="Z134" s="116"/>
      <c r="AA134" s="116"/>
    </row>
    <row r="135" hidden="1">
      <c r="A135" s="117" t="s">
        <v>2150</v>
      </c>
      <c r="B135" s="117" t="str">
        <f t="array" ref="B135">XLOOKUP(C135,'Off-Boarding'!B:B,'Off-Boarding'!E:E)</f>
        <v>Suspend</v>
      </c>
      <c r="C135" s="117" t="s">
        <v>2129</v>
      </c>
      <c r="D135" s="410">
        <v>45915.29231163742</v>
      </c>
      <c r="E135" s="117" t="s">
        <v>7771</v>
      </c>
      <c r="F135" s="117" t="s">
        <v>5632</v>
      </c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6"/>
      <c r="V135" s="116"/>
      <c r="W135" s="116"/>
      <c r="X135" s="116"/>
      <c r="Y135" s="116"/>
      <c r="Z135" s="116"/>
      <c r="AA135" s="116"/>
    </row>
    <row r="136">
      <c r="A136" s="117" t="s">
        <v>7820</v>
      </c>
      <c r="B136" s="117" t="s">
        <v>7772</v>
      </c>
      <c r="C136" s="117" t="s">
        <v>590</v>
      </c>
      <c r="D136" s="410">
        <v>45810.324474605426</v>
      </c>
      <c r="E136" s="117" t="s">
        <v>7771</v>
      </c>
      <c r="F136" s="117" t="s">
        <v>5632</v>
      </c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6"/>
      <c r="V136" s="116"/>
      <c r="W136" s="116"/>
      <c r="X136" s="116"/>
      <c r="Y136" s="116"/>
      <c r="Z136" s="116"/>
      <c r="AA136" s="116"/>
    </row>
    <row r="137">
      <c r="A137" s="117" t="s">
        <v>589</v>
      </c>
      <c r="B137" s="117" t="s">
        <v>7772</v>
      </c>
      <c r="C137" s="117" t="s">
        <v>1523</v>
      </c>
      <c r="D137" s="410">
        <v>45910.63248186501</v>
      </c>
      <c r="E137" s="117" t="s">
        <v>7771</v>
      </c>
      <c r="F137" s="117" t="s">
        <v>5632</v>
      </c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</row>
    <row r="138" hidden="1">
      <c r="A138" s="117" t="s">
        <v>1521</v>
      </c>
      <c r="B138" s="409" t="str">
        <f t="array" ref="B138">XLOOKUP(C138,'Off-Boarding'!B:B,'Off-Boarding'!E:E)</f>
        <v>Suspend</v>
      </c>
      <c r="C138" s="117" t="s">
        <v>1522</v>
      </c>
      <c r="D138" s="410">
        <v>45916.364764031576</v>
      </c>
      <c r="E138" s="117" t="s">
        <v>7771</v>
      </c>
      <c r="F138" s="117" t="s">
        <v>5632</v>
      </c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6"/>
      <c r="V138" s="116"/>
      <c r="W138" s="116"/>
      <c r="X138" s="116"/>
      <c r="Y138" s="116"/>
      <c r="Z138" s="116"/>
      <c r="AA138" s="116"/>
    </row>
    <row r="139" hidden="1">
      <c r="A139" s="117" t="s">
        <v>2325</v>
      </c>
      <c r="B139" s="409" t="str">
        <f t="array" ref="B139">XLOOKUP(C139,'Off-Boarding'!B:B,'Off-Boarding'!E:E)</f>
        <v>Suspend</v>
      </c>
      <c r="C139" s="117" t="s">
        <v>2326</v>
      </c>
      <c r="D139" s="410">
        <v>45916.286394562594</v>
      </c>
      <c r="E139" s="117" t="s">
        <v>7771</v>
      </c>
      <c r="F139" s="117" t="s">
        <v>5632</v>
      </c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</row>
    <row r="140" hidden="1">
      <c r="A140" s="117" t="s">
        <v>2950</v>
      </c>
      <c r="B140" s="409" t="str">
        <f t="array" ref="B140">XLOOKUP(C140,'Off-Boarding'!B:B,'Off-Boarding'!E:E)</f>
        <v>Suspend</v>
      </c>
      <c r="C140" s="117" t="s">
        <v>2951</v>
      </c>
      <c r="D140" s="410">
        <v>45916.22960485431</v>
      </c>
      <c r="E140" s="117" t="s">
        <v>7771</v>
      </c>
      <c r="F140" s="117" t="s">
        <v>5632</v>
      </c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6"/>
      <c r="V140" s="116"/>
      <c r="W140" s="116"/>
      <c r="X140" s="116"/>
      <c r="Y140" s="116"/>
      <c r="Z140" s="116"/>
      <c r="AA140" s="116"/>
    </row>
    <row r="141" hidden="1">
      <c r="A141" s="117" t="s">
        <v>1920</v>
      </c>
      <c r="B141" s="117" t="str">
        <f t="array" ref="B141">XLOOKUP(C141,'Off-Boarding'!B:B,'Off-Boarding'!E:E)</f>
        <v>#N/A</v>
      </c>
      <c r="C141" s="117" t="s">
        <v>1486</v>
      </c>
      <c r="D141" s="410">
        <v>45913.60566451072</v>
      </c>
      <c r="E141" s="117" t="s">
        <v>7771</v>
      </c>
      <c r="F141" s="117" t="s">
        <v>5632</v>
      </c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6"/>
      <c r="V141" s="116"/>
      <c r="W141" s="116"/>
      <c r="X141" s="116"/>
      <c r="Y141" s="116"/>
      <c r="Z141" s="116"/>
      <c r="AA141" s="116"/>
    </row>
    <row r="142" hidden="1">
      <c r="A142" s="117" t="s">
        <v>2748</v>
      </c>
      <c r="B142" s="117" t="str">
        <f t="array" ref="B142">XLOOKUP(C142,'Off-Boarding'!B:B,'Off-Boarding'!E:E)</f>
        <v>Suspend</v>
      </c>
      <c r="C142" s="117" t="s">
        <v>2749</v>
      </c>
      <c r="D142" s="410">
        <v>45910.778574324744</v>
      </c>
      <c r="E142" s="117" t="s">
        <v>7771</v>
      </c>
      <c r="F142" s="117" t="s">
        <v>5632</v>
      </c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6"/>
      <c r="V142" s="116"/>
      <c r="W142" s="116"/>
      <c r="X142" s="116"/>
      <c r="Y142" s="116"/>
      <c r="Z142" s="116"/>
      <c r="AA142" s="116"/>
    </row>
    <row r="143" hidden="1">
      <c r="A143" s="117" t="s">
        <v>7821</v>
      </c>
      <c r="B143" s="117" t="str">
        <f t="array" ref="B143">XLOOKUP(C143,'Off-Boarding'!B:B,'Off-Boarding'!E:E)</f>
        <v>Suspend</v>
      </c>
      <c r="C143" s="117" t="s">
        <v>3107</v>
      </c>
      <c r="D143" s="410">
        <v>45916.185173649894</v>
      </c>
      <c r="E143" s="117" t="s">
        <v>7771</v>
      </c>
      <c r="F143" s="117" t="s">
        <v>5632</v>
      </c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6"/>
      <c r="V143" s="116"/>
      <c r="W143" s="116"/>
      <c r="X143" s="116"/>
      <c r="Y143" s="116"/>
      <c r="Z143" s="116"/>
      <c r="AA143" s="116"/>
    </row>
    <row r="144">
      <c r="A144" s="117" t="s">
        <v>1535</v>
      </c>
      <c r="B144" s="117" t="s">
        <v>7772</v>
      </c>
      <c r="C144" s="117" t="s">
        <v>1536</v>
      </c>
      <c r="D144" s="410">
        <v>45889.271316546045</v>
      </c>
      <c r="E144" s="117" t="s">
        <v>7771</v>
      </c>
      <c r="F144" s="117" t="s">
        <v>5632</v>
      </c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6"/>
      <c r="V144" s="116"/>
      <c r="W144" s="116"/>
      <c r="X144" s="116"/>
      <c r="Y144" s="116"/>
      <c r="Z144" s="116"/>
      <c r="AA144" s="116"/>
    </row>
    <row r="145" hidden="1">
      <c r="A145" s="117" t="s">
        <v>2555</v>
      </c>
      <c r="B145" s="117" t="str">
        <f t="array" ref="B145">XLOOKUP(C145,'Off-Boarding'!B:B,'Off-Boarding'!E:E)</f>
        <v>Suspend</v>
      </c>
      <c r="C145" s="117" t="s">
        <v>2556</v>
      </c>
      <c r="D145" s="410">
        <v>45915.347064317255</v>
      </c>
      <c r="E145" s="117" t="s">
        <v>7771</v>
      </c>
      <c r="F145" s="117" t="s">
        <v>5632</v>
      </c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6"/>
      <c r="V145" s="116"/>
      <c r="W145" s="116"/>
      <c r="X145" s="116"/>
      <c r="Y145" s="116"/>
      <c r="Z145" s="116"/>
      <c r="AA145" s="116"/>
    </row>
    <row r="146" hidden="1">
      <c r="A146" s="117" t="s">
        <v>1880</v>
      </c>
      <c r="B146" s="117" t="str">
        <f t="array" ref="B146">XLOOKUP(C146,'Off-Boarding'!B:B,'Off-Boarding'!E:E)</f>
        <v>Suspend</v>
      </c>
      <c r="C146" s="117" t="s">
        <v>1147</v>
      </c>
      <c r="D146" s="410">
        <v>45916.27263006457</v>
      </c>
      <c r="E146" s="117" t="s">
        <v>7771</v>
      </c>
      <c r="F146" s="117" t="s">
        <v>5632</v>
      </c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6"/>
      <c r="V146" s="116"/>
      <c r="W146" s="116"/>
      <c r="X146" s="116"/>
      <c r="Y146" s="116"/>
      <c r="Z146" s="116"/>
      <c r="AA146" s="116"/>
    </row>
    <row r="147">
      <c r="A147" s="117" t="s">
        <v>1538</v>
      </c>
      <c r="B147" s="117" t="s">
        <v>7772</v>
      </c>
      <c r="C147" s="117" t="s">
        <v>1539</v>
      </c>
      <c r="D147" s="410">
        <v>45911.401716495726</v>
      </c>
      <c r="E147" s="117" t="s">
        <v>7771</v>
      </c>
      <c r="F147" s="117" t="s">
        <v>5632</v>
      </c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6"/>
      <c r="V147" s="116"/>
      <c r="W147" s="116"/>
      <c r="X147" s="116"/>
      <c r="Y147" s="116"/>
      <c r="Z147" s="116"/>
      <c r="AA147" s="116"/>
    </row>
    <row r="148" hidden="1">
      <c r="A148" s="117" t="s">
        <v>613</v>
      </c>
      <c r="B148" s="117" t="str">
        <f t="array" ref="B148">XLOOKUP(C148,'Off-Boarding'!B:B,'Off-Boarding'!E:E)</f>
        <v>#N/A</v>
      </c>
      <c r="C148" s="117" t="s">
        <v>614</v>
      </c>
      <c r="D148" s="410">
        <v>45512.26613896567</v>
      </c>
      <c r="E148" s="117" t="s">
        <v>7771</v>
      </c>
      <c r="F148" s="117" t="s">
        <v>5632</v>
      </c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6"/>
      <c r="V148" s="116"/>
      <c r="W148" s="116"/>
      <c r="X148" s="116"/>
      <c r="Y148" s="116"/>
      <c r="Z148" s="116"/>
      <c r="AA148" s="116"/>
    </row>
    <row r="149" hidden="1">
      <c r="A149" s="117" t="s">
        <v>2165</v>
      </c>
      <c r="B149" s="117" t="str">
        <f t="array" ref="B149">XLOOKUP(C149,'Off-Boarding'!B:B,'Off-Boarding'!E:E)</f>
        <v>Suspend</v>
      </c>
      <c r="C149" s="117" t="s">
        <v>2166</v>
      </c>
      <c r="D149" s="410">
        <v>45915.54051164794</v>
      </c>
      <c r="E149" s="117" t="s">
        <v>7771</v>
      </c>
      <c r="F149" s="117" t="s">
        <v>5632</v>
      </c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</row>
    <row r="150" hidden="1">
      <c r="A150" s="117" t="s">
        <v>5014</v>
      </c>
      <c r="B150" s="117" t="str">
        <f t="array" ref="B150">XLOOKUP(C150,'Off-Boarding'!B:B,'Off-Boarding'!E:E)</f>
        <v>Suspend</v>
      </c>
      <c r="C150" s="117" t="s">
        <v>2649</v>
      </c>
      <c r="D150" s="410">
        <v>45916.29654360398</v>
      </c>
      <c r="E150" s="117" t="s">
        <v>7771</v>
      </c>
      <c r="F150" s="117" t="s">
        <v>5632</v>
      </c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6"/>
      <c r="V150" s="116"/>
      <c r="W150" s="116"/>
      <c r="X150" s="116"/>
      <c r="Y150" s="116"/>
      <c r="Z150" s="116"/>
      <c r="AA150" s="116"/>
    </row>
    <row r="151">
      <c r="A151" s="117" t="s">
        <v>1554</v>
      </c>
      <c r="B151" s="117" t="s">
        <v>7772</v>
      </c>
      <c r="C151" s="117" t="s">
        <v>1555</v>
      </c>
      <c r="D151" s="410">
        <v>45890.47515900431</v>
      </c>
      <c r="E151" s="117" t="s">
        <v>7771</v>
      </c>
      <c r="F151" s="117" t="s">
        <v>5632</v>
      </c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6"/>
      <c r="V151" s="116"/>
      <c r="W151" s="116"/>
      <c r="X151" s="116"/>
      <c r="Y151" s="116"/>
      <c r="Z151" s="116"/>
      <c r="AA151" s="116"/>
    </row>
    <row r="152" hidden="1">
      <c r="A152" s="117" t="s">
        <v>631</v>
      </c>
      <c r="B152" s="117" t="str">
        <f t="array" ref="B152">XLOOKUP(C152,'Off-Boarding'!B:B,'Off-Boarding'!E:E)</f>
        <v>Suspend</v>
      </c>
      <c r="C152" s="117" t="s">
        <v>2369</v>
      </c>
      <c r="D152" s="410">
        <v>45905.71345778829</v>
      </c>
      <c r="E152" s="117" t="s">
        <v>7771</v>
      </c>
      <c r="F152" s="117" t="s">
        <v>5632</v>
      </c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6"/>
      <c r="V152" s="116"/>
      <c r="W152" s="116"/>
      <c r="X152" s="116"/>
      <c r="Y152" s="116"/>
      <c r="Z152" s="116"/>
      <c r="AA152" s="116"/>
    </row>
    <row r="153" hidden="1">
      <c r="A153" s="117" t="s">
        <v>2693</v>
      </c>
      <c r="B153" s="117" t="str">
        <f t="array" ref="B153">XLOOKUP(C153,'Off-Boarding'!B:B,'Off-Boarding'!E:E)</f>
        <v>Suspend</v>
      </c>
      <c r="C153" s="117" t="s">
        <v>2694</v>
      </c>
      <c r="D153" s="410">
        <v>45915.88164654955</v>
      </c>
      <c r="E153" s="117" t="s">
        <v>7771</v>
      </c>
      <c r="F153" s="117" t="s">
        <v>5632</v>
      </c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</row>
    <row r="154">
      <c r="A154" s="117" t="s">
        <v>649</v>
      </c>
      <c r="B154" s="117" t="s">
        <v>7772</v>
      </c>
      <c r="C154" s="117" t="s">
        <v>650</v>
      </c>
      <c r="D154" s="410">
        <v>45741.31526145748</v>
      </c>
      <c r="E154" s="117" t="s">
        <v>7771</v>
      </c>
      <c r="F154" s="117" t="s">
        <v>5632</v>
      </c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6"/>
      <c r="V154" s="116"/>
      <c r="W154" s="116"/>
      <c r="X154" s="116"/>
      <c r="Y154" s="116"/>
      <c r="Z154" s="116"/>
      <c r="AA154" s="116"/>
    </row>
    <row r="155" hidden="1">
      <c r="A155" s="117" t="s">
        <v>657</v>
      </c>
      <c r="B155" s="117" t="str">
        <f t="array" ref="B155">XLOOKUP(C155,'Off-Boarding'!B:B,'Off-Boarding'!E:E)</f>
        <v>#N/A</v>
      </c>
      <c r="C155" s="117" t="s">
        <v>658</v>
      </c>
      <c r="D155" s="410">
        <v>44633.33367085437</v>
      </c>
      <c r="E155" s="117" t="s">
        <v>7771</v>
      </c>
      <c r="F155" s="117" t="s">
        <v>5632</v>
      </c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6"/>
      <c r="V155" s="116"/>
      <c r="W155" s="116"/>
      <c r="X155" s="116"/>
      <c r="Y155" s="116"/>
      <c r="Z155" s="116"/>
      <c r="AA155" s="116"/>
    </row>
    <row r="156">
      <c r="A156" s="117" t="s">
        <v>659</v>
      </c>
      <c r="B156" s="117" t="s">
        <v>7772</v>
      </c>
      <c r="C156" s="117" t="s">
        <v>660</v>
      </c>
      <c r="D156" s="410">
        <v>45820.60779002671</v>
      </c>
      <c r="E156" s="117" t="s">
        <v>7771</v>
      </c>
      <c r="F156" s="117" t="s">
        <v>5632</v>
      </c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6"/>
      <c r="V156" s="116"/>
      <c r="W156" s="116"/>
      <c r="X156" s="116"/>
      <c r="Y156" s="116"/>
      <c r="Z156" s="116"/>
      <c r="AA156" s="116"/>
    </row>
    <row r="157">
      <c r="A157" s="117" t="s">
        <v>1576</v>
      </c>
      <c r="B157" s="117" t="s">
        <v>7772</v>
      </c>
      <c r="C157" s="117" t="s">
        <v>1577</v>
      </c>
      <c r="D157" s="410">
        <v>45887.46738756658</v>
      </c>
      <c r="E157" s="117" t="s">
        <v>7771</v>
      </c>
      <c r="F157" s="117" t="s">
        <v>5632</v>
      </c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6"/>
      <c r="V157" s="116"/>
      <c r="W157" s="116"/>
      <c r="X157" s="116"/>
      <c r="Y157" s="116"/>
      <c r="Z157" s="116"/>
      <c r="AA157" s="116"/>
    </row>
    <row r="158" hidden="1">
      <c r="A158" s="117" t="s">
        <v>2043</v>
      </c>
      <c r="B158" s="117" t="str">
        <f t="array" ref="B158">XLOOKUP(C158,'Off-Boarding'!B:B,'Off-Boarding'!E:E)</f>
        <v>Suspend</v>
      </c>
      <c r="C158" s="117" t="s">
        <v>2044</v>
      </c>
      <c r="D158" s="410">
        <v>45916.345591952515</v>
      </c>
      <c r="E158" s="117" t="s">
        <v>7771</v>
      </c>
      <c r="F158" s="117" t="s">
        <v>5632</v>
      </c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6"/>
      <c r="V158" s="116"/>
      <c r="W158" s="116"/>
      <c r="X158" s="116"/>
      <c r="Y158" s="116"/>
      <c r="Z158" s="116"/>
      <c r="AA158" s="116"/>
    </row>
    <row r="159" hidden="1">
      <c r="A159" s="117" t="s">
        <v>1940</v>
      </c>
      <c r="B159" s="117" t="str">
        <f t="array" ref="B159">XLOOKUP(C159,'Off-Boarding'!B:B,'Off-Boarding'!E:E)</f>
        <v>Suspend</v>
      </c>
      <c r="C159" s="117" t="s">
        <v>1941</v>
      </c>
      <c r="D159" s="410">
        <v>45915.34791088496</v>
      </c>
      <c r="E159" s="117" t="s">
        <v>7771</v>
      </c>
      <c r="F159" s="117" t="s">
        <v>5632</v>
      </c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</row>
    <row r="160" hidden="1">
      <c r="A160" s="117" t="s">
        <v>1584</v>
      </c>
      <c r="B160" s="117" t="str">
        <f t="array" ref="B160">XLOOKUP(C160,'Off-Boarding'!B:B,'Off-Boarding'!E:E)</f>
        <v>#N/A</v>
      </c>
      <c r="C160" s="117" t="s">
        <v>1029</v>
      </c>
      <c r="D160" s="410">
        <v>45915.94535915074</v>
      </c>
      <c r="E160" s="117" t="s">
        <v>7771</v>
      </c>
      <c r="F160" s="117" t="s">
        <v>5632</v>
      </c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6"/>
      <c r="V160" s="116"/>
      <c r="W160" s="116"/>
      <c r="X160" s="116"/>
      <c r="Y160" s="116"/>
      <c r="Z160" s="116"/>
      <c r="AA160" s="116"/>
    </row>
    <row r="161" hidden="1">
      <c r="A161" s="117" t="s">
        <v>7795</v>
      </c>
      <c r="B161" s="409" t="str">
        <f t="array" ref="B161">XLOOKUP(C161,'Off-Boarding'!B:B,'Off-Boarding'!E:E)</f>
        <v>Suspend</v>
      </c>
      <c r="C161" s="117" t="s">
        <v>1582</v>
      </c>
      <c r="D161" s="410">
        <v>45916.28120519832</v>
      </c>
      <c r="E161" s="117" t="s">
        <v>7771</v>
      </c>
      <c r="F161" s="117" t="s">
        <v>5632</v>
      </c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6"/>
      <c r="V161" s="116"/>
      <c r="W161" s="116"/>
      <c r="X161" s="116"/>
      <c r="Y161" s="116"/>
      <c r="Z161" s="116"/>
      <c r="AA161" s="116"/>
    </row>
    <row r="162" hidden="1">
      <c r="A162" s="117" t="s">
        <v>1578</v>
      </c>
      <c r="B162" s="117" t="str">
        <f t="array" ref="B162">XLOOKUP(C162,'Off-Boarding'!B:B,'Off-Boarding'!E:E)</f>
        <v>Suspend</v>
      </c>
      <c r="C162" s="117" t="s">
        <v>3104</v>
      </c>
      <c r="D162" s="410">
        <v>45916.26468115692</v>
      </c>
      <c r="E162" s="117" t="s">
        <v>7771</v>
      </c>
      <c r="F162" s="117" t="s">
        <v>5632</v>
      </c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</row>
    <row r="163">
      <c r="A163" s="117" t="s">
        <v>1578</v>
      </c>
      <c r="B163" s="117" t="s">
        <v>7772</v>
      </c>
      <c r="C163" s="117" t="s">
        <v>1579</v>
      </c>
      <c r="D163" s="410">
        <v>45865.70025996478</v>
      </c>
      <c r="E163" s="117" t="s">
        <v>7771</v>
      </c>
      <c r="F163" s="117" t="s">
        <v>5632</v>
      </c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6"/>
      <c r="V163" s="116"/>
      <c r="W163" s="116"/>
      <c r="X163" s="116"/>
      <c r="Y163" s="116"/>
      <c r="Z163" s="116"/>
      <c r="AA163" s="116"/>
    </row>
    <row r="164">
      <c r="A164" s="117" t="s">
        <v>1599</v>
      </c>
      <c r="B164" s="117" t="s">
        <v>7772</v>
      </c>
      <c r="C164" s="117" t="s">
        <v>1600</v>
      </c>
      <c r="D164" s="410">
        <v>45897.57973060434</v>
      </c>
      <c r="E164" s="117" t="s">
        <v>7771</v>
      </c>
      <c r="F164" s="117" t="s">
        <v>5632</v>
      </c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</row>
    <row r="165" hidden="1">
      <c r="A165" s="117" t="s">
        <v>7822</v>
      </c>
      <c r="B165" s="117" t="str">
        <f t="array" ref="B165">XLOOKUP(C165,'Off-Boarding'!B:B,'Off-Boarding'!E:E)</f>
        <v>Suspend</v>
      </c>
      <c r="C165" s="117" t="s">
        <v>2747</v>
      </c>
      <c r="D165" s="410">
        <v>45916.26013950283</v>
      </c>
      <c r="E165" s="117" t="s">
        <v>7771</v>
      </c>
      <c r="F165" s="117" t="s">
        <v>5632</v>
      </c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</row>
    <row r="166">
      <c r="A166" s="117" t="s">
        <v>1601</v>
      </c>
      <c r="B166" s="117" t="s">
        <v>7772</v>
      </c>
      <c r="C166" s="117" t="s">
        <v>1602</v>
      </c>
      <c r="D166" s="410">
        <v>45905.48840924641</v>
      </c>
      <c r="E166" s="117" t="s">
        <v>7771</v>
      </c>
      <c r="F166" s="117" t="s">
        <v>5632</v>
      </c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6"/>
      <c r="V166" s="116"/>
      <c r="W166" s="116"/>
      <c r="X166" s="116"/>
      <c r="Y166" s="116"/>
      <c r="Z166" s="116"/>
      <c r="AA166" s="116"/>
    </row>
    <row r="167" hidden="1">
      <c r="A167" s="117" t="s">
        <v>1903</v>
      </c>
      <c r="B167" s="117" t="str">
        <f t="array" ref="B167">XLOOKUP(C167,'Off-Boarding'!B:B,'Off-Boarding'!E:E)</f>
        <v>#N/A</v>
      </c>
      <c r="C167" s="117" t="s">
        <v>1885</v>
      </c>
      <c r="D167" s="410">
        <v>45915.59305399208</v>
      </c>
      <c r="E167" s="117" t="s">
        <v>7771</v>
      </c>
      <c r="F167" s="117" t="s">
        <v>5632</v>
      </c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6"/>
      <c r="V167" s="116"/>
      <c r="W167" s="116"/>
      <c r="X167" s="116"/>
      <c r="Y167" s="116"/>
      <c r="Z167" s="116"/>
      <c r="AA167" s="116"/>
    </row>
    <row r="168" hidden="1">
      <c r="A168" s="117" t="s">
        <v>2763</v>
      </c>
      <c r="B168" s="409" t="str">
        <f t="array" ref="B168">XLOOKUP(C168,'Off-Boarding'!B:B,'Off-Boarding'!E:E)</f>
        <v>Suspend</v>
      </c>
      <c r="C168" s="117" t="s">
        <v>2764</v>
      </c>
      <c r="D168" s="410">
        <v>45915.235488485116</v>
      </c>
      <c r="E168" s="117" t="s">
        <v>7771</v>
      </c>
      <c r="F168" s="117" t="s">
        <v>5632</v>
      </c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116"/>
      <c r="X168" s="116"/>
      <c r="Y168" s="116"/>
      <c r="Z168" s="116"/>
      <c r="AA168" s="116"/>
    </row>
    <row r="169" hidden="1">
      <c r="A169" s="117" t="s">
        <v>2294</v>
      </c>
      <c r="B169" s="409" t="str">
        <f t="array" ref="B169">XLOOKUP(C169,'Off-Boarding'!B:B,'Off-Boarding'!E:E)</f>
        <v>Suspend</v>
      </c>
      <c r="C169" s="117" t="s">
        <v>2295</v>
      </c>
      <c r="D169" s="410">
        <v>45915.50241164419</v>
      </c>
      <c r="E169" s="117" t="s">
        <v>7771</v>
      </c>
      <c r="F169" s="117" t="s">
        <v>5632</v>
      </c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6"/>
      <c r="V169" s="116"/>
      <c r="W169" s="116"/>
      <c r="X169" s="116"/>
      <c r="Y169" s="116"/>
      <c r="Z169" s="116"/>
      <c r="AA169" s="116"/>
    </row>
    <row r="170" hidden="1">
      <c r="A170" s="117" t="s">
        <v>2430</v>
      </c>
      <c r="B170" s="117" t="str">
        <f t="array" ref="B170">XLOOKUP(C170,'Off-Boarding'!B:B,'Off-Boarding'!E:E)</f>
        <v>Suspend</v>
      </c>
      <c r="C170" s="117" t="s">
        <v>2431</v>
      </c>
      <c r="D170" s="410">
        <v>45916.31485671059</v>
      </c>
      <c r="E170" s="117" t="s">
        <v>7771</v>
      </c>
      <c r="F170" s="117" t="s">
        <v>5632</v>
      </c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6"/>
      <c r="V170" s="116"/>
      <c r="W170" s="116"/>
      <c r="X170" s="116"/>
      <c r="Y170" s="116"/>
      <c r="Z170" s="116"/>
      <c r="AA170" s="116"/>
    </row>
    <row r="171" hidden="1">
      <c r="A171" s="117" t="s">
        <v>2856</v>
      </c>
      <c r="B171" s="117" t="str">
        <f t="array" ref="B171">XLOOKUP(C171,'Off-Boarding'!B:B,'Off-Boarding'!E:E)</f>
        <v>#N/A</v>
      </c>
      <c r="C171" s="117" t="s">
        <v>2857</v>
      </c>
      <c r="D171" s="410">
        <v>45915.686173546135</v>
      </c>
      <c r="E171" s="117" t="s">
        <v>7771</v>
      </c>
      <c r="F171" s="117" t="s">
        <v>5632</v>
      </c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6"/>
      <c r="V171" s="116"/>
      <c r="W171" s="116"/>
      <c r="X171" s="116"/>
      <c r="Y171" s="116"/>
      <c r="Z171" s="116"/>
      <c r="AA171" s="116"/>
    </row>
    <row r="172" hidden="1">
      <c r="A172" s="117" t="s">
        <v>7796</v>
      </c>
      <c r="B172" s="117" t="str">
        <f t="array" ref="B172">XLOOKUP(C172,'Off-Boarding'!B:B,'Off-Boarding'!E:E)</f>
        <v>Suspend</v>
      </c>
      <c r="C172" s="117" t="s">
        <v>2070</v>
      </c>
      <c r="D172" s="410">
        <v>45915.492933913105</v>
      </c>
      <c r="E172" s="117" t="s">
        <v>7771</v>
      </c>
      <c r="F172" s="117" t="s">
        <v>5632</v>
      </c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6"/>
      <c r="V172" s="116"/>
      <c r="W172" s="116"/>
      <c r="X172" s="116"/>
      <c r="Y172" s="116"/>
      <c r="Z172" s="116"/>
      <c r="AA172" s="116"/>
    </row>
    <row r="173">
      <c r="A173" s="117" t="s">
        <v>711</v>
      </c>
      <c r="B173" s="117" t="s">
        <v>7772</v>
      </c>
      <c r="C173" s="117" t="s">
        <v>712</v>
      </c>
      <c r="D173" s="410">
        <v>45744.361488072995</v>
      </c>
      <c r="E173" s="117" t="s">
        <v>7771</v>
      </c>
      <c r="F173" s="117" t="s">
        <v>5632</v>
      </c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6"/>
      <c r="V173" s="116"/>
      <c r="W173" s="116"/>
      <c r="X173" s="116"/>
      <c r="Y173" s="116"/>
      <c r="Z173" s="116"/>
      <c r="AA173" s="116"/>
    </row>
    <row r="174" hidden="1">
      <c r="A174" s="117" t="s">
        <v>7662</v>
      </c>
      <c r="B174" s="117" t="str">
        <f t="array" ref="B174">XLOOKUP(C174,'Off-Boarding'!B:B,'Off-Boarding'!E:E)</f>
        <v>#N/A</v>
      </c>
      <c r="C174" s="117" t="s">
        <v>2035</v>
      </c>
      <c r="D174" s="410">
        <v>45915.6681501199</v>
      </c>
      <c r="E174" s="117" t="s">
        <v>7771</v>
      </c>
      <c r="F174" s="117" t="s">
        <v>5632</v>
      </c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6"/>
      <c r="V174" s="116"/>
      <c r="W174" s="116"/>
      <c r="X174" s="116"/>
      <c r="Y174" s="116"/>
      <c r="Z174" s="116"/>
      <c r="AA174" s="116"/>
    </row>
    <row r="175" hidden="1">
      <c r="A175" s="117" t="s">
        <v>5532</v>
      </c>
      <c r="B175" s="117" t="str">
        <f t="array" ref="B175">XLOOKUP(C175,'Off-Boarding'!B:B,'Off-Boarding'!E:E)</f>
        <v>30-01-2026</v>
      </c>
      <c r="C175" s="117" t="s">
        <v>2853</v>
      </c>
      <c r="D175" s="410">
        <v>45915.765434748</v>
      </c>
      <c r="E175" s="117" t="s">
        <v>7771</v>
      </c>
      <c r="F175" s="117" t="s">
        <v>5632</v>
      </c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6"/>
      <c r="V175" s="116"/>
      <c r="W175" s="116"/>
      <c r="X175" s="116"/>
      <c r="Y175" s="116"/>
      <c r="Z175" s="116"/>
      <c r="AA175" s="116"/>
    </row>
    <row r="176" hidden="1">
      <c r="A176" s="117" t="s">
        <v>2010</v>
      </c>
      <c r="B176" s="117" t="str">
        <f t="array" ref="B176">XLOOKUP(C176,'Off-Boarding'!B:B,'Off-Boarding'!E:E)</f>
        <v>#N/A</v>
      </c>
      <c r="C176" s="117" t="s">
        <v>1264</v>
      </c>
      <c r="D176" s="410">
        <v>45916.300366625976</v>
      </c>
      <c r="E176" s="117" t="s">
        <v>7771</v>
      </c>
      <c r="F176" s="117" t="s">
        <v>5632</v>
      </c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6"/>
      <c r="V176" s="116"/>
      <c r="W176" s="116"/>
      <c r="X176" s="116"/>
      <c r="Y176" s="116"/>
      <c r="Z176" s="116"/>
      <c r="AA176" s="116"/>
    </row>
    <row r="177" hidden="1">
      <c r="A177" s="117" t="s">
        <v>2616</v>
      </c>
      <c r="B177" s="117" t="str">
        <f t="array" ref="B177">XLOOKUP(C177,'Off-Boarding'!B:B,'Off-Boarding'!E:E)</f>
        <v>Suspend</v>
      </c>
      <c r="C177" s="117" t="s">
        <v>2617</v>
      </c>
      <c r="D177" s="410">
        <v>45916.28528967169</v>
      </c>
      <c r="E177" s="117" t="s">
        <v>7771</v>
      </c>
      <c r="F177" s="117" t="s">
        <v>5632</v>
      </c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6"/>
      <c r="V177" s="116"/>
      <c r="W177" s="116"/>
      <c r="X177" s="116"/>
      <c r="Y177" s="116"/>
      <c r="Z177" s="116"/>
      <c r="AA177" s="116"/>
    </row>
    <row r="178" hidden="1">
      <c r="A178" s="117" t="s">
        <v>731</v>
      </c>
      <c r="B178" s="117" t="str">
        <f t="array" ref="B178">XLOOKUP(C178,'Off-Boarding'!B:B,'Off-Boarding'!E:E)</f>
        <v>#N/A</v>
      </c>
      <c r="C178" s="117" t="s">
        <v>732</v>
      </c>
      <c r="D178" s="410">
        <v>45261.28478547855</v>
      </c>
      <c r="E178" s="117" t="s">
        <v>7771</v>
      </c>
      <c r="F178" s="117" t="s">
        <v>5632</v>
      </c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6"/>
      <c r="V178" s="116"/>
      <c r="W178" s="116"/>
      <c r="X178" s="116"/>
      <c r="Y178" s="116"/>
      <c r="Z178" s="116"/>
      <c r="AA178" s="116"/>
    </row>
    <row r="179" hidden="1">
      <c r="A179" s="117" t="s">
        <v>2079</v>
      </c>
      <c r="B179" s="409" t="str">
        <f t="array" ref="B179">XLOOKUP(C179,'Off-Boarding'!B:B,'Off-Boarding'!E:E)</f>
        <v>Suspend</v>
      </c>
      <c r="C179" s="117" t="s">
        <v>1048</v>
      </c>
      <c r="D179" s="410">
        <v>45916.06669220535</v>
      </c>
      <c r="E179" s="117" t="s">
        <v>7771</v>
      </c>
      <c r="F179" s="117" t="s">
        <v>5632</v>
      </c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6"/>
      <c r="V179" s="116"/>
      <c r="W179" s="116"/>
      <c r="X179" s="116"/>
      <c r="Y179" s="116"/>
      <c r="Z179" s="116"/>
      <c r="AA179" s="116"/>
    </row>
    <row r="180">
      <c r="A180" s="117" t="s">
        <v>1655</v>
      </c>
      <c r="B180" s="117" t="s">
        <v>7772</v>
      </c>
      <c r="C180" s="117" t="s">
        <v>1656</v>
      </c>
      <c r="D180" s="410">
        <v>45888.2438386903</v>
      </c>
      <c r="E180" s="117" t="s">
        <v>7771</v>
      </c>
      <c r="F180" s="117" t="s">
        <v>5632</v>
      </c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6"/>
      <c r="V180" s="116"/>
      <c r="W180" s="116"/>
      <c r="X180" s="116"/>
      <c r="Y180" s="116"/>
      <c r="Z180" s="116"/>
      <c r="AA180" s="116"/>
    </row>
    <row r="181" hidden="1">
      <c r="A181" s="117" t="s">
        <v>2113</v>
      </c>
      <c r="B181" s="409" t="str">
        <f t="array" ref="B181">XLOOKUP(C181,'Off-Boarding'!B:B,'Off-Boarding'!E:E)</f>
        <v>Suspend</v>
      </c>
      <c r="C181" s="117" t="s">
        <v>2114</v>
      </c>
      <c r="D181" s="410">
        <v>45912.38811764583</v>
      </c>
      <c r="E181" s="117" t="s">
        <v>7771</v>
      </c>
      <c r="F181" s="117" t="s">
        <v>5632</v>
      </c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6"/>
      <c r="V181" s="116"/>
      <c r="W181" s="116"/>
      <c r="X181" s="116"/>
      <c r="Y181" s="116"/>
      <c r="Z181" s="116"/>
      <c r="AA181" s="116"/>
    </row>
    <row r="182">
      <c r="A182" s="117" t="s">
        <v>755</v>
      </c>
      <c r="B182" s="117" t="s">
        <v>7772</v>
      </c>
      <c r="C182" s="117" t="s">
        <v>756</v>
      </c>
      <c r="D182" s="410">
        <v>45701.4574039075</v>
      </c>
      <c r="E182" s="117" t="s">
        <v>7771</v>
      </c>
      <c r="F182" s="117" t="s">
        <v>5632</v>
      </c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6"/>
      <c r="V182" s="116"/>
      <c r="W182" s="116"/>
      <c r="X182" s="116"/>
      <c r="Y182" s="116"/>
      <c r="Z182" s="116"/>
      <c r="AA182" s="116"/>
    </row>
    <row r="183" hidden="1">
      <c r="A183" s="117" t="s">
        <v>3067</v>
      </c>
      <c r="B183" s="409" t="str">
        <f t="array" ref="B183">XLOOKUP(C183,'Off-Boarding'!B:B,'Off-Boarding'!E:E)</f>
        <v>Suspend</v>
      </c>
      <c r="C183" s="117" t="s">
        <v>3068</v>
      </c>
      <c r="D183" s="410">
        <v>45912.32004433067</v>
      </c>
      <c r="E183" s="117" t="s">
        <v>7771</v>
      </c>
      <c r="F183" s="117" t="s">
        <v>5632</v>
      </c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6"/>
      <c r="V183" s="116"/>
      <c r="W183" s="116"/>
      <c r="X183" s="116"/>
      <c r="Y183" s="116"/>
      <c r="Z183" s="116"/>
      <c r="AA183" s="116"/>
    </row>
    <row r="184" hidden="1">
      <c r="A184" s="117" t="s">
        <v>2972</v>
      </c>
      <c r="B184" s="117" t="str">
        <f t="array" ref="B184">XLOOKUP(C184,'Off-Boarding'!B:B,'Off-Boarding'!E:E)</f>
        <v>Suspend</v>
      </c>
      <c r="C184" s="117" t="s">
        <v>2973</v>
      </c>
      <c r="D184" s="410">
        <v>45915.19532147851</v>
      </c>
      <c r="E184" s="117" t="s">
        <v>7771</v>
      </c>
      <c r="F184" s="117" t="s">
        <v>5632</v>
      </c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6"/>
      <c r="V184" s="116"/>
      <c r="W184" s="116"/>
      <c r="X184" s="116"/>
      <c r="Y184" s="116"/>
      <c r="Z184" s="116"/>
      <c r="AA184" s="116"/>
    </row>
    <row r="185" hidden="1">
      <c r="A185" s="117" t="s">
        <v>763</v>
      </c>
      <c r="B185" s="117" t="str">
        <f t="array" ref="B185">XLOOKUP(C185,'Off-Boarding'!B:B,'Off-Boarding'!E:E)</f>
        <v>#N/A</v>
      </c>
      <c r="C185" s="117" t="s">
        <v>764</v>
      </c>
      <c r="D185" s="410">
        <v>45379.25690523496</v>
      </c>
      <c r="E185" s="117" t="s">
        <v>7771</v>
      </c>
      <c r="F185" s="117" t="s">
        <v>5632</v>
      </c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X185" s="116"/>
      <c r="Y185" s="116"/>
      <c r="Z185" s="116"/>
      <c r="AA185" s="116"/>
    </row>
    <row r="186" hidden="1">
      <c r="A186" s="117" t="s">
        <v>2257</v>
      </c>
      <c r="B186" s="117" t="str">
        <f t="array" ref="B186">XLOOKUP(C186,'Off-Boarding'!B:B,'Off-Boarding'!E:E)</f>
        <v>Suspend</v>
      </c>
      <c r="C186" s="117" t="s">
        <v>2258</v>
      </c>
      <c r="D186" s="410">
        <v>45908.36488026366</v>
      </c>
      <c r="E186" s="117" t="s">
        <v>7771</v>
      </c>
      <c r="F186" s="117" t="s">
        <v>5632</v>
      </c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6"/>
      <c r="V186" s="116"/>
      <c r="W186" s="116"/>
      <c r="X186" s="116"/>
      <c r="Y186" s="116"/>
      <c r="Z186" s="116"/>
      <c r="AA186" s="116"/>
    </row>
    <row r="187" hidden="1">
      <c r="A187" s="117" t="s">
        <v>7797</v>
      </c>
      <c r="B187" s="409" t="str">
        <f t="array" ref="B187">XLOOKUP(C187,'Off-Boarding'!B:B,'Off-Boarding'!E:E)</f>
        <v>Suspend</v>
      </c>
      <c r="C187" s="117" t="s">
        <v>1297</v>
      </c>
      <c r="D187" s="410">
        <v>45915.49609214593</v>
      </c>
      <c r="E187" s="117" t="s">
        <v>7771</v>
      </c>
      <c r="F187" s="117" t="s">
        <v>5632</v>
      </c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6"/>
      <c r="V187" s="116"/>
      <c r="W187" s="116"/>
      <c r="X187" s="116"/>
      <c r="Y187" s="116"/>
      <c r="Z187" s="116"/>
      <c r="AA187" s="116"/>
    </row>
    <row r="188">
      <c r="A188" s="117" t="s">
        <v>7798</v>
      </c>
      <c r="B188" s="117" t="s">
        <v>7772</v>
      </c>
      <c r="C188" s="117" t="s">
        <v>2907</v>
      </c>
      <c r="D188" s="410">
        <v>45889.329608194756</v>
      </c>
      <c r="E188" s="117" t="s">
        <v>7771</v>
      </c>
      <c r="F188" s="117" t="s">
        <v>5632</v>
      </c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6"/>
      <c r="V188" s="116"/>
      <c r="W188" s="116"/>
      <c r="X188" s="116"/>
      <c r="Y188" s="116"/>
      <c r="Z188" s="116"/>
      <c r="AA188" s="116"/>
    </row>
    <row r="189" hidden="1">
      <c r="A189" s="117" t="s">
        <v>2077</v>
      </c>
      <c r="B189" s="117" t="str">
        <f t="array" ref="B189">XLOOKUP(C189,'Off-Boarding'!B:B,'Off-Boarding'!E:E)</f>
        <v>#N/A</v>
      </c>
      <c r="C189" s="117" t="s">
        <v>1026</v>
      </c>
      <c r="D189" s="410">
        <v>45911.32921415505</v>
      </c>
      <c r="E189" s="117" t="s">
        <v>7771</v>
      </c>
      <c r="F189" s="117" t="s">
        <v>5632</v>
      </c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6"/>
      <c r="V189" s="116"/>
      <c r="W189" s="116"/>
      <c r="X189" s="116"/>
      <c r="Y189" s="116"/>
      <c r="Z189" s="116"/>
      <c r="AA189" s="116"/>
    </row>
    <row r="190" hidden="1">
      <c r="A190" s="117" t="s">
        <v>1874</v>
      </c>
      <c r="B190" s="411">
        <f t="array" ref="B190">XLOOKUP(C190,'Off-Boarding'!B:B,'Off-Boarding'!E:E)</f>
        <v>46176</v>
      </c>
      <c r="C190" s="117" t="s">
        <v>1875</v>
      </c>
      <c r="D190" s="410">
        <v>45915.907224177165</v>
      </c>
      <c r="E190" s="117" t="s">
        <v>7771</v>
      </c>
      <c r="F190" s="117" t="s">
        <v>5632</v>
      </c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6"/>
      <c r="V190" s="116"/>
      <c r="W190" s="116"/>
      <c r="X190" s="116"/>
      <c r="Y190" s="116"/>
      <c r="Z190" s="116"/>
      <c r="AA190" s="116"/>
    </row>
    <row r="191" hidden="1">
      <c r="A191" s="117" t="s">
        <v>1968</v>
      </c>
      <c r="B191" s="117" t="str">
        <f t="array" ref="B191">XLOOKUP(C191,'Off-Boarding'!B:B,'Off-Boarding'!E:E)</f>
        <v>Suspend</v>
      </c>
      <c r="C191" s="117" t="s">
        <v>1969</v>
      </c>
      <c r="D191" s="410">
        <v>45916.28366755033</v>
      </c>
      <c r="E191" s="117" t="s">
        <v>7771</v>
      </c>
      <c r="F191" s="117" t="s">
        <v>5632</v>
      </c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6"/>
      <c r="V191" s="116"/>
      <c r="W191" s="116"/>
      <c r="X191" s="116"/>
      <c r="Y191" s="116"/>
      <c r="Z191" s="116"/>
      <c r="AA191" s="116"/>
    </row>
    <row r="192" hidden="1">
      <c r="A192" s="117" t="s">
        <v>2318</v>
      </c>
      <c r="B192" s="117" t="str">
        <f t="array" ref="B192">XLOOKUP(C192,'Off-Boarding'!B:B,'Off-Boarding'!E:E)</f>
        <v>#N/A</v>
      </c>
      <c r="C192" s="117" t="s">
        <v>2319</v>
      </c>
      <c r="D192" s="410">
        <v>45553.076578009066</v>
      </c>
      <c r="E192" s="117" t="s">
        <v>7771</v>
      </c>
      <c r="F192" s="117" t="s">
        <v>5632</v>
      </c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6"/>
      <c r="V192" s="116"/>
      <c r="W192" s="116"/>
      <c r="X192" s="116"/>
      <c r="Y192" s="116"/>
      <c r="Z192" s="116"/>
      <c r="AA192" s="116"/>
    </row>
    <row r="193">
      <c r="A193" s="117" t="s">
        <v>5167</v>
      </c>
      <c r="B193" s="117" t="s">
        <v>7772</v>
      </c>
      <c r="C193" s="117" t="s">
        <v>1694</v>
      </c>
      <c r="D193" s="410">
        <v>45894.393792812116</v>
      </c>
      <c r="E193" s="117" t="s">
        <v>7771</v>
      </c>
      <c r="F193" s="117" t="s">
        <v>5632</v>
      </c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6"/>
      <c r="V193" s="116"/>
      <c r="W193" s="116"/>
      <c r="X193" s="116"/>
      <c r="Y193" s="116"/>
      <c r="Z193" s="116"/>
      <c r="AA193" s="116"/>
    </row>
    <row r="194" hidden="1">
      <c r="A194" s="117" t="s">
        <v>2045</v>
      </c>
      <c r="B194" s="117" t="str">
        <f t="array" ref="B194">XLOOKUP(C194,'Off-Boarding'!B:B,'Off-Boarding'!E:E)</f>
        <v>#N/A</v>
      </c>
      <c r="C194" s="117" t="s">
        <v>2524</v>
      </c>
      <c r="D194" s="410">
        <v>45915.565906403775</v>
      </c>
      <c r="E194" s="117" t="s">
        <v>7771</v>
      </c>
      <c r="F194" s="117" t="s">
        <v>5632</v>
      </c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6"/>
      <c r="V194" s="116"/>
      <c r="W194" s="116"/>
      <c r="X194" s="116"/>
      <c r="Y194" s="116"/>
      <c r="Z194" s="116"/>
      <c r="AA194" s="116"/>
    </row>
    <row r="195" hidden="1">
      <c r="A195" s="117" t="s">
        <v>2045</v>
      </c>
      <c r="B195" s="409" t="str">
        <f t="array" ref="B195">XLOOKUP(C195,'Off-Boarding'!B:B,'Off-Boarding'!E:E)</f>
        <v>Suspend</v>
      </c>
      <c r="C195" s="117" t="s">
        <v>1200</v>
      </c>
      <c r="D195" s="410">
        <v>45915.740924818354</v>
      </c>
      <c r="E195" s="117" t="s">
        <v>7771</v>
      </c>
      <c r="F195" s="117" t="s">
        <v>5632</v>
      </c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6"/>
      <c r="V195" s="116"/>
      <c r="W195" s="116"/>
      <c r="X195" s="116"/>
      <c r="Y195" s="116"/>
      <c r="Z195" s="116"/>
      <c r="AA195" s="116"/>
    </row>
    <row r="196">
      <c r="A196" s="117" t="s">
        <v>1703</v>
      </c>
      <c r="B196" s="117" t="s">
        <v>7772</v>
      </c>
      <c r="C196" s="117" t="s">
        <v>1704</v>
      </c>
      <c r="D196" s="410">
        <v>45910.57984287598</v>
      </c>
      <c r="E196" s="117" t="s">
        <v>7771</v>
      </c>
      <c r="F196" s="117" t="s">
        <v>5632</v>
      </c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6"/>
      <c r="V196" s="116"/>
      <c r="W196" s="116"/>
      <c r="X196" s="116"/>
      <c r="Y196" s="116"/>
      <c r="Z196" s="116"/>
      <c r="AA196" s="116"/>
    </row>
    <row r="197">
      <c r="A197" s="117" t="s">
        <v>3059</v>
      </c>
      <c r="B197" s="117" t="s">
        <v>7772</v>
      </c>
      <c r="C197" s="117" t="s">
        <v>3060</v>
      </c>
      <c r="D197" s="410">
        <v>45912.308742949106</v>
      </c>
      <c r="E197" s="117" t="s">
        <v>7771</v>
      </c>
      <c r="F197" s="117" t="s">
        <v>5632</v>
      </c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6"/>
      <c r="V197" s="116"/>
      <c r="W197" s="116"/>
      <c r="X197" s="116"/>
      <c r="Y197" s="116"/>
      <c r="Z197" s="116"/>
      <c r="AA197" s="116"/>
    </row>
    <row r="198">
      <c r="A198" s="117" t="s">
        <v>821</v>
      </c>
      <c r="B198" s="117" t="s">
        <v>7772</v>
      </c>
      <c r="C198" s="117" t="s">
        <v>822</v>
      </c>
      <c r="D198" s="410">
        <v>45648.32929357742</v>
      </c>
      <c r="E198" s="117" t="s">
        <v>7771</v>
      </c>
      <c r="F198" s="117" t="s">
        <v>5632</v>
      </c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6"/>
      <c r="V198" s="116"/>
      <c r="W198" s="116"/>
      <c r="X198" s="116"/>
      <c r="Y198" s="116"/>
      <c r="Z198" s="116"/>
      <c r="AA198" s="116"/>
    </row>
    <row r="199">
      <c r="A199" s="117" t="s">
        <v>827</v>
      </c>
      <c r="B199" s="117" t="s">
        <v>7772</v>
      </c>
      <c r="C199" s="117" t="s">
        <v>828</v>
      </c>
      <c r="D199" s="410">
        <v>45572.292081888394</v>
      </c>
      <c r="E199" s="117" t="s">
        <v>7771</v>
      </c>
      <c r="F199" s="117" t="s">
        <v>5632</v>
      </c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6"/>
      <c r="V199" s="116"/>
      <c r="W199" s="116"/>
      <c r="X199" s="116"/>
      <c r="Y199" s="116"/>
      <c r="Z199" s="116"/>
      <c r="AA199" s="116"/>
    </row>
    <row r="200" hidden="1">
      <c r="A200" s="117" t="s">
        <v>2618</v>
      </c>
      <c r="B200" s="117" t="str">
        <f t="array" ref="B200">XLOOKUP(C200,'Off-Boarding'!B:B,'Off-Boarding'!E:E)</f>
        <v>#N/A</v>
      </c>
      <c r="C200" s="117" t="s">
        <v>2619</v>
      </c>
      <c r="D200" s="410">
        <v>45915.38265664696</v>
      </c>
      <c r="E200" s="117" t="s">
        <v>7771</v>
      </c>
      <c r="F200" s="117" t="s">
        <v>5632</v>
      </c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6"/>
      <c r="V200" s="116"/>
      <c r="W200" s="116"/>
      <c r="X200" s="116"/>
      <c r="Y200" s="116"/>
      <c r="Z200" s="116"/>
      <c r="AA200" s="116"/>
    </row>
    <row r="201" hidden="1">
      <c r="A201" s="117" t="s">
        <v>1908</v>
      </c>
      <c r="B201" s="117" t="str">
        <f t="array" ref="B201">XLOOKUP(C201,'Off-Boarding'!B:B,'Off-Boarding'!E:E)</f>
        <v>Suspend</v>
      </c>
      <c r="C201" s="117" t="s">
        <v>1909</v>
      </c>
      <c r="D201" s="410">
        <v>45890.314739704256</v>
      </c>
      <c r="E201" s="117" t="s">
        <v>7771</v>
      </c>
      <c r="F201" s="117" t="s">
        <v>5632</v>
      </c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6"/>
      <c r="V201" s="116"/>
      <c r="W201" s="116"/>
      <c r="X201" s="116"/>
      <c r="Y201" s="116"/>
      <c r="Z201" s="116"/>
      <c r="AA201" s="116"/>
    </row>
    <row r="202">
      <c r="A202" s="117" t="s">
        <v>1719</v>
      </c>
      <c r="B202" s="117" t="s">
        <v>7772</v>
      </c>
      <c r="C202" s="117" t="s">
        <v>1720</v>
      </c>
      <c r="D202" s="410">
        <v>45889.51923262905</v>
      </c>
      <c r="E202" s="117" t="s">
        <v>7771</v>
      </c>
      <c r="F202" s="117" t="s">
        <v>5632</v>
      </c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6"/>
      <c r="V202" s="116"/>
      <c r="W202" s="116"/>
      <c r="X202" s="116"/>
      <c r="Y202" s="116"/>
      <c r="Z202" s="116"/>
      <c r="AA202" s="116"/>
    </row>
    <row r="203" hidden="1">
      <c r="A203" s="117" t="s">
        <v>1723</v>
      </c>
      <c r="B203" s="409" t="str">
        <f t="array" ref="B203">XLOOKUP(C203,'Off-Boarding'!B:B,'Off-Boarding'!E:E)</f>
        <v>Suspend</v>
      </c>
      <c r="C203" s="117" t="s">
        <v>1724</v>
      </c>
      <c r="D203" s="410">
        <v>45915.619377068644</v>
      </c>
      <c r="E203" s="117" t="s">
        <v>7771</v>
      </c>
      <c r="F203" s="117" t="s">
        <v>5632</v>
      </c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6"/>
      <c r="V203" s="116"/>
      <c r="W203" s="116"/>
      <c r="X203" s="116"/>
      <c r="Y203" s="116"/>
      <c r="Z203" s="116"/>
      <c r="AA203" s="116"/>
    </row>
    <row r="204">
      <c r="A204" s="117" t="s">
        <v>1726</v>
      </c>
      <c r="B204" s="117" t="s">
        <v>7772</v>
      </c>
      <c r="C204" s="117" t="s">
        <v>1727</v>
      </c>
      <c r="D204" s="410">
        <v>45887.478042736526</v>
      </c>
      <c r="E204" s="117" t="s">
        <v>7771</v>
      </c>
      <c r="F204" s="117" t="s">
        <v>5632</v>
      </c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6"/>
      <c r="V204" s="116"/>
      <c r="W204" s="116"/>
      <c r="X204" s="116"/>
      <c r="Y204" s="116"/>
      <c r="Z204" s="116"/>
      <c r="AA204" s="116"/>
    </row>
    <row r="205" hidden="1">
      <c r="A205" s="117" t="s">
        <v>3129</v>
      </c>
      <c r="B205" s="117" t="str">
        <f t="array" ref="B205">XLOOKUP(C205,'Off-Boarding'!B:B,'Off-Boarding'!E:E)</f>
        <v>Suspend</v>
      </c>
      <c r="C205" s="117" t="s">
        <v>3130</v>
      </c>
      <c r="D205" s="410">
        <v>45916.262368356445</v>
      </c>
      <c r="E205" s="117" t="s">
        <v>7771</v>
      </c>
      <c r="F205" s="117" t="s">
        <v>5632</v>
      </c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6"/>
      <c r="V205" s="116"/>
      <c r="W205" s="116"/>
      <c r="X205" s="116"/>
      <c r="Y205" s="116"/>
      <c r="Z205" s="116"/>
      <c r="AA205" s="116"/>
    </row>
    <row r="206" hidden="1">
      <c r="A206" s="117" t="s">
        <v>1731</v>
      </c>
      <c r="B206" s="117" t="str">
        <f t="array" ref="B206">XLOOKUP(C206,'Off-Boarding'!B:B,'Off-Boarding'!E:E)</f>
        <v>Suspend</v>
      </c>
      <c r="C206" s="117" t="s">
        <v>2046</v>
      </c>
      <c r="D206" s="410">
        <v>45916.18842972653</v>
      </c>
      <c r="E206" s="117" t="s">
        <v>7771</v>
      </c>
      <c r="F206" s="117" t="s">
        <v>5632</v>
      </c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6"/>
      <c r="V206" s="116"/>
      <c r="W206" s="116"/>
      <c r="X206" s="116"/>
      <c r="Y206" s="116"/>
      <c r="Z206" s="116"/>
      <c r="AA206" s="116"/>
    </row>
    <row r="207" hidden="1">
      <c r="A207" s="117" t="s">
        <v>5432</v>
      </c>
      <c r="B207" s="409" t="str">
        <f t="array" ref="B207">XLOOKUP(C207,'Off-Boarding'!B:B,'Off-Boarding'!E:E)</f>
        <v>Suspend</v>
      </c>
      <c r="C207" s="117" t="s">
        <v>1735</v>
      </c>
      <c r="D207" s="410">
        <v>45916.32300206024</v>
      </c>
      <c r="E207" s="117" t="s">
        <v>7771</v>
      </c>
      <c r="F207" s="117" t="s">
        <v>5632</v>
      </c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6"/>
      <c r="V207" s="116"/>
      <c r="W207" s="116"/>
      <c r="X207" s="116"/>
      <c r="Y207" s="116"/>
      <c r="Z207" s="116"/>
      <c r="AA207" s="116"/>
    </row>
    <row r="208">
      <c r="A208" s="117" t="s">
        <v>7799</v>
      </c>
      <c r="B208" s="117" t="s">
        <v>7772</v>
      </c>
      <c r="C208" s="117" t="s">
        <v>1739</v>
      </c>
      <c r="D208" s="410">
        <v>45903.3200420089</v>
      </c>
      <c r="E208" s="117" t="s">
        <v>7771</v>
      </c>
      <c r="F208" s="117" t="s">
        <v>5632</v>
      </c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6"/>
      <c r="V208" s="116"/>
      <c r="W208" s="116"/>
      <c r="X208" s="116"/>
      <c r="Y208" s="116"/>
      <c r="Z208" s="116"/>
      <c r="AA208" s="116"/>
    </row>
    <row r="209">
      <c r="A209" s="117" t="s">
        <v>4364</v>
      </c>
      <c r="B209" s="117" t="s">
        <v>7772</v>
      </c>
      <c r="C209" s="117" t="s">
        <v>1747</v>
      </c>
      <c r="D209" s="410">
        <v>45911.29989860126</v>
      </c>
      <c r="E209" s="117" t="s">
        <v>7771</v>
      </c>
      <c r="F209" s="117" t="s">
        <v>5632</v>
      </c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6"/>
      <c r="V209" s="116"/>
      <c r="W209" s="116"/>
      <c r="X209" s="116"/>
      <c r="Y209" s="116"/>
      <c r="Z209" s="116"/>
      <c r="AA209" s="116"/>
    </row>
    <row r="210">
      <c r="A210" s="117" t="s">
        <v>1748</v>
      </c>
      <c r="B210" s="117" t="s">
        <v>7772</v>
      </c>
      <c r="C210" s="117" t="s">
        <v>1749</v>
      </c>
      <c r="D210" s="410">
        <v>45910.261888682304</v>
      </c>
      <c r="E210" s="117" t="s">
        <v>7771</v>
      </c>
      <c r="F210" s="117" t="s">
        <v>5632</v>
      </c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6"/>
      <c r="V210" s="116"/>
      <c r="W210" s="116"/>
      <c r="X210" s="116"/>
      <c r="Y210" s="116"/>
      <c r="Z210" s="116"/>
      <c r="AA210" s="116"/>
    </row>
    <row r="211">
      <c r="A211" s="117" t="s">
        <v>1750</v>
      </c>
      <c r="B211" s="117" t="s">
        <v>7772</v>
      </c>
      <c r="C211" s="117" t="s">
        <v>1751</v>
      </c>
      <c r="D211" s="410">
        <v>45910.68863112832</v>
      </c>
      <c r="E211" s="117" t="s">
        <v>7771</v>
      </c>
      <c r="F211" s="117" t="s">
        <v>5632</v>
      </c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6"/>
      <c r="V211" s="116"/>
      <c r="W211" s="116"/>
      <c r="X211" s="116"/>
      <c r="Y211" s="116"/>
      <c r="Z211" s="116"/>
      <c r="AA211" s="116"/>
    </row>
    <row r="212" hidden="1">
      <c r="A212" s="117" t="s">
        <v>2481</v>
      </c>
      <c r="B212" s="117" t="str">
        <f t="array" ref="B212">XLOOKUP(C212,'Off-Boarding'!B:B,'Off-Boarding'!E:E)</f>
        <v>Suspend</v>
      </c>
      <c r="C212" s="117" t="s">
        <v>2482</v>
      </c>
      <c r="D212" s="410">
        <v>45916.252070214985</v>
      </c>
      <c r="E212" s="117" t="s">
        <v>7771</v>
      </c>
      <c r="F212" s="117" t="s">
        <v>5632</v>
      </c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6"/>
      <c r="V212" s="116"/>
      <c r="W212" s="116"/>
      <c r="X212" s="116"/>
      <c r="Y212" s="116"/>
      <c r="Z212" s="116"/>
      <c r="AA212" s="116"/>
    </row>
    <row r="213" hidden="1">
      <c r="A213" s="117" t="s">
        <v>2550</v>
      </c>
      <c r="B213" s="409" t="str">
        <f t="array" ref="B213">XLOOKUP(C213,'Off-Boarding'!B:B,'Off-Boarding'!E:E)</f>
        <v>Suspend</v>
      </c>
      <c r="C213" s="117" t="s">
        <v>2551</v>
      </c>
      <c r="D213" s="410">
        <v>45915.889626914155</v>
      </c>
      <c r="E213" s="117" t="s">
        <v>7771</v>
      </c>
      <c r="F213" s="117" t="s">
        <v>5632</v>
      </c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6"/>
      <c r="V213" s="116"/>
      <c r="W213" s="116"/>
      <c r="X213" s="116"/>
      <c r="Y213" s="116"/>
      <c r="Z213" s="116"/>
      <c r="AA213" s="116"/>
    </row>
    <row r="214">
      <c r="A214" s="117" t="s">
        <v>3125</v>
      </c>
      <c r="B214" s="117" t="s">
        <v>7772</v>
      </c>
      <c r="C214" s="117" t="s">
        <v>3126</v>
      </c>
      <c r="D214" s="410">
        <v>45891.37490081266</v>
      </c>
      <c r="E214" s="117" t="s">
        <v>7771</v>
      </c>
      <c r="F214" s="117" t="s">
        <v>5632</v>
      </c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6"/>
      <c r="V214" s="116"/>
      <c r="W214" s="116"/>
      <c r="X214" s="116"/>
      <c r="Y214" s="116"/>
      <c r="Z214" s="116"/>
      <c r="AA214" s="116"/>
    </row>
    <row r="215" hidden="1">
      <c r="A215" s="117" t="s">
        <v>883</v>
      </c>
      <c r="B215" s="117" t="str">
        <f t="array" ref="B215">XLOOKUP(C215,'Off-Boarding'!B:B,'Off-Boarding'!E:E)</f>
        <v>#N/A</v>
      </c>
      <c r="C215" s="117" t="s">
        <v>884</v>
      </c>
      <c r="D215" s="410">
        <v>44662.53380143749</v>
      </c>
      <c r="E215" s="117" t="s">
        <v>7771</v>
      </c>
      <c r="F215" s="117" t="s">
        <v>5632</v>
      </c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6"/>
      <c r="V215" s="116"/>
      <c r="W215" s="116"/>
      <c r="X215" s="116"/>
      <c r="Y215" s="116"/>
      <c r="Z215" s="116"/>
      <c r="AA215" s="116"/>
    </row>
    <row r="216" hidden="1">
      <c r="A216" s="117" t="s">
        <v>4989</v>
      </c>
      <c r="B216" s="117" t="str">
        <f t="array" ref="B216">XLOOKUP(C216,'Off-Boarding'!B:B,'Off-Boarding'!E:E)</f>
        <v>#N/A</v>
      </c>
      <c r="C216" s="117" t="s">
        <v>1987</v>
      </c>
      <c r="D216" s="410">
        <v>45916.283956550054</v>
      </c>
      <c r="E216" s="117" t="s">
        <v>7771</v>
      </c>
      <c r="F216" s="117" t="s">
        <v>5632</v>
      </c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6"/>
      <c r="V216" s="116"/>
      <c r="W216" s="116"/>
      <c r="X216" s="116"/>
      <c r="Y216" s="116"/>
      <c r="Z216" s="116"/>
      <c r="AA216" s="116"/>
    </row>
    <row r="217">
      <c r="A217" s="117" t="s">
        <v>891</v>
      </c>
      <c r="B217" s="117" t="s">
        <v>7772</v>
      </c>
      <c r="C217" s="117" t="s">
        <v>892</v>
      </c>
      <c r="D217" s="410">
        <v>45722.38131649703</v>
      </c>
      <c r="E217" s="117" t="s">
        <v>7771</v>
      </c>
      <c r="F217" s="117" t="s">
        <v>5632</v>
      </c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6"/>
      <c r="V217" s="116"/>
      <c r="W217" s="116"/>
      <c r="X217" s="116"/>
      <c r="Y217" s="116"/>
      <c r="Z217" s="116"/>
      <c r="AA217" s="116"/>
    </row>
    <row r="218" hidden="1">
      <c r="A218" s="117" t="s">
        <v>1898</v>
      </c>
      <c r="B218" s="117" t="str">
        <f t="array" ref="B218">XLOOKUP(C218,'Off-Boarding'!B:B,'Off-Boarding'!E:E)</f>
        <v>#N/A</v>
      </c>
      <c r="C218" s="117" t="s">
        <v>1695</v>
      </c>
      <c r="D218" s="410">
        <v>45916.27860563258</v>
      </c>
      <c r="E218" s="117" t="s">
        <v>7771</v>
      </c>
      <c r="F218" s="117" t="s">
        <v>5632</v>
      </c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6"/>
      <c r="V218" s="116"/>
      <c r="W218" s="116"/>
      <c r="X218" s="116"/>
      <c r="Y218" s="116"/>
      <c r="Z218" s="116"/>
      <c r="AA218" s="116"/>
    </row>
    <row r="219">
      <c r="A219" s="117" t="s">
        <v>3866</v>
      </c>
      <c r="B219" s="117" t="s">
        <v>7772</v>
      </c>
      <c r="C219" s="117" t="s">
        <v>895</v>
      </c>
      <c r="D219" s="410">
        <v>45580.08572185798</v>
      </c>
      <c r="E219" s="117" t="s">
        <v>7771</v>
      </c>
      <c r="F219" s="117" t="s">
        <v>5632</v>
      </c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6"/>
      <c r="V219" s="116"/>
      <c r="W219" s="116"/>
      <c r="X219" s="116"/>
      <c r="Y219" s="116"/>
      <c r="Z219" s="116"/>
      <c r="AA219" s="116"/>
    </row>
    <row r="220">
      <c r="A220" s="117" t="s">
        <v>1758</v>
      </c>
      <c r="B220" s="117" t="s">
        <v>7772</v>
      </c>
      <c r="C220" s="117" t="s">
        <v>1759</v>
      </c>
      <c r="D220" s="410">
        <v>45890.52181721007</v>
      </c>
      <c r="E220" s="117" t="s">
        <v>7771</v>
      </c>
      <c r="F220" s="117" t="s">
        <v>5632</v>
      </c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6"/>
      <c r="V220" s="116"/>
      <c r="W220" s="116"/>
      <c r="X220" s="116"/>
      <c r="Y220" s="116"/>
      <c r="Z220" s="116"/>
      <c r="AA220" s="116"/>
    </row>
    <row r="221">
      <c r="A221" s="117" t="s">
        <v>1764</v>
      </c>
      <c r="B221" s="117" t="s">
        <v>7772</v>
      </c>
      <c r="C221" s="117" t="s">
        <v>1765</v>
      </c>
      <c r="D221" s="410">
        <v>45888.496640427235</v>
      </c>
      <c r="E221" s="117" t="s">
        <v>7771</v>
      </c>
      <c r="F221" s="117" t="s">
        <v>5632</v>
      </c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6"/>
      <c r="V221" s="116"/>
      <c r="W221" s="116"/>
      <c r="X221" s="116"/>
      <c r="Y221" s="116"/>
      <c r="Z221" s="116"/>
      <c r="AA221" s="116"/>
    </row>
    <row r="222" hidden="1">
      <c r="A222" s="117" t="s">
        <v>7823</v>
      </c>
      <c r="B222" s="117" t="str">
        <f t="array" ref="B222">XLOOKUP(C222,'Off-Boarding'!B:B,'Off-Boarding'!E:E)</f>
        <v>#N/A</v>
      </c>
      <c r="C222" s="117" t="s">
        <v>909</v>
      </c>
      <c r="D222" s="410">
        <v>45133.43249081139</v>
      </c>
      <c r="E222" s="117" t="s">
        <v>7771</v>
      </c>
      <c r="F222" s="117" t="s">
        <v>5632</v>
      </c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6"/>
      <c r="V222" s="116"/>
      <c r="W222" s="116"/>
      <c r="X222" s="116"/>
      <c r="Y222" s="116"/>
      <c r="Z222" s="116"/>
      <c r="AA222" s="116"/>
    </row>
    <row r="223">
      <c r="A223" s="117" t="s">
        <v>1770</v>
      </c>
      <c r="B223" s="117" t="s">
        <v>7772</v>
      </c>
      <c r="C223" s="117" t="s">
        <v>1771</v>
      </c>
      <c r="D223" s="410">
        <v>45897.60690487991</v>
      </c>
      <c r="E223" s="117" t="s">
        <v>7771</v>
      </c>
      <c r="F223" s="117" t="s">
        <v>5632</v>
      </c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6"/>
      <c r="V223" s="116"/>
      <c r="W223" s="116"/>
      <c r="X223" s="116"/>
      <c r="Y223" s="116"/>
      <c r="Z223" s="116"/>
      <c r="AA223" s="116"/>
    </row>
    <row r="224">
      <c r="A224" s="117" t="s">
        <v>1772</v>
      </c>
      <c r="B224" s="117" t="s">
        <v>7772</v>
      </c>
      <c r="C224" s="117" t="s">
        <v>1773</v>
      </c>
      <c r="D224" s="410">
        <v>45909.23140198458</v>
      </c>
      <c r="E224" s="117" t="s">
        <v>7771</v>
      </c>
      <c r="F224" s="117" t="s">
        <v>5632</v>
      </c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6"/>
      <c r="V224" s="116"/>
      <c r="W224" s="116"/>
      <c r="X224" s="116"/>
      <c r="Y224" s="116"/>
      <c r="Z224" s="116"/>
      <c r="AA224" s="116"/>
    </row>
    <row r="225" hidden="1">
      <c r="A225" s="117" t="s">
        <v>2320</v>
      </c>
      <c r="B225" s="117" t="str">
        <f t="array" ref="B225">XLOOKUP(C225,'Off-Boarding'!B:B,'Off-Boarding'!E:E)</f>
        <v>#N/A</v>
      </c>
      <c r="C225" s="117" t="s">
        <v>2321</v>
      </c>
      <c r="D225" s="410">
        <v>45534.22880559533</v>
      </c>
      <c r="E225" s="117" t="s">
        <v>7771</v>
      </c>
      <c r="F225" s="117" t="s">
        <v>5632</v>
      </c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6"/>
      <c r="V225" s="116"/>
      <c r="W225" s="116"/>
      <c r="X225" s="116"/>
      <c r="Y225" s="116"/>
      <c r="Z225" s="116"/>
      <c r="AA225" s="116"/>
    </row>
    <row r="226" hidden="1">
      <c r="A226" s="117" t="s">
        <v>2291</v>
      </c>
      <c r="B226" s="117" t="str">
        <f t="array" ref="B226">XLOOKUP(C226,'Off-Boarding'!B:B,'Off-Boarding'!E:E)</f>
        <v>Suspend</v>
      </c>
      <c r="C226" s="117" t="s">
        <v>2292</v>
      </c>
      <c r="D226" s="410">
        <v>45916.239544905315</v>
      </c>
      <c r="E226" s="117" t="s">
        <v>7771</v>
      </c>
      <c r="F226" s="117" t="s">
        <v>5632</v>
      </c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6"/>
      <c r="V226" s="116"/>
      <c r="W226" s="116"/>
      <c r="X226" s="116"/>
      <c r="Y226" s="116"/>
      <c r="Z226" s="116"/>
      <c r="AA226" s="116"/>
    </row>
    <row r="227" hidden="1">
      <c r="A227" s="117" t="s">
        <v>2140</v>
      </c>
      <c r="B227" s="411">
        <f t="array" ref="B227">XLOOKUP(C227,'Off-Boarding'!B:B,'Off-Boarding'!E:E)</f>
        <v>46268</v>
      </c>
      <c r="C227" s="117" t="s">
        <v>2141</v>
      </c>
      <c r="D227" s="410">
        <v>45910.39367195993</v>
      </c>
      <c r="E227" s="117" t="s">
        <v>7771</v>
      </c>
      <c r="F227" s="117" t="s">
        <v>5632</v>
      </c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</row>
    <row r="228" hidden="1">
      <c r="A228" s="117" t="s">
        <v>2622</v>
      </c>
      <c r="B228" s="117" t="str">
        <f t="array" ref="B228">XLOOKUP(C228,'Off-Boarding'!B:B,'Off-Boarding'!E:E)</f>
        <v>Suspend</v>
      </c>
      <c r="C228" s="117" t="s">
        <v>2623</v>
      </c>
      <c r="D228" s="410">
        <v>45915.306254412084</v>
      </c>
      <c r="E228" s="117" t="s">
        <v>7771</v>
      </c>
      <c r="F228" s="117" t="s">
        <v>5632</v>
      </c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6"/>
      <c r="V228" s="116"/>
      <c r="W228" s="116"/>
      <c r="X228" s="116"/>
      <c r="Y228" s="116"/>
      <c r="Z228" s="116"/>
      <c r="AA228" s="116"/>
    </row>
    <row r="229" hidden="1">
      <c r="A229" s="117" t="s">
        <v>7801</v>
      </c>
      <c r="B229" s="409" t="str">
        <f t="array" ref="B229">XLOOKUP(C229,'Off-Boarding'!B:B,'Off-Boarding'!E:E)</f>
        <v>Suspend</v>
      </c>
      <c r="C229" s="117" t="s">
        <v>1802</v>
      </c>
      <c r="D229" s="410">
        <v>45915.56975548375</v>
      </c>
      <c r="E229" s="117" t="s">
        <v>7771</v>
      </c>
      <c r="F229" s="117" t="s">
        <v>5632</v>
      </c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6"/>
      <c r="V229" s="116"/>
      <c r="W229" s="116"/>
      <c r="X229" s="116"/>
      <c r="Y229" s="116"/>
      <c r="Z229" s="116"/>
      <c r="AA229" s="116"/>
    </row>
    <row r="230">
      <c r="A230" s="117" t="s">
        <v>1805</v>
      </c>
      <c r="B230" s="117" t="s">
        <v>7772</v>
      </c>
      <c r="C230" s="117" t="s">
        <v>1806</v>
      </c>
      <c r="D230" s="410">
        <v>45882.73682421814</v>
      </c>
      <c r="E230" s="117" t="s">
        <v>7771</v>
      </c>
      <c r="F230" s="117" t="s">
        <v>5632</v>
      </c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6"/>
      <c r="V230" s="116"/>
      <c r="W230" s="116"/>
      <c r="X230" s="116"/>
      <c r="Y230" s="116"/>
      <c r="Z230" s="116"/>
      <c r="AA230" s="116"/>
    </row>
    <row r="231" hidden="1">
      <c r="A231" s="117" t="s">
        <v>2048</v>
      </c>
      <c r="B231" s="409" t="str">
        <f t="array" ref="B231">XLOOKUP(C231,'Off-Boarding'!B:B,'Off-Boarding'!E:E)</f>
        <v>Suspend</v>
      </c>
      <c r="C231" s="117" t="s">
        <v>2049</v>
      </c>
      <c r="D231" s="410">
        <v>45916.379800520175</v>
      </c>
      <c r="E231" s="117" t="s">
        <v>7771</v>
      </c>
      <c r="F231" s="117" t="s">
        <v>5632</v>
      </c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6"/>
      <c r="V231" s="116"/>
      <c r="W231" s="116"/>
      <c r="X231" s="116"/>
      <c r="Y231" s="116"/>
      <c r="Z231" s="116"/>
      <c r="AA231" s="116"/>
    </row>
    <row r="232">
      <c r="A232" s="117" t="s">
        <v>956</v>
      </c>
      <c r="B232" s="117" t="s">
        <v>7772</v>
      </c>
      <c r="C232" s="117" t="s">
        <v>957</v>
      </c>
      <c r="D232" s="410">
        <v>45762.24735438838</v>
      </c>
      <c r="E232" s="117" t="s">
        <v>7771</v>
      </c>
      <c r="F232" s="117" t="s">
        <v>5632</v>
      </c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6"/>
      <c r="V232" s="116"/>
      <c r="W232" s="116"/>
      <c r="X232" s="116"/>
      <c r="Y232" s="116"/>
      <c r="Z232" s="116"/>
      <c r="AA232" s="116"/>
    </row>
    <row r="233" hidden="1">
      <c r="A233" s="117" t="s">
        <v>2734</v>
      </c>
      <c r="B233" s="117" t="str">
        <f t="array" ref="B233">XLOOKUP(C233,'Off-Boarding'!B:B,'Off-Boarding'!E:E)</f>
        <v>Suspend</v>
      </c>
      <c r="C233" s="117" t="s">
        <v>2735</v>
      </c>
      <c r="D233" s="410">
        <v>45916.28412100046</v>
      </c>
      <c r="E233" s="117" t="s">
        <v>7771</v>
      </c>
      <c r="F233" s="117" t="s">
        <v>5632</v>
      </c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6"/>
      <c r="V233" s="116"/>
      <c r="W233" s="116"/>
      <c r="X233" s="116"/>
      <c r="Y233" s="116"/>
      <c r="Z233" s="116"/>
      <c r="AA233" s="116"/>
    </row>
    <row r="234" hidden="1">
      <c r="A234" s="117" t="s">
        <v>7803</v>
      </c>
      <c r="B234" s="117" t="str">
        <f t="array" ref="B234">XLOOKUP(C234,'Off-Boarding'!B:B,'Off-Boarding'!E:E)</f>
        <v>Suspend</v>
      </c>
      <c r="C234" s="117" t="s">
        <v>2051</v>
      </c>
      <c r="D234" s="410">
        <v>45916.341529551864</v>
      </c>
      <c r="E234" s="117" t="s">
        <v>7771</v>
      </c>
      <c r="F234" s="117" t="s">
        <v>5632</v>
      </c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6"/>
      <c r="V234" s="116"/>
      <c r="W234" s="116"/>
      <c r="X234" s="116"/>
      <c r="Y234" s="116"/>
      <c r="Z234" s="116"/>
      <c r="AA234" s="116"/>
    </row>
    <row r="235">
      <c r="A235" s="117" t="s">
        <v>974</v>
      </c>
      <c r="B235" s="117" t="s">
        <v>7772</v>
      </c>
      <c r="C235" s="117" t="s">
        <v>975</v>
      </c>
      <c r="D235" s="410">
        <v>45812.59150191065</v>
      </c>
      <c r="E235" s="117" t="s">
        <v>7771</v>
      </c>
      <c r="F235" s="117" t="s">
        <v>5632</v>
      </c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6"/>
      <c r="V235" s="116"/>
      <c r="W235" s="116"/>
      <c r="X235" s="116"/>
      <c r="Y235" s="116"/>
      <c r="Z235" s="116"/>
      <c r="AA235" s="116"/>
    </row>
    <row r="236">
      <c r="A236" s="117" t="s">
        <v>978</v>
      </c>
      <c r="B236" s="117" t="s">
        <v>7772</v>
      </c>
      <c r="C236" s="117" t="s">
        <v>979</v>
      </c>
      <c r="D236" s="410">
        <v>45709.38832093787</v>
      </c>
      <c r="E236" s="117" t="s">
        <v>7771</v>
      </c>
      <c r="F236" s="117" t="s">
        <v>5632</v>
      </c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6"/>
      <c r="V236" s="116"/>
      <c r="W236" s="116"/>
      <c r="X236" s="116"/>
      <c r="Y236" s="116"/>
      <c r="Z236" s="116"/>
      <c r="AA236" s="116"/>
    </row>
    <row r="237">
      <c r="A237" s="117" t="s">
        <v>1826</v>
      </c>
      <c r="B237" s="117" t="s">
        <v>7772</v>
      </c>
      <c r="C237" s="117" t="s">
        <v>1827</v>
      </c>
      <c r="D237" s="410">
        <v>45894.53323384264</v>
      </c>
      <c r="E237" s="117" t="s">
        <v>7771</v>
      </c>
      <c r="F237" s="117" t="s">
        <v>5632</v>
      </c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6"/>
      <c r="V237" s="116"/>
      <c r="W237" s="116"/>
      <c r="X237" s="116"/>
      <c r="Y237" s="116"/>
      <c r="Z237" s="116"/>
      <c r="AA237" s="116"/>
    </row>
    <row r="238" hidden="1">
      <c r="A238" s="117" t="s">
        <v>2449</v>
      </c>
      <c r="B238" s="117" t="str">
        <f t="array" ref="B238">XLOOKUP(C238,'Off-Boarding'!B:B,'Off-Boarding'!E:E)</f>
        <v>Suspend</v>
      </c>
      <c r="C238" s="117" t="s">
        <v>1094</v>
      </c>
      <c r="D238" s="410">
        <v>45890.42495461076</v>
      </c>
      <c r="E238" s="117" t="s">
        <v>7771</v>
      </c>
      <c r="F238" s="117" t="s">
        <v>5632</v>
      </c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6"/>
      <c r="V238" s="116"/>
      <c r="W238" s="116"/>
      <c r="X238" s="116"/>
      <c r="Y238" s="116"/>
      <c r="Z238" s="116"/>
      <c r="AA238" s="116"/>
    </row>
    <row r="239" hidden="1">
      <c r="A239" s="117" t="s">
        <v>1927</v>
      </c>
      <c r="B239" s="117" t="str">
        <f t="array" ref="B239">XLOOKUP(C239,'Off-Boarding'!B:B,'Off-Boarding'!E:E)</f>
        <v>Suspend</v>
      </c>
      <c r="C239" s="117" t="s">
        <v>1044</v>
      </c>
      <c r="D239" s="410">
        <v>45916.097335653874</v>
      </c>
      <c r="E239" s="117" t="s">
        <v>7771</v>
      </c>
      <c r="F239" s="117" t="s">
        <v>5632</v>
      </c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6"/>
      <c r="V239" s="116"/>
      <c r="W239" s="116"/>
      <c r="X239" s="116"/>
      <c r="Y239" s="116"/>
      <c r="Z239" s="116"/>
      <c r="AA239" s="116"/>
    </row>
    <row r="240" hidden="1">
      <c r="A240" s="117" t="s">
        <v>2086</v>
      </c>
      <c r="B240" s="117" t="str">
        <f t="array" ref="B240">XLOOKUP(C240,'Off-Boarding'!B:B,'Off-Boarding'!E:E)</f>
        <v>Suspend</v>
      </c>
      <c r="C240" s="117" t="s">
        <v>2087</v>
      </c>
      <c r="D240" s="410">
        <v>45915.382327241285</v>
      </c>
      <c r="E240" s="117" t="s">
        <v>7771</v>
      </c>
      <c r="F240" s="117" t="s">
        <v>5632</v>
      </c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6"/>
      <c r="V240" s="116"/>
      <c r="W240" s="116"/>
      <c r="X240" s="116"/>
      <c r="Y240" s="116"/>
      <c r="Z240" s="116"/>
      <c r="AA240" s="116"/>
    </row>
    <row r="241" hidden="1">
      <c r="A241" s="117" t="s">
        <v>2055</v>
      </c>
      <c r="B241" s="117" t="str">
        <f t="array" ref="B241">XLOOKUP(C241,'Off-Boarding'!B:B,'Off-Boarding'!E:E)</f>
        <v>Suspend</v>
      </c>
      <c r="C241" s="117" t="s">
        <v>2056</v>
      </c>
      <c r="D241" s="410">
        <v>45916.31142917314</v>
      </c>
      <c r="E241" s="117" t="s">
        <v>7771</v>
      </c>
      <c r="F241" s="117" t="s">
        <v>5632</v>
      </c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6"/>
      <c r="V241" s="116"/>
      <c r="W241" s="116"/>
      <c r="X241" s="116"/>
      <c r="Y241" s="116"/>
      <c r="Z241" s="116"/>
      <c r="AA241" s="116"/>
    </row>
    <row r="242" hidden="1">
      <c r="A242" s="117" t="s">
        <v>2418</v>
      </c>
      <c r="B242" s="117" t="str">
        <f t="array" ref="B242">XLOOKUP(C242,'Off-Boarding'!B:B,'Off-Boarding'!E:E)</f>
        <v>Suspend</v>
      </c>
      <c r="C242" s="117" t="s">
        <v>2419</v>
      </c>
      <c r="D242" s="410">
        <v>45915.64453757854</v>
      </c>
      <c r="E242" s="117" t="s">
        <v>7771</v>
      </c>
      <c r="F242" s="117" t="s">
        <v>5632</v>
      </c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6"/>
      <c r="V242" s="116"/>
      <c r="W242" s="116"/>
      <c r="X242" s="116"/>
      <c r="Y242" s="116"/>
      <c r="Z242" s="116"/>
      <c r="AA242" s="116"/>
    </row>
    <row r="243">
      <c r="A243" s="117" t="s">
        <v>992</v>
      </c>
      <c r="B243" s="117" t="s">
        <v>7772</v>
      </c>
      <c r="C243" s="117" t="s">
        <v>2905</v>
      </c>
      <c r="D243" s="410">
        <v>45889.44566267344</v>
      </c>
      <c r="E243" s="117" t="s">
        <v>7771</v>
      </c>
      <c r="F243" s="117" t="s">
        <v>5632</v>
      </c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6"/>
      <c r="V243" s="116"/>
      <c r="W243" s="116"/>
      <c r="X243" s="116"/>
      <c r="Y243" s="116"/>
      <c r="Z243" s="116"/>
      <c r="AA243" s="116"/>
    </row>
    <row r="244">
      <c r="A244" s="117" t="s">
        <v>992</v>
      </c>
      <c r="B244" s="117" t="s">
        <v>7772</v>
      </c>
      <c r="C244" s="117" t="s">
        <v>993</v>
      </c>
      <c r="D244" s="410">
        <v>45743.30751114526</v>
      </c>
      <c r="E244" s="117" t="s">
        <v>7771</v>
      </c>
      <c r="F244" s="117" t="s">
        <v>5632</v>
      </c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6"/>
      <c r="V244" s="116"/>
      <c r="W244" s="116"/>
      <c r="X244" s="116"/>
      <c r="Y244" s="116"/>
      <c r="Z244" s="116"/>
      <c r="AA244" s="116"/>
    </row>
    <row r="245">
      <c r="A245" s="117" t="s">
        <v>1834</v>
      </c>
      <c r="B245" s="117" t="s">
        <v>7772</v>
      </c>
      <c r="C245" s="117" t="s">
        <v>1835</v>
      </c>
      <c r="D245" s="410">
        <v>45838.55755978554</v>
      </c>
      <c r="E245" s="117" t="s">
        <v>7771</v>
      </c>
      <c r="F245" s="117" t="s">
        <v>5632</v>
      </c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6"/>
      <c r="V245" s="116"/>
      <c r="W245" s="116"/>
      <c r="X245" s="116"/>
      <c r="Y245" s="116"/>
      <c r="Z245" s="116"/>
      <c r="AA245" s="116"/>
    </row>
    <row r="246" hidden="1">
      <c r="A246" s="117" t="s">
        <v>5526</v>
      </c>
      <c r="B246" s="117" t="str">
        <f t="array" ref="B246">XLOOKUP(C246,'Off-Boarding'!B:B,'Off-Boarding'!E:E)</f>
        <v>27-02-2026</v>
      </c>
      <c r="C246" s="117" t="s">
        <v>2842</v>
      </c>
      <c r="D246" s="410">
        <v>45916.2475993303</v>
      </c>
      <c r="E246" s="117" t="s">
        <v>7771</v>
      </c>
      <c r="F246" s="117" t="s">
        <v>5632</v>
      </c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6"/>
      <c r="V246" s="116"/>
      <c r="W246" s="116"/>
      <c r="X246" s="116"/>
      <c r="Y246" s="116"/>
      <c r="Z246" s="116"/>
      <c r="AA246" s="116"/>
    </row>
    <row r="247">
      <c r="A247" s="117" t="s">
        <v>7806</v>
      </c>
      <c r="B247" s="117" t="s">
        <v>7772</v>
      </c>
      <c r="C247" s="117" t="s">
        <v>1846</v>
      </c>
      <c r="D247" s="410">
        <v>45826.298930193996</v>
      </c>
      <c r="E247" s="117" t="s">
        <v>7771</v>
      </c>
      <c r="F247" s="117" t="s">
        <v>5632</v>
      </c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6"/>
      <c r="V247" s="116"/>
      <c r="W247" s="116"/>
      <c r="X247" s="116"/>
      <c r="Y247" s="116"/>
      <c r="Z247" s="116"/>
      <c r="AA247" s="116"/>
    </row>
    <row r="248" hidden="1">
      <c r="A248" s="117" t="s">
        <v>2210</v>
      </c>
      <c r="B248" s="117" t="str">
        <f t="array" ref="B248">XLOOKUP(C248,'Off-Boarding'!B:B,'Off-Boarding'!E:E)</f>
        <v>Suspend</v>
      </c>
      <c r="C248" s="117" t="s">
        <v>1033</v>
      </c>
      <c r="D248" s="410">
        <v>45916.3597030747</v>
      </c>
      <c r="E248" s="117" t="s">
        <v>7771</v>
      </c>
      <c r="F248" s="117" t="s">
        <v>5632</v>
      </c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6"/>
      <c r="V248" s="116"/>
      <c r="W248" s="116"/>
      <c r="X248" s="116"/>
      <c r="Y248" s="116"/>
      <c r="Z248" s="116"/>
      <c r="AA248" s="116"/>
    </row>
    <row r="249" hidden="1">
      <c r="A249" s="117" t="s">
        <v>7807</v>
      </c>
      <c r="B249" s="117" t="str">
        <f t="array" ref="B249">XLOOKUP(C249,'Off-Boarding'!B:B,'Off-Boarding'!E:E)</f>
        <v>#N/A</v>
      </c>
      <c r="C249" s="117" t="s">
        <v>2287</v>
      </c>
      <c r="D249" s="410">
        <v>45915.414408839664</v>
      </c>
      <c r="E249" s="117" t="s">
        <v>7771</v>
      </c>
      <c r="F249" s="117" t="s">
        <v>5632</v>
      </c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6"/>
      <c r="V249" s="116"/>
      <c r="W249" s="116"/>
      <c r="X249" s="116"/>
      <c r="Y249" s="116"/>
      <c r="Z249" s="116"/>
      <c r="AA249" s="116"/>
    </row>
    <row r="250" hidden="1">
      <c r="A250" s="117" t="s">
        <v>7808</v>
      </c>
      <c r="B250" s="117" t="str">
        <f t="array" ref="B250">XLOOKUP(C250,'Off-Boarding'!B:B,'Off-Boarding'!E:E)</f>
        <v>#N/A</v>
      </c>
      <c r="C250" s="117" t="s">
        <v>2226</v>
      </c>
      <c r="D250" s="410">
        <v>45916.25727417972</v>
      </c>
      <c r="E250" s="117" t="s">
        <v>7771</v>
      </c>
      <c r="F250" s="117" t="s">
        <v>5632</v>
      </c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6"/>
      <c r="V250" s="116"/>
      <c r="W250" s="116"/>
      <c r="X250" s="116"/>
      <c r="Y250" s="116"/>
      <c r="Z250" s="116"/>
      <c r="AA250" s="116"/>
    </row>
    <row r="251" hidden="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6"/>
      <c r="V251" s="116"/>
      <c r="W251" s="116"/>
      <c r="X251" s="116"/>
      <c r="Y251" s="116"/>
      <c r="Z251" s="116"/>
      <c r="AA251" s="116"/>
    </row>
    <row r="252" hidden="1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6"/>
      <c r="V252" s="116"/>
      <c r="W252" s="116"/>
      <c r="X252" s="116"/>
      <c r="Y252" s="116"/>
      <c r="Z252" s="116"/>
      <c r="AA252" s="116"/>
    </row>
    <row r="253" hidden="1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6"/>
      <c r="V253" s="116"/>
      <c r="W253" s="116"/>
      <c r="X253" s="116"/>
      <c r="Y253" s="116"/>
      <c r="Z253" s="116"/>
      <c r="AA253" s="116"/>
    </row>
    <row r="254" hidden="1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6"/>
      <c r="V254" s="116"/>
      <c r="W254" s="116"/>
      <c r="X254" s="116"/>
      <c r="Y254" s="116"/>
      <c r="Z254" s="116"/>
      <c r="AA254" s="116"/>
    </row>
    <row r="255" hidden="1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6"/>
      <c r="V255" s="116"/>
      <c r="W255" s="116"/>
      <c r="X255" s="116"/>
      <c r="Y255" s="116"/>
      <c r="Z255" s="116"/>
      <c r="AA255" s="116"/>
    </row>
    <row r="256" hidden="1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6"/>
      <c r="V256" s="116"/>
      <c r="W256" s="116"/>
      <c r="X256" s="116"/>
      <c r="Y256" s="116"/>
      <c r="Z256" s="116"/>
      <c r="AA256" s="116"/>
    </row>
    <row r="257" hidden="1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6"/>
      <c r="V257" s="116"/>
      <c r="W257" s="116"/>
      <c r="X257" s="116"/>
      <c r="Y257" s="116"/>
      <c r="Z257" s="116"/>
      <c r="AA257" s="116"/>
    </row>
    <row r="258" hidden="1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6"/>
      <c r="V258" s="116"/>
      <c r="W258" s="116"/>
      <c r="X258" s="116"/>
      <c r="Y258" s="116"/>
      <c r="Z258" s="116"/>
      <c r="AA258" s="116"/>
    </row>
    <row r="259" hidden="1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6"/>
      <c r="V259" s="116"/>
      <c r="W259" s="116"/>
      <c r="X259" s="116"/>
      <c r="Y259" s="116"/>
      <c r="Z259" s="116"/>
      <c r="AA259" s="116"/>
    </row>
    <row r="260" hidden="1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6"/>
      <c r="V260" s="116"/>
      <c r="W260" s="116"/>
      <c r="X260" s="116"/>
      <c r="Y260" s="116"/>
      <c r="Z260" s="116"/>
      <c r="AA260" s="116"/>
    </row>
    <row r="261" hidden="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6"/>
      <c r="V261" s="116"/>
      <c r="W261" s="116"/>
      <c r="X261" s="116"/>
      <c r="Y261" s="116"/>
      <c r="Z261" s="116"/>
      <c r="AA261" s="116"/>
    </row>
    <row r="262" hidden="1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6"/>
      <c r="V262" s="116"/>
      <c r="W262" s="116"/>
      <c r="X262" s="116"/>
      <c r="Y262" s="116"/>
      <c r="Z262" s="116"/>
      <c r="AA262" s="116"/>
    </row>
    <row r="263" hidden="1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6"/>
      <c r="V263" s="116"/>
      <c r="W263" s="116"/>
      <c r="X263" s="116"/>
      <c r="Y263" s="116"/>
      <c r="Z263" s="116"/>
      <c r="AA263" s="116"/>
    </row>
    <row r="264" hidden="1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6"/>
      <c r="V264" s="116"/>
      <c r="W264" s="116"/>
      <c r="X264" s="116"/>
      <c r="Y264" s="116"/>
      <c r="Z264" s="116"/>
      <c r="AA264" s="116"/>
    </row>
    <row r="265" hidden="1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6"/>
      <c r="V265" s="116"/>
      <c r="W265" s="116"/>
      <c r="X265" s="116"/>
      <c r="Y265" s="116"/>
      <c r="Z265" s="116"/>
      <c r="AA265" s="116"/>
    </row>
    <row r="266" hidden="1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6"/>
      <c r="V266" s="116"/>
      <c r="W266" s="116"/>
      <c r="X266" s="116"/>
      <c r="Y266" s="116"/>
      <c r="Z266" s="116"/>
      <c r="AA266" s="116"/>
    </row>
    <row r="267" hidden="1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6"/>
      <c r="V267" s="116"/>
      <c r="W267" s="116"/>
      <c r="X267" s="116"/>
      <c r="Y267" s="116"/>
      <c r="Z267" s="116"/>
      <c r="AA267" s="116"/>
    </row>
    <row r="268" hidden="1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6"/>
      <c r="V268" s="116"/>
      <c r="W268" s="116"/>
      <c r="X268" s="116"/>
      <c r="Y268" s="116"/>
      <c r="Z268" s="116"/>
      <c r="AA268" s="116"/>
    </row>
    <row r="269" hidden="1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6"/>
      <c r="V269" s="116"/>
      <c r="W269" s="116"/>
      <c r="X269" s="116"/>
      <c r="Y269" s="116"/>
      <c r="Z269" s="116"/>
      <c r="AA269" s="116"/>
    </row>
    <row r="270" hidden="1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6"/>
      <c r="V270" s="116"/>
      <c r="W270" s="116"/>
      <c r="X270" s="116"/>
      <c r="Y270" s="116"/>
      <c r="Z270" s="116"/>
      <c r="AA270" s="116"/>
    </row>
    <row r="271" hidden="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6"/>
      <c r="V271" s="116"/>
      <c r="W271" s="116"/>
      <c r="X271" s="116"/>
      <c r="Y271" s="116"/>
      <c r="Z271" s="116"/>
      <c r="AA271" s="116"/>
    </row>
    <row r="272" hidden="1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6"/>
      <c r="V272" s="116"/>
      <c r="W272" s="116"/>
      <c r="X272" s="116"/>
      <c r="Y272" s="116"/>
      <c r="Z272" s="116"/>
      <c r="AA272" s="116"/>
    </row>
    <row r="273" hidden="1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6"/>
      <c r="V273" s="116"/>
      <c r="W273" s="116"/>
      <c r="X273" s="116"/>
      <c r="Y273" s="116"/>
      <c r="Z273" s="116"/>
      <c r="AA273" s="116"/>
    </row>
    <row r="274" hidden="1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6"/>
      <c r="V274" s="116"/>
      <c r="W274" s="116"/>
      <c r="X274" s="116"/>
      <c r="Y274" s="116"/>
      <c r="Z274" s="116"/>
      <c r="AA274" s="116"/>
    </row>
    <row r="275" hidden="1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6"/>
      <c r="V275" s="116"/>
      <c r="W275" s="116"/>
      <c r="X275" s="116"/>
      <c r="Y275" s="116"/>
      <c r="Z275" s="116"/>
      <c r="AA275" s="116"/>
    </row>
    <row r="276" hidden="1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6"/>
      <c r="V276" s="116"/>
      <c r="W276" s="116"/>
      <c r="X276" s="116"/>
      <c r="Y276" s="116"/>
      <c r="Z276" s="116"/>
      <c r="AA276" s="116"/>
    </row>
    <row r="277" hidden="1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6"/>
      <c r="V277" s="116"/>
      <c r="W277" s="116"/>
      <c r="X277" s="116"/>
      <c r="Y277" s="116"/>
      <c r="Z277" s="116"/>
      <c r="AA277" s="116"/>
    </row>
    <row r="278" hidden="1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6"/>
      <c r="V278" s="116"/>
      <c r="W278" s="116"/>
      <c r="X278" s="116"/>
      <c r="Y278" s="116"/>
      <c r="Z278" s="116"/>
      <c r="AA278" s="116"/>
    </row>
    <row r="279" hidden="1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6"/>
      <c r="V279" s="116"/>
      <c r="W279" s="116"/>
      <c r="X279" s="116"/>
      <c r="Y279" s="116"/>
      <c r="Z279" s="116"/>
      <c r="AA279" s="116"/>
    </row>
    <row r="280" hidden="1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6"/>
      <c r="V280" s="116"/>
      <c r="W280" s="116"/>
      <c r="X280" s="116"/>
      <c r="Y280" s="116"/>
      <c r="Z280" s="116"/>
      <c r="AA280" s="116"/>
    </row>
    <row r="281" hidden="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6"/>
      <c r="V281" s="116"/>
      <c r="W281" s="116"/>
      <c r="X281" s="116"/>
      <c r="Y281" s="116"/>
      <c r="Z281" s="116"/>
      <c r="AA281" s="116"/>
    </row>
    <row r="282" hidden="1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6"/>
      <c r="V282" s="116"/>
      <c r="W282" s="116"/>
      <c r="X282" s="116"/>
      <c r="Y282" s="116"/>
      <c r="Z282" s="116"/>
      <c r="AA282" s="116"/>
    </row>
    <row r="283" hidden="1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6"/>
      <c r="V283" s="116"/>
      <c r="W283" s="116"/>
      <c r="X283" s="116"/>
      <c r="Y283" s="116"/>
      <c r="Z283" s="116"/>
      <c r="AA283" s="116"/>
    </row>
    <row r="284" hidden="1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6"/>
      <c r="V284" s="116"/>
      <c r="W284" s="116"/>
      <c r="X284" s="116"/>
      <c r="Y284" s="116"/>
      <c r="Z284" s="116"/>
      <c r="AA284" s="116"/>
    </row>
    <row r="285" hidden="1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6"/>
      <c r="V285" s="116"/>
      <c r="W285" s="116"/>
      <c r="X285" s="116"/>
      <c r="Y285" s="116"/>
      <c r="Z285" s="116"/>
      <c r="AA285" s="116"/>
    </row>
    <row r="286" hidden="1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6"/>
      <c r="V286" s="116"/>
      <c r="W286" s="116"/>
      <c r="X286" s="116"/>
      <c r="Y286" s="116"/>
      <c r="Z286" s="116"/>
      <c r="AA286" s="116"/>
    </row>
    <row r="287" hidden="1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6"/>
      <c r="V287" s="116"/>
      <c r="W287" s="116"/>
      <c r="X287" s="116"/>
      <c r="Y287" s="116"/>
      <c r="Z287" s="116"/>
      <c r="AA287" s="116"/>
    </row>
    <row r="288" hidden="1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6"/>
      <c r="V288" s="116"/>
      <c r="W288" s="116"/>
      <c r="X288" s="116"/>
      <c r="Y288" s="116"/>
      <c r="Z288" s="116"/>
      <c r="AA288" s="116"/>
    </row>
    <row r="289" hidden="1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6"/>
      <c r="V289" s="116"/>
      <c r="W289" s="116"/>
      <c r="X289" s="116"/>
      <c r="Y289" s="116"/>
      <c r="Z289" s="116"/>
      <c r="AA289" s="116"/>
    </row>
    <row r="290" hidden="1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6"/>
      <c r="V290" s="116"/>
      <c r="W290" s="116"/>
      <c r="X290" s="116"/>
      <c r="Y290" s="116"/>
      <c r="Z290" s="116"/>
      <c r="AA290" s="116"/>
    </row>
    <row r="291" hidden="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6"/>
      <c r="V291" s="116"/>
      <c r="W291" s="116"/>
      <c r="X291" s="116"/>
      <c r="Y291" s="116"/>
      <c r="Z291" s="116"/>
      <c r="AA291" s="116"/>
    </row>
    <row r="292" hidden="1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6"/>
      <c r="V292" s="116"/>
      <c r="W292" s="116"/>
      <c r="X292" s="116"/>
      <c r="Y292" s="116"/>
      <c r="Z292" s="116"/>
      <c r="AA292" s="116"/>
    </row>
    <row r="293" hidden="1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6"/>
      <c r="V293" s="116"/>
      <c r="W293" s="116"/>
      <c r="X293" s="116"/>
      <c r="Y293" s="116"/>
      <c r="Z293" s="116"/>
      <c r="AA293" s="116"/>
    </row>
    <row r="294" hidden="1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6"/>
      <c r="V294" s="116"/>
      <c r="W294" s="116"/>
      <c r="X294" s="116"/>
      <c r="Y294" s="116"/>
      <c r="Z294" s="116"/>
      <c r="AA294" s="116"/>
    </row>
    <row r="295" hidden="1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6"/>
      <c r="V295" s="116"/>
      <c r="W295" s="116"/>
      <c r="X295" s="116"/>
      <c r="Y295" s="116"/>
      <c r="Z295" s="116"/>
      <c r="AA295" s="116"/>
    </row>
    <row r="296" hidden="1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6"/>
      <c r="V296" s="116"/>
      <c r="W296" s="116"/>
      <c r="X296" s="116"/>
      <c r="Y296" s="116"/>
      <c r="Z296" s="116"/>
      <c r="AA296" s="116"/>
    </row>
    <row r="297" hidden="1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6"/>
      <c r="V297" s="116"/>
      <c r="W297" s="116"/>
      <c r="X297" s="116"/>
      <c r="Y297" s="116"/>
      <c r="Z297" s="116"/>
      <c r="AA297" s="116"/>
    </row>
    <row r="298" hidden="1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6"/>
      <c r="V298" s="116"/>
      <c r="W298" s="116"/>
      <c r="X298" s="116"/>
      <c r="Y298" s="116"/>
      <c r="Z298" s="116"/>
      <c r="AA298" s="116"/>
    </row>
    <row r="299" hidden="1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6"/>
      <c r="V299" s="116"/>
      <c r="W299" s="116"/>
      <c r="X299" s="116"/>
      <c r="Y299" s="116"/>
      <c r="Z299" s="116"/>
      <c r="AA299" s="116"/>
    </row>
    <row r="300" hidden="1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6"/>
      <c r="V300" s="116"/>
      <c r="W300" s="116"/>
      <c r="X300" s="116"/>
      <c r="Y300" s="116"/>
      <c r="Z300" s="116"/>
      <c r="AA300" s="116"/>
    </row>
    <row r="301" hidden="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6"/>
      <c r="V301" s="116"/>
      <c r="W301" s="116"/>
      <c r="X301" s="116"/>
      <c r="Y301" s="116"/>
      <c r="Z301" s="116"/>
      <c r="AA301" s="116"/>
    </row>
    <row r="302" hidden="1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6"/>
      <c r="V302" s="116"/>
      <c r="W302" s="116"/>
      <c r="X302" s="116"/>
      <c r="Y302" s="116"/>
      <c r="Z302" s="116"/>
      <c r="AA302" s="116"/>
    </row>
    <row r="303" hidden="1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6"/>
      <c r="V303" s="116"/>
      <c r="W303" s="116"/>
      <c r="X303" s="116"/>
      <c r="Y303" s="116"/>
      <c r="Z303" s="116"/>
      <c r="AA303" s="116"/>
    </row>
    <row r="304" hidden="1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6"/>
      <c r="V304" s="116"/>
      <c r="W304" s="116"/>
      <c r="X304" s="116"/>
      <c r="Y304" s="116"/>
      <c r="Z304" s="116"/>
      <c r="AA304" s="116"/>
    </row>
    <row r="305" hidden="1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6"/>
      <c r="V305" s="116"/>
      <c r="W305" s="116"/>
      <c r="X305" s="116"/>
      <c r="Y305" s="116"/>
      <c r="Z305" s="116"/>
      <c r="AA305" s="116"/>
    </row>
    <row r="306" hidden="1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6"/>
      <c r="V306" s="116"/>
      <c r="W306" s="116"/>
      <c r="X306" s="116"/>
      <c r="Y306" s="116"/>
      <c r="Z306" s="116"/>
      <c r="AA306" s="116"/>
    </row>
    <row r="307" hidden="1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6"/>
      <c r="V307" s="116"/>
      <c r="W307" s="116"/>
      <c r="X307" s="116"/>
      <c r="Y307" s="116"/>
      <c r="Z307" s="116"/>
      <c r="AA307" s="116"/>
    </row>
    <row r="308" hidden="1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6"/>
      <c r="V308" s="116"/>
      <c r="W308" s="116"/>
      <c r="X308" s="116"/>
      <c r="Y308" s="116"/>
      <c r="Z308" s="116"/>
      <c r="AA308" s="116"/>
    </row>
    <row r="309" hidden="1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6"/>
      <c r="V309" s="116"/>
      <c r="W309" s="116"/>
      <c r="X309" s="116"/>
      <c r="Y309" s="116"/>
      <c r="Z309" s="116"/>
      <c r="AA309" s="116"/>
    </row>
    <row r="310" hidden="1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6"/>
      <c r="V310" s="116"/>
      <c r="W310" s="116"/>
      <c r="X310" s="116"/>
      <c r="Y310" s="116"/>
      <c r="Z310" s="116"/>
      <c r="AA310" s="116"/>
    </row>
    <row r="311" hidden="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6"/>
      <c r="V311" s="116"/>
      <c r="W311" s="116"/>
      <c r="X311" s="116"/>
      <c r="Y311" s="116"/>
      <c r="Z311" s="116"/>
      <c r="AA311" s="116"/>
    </row>
    <row r="312" hidden="1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6"/>
      <c r="V312" s="116"/>
      <c r="W312" s="116"/>
      <c r="X312" s="116"/>
      <c r="Y312" s="116"/>
      <c r="Z312" s="116"/>
      <c r="AA312" s="116"/>
    </row>
    <row r="313" hidden="1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6"/>
      <c r="V313" s="116"/>
      <c r="W313" s="116"/>
      <c r="X313" s="116"/>
      <c r="Y313" s="116"/>
      <c r="Z313" s="116"/>
      <c r="AA313" s="116"/>
    </row>
    <row r="314" hidden="1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6"/>
      <c r="V314" s="116"/>
      <c r="W314" s="116"/>
      <c r="X314" s="116"/>
      <c r="Y314" s="116"/>
      <c r="Z314" s="116"/>
      <c r="AA314" s="116"/>
    </row>
    <row r="315" hidden="1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6"/>
      <c r="V315" s="116"/>
      <c r="W315" s="116"/>
      <c r="X315" s="116"/>
      <c r="Y315" s="116"/>
      <c r="Z315" s="116"/>
      <c r="AA315" s="116"/>
    </row>
    <row r="316" hidden="1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6"/>
      <c r="V316" s="116"/>
      <c r="W316" s="116"/>
      <c r="X316" s="116"/>
      <c r="Y316" s="116"/>
      <c r="Z316" s="116"/>
      <c r="AA316" s="116"/>
    </row>
    <row r="317" hidden="1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6"/>
      <c r="V317" s="116"/>
      <c r="W317" s="116"/>
      <c r="X317" s="116"/>
      <c r="Y317" s="116"/>
      <c r="Z317" s="116"/>
      <c r="AA317" s="116"/>
    </row>
    <row r="318" hidden="1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6"/>
      <c r="V318" s="116"/>
      <c r="W318" s="116"/>
      <c r="X318" s="116"/>
      <c r="Y318" s="116"/>
      <c r="Z318" s="116"/>
      <c r="AA318" s="116"/>
    </row>
    <row r="319" hidden="1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6"/>
      <c r="V319" s="116"/>
      <c r="W319" s="116"/>
      <c r="X319" s="116"/>
      <c r="Y319" s="116"/>
      <c r="Z319" s="116"/>
      <c r="AA319" s="116"/>
    </row>
    <row r="320" hidden="1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6"/>
      <c r="V320" s="116"/>
      <c r="W320" s="116"/>
      <c r="X320" s="116"/>
      <c r="Y320" s="116"/>
      <c r="Z320" s="116"/>
      <c r="AA320" s="116"/>
    </row>
    <row r="321" hidden="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6"/>
      <c r="V321" s="116"/>
      <c r="W321" s="116"/>
      <c r="X321" s="116"/>
      <c r="Y321" s="116"/>
      <c r="Z321" s="116"/>
      <c r="AA321" s="116"/>
    </row>
    <row r="322" hidden="1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6"/>
      <c r="V322" s="116"/>
      <c r="W322" s="116"/>
      <c r="X322" s="116"/>
      <c r="Y322" s="116"/>
      <c r="Z322" s="116"/>
      <c r="AA322" s="116"/>
    </row>
    <row r="323" hidden="1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6"/>
      <c r="V323" s="116"/>
      <c r="W323" s="116"/>
      <c r="X323" s="116"/>
      <c r="Y323" s="116"/>
      <c r="Z323" s="116"/>
      <c r="AA323" s="116"/>
    </row>
    <row r="324" hidden="1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6"/>
      <c r="V324" s="116"/>
      <c r="W324" s="116"/>
      <c r="X324" s="116"/>
      <c r="Y324" s="116"/>
      <c r="Z324" s="116"/>
      <c r="AA324" s="116"/>
    </row>
    <row r="325" hidden="1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6"/>
      <c r="V325" s="116"/>
      <c r="W325" s="116"/>
      <c r="X325" s="116"/>
      <c r="Y325" s="116"/>
      <c r="Z325" s="116"/>
      <c r="AA325" s="116"/>
    </row>
    <row r="326" hidden="1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6"/>
      <c r="V326" s="116"/>
      <c r="W326" s="116"/>
      <c r="X326" s="116"/>
      <c r="Y326" s="116"/>
      <c r="Z326" s="116"/>
      <c r="AA326" s="116"/>
    </row>
    <row r="327" hidden="1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6"/>
      <c r="V327" s="116"/>
      <c r="W327" s="116"/>
      <c r="X327" s="116"/>
      <c r="Y327" s="116"/>
      <c r="Z327" s="116"/>
      <c r="AA327" s="116"/>
    </row>
    <row r="328" hidden="1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6"/>
      <c r="V328" s="116"/>
      <c r="W328" s="116"/>
      <c r="X328" s="116"/>
      <c r="Y328" s="116"/>
      <c r="Z328" s="116"/>
      <c r="AA328" s="116"/>
    </row>
    <row r="329" hidden="1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6"/>
      <c r="V329" s="116"/>
      <c r="W329" s="116"/>
      <c r="X329" s="116"/>
      <c r="Y329" s="116"/>
      <c r="Z329" s="116"/>
      <c r="AA329" s="116"/>
    </row>
    <row r="330" hidden="1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6"/>
      <c r="V330" s="116"/>
      <c r="W330" s="116"/>
      <c r="X330" s="116"/>
      <c r="Y330" s="116"/>
      <c r="Z330" s="116"/>
      <c r="AA330" s="116"/>
    </row>
    <row r="331" hidden="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6"/>
      <c r="V331" s="116"/>
      <c r="W331" s="116"/>
      <c r="X331" s="116"/>
      <c r="Y331" s="116"/>
      <c r="Z331" s="116"/>
      <c r="AA331" s="116"/>
    </row>
    <row r="332" hidden="1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6"/>
      <c r="V332" s="116"/>
      <c r="W332" s="116"/>
      <c r="X332" s="116"/>
      <c r="Y332" s="116"/>
      <c r="Z332" s="116"/>
      <c r="AA332" s="116"/>
    </row>
    <row r="333" hidden="1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6"/>
      <c r="V333" s="116"/>
      <c r="W333" s="116"/>
      <c r="X333" s="116"/>
      <c r="Y333" s="116"/>
      <c r="Z333" s="116"/>
      <c r="AA333" s="116"/>
    </row>
    <row r="334" hidden="1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6"/>
      <c r="V334" s="116"/>
      <c r="W334" s="116"/>
      <c r="X334" s="116"/>
      <c r="Y334" s="116"/>
      <c r="Z334" s="116"/>
      <c r="AA334" s="116"/>
    </row>
    <row r="335" hidden="1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6"/>
      <c r="V335" s="116"/>
      <c r="W335" s="116"/>
      <c r="X335" s="116"/>
      <c r="Y335" s="116"/>
      <c r="Z335" s="116"/>
      <c r="AA335" s="116"/>
    </row>
    <row r="336" hidden="1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6"/>
      <c r="V336" s="116"/>
      <c r="W336" s="116"/>
      <c r="X336" s="116"/>
      <c r="Y336" s="116"/>
      <c r="Z336" s="116"/>
      <c r="AA336" s="116"/>
    </row>
    <row r="337" hidden="1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6"/>
      <c r="V337" s="116"/>
      <c r="W337" s="116"/>
      <c r="X337" s="116"/>
      <c r="Y337" s="116"/>
      <c r="Z337" s="116"/>
      <c r="AA337" s="116"/>
    </row>
    <row r="338" hidden="1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6"/>
      <c r="V338" s="116"/>
      <c r="W338" s="116"/>
      <c r="X338" s="116"/>
      <c r="Y338" s="116"/>
      <c r="Z338" s="116"/>
      <c r="AA338" s="116"/>
    </row>
    <row r="339" hidden="1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6"/>
      <c r="V339" s="116"/>
      <c r="W339" s="116"/>
      <c r="X339" s="116"/>
      <c r="Y339" s="116"/>
      <c r="Z339" s="116"/>
      <c r="AA339" s="116"/>
    </row>
    <row r="340" hidden="1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6"/>
      <c r="V340" s="116"/>
      <c r="W340" s="116"/>
      <c r="X340" s="116"/>
      <c r="Y340" s="116"/>
      <c r="Z340" s="116"/>
      <c r="AA340" s="116"/>
    </row>
    <row r="341" hidden="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6"/>
      <c r="V341" s="116"/>
      <c r="W341" s="116"/>
      <c r="X341" s="116"/>
      <c r="Y341" s="116"/>
      <c r="Z341" s="116"/>
      <c r="AA341" s="116"/>
    </row>
    <row r="342" hidden="1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6"/>
      <c r="V342" s="116"/>
      <c r="W342" s="116"/>
      <c r="X342" s="116"/>
      <c r="Y342" s="116"/>
      <c r="Z342" s="116"/>
      <c r="AA342" s="116"/>
    </row>
    <row r="343" hidden="1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6"/>
      <c r="V343" s="116"/>
      <c r="W343" s="116"/>
      <c r="X343" s="116"/>
      <c r="Y343" s="116"/>
      <c r="Z343" s="116"/>
      <c r="AA343" s="116"/>
    </row>
    <row r="344" hidden="1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6"/>
      <c r="V344" s="116"/>
      <c r="W344" s="116"/>
      <c r="X344" s="116"/>
      <c r="Y344" s="116"/>
      <c r="Z344" s="116"/>
      <c r="AA344" s="116"/>
    </row>
    <row r="345" hidden="1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6"/>
      <c r="V345" s="116"/>
      <c r="W345" s="116"/>
      <c r="X345" s="116"/>
      <c r="Y345" s="116"/>
      <c r="Z345" s="116"/>
      <c r="AA345" s="116"/>
    </row>
    <row r="346" hidden="1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6"/>
      <c r="V346" s="116"/>
      <c r="W346" s="116"/>
      <c r="X346" s="116"/>
      <c r="Y346" s="116"/>
      <c r="Z346" s="116"/>
      <c r="AA346" s="116"/>
    </row>
    <row r="347" hidden="1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6"/>
      <c r="V347" s="116"/>
      <c r="W347" s="116"/>
      <c r="X347" s="116"/>
      <c r="Y347" s="116"/>
      <c r="Z347" s="116"/>
      <c r="AA347" s="116"/>
    </row>
    <row r="348" hidden="1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6"/>
      <c r="V348" s="116"/>
      <c r="W348" s="116"/>
      <c r="X348" s="116"/>
      <c r="Y348" s="116"/>
      <c r="Z348" s="116"/>
      <c r="AA348" s="116"/>
    </row>
    <row r="349" hidden="1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6"/>
      <c r="V349" s="116"/>
      <c r="W349" s="116"/>
      <c r="X349" s="116"/>
      <c r="Y349" s="116"/>
      <c r="Z349" s="116"/>
      <c r="AA349" s="116"/>
    </row>
    <row r="350" hidden="1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6"/>
      <c r="V350" s="116"/>
      <c r="W350" s="116"/>
      <c r="X350" s="116"/>
      <c r="Y350" s="116"/>
      <c r="Z350" s="116"/>
      <c r="AA350" s="116"/>
    </row>
    <row r="351" hidden="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6"/>
      <c r="V351" s="116"/>
      <c r="W351" s="116"/>
      <c r="X351" s="116"/>
      <c r="Y351" s="116"/>
      <c r="Z351" s="116"/>
      <c r="AA351" s="116"/>
    </row>
    <row r="352" hidden="1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6"/>
      <c r="V352" s="116"/>
      <c r="W352" s="116"/>
      <c r="X352" s="116"/>
      <c r="Y352" s="116"/>
      <c r="Z352" s="116"/>
      <c r="AA352" s="116"/>
    </row>
    <row r="353" hidden="1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6"/>
      <c r="V353" s="116"/>
      <c r="W353" s="116"/>
      <c r="X353" s="116"/>
      <c r="Y353" s="116"/>
      <c r="Z353" s="116"/>
      <c r="AA353" s="116"/>
    </row>
    <row r="354" hidden="1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6"/>
      <c r="V354" s="116"/>
      <c r="W354" s="116"/>
      <c r="X354" s="116"/>
      <c r="Y354" s="116"/>
      <c r="Z354" s="116"/>
      <c r="AA354" s="116"/>
    </row>
    <row r="355" hidden="1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6"/>
      <c r="V355" s="116"/>
      <c r="W355" s="116"/>
      <c r="X355" s="116"/>
      <c r="Y355" s="116"/>
      <c r="Z355" s="116"/>
      <c r="AA355" s="116"/>
    </row>
    <row r="356" hidden="1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6"/>
      <c r="V356" s="116"/>
      <c r="W356" s="116"/>
      <c r="X356" s="116"/>
      <c r="Y356" s="116"/>
      <c r="Z356" s="116"/>
      <c r="AA356" s="116"/>
    </row>
    <row r="357" hidden="1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6"/>
      <c r="V357" s="116"/>
      <c r="W357" s="116"/>
      <c r="X357" s="116"/>
      <c r="Y357" s="116"/>
      <c r="Z357" s="116"/>
      <c r="AA357" s="116"/>
    </row>
    <row r="358" hidden="1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6"/>
      <c r="V358" s="116"/>
      <c r="W358" s="116"/>
      <c r="X358" s="116"/>
      <c r="Y358" s="116"/>
      <c r="Z358" s="116"/>
      <c r="AA358" s="116"/>
    </row>
    <row r="359" hidden="1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6"/>
      <c r="V359" s="116"/>
      <c r="W359" s="116"/>
      <c r="X359" s="116"/>
      <c r="Y359" s="116"/>
      <c r="Z359" s="116"/>
      <c r="AA359" s="116"/>
    </row>
    <row r="360" hidden="1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6"/>
      <c r="V360" s="116"/>
      <c r="W360" s="116"/>
      <c r="X360" s="116"/>
      <c r="Y360" s="116"/>
      <c r="Z360" s="116"/>
      <c r="AA360" s="116"/>
    </row>
    <row r="361" hidden="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6"/>
      <c r="V361" s="116"/>
      <c r="W361" s="116"/>
      <c r="X361" s="116"/>
      <c r="Y361" s="116"/>
      <c r="Z361" s="116"/>
      <c r="AA361" s="116"/>
    </row>
    <row r="362" hidden="1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6"/>
      <c r="V362" s="116"/>
      <c r="W362" s="116"/>
      <c r="X362" s="116"/>
      <c r="Y362" s="116"/>
      <c r="Z362" s="116"/>
      <c r="AA362" s="116"/>
    </row>
    <row r="363" hidden="1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6"/>
      <c r="V363" s="116"/>
      <c r="W363" s="116"/>
      <c r="X363" s="116"/>
      <c r="Y363" s="116"/>
      <c r="Z363" s="116"/>
      <c r="AA363" s="116"/>
    </row>
    <row r="364" hidden="1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6"/>
      <c r="V364" s="116"/>
      <c r="W364" s="116"/>
      <c r="X364" s="116"/>
      <c r="Y364" s="116"/>
      <c r="Z364" s="116"/>
      <c r="AA364" s="116"/>
    </row>
    <row r="365" hidden="1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6"/>
      <c r="V365" s="116"/>
      <c r="W365" s="116"/>
      <c r="X365" s="116"/>
      <c r="Y365" s="116"/>
      <c r="Z365" s="116"/>
      <c r="AA365" s="116"/>
    </row>
    <row r="366" hidden="1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6"/>
      <c r="V366" s="116"/>
      <c r="W366" s="116"/>
      <c r="X366" s="116"/>
      <c r="Y366" s="116"/>
      <c r="Z366" s="116"/>
      <c r="AA366" s="116"/>
    </row>
    <row r="367" hidden="1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6"/>
      <c r="V367" s="116"/>
      <c r="W367" s="116"/>
      <c r="X367" s="116"/>
      <c r="Y367" s="116"/>
      <c r="Z367" s="116"/>
      <c r="AA367" s="116"/>
    </row>
    <row r="368" hidden="1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6"/>
      <c r="V368" s="116"/>
      <c r="W368" s="116"/>
      <c r="X368" s="116"/>
      <c r="Y368" s="116"/>
      <c r="Z368" s="116"/>
      <c r="AA368" s="116"/>
    </row>
    <row r="369" hidden="1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6"/>
      <c r="V369" s="116"/>
      <c r="W369" s="116"/>
      <c r="X369" s="116"/>
      <c r="Y369" s="116"/>
      <c r="Z369" s="116"/>
      <c r="AA369" s="116"/>
    </row>
    <row r="370" hidden="1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6"/>
      <c r="V370" s="116"/>
      <c r="W370" s="116"/>
      <c r="X370" s="116"/>
      <c r="Y370" s="116"/>
      <c r="Z370" s="116"/>
      <c r="AA370" s="116"/>
    </row>
    <row r="371" hidden="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6"/>
      <c r="V371" s="116"/>
      <c r="W371" s="116"/>
      <c r="X371" s="116"/>
      <c r="Y371" s="116"/>
      <c r="Z371" s="116"/>
      <c r="AA371" s="116"/>
    </row>
    <row r="372" hidden="1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6"/>
      <c r="V372" s="116"/>
      <c r="W372" s="116"/>
      <c r="X372" s="116"/>
      <c r="Y372" s="116"/>
      <c r="Z372" s="116"/>
      <c r="AA372" s="116"/>
    </row>
    <row r="373" hidden="1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6"/>
      <c r="V373" s="116"/>
      <c r="W373" s="116"/>
      <c r="X373" s="116"/>
      <c r="Y373" s="116"/>
      <c r="Z373" s="116"/>
      <c r="AA373" s="116"/>
    </row>
    <row r="374" hidden="1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6"/>
      <c r="V374" s="116"/>
      <c r="W374" s="116"/>
      <c r="X374" s="116"/>
      <c r="Y374" s="116"/>
      <c r="Z374" s="116"/>
      <c r="AA374" s="116"/>
    </row>
    <row r="375" hidden="1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6"/>
      <c r="V375" s="116"/>
      <c r="W375" s="116"/>
      <c r="X375" s="116"/>
      <c r="Y375" s="116"/>
      <c r="Z375" s="116"/>
      <c r="AA375" s="116"/>
    </row>
    <row r="376" hidden="1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6"/>
      <c r="V376" s="116"/>
      <c r="W376" s="116"/>
      <c r="X376" s="116"/>
      <c r="Y376" s="116"/>
      <c r="Z376" s="116"/>
      <c r="AA376" s="116"/>
    </row>
    <row r="377" hidden="1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6"/>
      <c r="V377" s="116"/>
      <c r="W377" s="116"/>
      <c r="X377" s="116"/>
      <c r="Y377" s="116"/>
      <c r="Z377" s="116"/>
      <c r="AA377" s="116"/>
    </row>
    <row r="378" hidden="1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6"/>
      <c r="V378" s="116"/>
      <c r="W378" s="116"/>
      <c r="X378" s="116"/>
      <c r="Y378" s="116"/>
      <c r="Z378" s="116"/>
      <c r="AA378" s="116"/>
    </row>
    <row r="379" hidden="1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6"/>
      <c r="V379" s="116"/>
      <c r="W379" s="116"/>
      <c r="X379" s="116"/>
      <c r="Y379" s="116"/>
      <c r="Z379" s="116"/>
      <c r="AA379" s="116"/>
    </row>
    <row r="380" hidden="1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6"/>
      <c r="V380" s="116"/>
      <c r="W380" s="116"/>
      <c r="X380" s="116"/>
      <c r="Y380" s="116"/>
      <c r="Z380" s="116"/>
      <c r="AA380" s="116"/>
    </row>
    <row r="381" hidden="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6"/>
      <c r="V381" s="116"/>
      <c r="W381" s="116"/>
      <c r="X381" s="116"/>
      <c r="Y381" s="116"/>
      <c r="Z381" s="116"/>
      <c r="AA381" s="116"/>
    </row>
    <row r="382" hidden="1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6"/>
      <c r="V382" s="116"/>
      <c r="W382" s="116"/>
      <c r="X382" s="116"/>
      <c r="Y382" s="116"/>
      <c r="Z382" s="116"/>
      <c r="AA382" s="116"/>
    </row>
    <row r="383" hidden="1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6"/>
      <c r="V383" s="116"/>
      <c r="W383" s="116"/>
      <c r="X383" s="116"/>
      <c r="Y383" s="116"/>
      <c r="Z383" s="116"/>
      <c r="AA383" s="116"/>
    </row>
    <row r="384" hidden="1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6"/>
      <c r="V384" s="116"/>
      <c r="W384" s="116"/>
      <c r="X384" s="116"/>
      <c r="Y384" s="116"/>
      <c r="Z384" s="116"/>
      <c r="AA384" s="116"/>
    </row>
    <row r="385" hidden="1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6"/>
      <c r="V385" s="116"/>
      <c r="W385" s="116"/>
      <c r="X385" s="116"/>
      <c r="Y385" s="116"/>
      <c r="Z385" s="116"/>
      <c r="AA385" s="116"/>
    </row>
    <row r="386" hidden="1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6"/>
      <c r="V386" s="116"/>
      <c r="W386" s="116"/>
      <c r="X386" s="116"/>
      <c r="Y386" s="116"/>
      <c r="Z386" s="116"/>
      <c r="AA386" s="116"/>
    </row>
    <row r="387" hidden="1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6"/>
      <c r="V387" s="116"/>
      <c r="W387" s="116"/>
      <c r="X387" s="116"/>
      <c r="Y387" s="116"/>
      <c r="Z387" s="116"/>
      <c r="AA387" s="116"/>
    </row>
    <row r="388" hidden="1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6"/>
      <c r="V388" s="116"/>
      <c r="W388" s="116"/>
      <c r="X388" s="116"/>
      <c r="Y388" s="116"/>
      <c r="Z388" s="116"/>
      <c r="AA388" s="116"/>
    </row>
    <row r="389" hidden="1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6"/>
      <c r="V389" s="116"/>
      <c r="W389" s="116"/>
      <c r="X389" s="116"/>
      <c r="Y389" s="116"/>
      <c r="Z389" s="116"/>
      <c r="AA389" s="116"/>
    </row>
    <row r="390" hidden="1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6"/>
      <c r="V390" s="116"/>
      <c r="W390" s="116"/>
      <c r="X390" s="116"/>
      <c r="Y390" s="116"/>
      <c r="Z390" s="116"/>
      <c r="AA390" s="116"/>
    </row>
    <row r="391" hidden="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6"/>
      <c r="V391" s="116"/>
      <c r="W391" s="116"/>
      <c r="X391" s="116"/>
      <c r="Y391" s="116"/>
      <c r="Z391" s="116"/>
      <c r="AA391" s="116"/>
    </row>
    <row r="392" hidden="1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6"/>
      <c r="V392" s="116"/>
      <c r="W392" s="116"/>
      <c r="X392" s="116"/>
      <c r="Y392" s="116"/>
      <c r="Z392" s="116"/>
      <c r="AA392" s="116"/>
    </row>
    <row r="393" hidden="1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6"/>
      <c r="V393" s="116"/>
      <c r="W393" s="116"/>
      <c r="X393" s="116"/>
      <c r="Y393" s="116"/>
      <c r="Z393" s="116"/>
      <c r="AA393" s="116"/>
    </row>
    <row r="394" hidden="1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6"/>
      <c r="V394" s="116"/>
      <c r="W394" s="116"/>
      <c r="X394" s="116"/>
      <c r="Y394" s="116"/>
      <c r="Z394" s="116"/>
      <c r="AA394" s="116"/>
    </row>
    <row r="395" hidden="1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6"/>
      <c r="V395" s="116"/>
      <c r="W395" s="116"/>
      <c r="X395" s="116"/>
      <c r="Y395" s="116"/>
      <c r="Z395" s="116"/>
      <c r="AA395" s="116"/>
    </row>
    <row r="396" hidden="1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6"/>
      <c r="V396" s="116"/>
      <c r="W396" s="116"/>
      <c r="X396" s="116"/>
      <c r="Y396" s="116"/>
      <c r="Z396" s="116"/>
      <c r="AA396" s="116"/>
    </row>
    <row r="397" hidden="1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6"/>
      <c r="V397" s="116"/>
      <c r="W397" s="116"/>
      <c r="X397" s="116"/>
      <c r="Y397" s="116"/>
      <c r="Z397" s="116"/>
      <c r="AA397" s="116"/>
    </row>
    <row r="398" hidden="1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6"/>
      <c r="V398" s="116"/>
      <c r="W398" s="116"/>
      <c r="X398" s="116"/>
      <c r="Y398" s="116"/>
      <c r="Z398" s="116"/>
      <c r="AA398" s="116"/>
    </row>
    <row r="399" hidden="1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6"/>
      <c r="V399" s="116"/>
      <c r="W399" s="116"/>
      <c r="X399" s="116"/>
      <c r="Y399" s="116"/>
      <c r="Z399" s="116"/>
      <c r="AA399" s="116"/>
    </row>
    <row r="400" hidden="1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6"/>
      <c r="V400" s="116"/>
      <c r="W400" s="116"/>
      <c r="X400" s="116"/>
      <c r="Y400" s="116"/>
      <c r="Z400" s="116"/>
      <c r="AA400" s="116"/>
    </row>
    <row r="401" hidden="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6"/>
      <c r="V401" s="116"/>
      <c r="W401" s="116"/>
      <c r="X401" s="116"/>
      <c r="Y401" s="116"/>
      <c r="Z401" s="116"/>
      <c r="AA401" s="116"/>
    </row>
    <row r="402" hidden="1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6"/>
      <c r="V402" s="116"/>
      <c r="W402" s="116"/>
      <c r="X402" s="116"/>
      <c r="Y402" s="116"/>
      <c r="Z402" s="116"/>
      <c r="AA402" s="116"/>
    </row>
    <row r="403" hidden="1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6"/>
      <c r="V403" s="116"/>
      <c r="W403" s="116"/>
      <c r="X403" s="116"/>
      <c r="Y403" s="116"/>
      <c r="Z403" s="116"/>
      <c r="AA403" s="116"/>
    </row>
    <row r="404" hidden="1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6"/>
      <c r="V404" s="116"/>
      <c r="W404" s="116"/>
      <c r="X404" s="116"/>
      <c r="Y404" s="116"/>
      <c r="Z404" s="116"/>
      <c r="AA404" s="116"/>
    </row>
    <row r="405" hidden="1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6"/>
      <c r="V405" s="116"/>
      <c r="W405" s="116"/>
      <c r="X405" s="116"/>
      <c r="Y405" s="116"/>
      <c r="Z405" s="116"/>
      <c r="AA405" s="116"/>
    </row>
    <row r="406" hidden="1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6"/>
      <c r="V406" s="116"/>
      <c r="W406" s="116"/>
      <c r="X406" s="116"/>
      <c r="Y406" s="116"/>
      <c r="Z406" s="116"/>
      <c r="AA406" s="116"/>
    </row>
    <row r="407" hidden="1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6"/>
      <c r="V407" s="116"/>
      <c r="W407" s="116"/>
      <c r="X407" s="116"/>
      <c r="Y407" s="116"/>
      <c r="Z407" s="116"/>
      <c r="AA407" s="116"/>
    </row>
    <row r="408" hidden="1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6"/>
      <c r="V408" s="116"/>
      <c r="W408" s="116"/>
      <c r="X408" s="116"/>
      <c r="Y408" s="116"/>
      <c r="Z408" s="116"/>
      <c r="AA408" s="116"/>
    </row>
    <row r="409" hidden="1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6"/>
      <c r="V409" s="116"/>
      <c r="W409" s="116"/>
      <c r="X409" s="116"/>
      <c r="Y409" s="116"/>
      <c r="Z409" s="116"/>
      <c r="AA409" s="116"/>
    </row>
    <row r="410" hidden="1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6"/>
      <c r="V410" s="116"/>
      <c r="W410" s="116"/>
      <c r="X410" s="116"/>
      <c r="Y410" s="116"/>
      <c r="Z410" s="116"/>
      <c r="AA410" s="116"/>
    </row>
    <row r="411" hidden="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6"/>
      <c r="V411" s="116"/>
      <c r="W411" s="116"/>
      <c r="X411" s="116"/>
      <c r="Y411" s="116"/>
      <c r="Z411" s="116"/>
      <c r="AA411" s="116"/>
    </row>
    <row r="412" hidden="1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6"/>
      <c r="V412" s="116"/>
      <c r="W412" s="116"/>
      <c r="X412" s="116"/>
      <c r="Y412" s="116"/>
      <c r="Z412" s="116"/>
      <c r="AA412" s="116"/>
    </row>
    <row r="413" hidden="1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6"/>
      <c r="V413" s="116"/>
      <c r="W413" s="116"/>
      <c r="X413" s="116"/>
      <c r="Y413" s="116"/>
      <c r="Z413" s="116"/>
      <c r="AA413" s="116"/>
    </row>
    <row r="414" hidden="1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6"/>
      <c r="V414" s="116"/>
      <c r="W414" s="116"/>
      <c r="X414" s="116"/>
      <c r="Y414" s="116"/>
      <c r="Z414" s="116"/>
      <c r="AA414" s="116"/>
    </row>
    <row r="415" hidden="1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6"/>
      <c r="V415" s="116"/>
      <c r="W415" s="116"/>
      <c r="X415" s="116"/>
      <c r="Y415" s="116"/>
      <c r="Z415" s="116"/>
      <c r="AA415" s="116"/>
    </row>
    <row r="416" hidden="1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6"/>
      <c r="V416" s="116"/>
      <c r="W416" s="116"/>
      <c r="X416" s="116"/>
      <c r="Y416" s="116"/>
      <c r="Z416" s="116"/>
      <c r="AA416" s="116"/>
    </row>
    <row r="417" hidden="1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6"/>
      <c r="V417" s="116"/>
      <c r="W417" s="116"/>
      <c r="X417" s="116"/>
      <c r="Y417" s="116"/>
      <c r="Z417" s="116"/>
      <c r="AA417" s="116"/>
    </row>
    <row r="418" hidden="1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6"/>
      <c r="V418" s="116"/>
      <c r="W418" s="116"/>
      <c r="X418" s="116"/>
      <c r="Y418" s="116"/>
      <c r="Z418" s="116"/>
      <c r="AA418" s="116"/>
    </row>
    <row r="419" hidden="1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6"/>
      <c r="V419" s="116"/>
      <c r="W419" s="116"/>
      <c r="X419" s="116"/>
      <c r="Y419" s="116"/>
      <c r="Z419" s="116"/>
      <c r="AA419" s="116"/>
    </row>
    <row r="420" hidden="1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6"/>
      <c r="V420" s="116"/>
      <c r="W420" s="116"/>
      <c r="X420" s="116"/>
      <c r="Y420" s="116"/>
      <c r="Z420" s="116"/>
      <c r="AA420" s="116"/>
    </row>
    <row r="421" hidden="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6"/>
      <c r="V421" s="116"/>
      <c r="W421" s="116"/>
      <c r="X421" s="116"/>
      <c r="Y421" s="116"/>
      <c r="Z421" s="116"/>
      <c r="AA421" s="116"/>
    </row>
    <row r="422" hidden="1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6"/>
      <c r="V422" s="116"/>
      <c r="W422" s="116"/>
      <c r="X422" s="116"/>
      <c r="Y422" s="116"/>
      <c r="Z422" s="116"/>
      <c r="AA422" s="116"/>
    </row>
    <row r="423" hidden="1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6"/>
      <c r="V423" s="116"/>
      <c r="W423" s="116"/>
      <c r="X423" s="116"/>
      <c r="Y423" s="116"/>
      <c r="Z423" s="116"/>
      <c r="AA423" s="116"/>
    </row>
    <row r="424" hidden="1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6"/>
      <c r="V424" s="116"/>
      <c r="W424" s="116"/>
      <c r="X424" s="116"/>
      <c r="Y424" s="116"/>
      <c r="Z424" s="116"/>
      <c r="AA424" s="116"/>
    </row>
    <row r="425" hidden="1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6"/>
      <c r="V425" s="116"/>
      <c r="W425" s="116"/>
      <c r="X425" s="116"/>
      <c r="Y425" s="116"/>
      <c r="Z425" s="116"/>
      <c r="AA425" s="116"/>
    </row>
    <row r="426" hidden="1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6"/>
      <c r="V426" s="116"/>
      <c r="W426" s="116"/>
      <c r="X426" s="116"/>
      <c r="Y426" s="116"/>
      <c r="Z426" s="116"/>
      <c r="AA426" s="116"/>
    </row>
    <row r="427" hidden="1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6"/>
      <c r="V427" s="116"/>
      <c r="W427" s="116"/>
      <c r="X427" s="116"/>
      <c r="Y427" s="116"/>
      <c r="Z427" s="116"/>
      <c r="AA427" s="116"/>
    </row>
    <row r="428" hidden="1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6"/>
      <c r="V428" s="116"/>
      <c r="W428" s="116"/>
      <c r="X428" s="116"/>
      <c r="Y428" s="116"/>
      <c r="Z428" s="116"/>
      <c r="AA428" s="116"/>
    </row>
    <row r="429" hidden="1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6"/>
      <c r="V429" s="116"/>
      <c r="W429" s="116"/>
      <c r="X429" s="116"/>
      <c r="Y429" s="116"/>
      <c r="Z429" s="116"/>
      <c r="AA429" s="116"/>
    </row>
    <row r="430" hidden="1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6"/>
      <c r="V430" s="116"/>
      <c r="W430" s="116"/>
      <c r="X430" s="116"/>
      <c r="Y430" s="116"/>
      <c r="Z430" s="116"/>
      <c r="AA430" s="116"/>
    </row>
    <row r="431" hidden="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6"/>
      <c r="V431" s="116"/>
      <c r="W431" s="116"/>
      <c r="X431" s="116"/>
      <c r="Y431" s="116"/>
      <c r="Z431" s="116"/>
      <c r="AA431" s="116"/>
    </row>
    <row r="432" hidden="1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6"/>
      <c r="V432" s="116"/>
      <c r="W432" s="116"/>
      <c r="X432" s="116"/>
      <c r="Y432" s="116"/>
      <c r="Z432" s="116"/>
      <c r="AA432" s="116"/>
    </row>
    <row r="433" hidden="1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6"/>
      <c r="V433" s="116"/>
      <c r="W433" s="116"/>
      <c r="X433" s="116"/>
      <c r="Y433" s="116"/>
      <c r="Z433" s="116"/>
      <c r="AA433" s="116"/>
    </row>
    <row r="434" hidden="1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6"/>
      <c r="V434" s="116"/>
      <c r="W434" s="116"/>
      <c r="X434" s="116"/>
      <c r="Y434" s="116"/>
      <c r="Z434" s="116"/>
      <c r="AA434" s="116"/>
    </row>
    <row r="435" hidden="1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6"/>
      <c r="V435" s="116"/>
      <c r="W435" s="116"/>
      <c r="X435" s="116"/>
      <c r="Y435" s="116"/>
      <c r="Z435" s="116"/>
      <c r="AA435" s="116"/>
    </row>
    <row r="436" hidden="1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6"/>
      <c r="V436" s="116"/>
      <c r="W436" s="116"/>
      <c r="X436" s="116"/>
      <c r="Y436" s="116"/>
      <c r="Z436" s="116"/>
      <c r="AA436" s="116"/>
    </row>
    <row r="437" hidden="1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6"/>
      <c r="V437" s="116"/>
      <c r="W437" s="116"/>
      <c r="X437" s="116"/>
      <c r="Y437" s="116"/>
      <c r="Z437" s="116"/>
      <c r="AA437" s="116"/>
    </row>
    <row r="438" hidden="1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6"/>
      <c r="V438" s="116"/>
      <c r="W438" s="116"/>
      <c r="X438" s="116"/>
      <c r="Y438" s="116"/>
      <c r="Z438" s="116"/>
      <c r="AA438" s="116"/>
    </row>
    <row r="439" hidden="1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6"/>
      <c r="V439" s="116"/>
      <c r="W439" s="116"/>
      <c r="X439" s="116"/>
      <c r="Y439" s="116"/>
      <c r="Z439" s="116"/>
      <c r="AA439" s="116"/>
    </row>
    <row r="440" hidden="1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6"/>
      <c r="V440" s="116"/>
      <c r="W440" s="116"/>
      <c r="X440" s="116"/>
      <c r="Y440" s="116"/>
      <c r="Z440" s="116"/>
      <c r="AA440" s="116"/>
    </row>
    <row r="441" hidden="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6"/>
      <c r="V441" s="116"/>
      <c r="W441" s="116"/>
      <c r="X441" s="116"/>
      <c r="Y441" s="116"/>
      <c r="Z441" s="116"/>
      <c r="AA441" s="116"/>
    </row>
    <row r="442" hidden="1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6"/>
      <c r="V442" s="116"/>
      <c r="W442" s="116"/>
      <c r="X442" s="116"/>
      <c r="Y442" s="116"/>
      <c r="Z442" s="116"/>
      <c r="AA442" s="116"/>
    </row>
    <row r="443" hidden="1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6"/>
      <c r="V443" s="116"/>
      <c r="W443" s="116"/>
      <c r="X443" s="116"/>
      <c r="Y443" s="116"/>
      <c r="Z443" s="116"/>
      <c r="AA443" s="116"/>
    </row>
    <row r="444" hidden="1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6"/>
      <c r="V444" s="116"/>
      <c r="W444" s="116"/>
      <c r="X444" s="116"/>
      <c r="Y444" s="116"/>
      <c r="Z444" s="116"/>
      <c r="AA444" s="116"/>
    </row>
    <row r="445" hidden="1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6"/>
      <c r="V445" s="116"/>
      <c r="W445" s="116"/>
      <c r="X445" s="116"/>
      <c r="Y445" s="116"/>
      <c r="Z445" s="116"/>
      <c r="AA445" s="116"/>
    </row>
    <row r="446" hidden="1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6"/>
      <c r="V446" s="116"/>
      <c r="W446" s="116"/>
      <c r="X446" s="116"/>
      <c r="Y446" s="116"/>
      <c r="Z446" s="116"/>
      <c r="AA446" s="116"/>
    </row>
    <row r="447" hidden="1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6"/>
      <c r="V447" s="116"/>
      <c r="W447" s="116"/>
      <c r="X447" s="116"/>
      <c r="Y447" s="116"/>
      <c r="Z447" s="116"/>
      <c r="AA447" s="116"/>
    </row>
    <row r="448" hidden="1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6"/>
      <c r="V448" s="116"/>
      <c r="W448" s="116"/>
      <c r="X448" s="116"/>
      <c r="Y448" s="116"/>
      <c r="Z448" s="116"/>
      <c r="AA448" s="116"/>
    </row>
    <row r="449" hidden="1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6"/>
      <c r="V449" s="116"/>
      <c r="W449" s="116"/>
      <c r="X449" s="116"/>
      <c r="Y449" s="116"/>
      <c r="Z449" s="116"/>
      <c r="AA449" s="116"/>
    </row>
    <row r="450" hidden="1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6"/>
      <c r="V450" s="116"/>
      <c r="W450" s="116"/>
      <c r="X450" s="116"/>
      <c r="Y450" s="116"/>
      <c r="Z450" s="116"/>
      <c r="AA450" s="116"/>
    </row>
    <row r="451" hidden="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</row>
    <row r="452" hidden="1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6"/>
      <c r="V452" s="116"/>
      <c r="W452" s="116"/>
      <c r="X452" s="116"/>
      <c r="Y452" s="116"/>
      <c r="Z452" s="116"/>
      <c r="AA452" s="116"/>
    </row>
    <row r="453" hidden="1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6"/>
      <c r="V453" s="116"/>
      <c r="W453" s="116"/>
      <c r="X453" s="116"/>
      <c r="Y453" s="116"/>
      <c r="Z453" s="116"/>
      <c r="AA453" s="116"/>
    </row>
    <row r="454" hidden="1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6"/>
      <c r="V454" s="116"/>
      <c r="W454" s="116"/>
      <c r="X454" s="116"/>
      <c r="Y454" s="116"/>
      <c r="Z454" s="116"/>
      <c r="AA454" s="116"/>
    </row>
    <row r="455" hidden="1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6"/>
      <c r="V455" s="116"/>
      <c r="W455" s="116"/>
      <c r="X455" s="116"/>
      <c r="Y455" s="116"/>
      <c r="Z455" s="116"/>
      <c r="AA455" s="116"/>
    </row>
    <row r="456" hidden="1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6"/>
      <c r="V456" s="116"/>
      <c r="W456" s="116"/>
      <c r="X456" s="116"/>
      <c r="Y456" s="116"/>
      <c r="Z456" s="116"/>
      <c r="AA456" s="116"/>
    </row>
    <row r="457" hidden="1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6"/>
      <c r="V457" s="116"/>
      <c r="W457" s="116"/>
      <c r="X457" s="116"/>
      <c r="Y457" s="116"/>
      <c r="Z457" s="116"/>
      <c r="AA457" s="116"/>
    </row>
    <row r="458" hidden="1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6"/>
      <c r="V458" s="116"/>
      <c r="W458" s="116"/>
      <c r="X458" s="116"/>
      <c r="Y458" s="116"/>
      <c r="Z458" s="116"/>
      <c r="AA458" s="116"/>
    </row>
    <row r="459" hidden="1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6"/>
      <c r="V459" s="116"/>
      <c r="W459" s="116"/>
      <c r="X459" s="116"/>
      <c r="Y459" s="116"/>
      <c r="Z459" s="116"/>
      <c r="AA459" s="116"/>
    </row>
    <row r="460" hidden="1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6"/>
      <c r="V460" s="116"/>
      <c r="W460" s="116"/>
      <c r="X460" s="116"/>
      <c r="Y460" s="116"/>
      <c r="Z460" s="116"/>
      <c r="AA460" s="116"/>
    </row>
    <row r="461" hidden="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6"/>
      <c r="V461" s="116"/>
      <c r="W461" s="116"/>
      <c r="X461" s="116"/>
      <c r="Y461" s="116"/>
      <c r="Z461" s="116"/>
      <c r="AA461" s="116"/>
    </row>
    <row r="462" hidden="1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6"/>
      <c r="V462" s="116"/>
      <c r="W462" s="116"/>
      <c r="X462" s="116"/>
      <c r="Y462" s="116"/>
      <c r="Z462" s="116"/>
      <c r="AA462" s="116"/>
    </row>
    <row r="463" hidden="1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6"/>
      <c r="V463" s="116"/>
      <c r="W463" s="116"/>
      <c r="X463" s="116"/>
      <c r="Y463" s="116"/>
      <c r="Z463" s="116"/>
      <c r="AA463" s="116"/>
    </row>
    <row r="464" hidden="1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6"/>
      <c r="V464" s="116"/>
      <c r="W464" s="116"/>
      <c r="X464" s="116"/>
      <c r="Y464" s="116"/>
      <c r="Z464" s="116"/>
      <c r="AA464" s="116"/>
    </row>
    <row r="465" hidden="1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6"/>
      <c r="V465" s="116"/>
      <c r="W465" s="116"/>
      <c r="X465" s="116"/>
      <c r="Y465" s="116"/>
      <c r="Z465" s="116"/>
      <c r="AA465" s="116"/>
    </row>
    <row r="466" hidden="1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6"/>
      <c r="V466" s="116"/>
      <c r="W466" s="116"/>
      <c r="X466" s="116"/>
      <c r="Y466" s="116"/>
      <c r="Z466" s="116"/>
      <c r="AA466" s="116"/>
    </row>
    <row r="467" hidden="1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6"/>
      <c r="V467" s="116"/>
      <c r="W467" s="116"/>
      <c r="X467" s="116"/>
      <c r="Y467" s="116"/>
      <c r="Z467" s="116"/>
      <c r="AA467" s="116"/>
    </row>
    <row r="468" hidden="1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6"/>
      <c r="V468" s="116"/>
      <c r="W468" s="116"/>
      <c r="X468" s="116"/>
      <c r="Y468" s="116"/>
      <c r="Z468" s="116"/>
      <c r="AA468" s="116"/>
    </row>
    <row r="469" hidden="1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6"/>
      <c r="V469" s="116"/>
      <c r="W469" s="116"/>
      <c r="X469" s="116"/>
      <c r="Y469" s="116"/>
      <c r="Z469" s="116"/>
      <c r="AA469" s="116"/>
    </row>
    <row r="470" hidden="1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6"/>
      <c r="V470" s="116"/>
      <c r="W470" s="116"/>
      <c r="X470" s="116"/>
      <c r="Y470" s="116"/>
      <c r="Z470" s="116"/>
      <c r="AA470" s="116"/>
    </row>
    <row r="471" hidden="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6"/>
      <c r="V471" s="116"/>
      <c r="W471" s="116"/>
      <c r="X471" s="116"/>
      <c r="Y471" s="116"/>
      <c r="Z471" s="116"/>
      <c r="AA471" s="116"/>
    </row>
    <row r="472" hidden="1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6"/>
      <c r="V472" s="116"/>
      <c r="W472" s="116"/>
      <c r="X472" s="116"/>
      <c r="Y472" s="116"/>
      <c r="Z472" s="116"/>
      <c r="AA472" s="116"/>
    </row>
    <row r="473" hidden="1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6"/>
      <c r="V473" s="116"/>
      <c r="W473" s="116"/>
      <c r="X473" s="116"/>
      <c r="Y473" s="116"/>
      <c r="Z473" s="116"/>
      <c r="AA473" s="116"/>
    </row>
    <row r="474" hidden="1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6"/>
      <c r="V474" s="116"/>
      <c r="W474" s="116"/>
      <c r="X474" s="116"/>
      <c r="Y474" s="116"/>
      <c r="Z474" s="116"/>
      <c r="AA474" s="116"/>
    </row>
    <row r="475" hidden="1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6"/>
      <c r="V475" s="116"/>
      <c r="W475" s="116"/>
      <c r="X475" s="116"/>
      <c r="Y475" s="116"/>
      <c r="Z475" s="116"/>
      <c r="AA475" s="116"/>
    </row>
    <row r="476" hidden="1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6"/>
      <c r="V476" s="116"/>
      <c r="W476" s="116"/>
      <c r="X476" s="116"/>
      <c r="Y476" s="116"/>
      <c r="Z476" s="116"/>
      <c r="AA476" s="116"/>
    </row>
    <row r="477" hidden="1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6"/>
      <c r="V477" s="116"/>
      <c r="W477" s="116"/>
      <c r="X477" s="116"/>
      <c r="Y477" s="116"/>
      <c r="Z477" s="116"/>
      <c r="AA477" s="116"/>
    </row>
    <row r="478" hidden="1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6"/>
      <c r="V478" s="116"/>
      <c r="W478" s="116"/>
      <c r="X478" s="116"/>
      <c r="Y478" s="116"/>
      <c r="Z478" s="116"/>
      <c r="AA478" s="116"/>
    </row>
    <row r="479" hidden="1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6"/>
      <c r="V479" s="116"/>
      <c r="W479" s="116"/>
      <c r="X479" s="116"/>
      <c r="Y479" s="116"/>
      <c r="Z479" s="116"/>
      <c r="AA479" s="116"/>
    </row>
    <row r="480" hidden="1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6"/>
      <c r="V480" s="116"/>
      <c r="W480" s="116"/>
      <c r="X480" s="116"/>
      <c r="Y480" s="116"/>
      <c r="Z480" s="116"/>
      <c r="AA480" s="116"/>
    </row>
    <row r="481" hidden="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6"/>
      <c r="V481" s="116"/>
      <c r="W481" s="116"/>
      <c r="X481" s="116"/>
      <c r="Y481" s="116"/>
      <c r="Z481" s="116"/>
      <c r="AA481" s="116"/>
    </row>
    <row r="482" hidden="1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6"/>
      <c r="V482" s="116"/>
      <c r="W482" s="116"/>
      <c r="X482" s="116"/>
      <c r="Y482" s="116"/>
      <c r="Z482" s="116"/>
      <c r="AA482" s="116"/>
    </row>
    <row r="483" hidden="1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6"/>
      <c r="V483" s="116"/>
      <c r="W483" s="116"/>
      <c r="X483" s="116"/>
      <c r="Y483" s="116"/>
      <c r="Z483" s="116"/>
      <c r="AA483" s="116"/>
    </row>
    <row r="484" hidden="1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6"/>
      <c r="V484" s="116"/>
      <c r="W484" s="116"/>
      <c r="X484" s="116"/>
      <c r="Y484" s="116"/>
      <c r="Z484" s="116"/>
      <c r="AA484" s="116"/>
    </row>
    <row r="485" hidden="1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6"/>
      <c r="V485" s="116"/>
      <c r="W485" s="116"/>
      <c r="X485" s="116"/>
      <c r="Y485" s="116"/>
      <c r="Z485" s="116"/>
      <c r="AA485" s="116"/>
    </row>
    <row r="486" hidden="1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6"/>
      <c r="V486" s="116"/>
      <c r="W486" s="116"/>
      <c r="X486" s="116"/>
      <c r="Y486" s="116"/>
      <c r="Z486" s="116"/>
      <c r="AA486" s="116"/>
    </row>
    <row r="487" hidden="1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6"/>
      <c r="V487" s="116"/>
      <c r="W487" s="116"/>
      <c r="X487" s="116"/>
      <c r="Y487" s="116"/>
      <c r="Z487" s="116"/>
      <c r="AA487" s="116"/>
    </row>
    <row r="488" hidden="1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6"/>
      <c r="V488" s="116"/>
      <c r="W488" s="116"/>
      <c r="X488" s="116"/>
      <c r="Y488" s="116"/>
      <c r="Z488" s="116"/>
      <c r="AA488" s="116"/>
    </row>
    <row r="489" hidden="1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6"/>
      <c r="V489" s="116"/>
      <c r="W489" s="116"/>
      <c r="X489" s="116"/>
      <c r="Y489" s="116"/>
      <c r="Z489" s="116"/>
      <c r="AA489" s="116"/>
    </row>
    <row r="490" hidden="1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6"/>
      <c r="V490" s="116"/>
      <c r="W490" s="116"/>
      <c r="X490" s="116"/>
      <c r="Y490" s="116"/>
      <c r="Z490" s="116"/>
      <c r="AA490" s="116"/>
    </row>
    <row r="491" hidden="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6"/>
      <c r="V491" s="116"/>
      <c r="W491" s="116"/>
      <c r="X491" s="116"/>
      <c r="Y491" s="116"/>
      <c r="Z491" s="116"/>
      <c r="AA491" s="116"/>
    </row>
    <row r="492" hidden="1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6"/>
      <c r="V492" s="116"/>
      <c r="W492" s="116"/>
      <c r="X492" s="116"/>
      <c r="Y492" s="116"/>
      <c r="Z492" s="116"/>
      <c r="AA492" s="116"/>
    </row>
    <row r="493" hidden="1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6"/>
      <c r="V493" s="116"/>
      <c r="W493" s="116"/>
      <c r="X493" s="116"/>
      <c r="Y493" s="116"/>
      <c r="Z493" s="116"/>
      <c r="AA493" s="116"/>
    </row>
    <row r="494" hidden="1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6"/>
      <c r="V494" s="116"/>
      <c r="W494" s="116"/>
      <c r="X494" s="116"/>
      <c r="Y494" s="116"/>
      <c r="Z494" s="116"/>
      <c r="AA494" s="116"/>
    </row>
    <row r="495" hidden="1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6"/>
      <c r="V495" s="116"/>
      <c r="W495" s="116"/>
      <c r="X495" s="116"/>
      <c r="Y495" s="116"/>
      <c r="Z495" s="116"/>
      <c r="AA495" s="116"/>
    </row>
    <row r="496" hidden="1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6"/>
      <c r="V496" s="116"/>
      <c r="W496" s="116"/>
      <c r="X496" s="116"/>
      <c r="Y496" s="116"/>
      <c r="Z496" s="116"/>
      <c r="AA496" s="116"/>
    </row>
    <row r="497" hidden="1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6"/>
      <c r="V497" s="116"/>
      <c r="W497" s="116"/>
      <c r="X497" s="116"/>
      <c r="Y497" s="116"/>
      <c r="Z497" s="116"/>
      <c r="AA497" s="116"/>
    </row>
    <row r="498" hidden="1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6"/>
      <c r="V498" s="116"/>
      <c r="W498" s="116"/>
      <c r="X498" s="116"/>
      <c r="Y498" s="116"/>
      <c r="Z498" s="116"/>
      <c r="AA498" s="116"/>
    </row>
    <row r="499" hidden="1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6"/>
      <c r="V499" s="116"/>
      <c r="W499" s="116"/>
      <c r="X499" s="116"/>
      <c r="Y499" s="116"/>
      <c r="Z499" s="116"/>
      <c r="AA499" s="116"/>
    </row>
    <row r="500" hidden="1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6"/>
      <c r="V500" s="116"/>
      <c r="W500" s="116"/>
      <c r="X500" s="116"/>
      <c r="Y500" s="116"/>
      <c r="Z500" s="116"/>
      <c r="AA500" s="116"/>
    </row>
    <row r="501" hidden="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6"/>
      <c r="V501" s="116"/>
      <c r="W501" s="116"/>
      <c r="X501" s="116"/>
      <c r="Y501" s="116"/>
      <c r="Z501" s="116"/>
      <c r="AA501" s="116"/>
    </row>
    <row r="502" hidden="1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6"/>
      <c r="V502" s="116"/>
      <c r="W502" s="116"/>
      <c r="X502" s="116"/>
      <c r="Y502" s="116"/>
      <c r="Z502" s="116"/>
      <c r="AA502" s="116"/>
    </row>
    <row r="503" hidden="1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6"/>
      <c r="V503" s="116"/>
      <c r="W503" s="116"/>
      <c r="X503" s="116"/>
      <c r="Y503" s="116"/>
      <c r="Z503" s="116"/>
      <c r="AA503" s="116"/>
    </row>
    <row r="504" hidden="1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6"/>
      <c r="V504" s="116"/>
      <c r="W504" s="116"/>
      <c r="X504" s="116"/>
      <c r="Y504" s="116"/>
      <c r="Z504" s="116"/>
      <c r="AA504" s="116"/>
    </row>
    <row r="505" hidden="1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6"/>
      <c r="V505" s="116"/>
      <c r="W505" s="116"/>
      <c r="X505" s="116"/>
      <c r="Y505" s="116"/>
      <c r="Z505" s="116"/>
      <c r="AA505" s="116"/>
    </row>
    <row r="506" hidden="1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6"/>
      <c r="V506" s="116"/>
      <c r="W506" s="116"/>
      <c r="X506" s="116"/>
      <c r="Y506" s="116"/>
      <c r="Z506" s="116"/>
      <c r="AA506" s="116"/>
    </row>
    <row r="507" hidden="1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6"/>
      <c r="V507" s="116"/>
      <c r="W507" s="116"/>
      <c r="X507" s="116"/>
      <c r="Y507" s="116"/>
      <c r="Z507" s="116"/>
      <c r="AA507" s="116"/>
    </row>
    <row r="508" hidden="1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6"/>
      <c r="V508" s="116"/>
      <c r="W508" s="116"/>
      <c r="X508" s="116"/>
      <c r="Y508" s="116"/>
      <c r="Z508" s="116"/>
      <c r="AA508" s="116"/>
    </row>
    <row r="509" hidden="1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6"/>
      <c r="V509" s="116"/>
      <c r="W509" s="116"/>
      <c r="X509" s="116"/>
      <c r="Y509" s="116"/>
      <c r="Z509" s="116"/>
      <c r="AA509" s="116"/>
    </row>
    <row r="510" hidden="1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6"/>
      <c r="V510" s="116"/>
      <c r="W510" s="116"/>
      <c r="X510" s="116"/>
      <c r="Y510" s="116"/>
      <c r="Z510" s="116"/>
      <c r="AA510" s="116"/>
    </row>
    <row r="511" hidden="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6"/>
      <c r="V511" s="116"/>
      <c r="W511" s="116"/>
      <c r="X511" s="116"/>
      <c r="Y511" s="116"/>
      <c r="Z511" s="116"/>
      <c r="AA511" s="116"/>
    </row>
    <row r="512" hidden="1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6"/>
      <c r="V512" s="116"/>
      <c r="W512" s="116"/>
      <c r="X512" s="116"/>
      <c r="Y512" s="116"/>
      <c r="Z512" s="116"/>
      <c r="AA512" s="116"/>
    </row>
    <row r="513" hidden="1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6"/>
      <c r="V513" s="116"/>
      <c r="W513" s="116"/>
      <c r="X513" s="116"/>
      <c r="Y513" s="116"/>
      <c r="Z513" s="116"/>
      <c r="AA513" s="116"/>
    </row>
    <row r="514" hidden="1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6"/>
      <c r="V514" s="116"/>
      <c r="W514" s="116"/>
      <c r="X514" s="116"/>
      <c r="Y514" s="116"/>
      <c r="Z514" s="116"/>
      <c r="AA514" s="116"/>
    </row>
    <row r="515" hidden="1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6"/>
      <c r="V515" s="116"/>
      <c r="W515" s="116"/>
      <c r="X515" s="116"/>
      <c r="Y515" s="116"/>
      <c r="Z515" s="116"/>
      <c r="AA515" s="116"/>
    </row>
    <row r="516" hidden="1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6"/>
      <c r="V516" s="116"/>
      <c r="W516" s="116"/>
      <c r="X516" s="116"/>
      <c r="Y516" s="116"/>
      <c r="Z516" s="116"/>
      <c r="AA516" s="116"/>
    </row>
    <row r="517" hidden="1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6"/>
      <c r="V517" s="116"/>
      <c r="W517" s="116"/>
      <c r="X517" s="116"/>
      <c r="Y517" s="116"/>
      <c r="Z517" s="116"/>
      <c r="AA517" s="116"/>
    </row>
    <row r="518" hidden="1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6"/>
      <c r="V518" s="116"/>
      <c r="W518" s="116"/>
      <c r="X518" s="116"/>
      <c r="Y518" s="116"/>
      <c r="Z518" s="116"/>
      <c r="AA518" s="116"/>
    </row>
    <row r="519" hidden="1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6"/>
      <c r="V519" s="116"/>
      <c r="W519" s="116"/>
      <c r="X519" s="116"/>
      <c r="Y519" s="116"/>
      <c r="Z519" s="116"/>
      <c r="AA519" s="116"/>
    </row>
    <row r="520" hidden="1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6"/>
      <c r="V520" s="116"/>
      <c r="W520" s="116"/>
      <c r="X520" s="116"/>
      <c r="Y520" s="116"/>
      <c r="Z520" s="116"/>
      <c r="AA520" s="116"/>
    </row>
    <row r="521" hidden="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6"/>
      <c r="V521" s="116"/>
      <c r="W521" s="116"/>
      <c r="X521" s="116"/>
      <c r="Y521" s="116"/>
      <c r="Z521" s="116"/>
      <c r="AA521" s="116"/>
    </row>
    <row r="522" hidden="1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6"/>
      <c r="V522" s="116"/>
      <c r="W522" s="116"/>
      <c r="X522" s="116"/>
      <c r="Y522" s="116"/>
      <c r="Z522" s="116"/>
      <c r="AA522" s="116"/>
    </row>
    <row r="523" hidden="1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6"/>
      <c r="V523" s="116"/>
      <c r="W523" s="116"/>
      <c r="X523" s="116"/>
      <c r="Y523" s="116"/>
      <c r="Z523" s="116"/>
      <c r="AA523" s="116"/>
    </row>
    <row r="524" hidden="1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6"/>
      <c r="V524" s="116"/>
      <c r="W524" s="116"/>
      <c r="X524" s="116"/>
      <c r="Y524" s="116"/>
      <c r="Z524" s="116"/>
      <c r="AA524" s="116"/>
    </row>
    <row r="525" hidden="1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6"/>
      <c r="V525" s="116"/>
      <c r="W525" s="116"/>
      <c r="X525" s="116"/>
      <c r="Y525" s="116"/>
      <c r="Z525" s="116"/>
      <c r="AA525" s="116"/>
    </row>
    <row r="526" hidden="1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6"/>
      <c r="V526" s="116"/>
      <c r="W526" s="116"/>
      <c r="X526" s="116"/>
      <c r="Y526" s="116"/>
      <c r="Z526" s="116"/>
      <c r="AA526" s="116"/>
    </row>
    <row r="527" hidden="1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6"/>
      <c r="V527" s="116"/>
      <c r="W527" s="116"/>
      <c r="X527" s="116"/>
      <c r="Y527" s="116"/>
      <c r="Z527" s="116"/>
      <c r="AA527" s="116"/>
    </row>
    <row r="528" hidden="1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6"/>
      <c r="V528" s="116"/>
      <c r="W528" s="116"/>
      <c r="X528" s="116"/>
      <c r="Y528" s="116"/>
      <c r="Z528" s="116"/>
      <c r="AA528" s="116"/>
    </row>
    <row r="529" hidden="1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6"/>
      <c r="V529" s="116"/>
      <c r="W529" s="116"/>
      <c r="X529" s="116"/>
      <c r="Y529" s="116"/>
      <c r="Z529" s="116"/>
      <c r="AA529" s="116"/>
    </row>
    <row r="530" hidden="1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6"/>
      <c r="V530" s="116"/>
      <c r="W530" s="116"/>
      <c r="X530" s="116"/>
      <c r="Y530" s="116"/>
      <c r="Z530" s="116"/>
      <c r="AA530" s="116"/>
    </row>
    <row r="531" hidden="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6"/>
      <c r="V531" s="116"/>
      <c r="W531" s="116"/>
      <c r="X531" s="116"/>
      <c r="Y531" s="116"/>
      <c r="Z531" s="116"/>
      <c r="AA531" s="116"/>
    </row>
    <row r="532" hidden="1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6"/>
      <c r="V532" s="116"/>
      <c r="W532" s="116"/>
      <c r="X532" s="116"/>
      <c r="Y532" s="116"/>
      <c r="Z532" s="116"/>
      <c r="AA532" s="116"/>
    </row>
    <row r="533" hidden="1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6"/>
      <c r="V533" s="116"/>
      <c r="W533" s="116"/>
      <c r="X533" s="116"/>
      <c r="Y533" s="116"/>
      <c r="Z533" s="116"/>
      <c r="AA533" s="116"/>
    </row>
    <row r="534" hidden="1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6"/>
      <c r="V534" s="116"/>
      <c r="W534" s="116"/>
      <c r="X534" s="116"/>
      <c r="Y534" s="116"/>
      <c r="Z534" s="116"/>
      <c r="AA534" s="116"/>
    </row>
    <row r="535" hidden="1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6"/>
      <c r="V535" s="116"/>
      <c r="W535" s="116"/>
      <c r="X535" s="116"/>
      <c r="Y535" s="116"/>
      <c r="Z535" s="116"/>
      <c r="AA535" s="116"/>
    </row>
    <row r="536" hidden="1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6"/>
      <c r="V536" s="116"/>
      <c r="W536" s="116"/>
      <c r="X536" s="116"/>
      <c r="Y536" s="116"/>
      <c r="Z536" s="116"/>
      <c r="AA536" s="116"/>
    </row>
    <row r="537" hidden="1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6"/>
      <c r="V537" s="116"/>
      <c r="W537" s="116"/>
      <c r="X537" s="116"/>
      <c r="Y537" s="116"/>
      <c r="Z537" s="116"/>
      <c r="AA537" s="116"/>
    </row>
    <row r="538" hidden="1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6"/>
      <c r="V538" s="116"/>
      <c r="W538" s="116"/>
      <c r="X538" s="116"/>
      <c r="Y538" s="116"/>
      <c r="Z538" s="116"/>
      <c r="AA538" s="116"/>
    </row>
    <row r="539" hidden="1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6"/>
      <c r="V539" s="116"/>
      <c r="W539" s="116"/>
      <c r="X539" s="116"/>
      <c r="Y539" s="116"/>
      <c r="Z539" s="116"/>
      <c r="AA539" s="116"/>
    </row>
    <row r="540" hidden="1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6"/>
      <c r="V540" s="116"/>
      <c r="W540" s="116"/>
      <c r="X540" s="116"/>
      <c r="Y540" s="116"/>
      <c r="Z540" s="116"/>
      <c r="AA540" s="116"/>
    </row>
    <row r="541" hidden="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6"/>
      <c r="V541" s="116"/>
      <c r="W541" s="116"/>
      <c r="X541" s="116"/>
      <c r="Y541" s="116"/>
      <c r="Z541" s="116"/>
      <c r="AA541" s="116"/>
    </row>
    <row r="542" hidden="1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6"/>
      <c r="V542" s="116"/>
      <c r="W542" s="116"/>
      <c r="X542" s="116"/>
      <c r="Y542" s="116"/>
      <c r="Z542" s="116"/>
      <c r="AA542" s="116"/>
    </row>
    <row r="543" hidden="1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6"/>
      <c r="V543" s="116"/>
      <c r="W543" s="116"/>
      <c r="X543" s="116"/>
      <c r="Y543" s="116"/>
      <c r="Z543" s="116"/>
      <c r="AA543" s="116"/>
    </row>
    <row r="544" hidden="1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6"/>
      <c r="V544" s="116"/>
      <c r="W544" s="116"/>
      <c r="X544" s="116"/>
      <c r="Y544" s="116"/>
      <c r="Z544" s="116"/>
      <c r="AA544" s="116"/>
    </row>
    <row r="545" hidden="1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6"/>
      <c r="V545" s="116"/>
      <c r="W545" s="116"/>
      <c r="X545" s="116"/>
      <c r="Y545" s="116"/>
      <c r="Z545" s="116"/>
      <c r="AA545" s="116"/>
    </row>
    <row r="546" hidden="1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6"/>
      <c r="V546" s="116"/>
      <c r="W546" s="116"/>
      <c r="X546" s="116"/>
      <c r="Y546" s="116"/>
      <c r="Z546" s="116"/>
      <c r="AA546" s="116"/>
    </row>
    <row r="547" hidden="1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6"/>
      <c r="V547" s="116"/>
      <c r="W547" s="116"/>
      <c r="X547" s="116"/>
      <c r="Y547" s="116"/>
      <c r="Z547" s="116"/>
      <c r="AA547" s="116"/>
    </row>
    <row r="548" hidden="1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6"/>
      <c r="V548" s="116"/>
      <c r="W548" s="116"/>
      <c r="X548" s="116"/>
      <c r="Y548" s="116"/>
      <c r="Z548" s="116"/>
      <c r="AA548" s="116"/>
    </row>
    <row r="549" hidden="1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6"/>
      <c r="V549" s="116"/>
      <c r="W549" s="116"/>
      <c r="X549" s="116"/>
      <c r="Y549" s="116"/>
      <c r="Z549" s="116"/>
      <c r="AA549" s="116"/>
    </row>
    <row r="550" hidden="1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6"/>
      <c r="V550" s="116"/>
      <c r="W550" s="116"/>
      <c r="X550" s="116"/>
      <c r="Y550" s="116"/>
      <c r="Z550" s="116"/>
      <c r="AA550" s="116"/>
    </row>
    <row r="551" hidden="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6"/>
      <c r="V551" s="116"/>
      <c r="W551" s="116"/>
      <c r="X551" s="116"/>
      <c r="Y551" s="116"/>
      <c r="Z551" s="116"/>
      <c r="AA551" s="116"/>
    </row>
    <row r="552" hidden="1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6"/>
      <c r="V552" s="116"/>
      <c r="W552" s="116"/>
      <c r="X552" s="116"/>
      <c r="Y552" s="116"/>
      <c r="Z552" s="116"/>
      <c r="AA552" s="116"/>
    </row>
    <row r="553" hidden="1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6"/>
      <c r="V553" s="116"/>
      <c r="W553" s="116"/>
      <c r="X553" s="116"/>
      <c r="Y553" s="116"/>
      <c r="Z553" s="116"/>
      <c r="AA553" s="116"/>
    </row>
    <row r="554" hidden="1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6"/>
      <c r="V554" s="116"/>
      <c r="W554" s="116"/>
      <c r="X554" s="116"/>
      <c r="Y554" s="116"/>
      <c r="Z554" s="116"/>
      <c r="AA554" s="116"/>
    </row>
    <row r="555" hidden="1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6"/>
      <c r="V555" s="116"/>
      <c r="W555" s="116"/>
      <c r="X555" s="116"/>
      <c r="Y555" s="116"/>
      <c r="Z555" s="116"/>
      <c r="AA555" s="116"/>
    </row>
    <row r="556" hidden="1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6"/>
      <c r="V556" s="116"/>
      <c r="W556" s="116"/>
      <c r="X556" s="116"/>
      <c r="Y556" s="116"/>
      <c r="Z556" s="116"/>
      <c r="AA556" s="116"/>
    </row>
    <row r="557" hidden="1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6"/>
      <c r="V557" s="116"/>
      <c r="W557" s="116"/>
      <c r="X557" s="116"/>
      <c r="Y557" s="116"/>
      <c r="Z557" s="116"/>
      <c r="AA557" s="116"/>
    </row>
    <row r="558" hidden="1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6"/>
      <c r="V558" s="116"/>
      <c r="W558" s="116"/>
      <c r="X558" s="116"/>
      <c r="Y558" s="116"/>
      <c r="Z558" s="116"/>
      <c r="AA558" s="116"/>
    </row>
    <row r="559" hidden="1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6"/>
      <c r="V559" s="116"/>
      <c r="W559" s="116"/>
      <c r="X559" s="116"/>
      <c r="Y559" s="116"/>
      <c r="Z559" s="116"/>
      <c r="AA559" s="116"/>
    </row>
    <row r="560" hidden="1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6"/>
      <c r="V560" s="116"/>
      <c r="W560" s="116"/>
      <c r="X560" s="116"/>
      <c r="Y560" s="116"/>
      <c r="Z560" s="116"/>
      <c r="AA560" s="116"/>
    </row>
    <row r="561" hidden="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6"/>
      <c r="V561" s="116"/>
      <c r="W561" s="116"/>
      <c r="X561" s="116"/>
      <c r="Y561" s="116"/>
      <c r="Z561" s="116"/>
      <c r="AA561" s="116"/>
    </row>
    <row r="562" hidden="1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6"/>
      <c r="V562" s="116"/>
      <c r="W562" s="116"/>
      <c r="X562" s="116"/>
      <c r="Y562" s="116"/>
      <c r="Z562" s="116"/>
      <c r="AA562" s="116"/>
    </row>
    <row r="563" hidden="1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6"/>
      <c r="V563" s="116"/>
      <c r="W563" s="116"/>
      <c r="X563" s="116"/>
      <c r="Y563" s="116"/>
      <c r="Z563" s="116"/>
      <c r="AA563" s="116"/>
    </row>
    <row r="564" hidden="1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6"/>
      <c r="V564" s="116"/>
      <c r="W564" s="116"/>
      <c r="X564" s="116"/>
      <c r="Y564" s="116"/>
      <c r="Z564" s="116"/>
      <c r="AA564" s="116"/>
    </row>
    <row r="565" hidden="1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6"/>
      <c r="V565" s="116"/>
      <c r="W565" s="116"/>
      <c r="X565" s="116"/>
      <c r="Y565" s="116"/>
      <c r="Z565" s="116"/>
      <c r="AA565" s="116"/>
    </row>
    <row r="566" hidden="1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6"/>
      <c r="V566" s="116"/>
      <c r="W566" s="116"/>
      <c r="X566" s="116"/>
      <c r="Y566" s="116"/>
      <c r="Z566" s="116"/>
      <c r="AA566" s="116"/>
    </row>
    <row r="567" hidden="1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6"/>
      <c r="V567" s="116"/>
      <c r="W567" s="116"/>
      <c r="X567" s="116"/>
      <c r="Y567" s="116"/>
      <c r="Z567" s="116"/>
      <c r="AA567" s="116"/>
    </row>
    <row r="568" hidden="1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6"/>
      <c r="V568" s="116"/>
      <c r="W568" s="116"/>
      <c r="X568" s="116"/>
      <c r="Y568" s="116"/>
      <c r="Z568" s="116"/>
      <c r="AA568" s="116"/>
    </row>
    <row r="569" hidden="1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6"/>
      <c r="V569" s="116"/>
      <c r="W569" s="116"/>
      <c r="X569" s="116"/>
      <c r="Y569" s="116"/>
      <c r="Z569" s="116"/>
      <c r="AA569" s="116"/>
    </row>
    <row r="570" hidden="1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6"/>
      <c r="V570" s="116"/>
      <c r="W570" s="116"/>
      <c r="X570" s="116"/>
      <c r="Y570" s="116"/>
      <c r="Z570" s="116"/>
      <c r="AA570" s="116"/>
    </row>
    <row r="571" hidden="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6"/>
      <c r="V571" s="116"/>
      <c r="W571" s="116"/>
      <c r="X571" s="116"/>
      <c r="Y571" s="116"/>
      <c r="Z571" s="116"/>
      <c r="AA571" s="116"/>
    </row>
    <row r="572" hidden="1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6"/>
      <c r="V572" s="116"/>
      <c r="W572" s="116"/>
      <c r="X572" s="116"/>
      <c r="Y572" s="116"/>
      <c r="Z572" s="116"/>
      <c r="AA572" s="116"/>
    </row>
    <row r="573" hidden="1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6"/>
      <c r="V573" s="116"/>
      <c r="W573" s="116"/>
      <c r="X573" s="116"/>
      <c r="Y573" s="116"/>
      <c r="Z573" s="116"/>
      <c r="AA573" s="116"/>
    </row>
    <row r="574" hidden="1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6"/>
      <c r="V574" s="116"/>
      <c r="W574" s="116"/>
      <c r="X574" s="116"/>
      <c r="Y574" s="116"/>
      <c r="Z574" s="116"/>
      <c r="AA574" s="116"/>
    </row>
    <row r="575" hidden="1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6"/>
      <c r="V575" s="116"/>
      <c r="W575" s="116"/>
      <c r="X575" s="116"/>
      <c r="Y575" s="116"/>
      <c r="Z575" s="116"/>
      <c r="AA575" s="116"/>
    </row>
    <row r="576" hidden="1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6"/>
      <c r="V576" s="116"/>
      <c r="W576" s="116"/>
      <c r="X576" s="116"/>
      <c r="Y576" s="116"/>
      <c r="Z576" s="116"/>
      <c r="AA576" s="116"/>
    </row>
    <row r="577" hidden="1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6"/>
      <c r="V577" s="116"/>
      <c r="W577" s="116"/>
      <c r="X577" s="116"/>
      <c r="Y577" s="116"/>
      <c r="Z577" s="116"/>
      <c r="AA577" s="116"/>
    </row>
    <row r="578" hidden="1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6"/>
      <c r="V578" s="116"/>
      <c r="W578" s="116"/>
      <c r="X578" s="116"/>
      <c r="Y578" s="116"/>
      <c r="Z578" s="116"/>
      <c r="AA578" s="116"/>
    </row>
    <row r="579" hidden="1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6"/>
      <c r="V579" s="116"/>
      <c r="W579" s="116"/>
      <c r="X579" s="116"/>
      <c r="Y579" s="116"/>
      <c r="Z579" s="116"/>
      <c r="AA579" s="116"/>
    </row>
    <row r="580" hidden="1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6"/>
      <c r="V580" s="116"/>
      <c r="W580" s="116"/>
      <c r="X580" s="116"/>
      <c r="Y580" s="116"/>
      <c r="Z580" s="116"/>
      <c r="AA580" s="116"/>
    </row>
    <row r="581" hidden="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6"/>
      <c r="V581" s="116"/>
      <c r="W581" s="116"/>
      <c r="X581" s="116"/>
      <c r="Y581" s="116"/>
      <c r="Z581" s="116"/>
      <c r="AA581" s="116"/>
    </row>
    <row r="582" hidden="1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6"/>
      <c r="V582" s="116"/>
      <c r="W582" s="116"/>
      <c r="X582" s="116"/>
      <c r="Y582" s="116"/>
      <c r="Z582" s="116"/>
      <c r="AA582" s="116"/>
    </row>
    <row r="583" hidden="1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6"/>
      <c r="V583" s="116"/>
      <c r="W583" s="116"/>
      <c r="X583" s="116"/>
      <c r="Y583" s="116"/>
      <c r="Z583" s="116"/>
      <c r="AA583" s="116"/>
    </row>
    <row r="584" hidden="1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6"/>
      <c r="V584" s="116"/>
      <c r="W584" s="116"/>
      <c r="X584" s="116"/>
      <c r="Y584" s="116"/>
      <c r="Z584" s="116"/>
      <c r="AA584" s="116"/>
    </row>
    <row r="585" hidden="1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6"/>
      <c r="V585" s="116"/>
      <c r="W585" s="116"/>
      <c r="X585" s="116"/>
      <c r="Y585" s="116"/>
      <c r="Z585" s="116"/>
      <c r="AA585" s="116"/>
    </row>
    <row r="586" hidden="1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6"/>
      <c r="V586" s="116"/>
      <c r="W586" s="116"/>
      <c r="X586" s="116"/>
      <c r="Y586" s="116"/>
      <c r="Z586" s="116"/>
      <c r="AA586" s="116"/>
    </row>
    <row r="587" hidden="1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6"/>
      <c r="V587" s="116"/>
      <c r="W587" s="116"/>
      <c r="X587" s="116"/>
      <c r="Y587" s="116"/>
      <c r="Z587" s="116"/>
      <c r="AA587" s="116"/>
    </row>
    <row r="588" hidden="1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6"/>
      <c r="V588" s="116"/>
      <c r="W588" s="116"/>
      <c r="X588" s="116"/>
      <c r="Y588" s="116"/>
      <c r="Z588" s="116"/>
      <c r="AA588" s="116"/>
    </row>
    <row r="589" hidden="1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6"/>
      <c r="V589" s="116"/>
      <c r="W589" s="116"/>
      <c r="X589" s="116"/>
      <c r="Y589" s="116"/>
      <c r="Z589" s="116"/>
      <c r="AA589" s="116"/>
    </row>
    <row r="590" hidden="1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6"/>
      <c r="V590" s="116"/>
      <c r="W590" s="116"/>
      <c r="X590" s="116"/>
      <c r="Y590" s="116"/>
      <c r="Z590" s="116"/>
      <c r="AA590" s="116"/>
    </row>
    <row r="591" hidden="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6"/>
      <c r="V591" s="116"/>
      <c r="W591" s="116"/>
      <c r="X591" s="116"/>
      <c r="Y591" s="116"/>
      <c r="Z591" s="116"/>
      <c r="AA591" s="116"/>
    </row>
    <row r="592" hidden="1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6"/>
      <c r="V592" s="116"/>
      <c r="W592" s="116"/>
      <c r="X592" s="116"/>
      <c r="Y592" s="116"/>
      <c r="Z592" s="116"/>
      <c r="AA592" s="116"/>
    </row>
    <row r="593" hidden="1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6"/>
      <c r="V593" s="116"/>
      <c r="W593" s="116"/>
      <c r="X593" s="116"/>
      <c r="Y593" s="116"/>
      <c r="Z593" s="116"/>
      <c r="AA593" s="116"/>
    </row>
    <row r="594" hidden="1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6"/>
      <c r="V594" s="116"/>
      <c r="W594" s="116"/>
      <c r="X594" s="116"/>
      <c r="Y594" s="116"/>
      <c r="Z594" s="116"/>
      <c r="AA594" s="116"/>
    </row>
    <row r="595" hidden="1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6"/>
      <c r="V595" s="116"/>
      <c r="W595" s="116"/>
      <c r="X595" s="116"/>
      <c r="Y595" s="116"/>
      <c r="Z595" s="116"/>
      <c r="AA595" s="116"/>
    </row>
    <row r="596" hidden="1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16"/>
      <c r="N596" s="116"/>
      <c r="O596" s="116"/>
      <c r="P596" s="116"/>
      <c r="Q596" s="116"/>
      <c r="R596" s="116"/>
      <c r="S596" s="116"/>
      <c r="T596" s="116"/>
      <c r="U596" s="116"/>
      <c r="V596" s="116"/>
      <c r="W596" s="116"/>
      <c r="X596" s="116"/>
      <c r="Y596" s="116"/>
      <c r="Z596" s="116"/>
      <c r="AA596" s="116"/>
    </row>
    <row r="597" hidden="1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16"/>
      <c r="N597" s="116"/>
      <c r="O597" s="116"/>
      <c r="P597" s="116"/>
      <c r="Q597" s="116"/>
      <c r="R597" s="116"/>
      <c r="S597" s="116"/>
      <c r="T597" s="116"/>
      <c r="U597" s="116"/>
      <c r="V597" s="116"/>
      <c r="W597" s="116"/>
      <c r="X597" s="116"/>
      <c r="Y597" s="116"/>
      <c r="Z597" s="116"/>
      <c r="AA597" s="116"/>
    </row>
    <row r="598" hidden="1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16"/>
      <c r="N598" s="116"/>
      <c r="O598" s="116"/>
      <c r="P598" s="116"/>
      <c r="Q598" s="116"/>
      <c r="R598" s="116"/>
      <c r="S598" s="116"/>
      <c r="T598" s="116"/>
      <c r="U598" s="116"/>
      <c r="V598" s="116"/>
      <c r="W598" s="116"/>
      <c r="X598" s="116"/>
      <c r="Y598" s="116"/>
      <c r="Z598" s="116"/>
      <c r="AA598" s="116"/>
    </row>
    <row r="599" hidden="1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16"/>
      <c r="N599" s="116"/>
      <c r="O599" s="116"/>
      <c r="P599" s="116"/>
      <c r="Q599" s="116"/>
      <c r="R599" s="116"/>
      <c r="S599" s="116"/>
      <c r="T599" s="116"/>
      <c r="U599" s="116"/>
      <c r="V599" s="116"/>
      <c r="W599" s="116"/>
      <c r="X599" s="116"/>
      <c r="Y599" s="116"/>
      <c r="Z599" s="116"/>
      <c r="AA599" s="116"/>
    </row>
    <row r="600" hidden="1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16"/>
      <c r="N600" s="116"/>
      <c r="O600" s="116"/>
      <c r="P600" s="116"/>
      <c r="Q600" s="116"/>
      <c r="R600" s="116"/>
      <c r="S600" s="116"/>
      <c r="T600" s="116"/>
      <c r="U600" s="116"/>
      <c r="V600" s="116"/>
      <c r="W600" s="116"/>
      <c r="X600" s="116"/>
      <c r="Y600" s="116"/>
      <c r="Z600" s="116"/>
      <c r="AA600" s="116"/>
    </row>
    <row r="601" hidden="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16"/>
      <c r="N601" s="116"/>
      <c r="O601" s="116"/>
      <c r="P601" s="116"/>
      <c r="Q601" s="116"/>
      <c r="R601" s="116"/>
      <c r="S601" s="116"/>
      <c r="T601" s="116"/>
      <c r="U601" s="116"/>
      <c r="V601" s="116"/>
      <c r="W601" s="116"/>
      <c r="X601" s="116"/>
      <c r="Y601" s="116"/>
      <c r="Z601" s="116"/>
      <c r="AA601" s="116"/>
    </row>
    <row r="602" hidden="1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16"/>
      <c r="N602" s="116"/>
      <c r="O602" s="116"/>
      <c r="P602" s="116"/>
      <c r="Q602" s="116"/>
      <c r="R602" s="116"/>
      <c r="S602" s="116"/>
      <c r="T602" s="116"/>
      <c r="U602" s="116"/>
      <c r="V602" s="116"/>
      <c r="W602" s="116"/>
      <c r="X602" s="116"/>
      <c r="Y602" s="116"/>
      <c r="Z602" s="116"/>
      <c r="AA602" s="116"/>
    </row>
    <row r="603" hidden="1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16"/>
      <c r="N603" s="116"/>
      <c r="O603" s="116"/>
      <c r="P603" s="116"/>
      <c r="Q603" s="116"/>
      <c r="R603" s="116"/>
      <c r="S603" s="116"/>
      <c r="T603" s="116"/>
      <c r="U603" s="116"/>
      <c r="V603" s="116"/>
      <c r="W603" s="116"/>
      <c r="X603" s="116"/>
      <c r="Y603" s="116"/>
      <c r="Z603" s="116"/>
      <c r="AA603" s="116"/>
    </row>
    <row r="604" hidden="1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16"/>
      <c r="N604" s="116"/>
      <c r="O604" s="116"/>
      <c r="P604" s="116"/>
      <c r="Q604" s="116"/>
      <c r="R604" s="116"/>
      <c r="S604" s="116"/>
      <c r="T604" s="116"/>
      <c r="U604" s="116"/>
      <c r="V604" s="116"/>
      <c r="W604" s="116"/>
      <c r="X604" s="116"/>
      <c r="Y604" s="116"/>
      <c r="Z604" s="116"/>
      <c r="AA604" s="116"/>
    </row>
    <row r="605" hidden="1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16"/>
      <c r="N605" s="116"/>
      <c r="O605" s="116"/>
      <c r="P605" s="116"/>
      <c r="Q605" s="116"/>
      <c r="R605" s="116"/>
      <c r="S605" s="116"/>
      <c r="T605" s="116"/>
      <c r="U605" s="116"/>
      <c r="V605" s="116"/>
      <c r="W605" s="116"/>
      <c r="X605" s="116"/>
      <c r="Y605" s="116"/>
      <c r="Z605" s="116"/>
      <c r="AA605" s="116"/>
    </row>
    <row r="606" hidden="1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16"/>
      <c r="N606" s="116"/>
      <c r="O606" s="116"/>
      <c r="P606" s="116"/>
      <c r="Q606" s="116"/>
      <c r="R606" s="116"/>
      <c r="S606" s="116"/>
      <c r="T606" s="116"/>
      <c r="U606" s="116"/>
      <c r="V606" s="116"/>
      <c r="W606" s="116"/>
      <c r="X606" s="116"/>
      <c r="Y606" s="116"/>
      <c r="Z606" s="116"/>
      <c r="AA606" s="116"/>
    </row>
    <row r="607" hidden="1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16"/>
      <c r="N607" s="116"/>
      <c r="O607" s="116"/>
      <c r="P607" s="116"/>
      <c r="Q607" s="116"/>
      <c r="R607" s="116"/>
      <c r="S607" s="116"/>
      <c r="T607" s="116"/>
      <c r="U607" s="116"/>
      <c r="V607" s="116"/>
      <c r="W607" s="116"/>
      <c r="X607" s="116"/>
      <c r="Y607" s="116"/>
      <c r="Z607" s="116"/>
      <c r="AA607" s="116"/>
    </row>
    <row r="608" hidden="1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16"/>
      <c r="N608" s="116"/>
      <c r="O608" s="116"/>
      <c r="P608" s="116"/>
      <c r="Q608" s="116"/>
      <c r="R608" s="116"/>
      <c r="S608" s="116"/>
      <c r="T608" s="116"/>
      <c r="U608" s="116"/>
      <c r="V608" s="116"/>
      <c r="W608" s="116"/>
      <c r="X608" s="116"/>
      <c r="Y608" s="116"/>
      <c r="Z608" s="116"/>
      <c r="AA608" s="116"/>
    </row>
    <row r="609" hidden="1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16"/>
      <c r="N609" s="116"/>
      <c r="O609" s="116"/>
      <c r="P609" s="116"/>
      <c r="Q609" s="116"/>
      <c r="R609" s="116"/>
      <c r="S609" s="116"/>
      <c r="T609" s="116"/>
      <c r="U609" s="116"/>
      <c r="V609" s="116"/>
      <c r="W609" s="116"/>
      <c r="X609" s="116"/>
      <c r="Y609" s="116"/>
      <c r="Z609" s="116"/>
      <c r="AA609" s="116"/>
    </row>
    <row r="610" hidden="1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16"/>
      <c r="N610" s="116"/>
      <c r="O610" s="116"/>
      <c r="P610" s="116"/>
      <c r="Q610" s="116"/>
      <c r="R610" s="116"/>
      <c r="S610" s="116"/>
      <c r="T610" s="116"/>
      <c r="U610" s="116"/>
      <c r="V610" s="116"/>
      <c r="W610" s="116"/>
      <c r="X610" s="116"/>
      <c r="Y610" s="116"/>
      <c r="Z610" s="116"/>
      <c r="AA610" s="116"/>
    </row>
    <row r="611" hidden="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16"/>
      <c r="N611" s="116"/>
      <c r="O611" s="116"/>
      <c r="P611" s="116"/>
      <c r="Q611" s="116"/>
      <c r="R611" s="116"/>
      <c r="S611" s="116"/>
      <c r="T611" s="116"/>
      <c r="U611" s="116"/>
      <c r="V611" s="116"/>
      <c r="W611" s="116"/>
      <c r="X611" s="116"/>
      <c r="Y611" s="116"/>
      <c r="Z611" s="116"/>
      <c r="AA611" s="116"/>
    </row>
    <row r="612" hidden="1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16"/>
      <c r="N612" s="116"/>
      <c r="O612" s="116"/>
      <c r="P612" s="116"/>
      <c r="Q612" s="116"/>
      <c r="R612" s="116"/>
      <c r="S612" s="116"/>
      <c r="T612" s="116"/>
      <c r="U612" s="116"/>
      <c r="V612" s="116"/>
      <c r="W612" s="116"/>
      <c r="X612" s="116"/>
      <c r="Y612" s="116"/>
      <c r="Z612" s="116"/>
      <c r="AA612" s="116"/>
    </row>
    <row r="613" hidden="1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16"/>
      <c r="N613" s="116"/>
      <c r="O613" s="116"/>
      <c r="P613" s="116"/>
      <c r="Q613" s="116"/>
      <c r="R613" s="116"/>
      <c r="S613" s="116"/>
      <c r="T613" s="116"/>
      <c r="U613" s="116"/>
      <c r="V613" s="116"/>
      <c r="W613" s="116"/>
      <c r="X613" s="116"/>
      <c r="Y613" s="116"/>
      <c r="Z613" s="116"/>
      <c r="AA613" s="116"/>
    </row>
    <row r="614" hidden="1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16"/>
      <c r="N614" s="116"/>
      <c r="O614" s="116"/>
      <c r="P614" s="116"/>
      <c r="Q614" s="116"/>
      <c r="R614" s="116"/>
      <c r="S614" s="116"/>
      <c r="T614" s="116"/>
      <c r="U614" s="116"/>
      <c r="V614" s="116"/>
      <c r="W614" s="116"/>
      <c r="X614" s="116"/>
      <c r="Y614" s="116"/>
      <c r="Z614" s="116"/>
      <c r="AA614" s="116"/>
    </row>
    <row r="615" hidden="1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6"/>
      <c r="AA615" s="116"/>
    </row>
    <row r="616" hidden="1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6"/>
      <c r="AA616" s="116"/>
    </row>
    <row r="617" hidden="1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6"/>
      <c r="AA617" s="116"/>
    </row>
    <row r="618" hidden="1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6"/>
      <c r="AA618" s="116"/>
    </row>
    <row r="619" hidden="1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6"/>
      <c r="AA619" s="116"/>
    </row>
    <row r="620" hidden="1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6"/>
      <c r="AA620" s="116"/>
    </row>
    <row r="621" hidden="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6"/>
      <c r="AA621" s="116"/>
    </row>
    <row r="622" hidden="1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6"/>
      <c r="AA622" s="116"/>
    </row>
    <row r="623" hidden="1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6"/>
      <c r="AA623" s="116"/>
    </row>
    <row r="624" hidden="1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6"/>
      <c r="AA624" s="116"/>
    </row>
    <row r="625" hidden="1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6"/>
      <c r="AA625" s="116"/>
    </row>
    <row r="626" hidden="1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6"/>
      <c r="AA626" s="116"/>
    </row>
    <row r="627" hidden="1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6"/>
      <c r="AA627" s="116"/>
    </row>
    <row r="628" hidden="1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6"/>
      <c r="AA628" s="116"/>
    </row>
    <row r="629" hidden="1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6"/>
      <c r="AA629" s="116"/>
    </row>
    <row r="630" hidden="1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6"/>
      <c r="AA630" s="116"/>
    </row>
    <row r="631" hidden="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6"/>
      <c r="AA631" s="116"/>
    </row>
    <row r="632" hidden="1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6"/>
      <c r="AA632" s="116"/>
    </row>
    <row r="633" hidden="1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6"/>
      <c r="AA633" s="116"/>
    </row>
    <row r="634" hidden="1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6"/>
      <c r="AA634" s="116"/>
    </row>
    <row r="635" hidden="1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6"/>
      <c r="AA635" s="116"/>
    </row>
    <row r="636" hidden="1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6"/>
      <c r="AA636" s="116"/>
    </row>
    <row r="637" hidden="1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6"/>
      <c r="AA637" s="116"/>
    </row>
    <row r="638" hidden="1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6"/>
      <c r="AA638" s="116"/>
    </row>
    <row r="639" hidden="1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6"/>
      <c r="AA639" s="116"/>
    </row>
    <row r="640" hidden="1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6"/>
      <c r="AA640" s="116"/>
    </row>
    <row r="641" hidden="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6"/>
      <c r="AA641" s="116"/>
    </row>
    <row r="642" hidden="1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16"/>
      <c r="N642" s="116"/>
      <c r="O642" s="116"/>
      <c r="P642" s="116"/>
      <c r="Q642" s="116"/>
      <c r="R642" s="116"/>
      <c r="S642" s="116"/>
      <c r="T642" s="116"/>
      <c r="U642" s="116"/>
      <c r="V642" s="116"/>
      <c r="W642" s="116"/>
      <c r="X642" s="116"/>
      <c r="Y642" s="116"/>
      <c r="Z642" s="116"/>
      <c r="AA642" s="116"/>
    </row>
    <row r="643" hidden="1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16"/>
      <c r="N643" s="116"/>
      <c r="O643" s="116"/>
      <c r="P643" s="116"/>
      <c r="Q643" s="116"/>
      <c r="R643" s="116"/>
      <c r="S643" s="116"/>
      <c r="T643" s="116"/>
      <c r="U643" s="116"/>
      <c r="V643" s="116"/>
      <c r="W643" s="116"/>
      <c r="X643" s="116"/>
      <c r="Y643" s="116"/>
      <c r="Z643" s="116"/>
      <c r="AA643" s="116"/>
    </row>
    <row r="644" hidden="1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16"/>
      <c r="N644" s="116"/>
      <c r="O644" s="116"/>
      <c r="P644" s="116"/>
      <c r="Q644" s="116"/>
      <c r="R644" s="116"/>
      <c r="S644" s="116"/>
      <c r="T644" s="116"/>
      <c r="U644" s="116"/>
      <c r="V644" s="116"/>
      <c r="W644" s="116"/>
      <c r="X644" s="116"/>
      <c r="Y644" s="116"/>
      <c r="Z644" s="116"/>
      <c r="AA644" s="116"/>
    </row>
    <row r="645" hidden="1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16"/>
      <c r="N645" s="116"/>
      <c r="O645" s="116"/>
      <c r="P645" s="116"/>
      <c r="Q645" s="116"/>
      <c r="R645" s="116"/>
      <c r="S645" s="116"/>
      <c r="T645" s="116"/>
      <c r="U645" s="116"/>
      <c r="V645" s="116"/>
      <c r="W645" s="116"/>
      <c r="X645" s="116"/>
      <c r="Y645" s="116"/>
      <c r="Z645" s="116"/>
      <c r="AA645" s="116"/>
    </row>
    <row r="646" hidden="1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16"/>
      <c r="N646" s="116"/>
      <c r="O646" s="116"/>
      <c r="P646" s="116"/>
      <c r="Q646" s="116"/>
      <c r="R646" s="116"/>
      <c r="S646" s="116"/>
      <c r="T646" s="116"/>
      <c r="U646" s="116"/>
      <c r="V646" s="116"/>
      <c r="W646" s="116"/>
      <c r="X646" s="116"/>
      <c r="Y646" s="116"/>
      <c r="Z646" s="116"/>
      <c r="AA646" s="116"/>
    </row>
    <row r="647" hidden="1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  <c r="V647" s="116"/>
      <c r="W647" s="116"/>
      <c r="X647" s="116"/>
      <c r="Y647" s="116"/>
      <c r="Z647" s="116"/>
      <c r="AA647" s="116"/>
    </row>
    <row r="648" hidden="1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16"/>
      <c r="N648" s="116"/>
      <c r="O648" s="116"/>
      <c r="P648" s="116"/>
      <c r="Q648" s="116"/>
      <c r="R648" s="116"/>
      <c r="S648" s="116"/>
      <c r="T648" s="116"/>
      <c r="U648" s="116"/>
      <c r="V648" s="116"/>
      <c r="W648" s="116"/>
      <c r="X648" s="116"/>
      <c r="Y648" s="116"/>
      <c r="Z648" s="116"/>
      <c r="AA648" s="116"/>
    </row>
    <row r="649" hidden="1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16"/>
      <c r="N649" s="116"/>
      <c r="O649" s="116"/>
      <c r="P649" s="116"/>
      <c r="Q649" s="116"/>
      <c r="R649" s="116"/>
      <c r="S649" s="116"/>
      <c r="T649" s="116"/>
      <c r="U649" s="116"/>
      <c r="V649" s="116"/>
      <c r="W649" s="116"/>
      <c r="X649" s="116"/>
      <c r="Y649" s="116"/>
      <c r="Z649" s="116"/>
      <c r="AA649" s="116"/>
    </row>
    <row r="650" hidden="1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16"/>
      <c r="N650" s="116"/>
      <c r="O650" s="116"/>
      <c r="P650" s="116"/>
      <c r="Q650" s="116"/>
      <c r="R650" s="116"/>
      <c r="S650" s="116"/>
      <c r="T650" s="116"/>
      <c r="U650" s="116"/>
      <c r="V650" s="116"/>
      <c r="W650" s="116"/>
      <c r="X650" s="116"/>
      <c r="Y650" s="116"/>
      <c r="Z650" s="116"/>
      <c r="AA650" s="116"/>
    </row>
    <row r="651" hidden="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16"/>
      <c r="N651" s="116"/>
      <c r="O651" s="116"/>
      <c r="P651" s="116"/>
      <c r="Q651" s="116"/>
      <c r="R651" s="116"/>
      <c r="S651" s="116"/>
      <c r="T651" s="116"/>
      <c r="U651" s="116"/>
      <c r="V651" s="116"/>
      <c r="W651" s="116"/>
      <c r="X651" s="116"/>
      <c r="Y651" s="116"/>
      <c r="Z651" s="116"/>
      <c r="AA651" s="116"/>
    </row>
    <row r="652" hidden="1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16"/>
      <c r="N652" s="116"/>
      <c r="O652" s="116"/>
      <c r="P652" s="116"/>
      <c r="Q652" s="116"/>
      <c r="R652" s="116"/>
      <c r="S652" s="116"/>
      <c r="T652" s="116"/>
      <c r="U652" s="116"/>
      <c r="V652" s="116"/>
      <c r="W652" s="116"/>
      <c r="X652" s="116"/>
      <c r="Y652" s="116"/>
      <c r="Z652" s="116"/>
      <c r="AA652" s="116"/>
    </row>
    <row r="653" hidden="1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16"/>
      <c r="N653" s="116"/>
      <c r="O653" s="116"/>
      <c r="P653" s="116"/>
      <c r="Q653" s="116"/>
      <c r="R653" s="116"/>
      <c r="S653" s="116"/>
      <c r="T653" s="116"/>
      <c r="U653" s="116"/>
      <c r="V653" s="116"/>
      <c r="W653" s="116"/>
      <c r="X653" s="116"/>
      <c r="Y653" s="116"/>
      <c r="Z653" s="116"/>
      <c r="AA653" s="116"/>
    </row>
    <row r="654" hidden="1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16"/>
      <c r="N654" s="116"/>
      <c r="O654" s="116"/>
      <c r="P654" s="116"/>
      <c r="Q654" s="116"/>
      <c r="R654" s="116"/>
      <c r="S654" s="116"/>
      <c r="T654" s="116"/>
      <c r="U654" s="116"/>
      <c r="V654" s="116"/>
      <c r="W654" s="116"/>
      <c r="X654" s="116"/>
      <c r="Y654" s="116"/>
      <c r="Z654" s="116"/>
      <c r="AA654" s="116"/>
    </row>
    <row r="655" hidden="1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16"/>
      <c r="N655" s="116"/>
      <c r="O655" s="116"/>
      <c r="P655" s="116"/>
      <c r="Q655" s="116"/>
      <c r="R655" s="116"/>
      <c r="S655" s="116"/>
      <c r="T655" s="116"/>
      <c r="U655" s="116"/>
      <c r="V655" s="116"/>
      <c r="W655" s="116"/>
      <c r="X655" s="116"/>
      <c r="Y655" s="116"/>
      <c r="Z655" s="116"/>
      <c r="AA655" s="116"/>
    </row>
    <row r="656" hidden="1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16"/>
      <c r="N656" s="116"/>
      <c r="O656" s="116"/>
      <c r="P656" s="116"/>
      <c r="Q656" s="116"/>
      <c r="R656" s="116"/>
      <c r="S656" s="116"/>
      <c r="T656" s="116"/>
      <c r="U656" s="116"/>
      <c r="V656" s="116"/>
      <c r="W656" s="116"/>
      <c r="X656" s="116"/>
      <c r="Y656" s="116"/>
      <c r="Z656" s="116"/>
      <c r="AA656" s="116"/>
    </row>
    <row r="657" hidden="1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16"/>
      <c r="N657" s="116"/>
      <c r="O657" s="116"/>
      <c r="P657" s="116"/>
      <c r="Q657" s="116"/>
      <c r="R657" s="116"/>
      <c r="S657" s="116"/>
      <c r="T657" s="116"/>
      <c r="U657" s="116"/>
      <c r="V657" s="116"/>
      <c r="W657" s="116"/>
      <c r="X657" s="116"/>
      <c r="Y657" s="116"/>
      <c r="Z657" s="116"/>
      <c r="AA657" s="116"/>
    </row>
    <row r="658" hidden="1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16"/>
      <c r="N658" s="116"/>
      <c r="O658" s="116"/>
      <c r="P658" s="116"/>
      <c r="Q658" s="116"/>
      <c r="R658" s="116"/>
      <c r="S658" s="116"/>
      <c r="T658" s="116"/>
      <c r="U658" s="116"/>
      <c r="V658" s="116"/>
      <c r="W658" s="116"/>
      <c r="X658" s="116"/>
      <c r="Y658" s="116"/>
      <c r="Z658" s="116"/>
      <c r="AA658" s="116"/>
    </row>
    <row r="659" hidden="1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16"/>
      <c r="N659" s="116"/>
      <c r="O659" s="116"/>
      <c r="P659" s="116"/>
      <c r="Q659" s="116"/>
      <c r="R659" s="116"/>
      <c r="S659" s="116"/>
      <c r="T659" s="116"/>
      <c r="U659" s="116"/>
      <c r="V659" s="116"/>
      <c r="W659" s="116"/>
      <c r="X659" s="116"/>
      <c r="Y659" s="116"/>
      <c r="Z659" s="116"/>
      <c r="AA659" s="116"/>
    </row>
    <row r="660" hidden="1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16"/>
      <c r="N660" s="116"/>
      <c r="O660" s="116"/>
      <c r="P660" s="116"/>
      <c r="Q660" s="116"/>
      <c r="R660" s="116"/>
      <c r="S660" s="116"/>
      <c r="T660" s="116"/>
      <c r="U660" s="116"/>
      <c r="V660" s="116"/>
      <c r="W660" s="116"/>
      <c r="X660" s="116"/>
      <c r="Y660" s="116"/>
      <c r="Z660" s="116"/>
      <c r="AA660" s="116"/>
    </row>
    <row r="661" hidden="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16"/>
      <c r="N661" s="116"/>
      <c r="O661" s="116"/>
      <c r="P661" s="116"/>
      <c r="Q661" s="116"/>
      <c r="R661" s="116"/>
      <c r="S661" s="116"/>
      <c r="T661" s="116"/>
      <c r="U661" s="116"/>
      <c r="V661" s="116"/>
      <c r="W661" s="116"/>
      <c r="X661" s="116"/>
      <c r="Y661" s="116"/>
      <c r="Z661" s="116"/>
      <c r="AA661" s="116"/>
    </row>
    <row r="662" hidden="1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  <c r="V662" s="116"/>
      <c r="W662" s="116"/>
      <c r="X662" s="116"/>
      <c r="Y662" s="116"/>
      <c r="Z662" s="116"/>
      <c r="AA662" s="116"/>
    </row>
    <row r="663" hidden="1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16"/>
      <c r="N663" s="116"/>
      <c r="O663" s="116"/>
      <c r="P663" s="116"/>
      <c r="Q663" s="116"/>
      <c r="R663" s="116"/>
      <c r="S663" s="116"/>
      <c r="T663" s="116"/>
      <c r="U663" s="116"/>
      <c r="V663" s="116"/>
      <c r="W663" s="116"/>
      <c r="X663" s="116"/>
      <c r="Y663" s="116"/>
      <c r="Z663" s="116"/>
      <c r="AA663" s="116"/>
    </row>
    <row r="664" hidden="1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16"/>
      <c r="N664" s="116"/>
      <c r="O664" s="116"/>
      <c r="P664" s="116"/>
      <c r="Q664" s="116"/>
      <c r="R664" s="116"/>
      <c r="S664" s="116"/>
      <c r="T664" s="116"/>
      <c r="U664" s="116"/>
      <c r="V664" s="116"/>
      <c r="W664" s="116"/>
      <c r="X664" s="116"/>
      <c r="Y664" s="116"/>
      <c r="Z664" s="116"/>
      <c r="AA664" s="116"/>
    </row>
    <row r="665" hidden="1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16"/>
      <c r="N665" s="116"/>
      <c r="O665" s="116"/>
      <c r="P665" s="116"/>
      <c r="Q665" s="116"/>
      <c r="R665" s="116"/>
      <c r="S665" s="116"/>
      <c r="T665" s="116"/>
      <c r="U665" s="116"/>
      <c r="V665" s="116"/>
      <c r="W665" s="116"/>
      <c r="X665" s="116"/>
      <c r="Y665" s="116"/>
      <c r="Z665" s="116"/>
      <c r="AA665" s="116"/>
    </row>
    <row r="666" hidden="1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16"/>
      <c r="N666" s="116"/>
      <c r="O666" s="116"/>
      <c r="P666" s="116"/>
      <c r="Q666" s="116"/>
      <c r="R666" s="116"/>
      <c r="S666" s="116"/>
      <c r="T666" s="116"/>
      <c r="U666" s="116"/>
      <c r="V666" s="116"/>
      <c r="W666" s="116"/>
      <c r="X666" s="116"/>
      <c r="Y666" s="116"/>
      <c r="Z666" s="116"/>
      <c r="AA666" s="116"/>
    </row>
    <row r="667" hidden="1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16"/>
      <c r="N667" s="116"/>
      <c r="O667" s="116"/>
      <c r="P667" s="116"/>
      <c r="Q667" s="116"/>
      <c r="R667" s="116"/>
      <c r="S667" s="116"/>
      <c r="T667" s="116"/>
      <c r="U667" s="116"/>
      <c r="V667" s="116"/>
      <c r="W667" s="116"/>
      <c r="X667" s="116"/>
      <c r="Y667" s="116"/>
      <c r="Z667" s="116"/>
      <c r="AA667" s="116"/>
    </row>
    <row r="668" hidden="1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16"/>
      <c r="N668" s="116"/>
      <c r="O668" s="116"/>
      <c r="P668" s="116"/>
      <c r="Q668" s="116"/>
      <c r="R668" s="116"/>
      <c r="S668" s="116"/>
      <c r="T668" s="116"/>
      <c r="U668" s="116"/>
      <c r="V668" s="116"/>
      <c r="W668" s="116"/>
      <c r="X668" s="116"/>
      <c r="Y668" s="116"/>
      <c r="Z668" s="116"/>
      <c r="AA668" s="116"/>
    </row>
    <row r="669" hidden="1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16"/>
      <c r="N669" s="116"/>
      <c r="O669" s="116"/>
      <c r="P669" s="116"/>
      <c r="Q669" s="116"/>
      <c r="R669" s="116"/>
      <c r="S669" s="116"/>
      <c r="T669" s="116"/>
      <c r="U669" s="116"/>
      <c r="V669" s="116"/>
      <c r="W669" s="116"/>
      <c r="X669" s="116"/>
      <c r="Y669" s="116"/>
      <c r="Z669" s="116"/>
      <c r="AA669" s="116"/>
    </row>
    <row r="670" hidden="1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16"/>
      <c r="N670" s="116"/>
      <c r="O670" s="116"/>
      <c r="P670" s="116"/>
      <c r="Q670" s="116"/>
      <c r="R670" s="116"/>
      <c r="S670" s="116"/>
      <c r="T670" s="116"/>
      <c r="U670" s="116"/>
      <c r="V670" s="116"/>
      <c r="W670" s="116"/>
      <c r="X670" s="116"/>
      <c r="Y670" s="116"/>
      <c r="Z670" s="116"/>
      <c r="AA670" s="116"/>
    </row>
    <row r="671" hidden="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16"/>
      <c r="N671" s="116"/>
      <c r="O671" s="116"/>
      <c r="P671" s="116"/>
      <c r="Q671" s="116"/>
      <c r="R671" s="116"/>
      <c r="S671" s="116"/>
      <c r="T671" s="116"/>
      <c r="U671" s="116"/>
      <c r="V671" s="116"/>
      <c r="W671" s="116"/>
      <c r="X671" s="116"/>
      <c r="Y671" s="116"/>
      <c r="Z671" s="116"/>
      <c r="AA671" s="116"/>
    </row>
    <row r="672" hidden="1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16"/>
      <c r="N672" s="116"/>
      <c r="O672" s="116"/>
      <c r="P672" s="116"/>
      <c r="Q672" s="116"/>
      <c r="R672" s="116"/>
      <c r="S672" s="116"/>
      <c r="T672" s="116"/>
      <c r="U672" s="116"/>
      <c r="V672" s="116"/>
      <c r="W672" s="116"/>
      <c r="X672" s="116"/>
      <c r="Y672" s="116"/>
      <c r="Z672" s="116"/>
      <c r="AA672" s="116"/>
    </row>
    <row r="673" hidden="1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16"/>
      <c r="N673" s="116"/>
      <c r="O673" s="116"/>
      <c r="P673" s="116"/>
      <c r="Q673" s="116"/>
      <c r="R673" s="116"/>
      <c r="S673" s="116"/>
      <c r="T673" s="116"/>
      <c r="U673" s="116"/>
      <c r="V673" s="116"/>
      <c r="W673" s="116"/>
      <c r="X673" s="116"/>
      <c r="Y673" s="116"/>
      <c r="Z673" s="116"/>
      <c r="AA673" s="116"/>
    </row>
    <row r="674" hidden="1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16"/>
      <c r="N674" s="116"/>
      <c r="O674" s="116"/>
      <c r="P674" s="116"/>
      <c r="Q674" s="116"/>
      <c r="R674" s="116"/>
      <c r="S674" s="116"/>
      <c r="T674" s="116"/>
      <c r="U674" s="116"/>
      <c r="V674" s="116"/>
      <c r="W674" s="116"/>
      <c r="X674" s="116"/>
      <c r="Y674" s="116"/>
      <c r="Z674" s="116"/>
      <c r="AA674" s="116"/>
    </row>
    <row r="675" hidden="1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16"/>
      <c r="N675" s="116"/>
      <c r="O675" s="116"/>
      <c r="P675" s="116"/>
      <c r="Q675" s="116"/>
      <c r="R675" s="116"/>
      <c r="S675" s="116"/>
      <c r="T675" s="116"/>
      <c r="U675" s="116"/>
      <c r="V675" s="116"/>
      <c r="W675" s="116"/>
      <c r="X675" s="116"/>
      <c r="Y675" s="116"/>
      <c r="Z675" s="116"/>
      <c r="AA675" s="116"/>
    </row>
    <row r="676" hidden="1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16"/>
      <c r="N676" s="116"/>
      <c r="O676" s="116"/>
      <c r="P676" s="116"/>
      <c r="Q676" s="116"/>
      <c r="R676" s="116"/>
      <c r="S676" s="116"/>
      <c r="T676" s="116"/>
      <c r="U676" s="116"/>
      <c r="V676" s="116"/>
      <c r="W676" s="116"/>
      <c r="X676" s="116"/>
      <c r="Y676" s="116"/>
      <c r="Z676" s="116"/>
      <c r="AA676" s="116"/>
    </row>
    <row r="677" hidden="1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16"/>
      <c r="N677" s="116"/>
      <c r="O677" s="116"/>
      <c r="P677" s="116"/>
      <c r="Q677" s="116"/>
      <c r="R677" s="116"/>
      <c r="S677" s="116"/>
      <c r="T677" s="116"/>
      <c r="U677" s="116"/>
      <c r="V677" s="116"/>
      <c r="W677" s="116"/>
      <c r="X677" s="116"/>
      <c r="Y677" s="116"/>
      <c r="Z677" s="116"/>
      <c r="AA677" s="116"/>
    </row>
    <row r="678" hidden="1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16"/>
      <c r="N678" s="116"/>
      <c r="O678" s="116"/>
      <c r="P678" s="116"/>
      <c r="Q678" s="116"/>
      <c r="R678" s="116"/>
      <c r="S678" s="116"/>
      <c r="T678" s="116"/>
      <c r="U678" s="116"/>
      <c r="V678" s="116"/>
      <c r="W678" s="116"/>
      <c r="X678" s="116"/>
      <c r="Y678" s="116"/>
      <c r="Z678" s="116"/>
      <c r="AA678" s="116"/>
    </row>
    <row r="679" hidden="1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16"/>
      <c r="N679" s="116"/>
      <c r="O679" s="116"/>
      <c r="P679" s="116"/>
      <c r="Q679" s="116"/>
      <c r="R679" s="116"/>
      <c r="S679" s="116"/>
      <c r="T679" s="116"/>
      <c r="U679" s="116"/>
      <c r="V679" s="116"/>
      <c r="W679" s="116"/>
      <c r="X679" s="116"/>
      <c r="Y679" s="116"/>
      <c r="Z679" s="116"/>
      <c r="AA679" s="116"/>
    </row>
    <row r="680" hidden="1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16"/>
      <c r="N680" s="116"/>
      <c r="O680" s="116"/>
      <c r="P680" s="116"/>
      <c r="Q680" s="116"/>
      <c r="R680" s="116"/>
      <c r="S680" s="116"/>
      <c r="T680" s="116"/>
      <c r="U680" s="116"/>
      <c r="V680" s="116"/>
      <c r="W680" s="116"/>
      <c r="X680" s="116"/>
      <c r="Y680" s="116"/>
      <c r="Z680" s="116"/>
      <c r="AA680" s="116"/>
    </row>
    <row r="681" hidden="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16"/>
      <c r="N681" s="116"/>
      <c r="O681" s="116"/>
      <c r="P681" s="116"/>
      <c r="Q681" s="116"/>
      <c r="R681" s="116"/>
      <c r="S681" s="116"/>
      <c r="T681" s="116"/>
      <c r="U681" s="116"/>
      <c r="V681" s="116"/>
      <c r="W681" s="116"/>
      <c r="X681" s="116"/>
      <c r="Y681" s="116"/>
      <c r="Z681" s="116"/>
      <c r="AA681" s="116"/>
    </row>
    <row r="682" hidden="1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16"/>
      <c r="N682" s="116"/>
      <c r="O682" s="116"/>
      <c r="P682" s="116"/>
      <c r="Q682" s="116"/>
      <c r="R682" s="116"/>
      <c r="S682" s="116"/>
      <c r="T682" s="116"/>
      <c r="U682" s="116"/>
      <c r="V682" s="116"/>
      <c r="W682" s="116"/>
      <c r="X682" s="116"/>
      <c r="Y682" s="116"/>
      <c r="Z682" s="116"/>
      <c r="AA682" s="116"/>
    </row>
    <row r="683" hidden="1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16"/>
      <c r="N683" s="116"/>
      <c r="O683" s="116"/>
      <c r="P683" s="116"/>
      <c r="Q683" s="116"/>
      <c r="R683" s="116"/>
      <c r="S683" s="116"/>
      <c r="T683" s="116"/>
      <c r="U683" s="116"/>
      <c r="V683" s="116"/>
      <c r="W683" s="116"/>
      <c r="X683" s="116"/>
      <c r="Y683" s="116"/>
      <c r="Z683" s="116"/>
      <c r="AA683" s="116"/>
    </row>
    <row r="684" hidden="1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16"/>
      <c r="N684" s="116"/>
      <c r="O684" s="116"/>
      <c r="P684" s="116"/>
      <c r="Q684" s="116"/>
      <c r="R684" s="116"/>
      <c r="S684" s="116"/>
      <c r="T684" s="116"/>
      <c r="U684" s="116"/>
      <c r="V684" s="116"/>
      <c r="W684" s="116"/>
      <c r="X684" s="116"/>
      <c r="Y684" s="116"/>
      <c r="Z684" s="116"/>
      <c r="AA684" s="116"/>
    </row>
    <row r="685" hidden="1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16"/>
      <c r="N685" s="116"/>
      <c r="O685" s="116"/>
      <c r="P685" s="116"/>
      <c r="Q685" s="116"/>
      <c r="R685" s="116"/>
      <c r="S685" s="116"/>
      <c r="T685" s="116"/>
      <c r="U685" s="116"/>
      <c r="V685" s="116"/>
      <c r="W685" s="116"/>
      <c r="X685" s="116"/>
      <c r="Y685" s="116"/>
      <c r="Z685" s="116"/>
      <c r="AA685" s="116"/>
    </row>
    <row r="686" hidden="1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16"/>
      <c r="N686" s="116"/>
      <c r="O686" s="116"/>
      <c r="P686" s="116"/>
      <c r="Q686" s="116"/>
      <c r="R686" s="116"/>
      <c r="S686" s="116"/>
      <c r="T686" s="116"/>
      <c r="U686" s="116"/>
      <c r="V686" s="116"/>
      <c r="W686" s="116"/>
      <c r="X686" s="116"/>
      <c r="Y686" s="116"/>
      <c r="Z686" s="116"/>
      <c r="AA686" s="116"/>
    </row>
    <row r="687" hidden="1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16"/>
      <c r="N687" s="116"/>
      <c r="O687" s="116"/>
      <c r="P687" s="116"/>
      <c r="Q687" s="116"/>
      <c r="R687" s="116"/>
      <c r="S687" s="116"/>
      <c r="T687" s="116"/>
      <c r="U687" s="116"/>
      <c r="V687" s="116"/>
      <c r="W687" s="116"/>
      <c r="X687" s="116"/>
      <c r="Y687" s="116"/>
      <c r="Z687" s="116"/>
      <c r="AA687" s="116"/>
    </row>
    <row r="688" hidden="1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16"/>
      <c r="N688" s="116"/>
      <c r="O688" s="116"/>
      <c r="P688" s="116"/>
      <c r="Q688" s="116"/>
      <c r="R688" s="116"/>
      <c r="S688" s="116"/>
      <c r="T688" s="116"/>
      <c r="U688" s="116"/>
      <c r="V688" s="116"/>
      <c r="W688" s="116"/>
      <c r="X688" s="116"/>
      <c r="Y688" s="116"/>
      <c r="Z688" s="116"/>
      <c r="AA688" s="116"/>
    </row>
    <row r="689" hidden="1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16"/>
      <c r="N689" s="116"/>
      <c r="O689" s="116"/>
      <c r="P689" s="116"/>
      <c r="Q689" s="116"/>
      <c r="R689" s="116"/>
      <c r="S689" s="116"/>
      <c r="T689" s="116"/>
      <c r="U689" s="116"/>
      <c r="V689" s="116"/>
      <c r="W689" s="116"/>
      <c r="X689" s="116"/>
      <c r="Y689" s="116"/>
      <c r="Z689" s="116"/>
      <c r="AA689" s="116"/>
    </row>
    <row r="690" hidden="1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16"/>
      <c r="N690" s="116"/>
      <c r="O690" s="116"/>
      <c r="P690" s="116"/>
      <c r="Q690" s="116"/>
      <c r="R690" s="116"/>
      <c r="S690" s="116"/>
      <c r="T690" s="116"/>
      <c r="U690" s="116"/>
      <c r="V690" s="116"/>
      <c r="W690" s="116"/>
      <c r="X690" s="116"/>
      <c r="Y690" s="116"/>
      <c r="Z690" s="116"/>
      <c r="AA690" s="116"/>
    </row>
    <row r="691" hidden="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16"/>
      <c r="N691" s="116"/>
      <c r="O691" s="116"/>
      <c r="P691" s="116"/>
      <c r="Q691" s="116"/>
      <c r="R691" s="116"/>
      <c r="S691" s="116"/>
      <c r="T691" s="116"/>
      <c r="U691" s="116"/>
      <c r="V691" s="116"/>
      <c r="W691" s="116"/>
      <c r="X691" s="116"/>
      <c r="Y691" s="116"/>
      <c r="Z691" s="116"/>
      <c r="AA691" s="116"/>
    </row>
    <row r="692" hidden="1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16"/>
      <c r="N692" s="116"/>
      <c r="O692" s="116"/>
      <c r="P692" s="116"/>
      <c r="Q692" s="116"/>
      <c r="R692" s="116"/>
      <c r="S692" s="116"/>
      <c r="T692" s="116"/>
      <c r="U692" s="116"/>
      <c r="V692" s="116"/>
      <c r="W692" s="116"/>
      <c r="X692" s="116"/>
      <c r="Y692" s="116"/>
      <c r="Z692" s="116"/>
      <c r="AA692" s="116"/>
    </row>
    <row r="693" hidden="1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16"/>
      <c r="N693" s="116"/>
      <c r="O693" s="116"/>
      <c r="P693" s="116"/>
      <c r="Q693" s="116"/>
      <c r="R693" s="116"/>
      <c r="S693" s="116"/>
      <c r="T693" s="116"/>
      <c r="U693" s="116"/>
      <c r="V693" s="116"/>
      <c r="W693" s="116"/>
      <c r="X693" s="116"/>
      <c r="Y693" s="116"/>
      <c r="Z693" s="116"/>
      <c r="AA693" s="116"/>
    </row>
    <row r="694" hidden="1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16"/>
      <c r="N694" s="116"/>
      <c r="O694" s="116"/>
      <c r="P694" s="116"/>
      <c r="Q694" s="116"/>
      <c r="R694" s="116"/>
      <c r="S694" s="116"/>
      <c r="T694" s="116"/>
      <c r="U694" s="116"/>
      <c r="V694" s="116"/>
      <c r="W694" s="116"/>
      <c r="X694" s="116"/>
      <c r="Y694" s="116"/>
      <c r="Z694" s="116"/>
      <c r="AA694" s="116"/>
    </row>
    <row r="695" hidden="1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16"/>
      <c r="N695" s="116"/>
      <c r="O695" s="116"/>
      <c r="P695" s="116"/>
      <c r="Q695" s="116"/>
      <c r="R695" s="116"/>
      <c r="S695" s="116"/>
      <c r="T695" s="116"/>
      <c r="U695" s="116"/>
      <c r="V695" s="116"/>
      <c r="W695" s="116"/>
      <c r="X695" s="116"/>
      <c r="Y695" s="116"/>
      <c r="Z695" s="116"/>
      <c r="AA695" s="116"/>
    </row>
    <row r="696" hidden="1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16"/>
      <c r="N696" s="116"/>
      <c r="O696" s="116"/>
      <c r="P696" s="116"/>
      <c r="Q696" s="116"/>
      <c r="R696" s="116"/>
      <c r="S696" s="116"/>
      <c r="T696" s="116"/>
      <c r="U696" s="116"/>
      <c r="V696" s="116"/>
      <c r="W696" s="116"/>
      <c r="X696" s="116"/>
      <c r="Y696" s="116"/>
      <c r="Z696" s="116"/>
      <c r="AA696" s="116"/>
    </row>
    <row r="697" hidden="1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16"/>
      <c r="N697" s="116"/>
      <c r="O697" s="116"/>
      <c r="P697" s="116"/>
      <c r="Q697" s="116"/>
      <c r="R697" s="116"/>
      <c r="S697" s="116"/>
      <c r="T697" s="116"/>
      <c r="U697" s="116"/>
      <c r="V697" s="116"/>
      <c r="W697" s="116"/>
      <c r="X697" s="116"/>
      <c r="Y697" s="116"/>
      <c r="Z697" s="116"/>
      <c r="AA697" s="116"/>
    </row>
    <row r="698" hidden="1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16"/>
      <c r="N698" s="116"/>
      <c r="O698" s="116"/>
      <c r="P698" s="116"/>
      <c r="Q698" s="116"/>
      <c r="R698" s="116"/>
      <c r="S698" s="116"/>
      <c r="T698" s="116"/>
      <c r="U698" s="116"/>
      <c r="V698" s="116"/>
      <c r="W698" s="116"/>
      <c r="X698" s="116"/>
      <c r="Y698" s="116"/>
      <c r="Z698" s="116"/>
      <c r="AA698" s="116"/>
    </row>
    <row r="699" hidden="1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16"/>
      <c r="N699" s="116"/>
      <c r="O699" s="116"/>
      <c r="P699" s="116"/>
      <c r="Q699" s="116"/>
      <c r="R699" s="116"/>
      <c r="S699" s="116"/>
      <c r="T699" s="116"/>
      <c r="U699" s="116"/>
      <c r="V699" s="116"/>
      <c r="W699" s="116"/>
      <c r="X699" s="116"/>
      <c r="Y699" s="116"/>
      <c r="Z699" s="116"/>
      <c r="AA699" s="116"/>
    </row>
    <row r="700" hidden="1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16"/>
      <c r="N700" s="116"/>
      <c r="O700" s="116"/>
      <c r="P700" s="116"/>
      <c r="Q700" s="116"/>
      <c r="R700" s="116"/>
      <c r="S700" s="116"/>
      <c r="T700" s="116"/>
      <c r="U700" s="116"/>
      <c r="V700" s="116"/>
      <c r="W700" s="116"/>
      <c r="X700" s="116"/>
      <c r="Y700" s="116"/>
      <c r="Z700" s="116"/>
      <c r="AA700" s="116"/>
    </row>
    <row r="701" hidden="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16"/>
      <c r="N701" s="116"/>
      <c r="O701" s="116"/>
      <c r="P701" s="116"/>
      <c r="Q701" s="116"/>
      <c r="R701" s="116"/>
      <c r="S701" s="116"/>
      <c r="T701" s="116"/>
      <c r="U701" s="116"/>
      <c r="V701" s="116"/>
      <c r="W701" s="116"/>
      <c r="X701" s="116"/>
      <c r="Y701" s="116"/>
      <c r="Z701" s="116"/>
      <c r="AA701" s="116"/>
    </row>
    <row r="702" hidden="1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16"/>
      <c r="N702" s="116"/>
      <c r="O702" s="116"/>
      <c r="P702" s="116"/>
      <c r="Q702" s="116"/>
      <c r="R702" s="116"/>
      <c r="S702" s="116"/>
      <c r="T702" s="116"/>
      <c r="U702" s="116"/>
      <c r="V702" s="116"/>
      <c r="W702" s="116"/>
      <c r="X702" s="116"/>
      <c r="Y702" s="116"/>
      <c r="Z702" s="116"/>
      <c r="AA702" s="116"/>
    </row>
    <row r="703" hidden="1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16"/>
      <c r="N703" s="116"/>
      <c r="O703" s="116"/>
      <c r="P703" s="116"/>
      <c r="Q703" s="116"/>
      <c r="R703" s="116"/>
      <c r="S703" s="116"/>
      <c r="T703" s="116"/>
      <c r="U703" s="116"/>
      <c r="V703" s="116"/>
      <c r="W703" s="116"/>
      <c r="X703" s="116"/>
      <c r="Y703" s="116"/>
      <c r="Z703" s="116"/>
      <c r="AA703" s="116"/>
    </row>
    <row r="704" hidden="1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16"/>
      <c r="N704" s="116"/>
      <c r="O704" s="116"/>
      <c r="P704" s="116"/>
      <c r="Q704" s="116"/>
      <c r="R704" s="116"/>
      <c r="S704" s="116"/>
      <c r="T704" s="116"/>
      <c r="U704" s="116"/>
      <c r="V704" s="116"/>
      <c r="W704" s="116"/>
      <c r="X704" s="116"/>
      <c r="Y704" s="116"/>
      <c r="Z704" s="116"/>
      <c r="AA704" s="116"/>
    </row>
    <row r="705" hidden="1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16"/>
      <c r="N705" s="116"/>
      <c r="O705" s="116"/>
      <c r="P705" s="116"/>
      <c r="Q705" s="116"/>
      <c r="R705" s="116"/>
      <c r="S705" s="116"/>
      <c r="T705" s="116"/>
      <c r="U705" s="116"/>
      <c r="V705" s="116"/>
      <c r="W705" s="116"/>
      <c r="X705" s="116"/>
      <c r="Y705" s="116"/>
      <c r="Z705" s="116"/>
      <c r="AA705" s="116"/>
    </row>
    <row r="706" hidden="1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116"/>
      <c r="S706" s="116"/>
      <c r="T706" s="116"/>
      <c r="U706" s="116"/>
      <c r="V706" s="116"/>
      <c r="W706" s="116"/>
      <c r="X706" s="116"/>
      <c r="Y706" s="116"/>
      <c r="Z706" s="116"/>
      <c r="AA706" s="116"/>
    </row>
    <row r="707" hidden="1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16"/>
      <c r="N707" s="116"/>
      <c r="O707" s="116"/>
      <c r="P707" s="116"/>
      <c r="Q707" s="116"/>
      <c r="R707" s="116"/>
      <c r="S707" s="116"/>
      <c r="T707" s="116"/>
      <c r="U707" s="116"/>
      <c r="V707" s="116"/>
      <c r="W707" s="116"/>
      <c r="X707" s="116"/>
      <c r="Y707" s="116"/>
      <c r="Z707" s="116"/>
      <c r="AA707" s="116"/>
    </row>
    <row r="708" hidden="1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16"/>
      <c r="N708" s="116"/>
      <c r="O708" s="116"/>
      <c r="P708" s="116"/>
      <c r="Q708" s="116"/>
      <c r="R708" s="116"/>
      <c r="S708" s="116"/>
      <c r="T708" s="116"/>
      <c r="U708" s="116"/>
      <c r="V708" s="116"/>
      <c r="W708" s="116"/>
      <c r="X708" s="116"/>
      <c r="Y708" s="116"/>
      <c r="Z708" s="116"/>
      <c r="AA708" s="116"/>
    </row>
    <row r="709" hidden="1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16"/>
      <c r="N709" s="116"/>
      <c r="O709" s="116"/>
      <c r="P709" s="116"/>
      <c r="Q709" s="116"/>
      <c r="R709" s="116"/>
      <c r="S709" s="116"/>
      <c r="T709" s="116"/>
      <c r="U709" s="116"/>
      <c r="V709" s="116"/>
      <c r="W709" s="116"/>
      <c r="X709" s="116"/>
      <c r="Y709" s="116"/>
      <c r="Z709" s="116"/>
      <c r="AA709" s="116"/>
    </row>
    <row r="710" hidden="1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16"/>
      <c r="N710" s="116"/>
      <c r="O710" s="116"/>
      <c r="P710" s="116"/>
      <c r="Q710" s="116"/>
      <c r="R710" s="116"/>
      <c r="S710" s="116"/>
      <c r="T710" s="116"/>
      <c r="U710" s="116"/>
      <c r="V710" s="116"/>
      <c r="W710" s="116"/>
      <c r="X710" s="116"/>
      <c r="Y710" s="116"/>
      <c r="Z710" s="116"/>
      <c r="AA710" s="116"/>
    </row>
    <row r="711" hidden="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116"/>
      <c r="S711" s="116"/>
      <c r="T711" s="116"/>
      <c r="U711" s="116"/>
      <c r="V711" s="116"/>
      <c r="W711" s="116"/>
      <c r="X711" s="116"/>
      <c r="Y711" s="116"/>
      <c r="Z711" s="116"/>
      <c r="AA711" s="116"/>
    </row>
    <row r="712" hidden="1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116"/>
      <c r="S712" s="116"/>
      <c r="T712" s="116"/>
      <c r="U712" s="116"/>
      <c r="V712" s="116"/>
      <c r="W712" s="116"/>
      <c r="X712" s="116"/>
      <c r="Y712" s="116"/>
      <c r="Z712" s="116"/>
      <c r="AA712" s="116"/>
    </row>
    <row r="713" hidden="1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116"/>
      <c r="S713" s="116"/>
      <c r="T713" s="116"/>
      <c r="U713" s="116"/>
      <c r="V713" s="116"/>
      <c r="W713" s="116"/>
      <c r="X713" s="116"/>
      <c r="Y713" s="116"/>
      <c r="Z713" s="116"/>
      <c r="AA713" s="116"/>
    </row>
    <row r="714" hidden="1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116"/>
      <c r="S714" s="116"/>
      <c r="T714" s="116"/>
      <c r="U714" s="116"/>
      <c r="V714" s="116"/>
      <c r="W714" s="116"/>
      <c r="X714" s="116"/>
      <c r="Y714" s="116"/>
      <c r="Z714" s="116"/>
      <c r="AA714" s="116"/>
    </row>
    <row r="715" hidden="1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116"/>
      <c r="S715" s="116"/>
      <c r="T715" s="116"/>
      <c r="U715" s="116"/>
      <c r="V715" s="116"/>
      <c r="W715" s="116"/>
      <c r="X715" s="116"/>
      <c r="Y715" s="116"/>
      <c r="Z715" s="116"/>
      <c r="AA715" s="116"/>
    </row>
    <row r="716" hidden="1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116"/>
      <c r="S716" s="116"/>
      <c r="T716" s="116"/>
      <c r="U716" s="116"/>
      <c r="V716" s="116"/>
      <c r="W716" s="116"/>
      <c r="X716" s="116"/>
      <c r="Y716" s="116"/>
      <c r="Z716" s="116"/>
      <c r="AA716" s="116"/>
    </row>
    <row r="717" hidden="1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116"/>
      <c r="S717" s="116"/>
      <c r="T717" s="116"/>
      <c r="U717" s="116"/>
      <c r="V717" s="116"/>
      <c r="W717" s="116"/>
      <c r="X717" s="116"/>
      <c r="Y717" s="116"/>
      <c r="Z717" s="116"/>
      <c r="AA717" s="116"/>
    </row>
    <row r="718" hidden="1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116"/>
      <c r="S718" s="116"/>
      <c r="T718" s="116"/>
      <c r="U718" s="116"/>
      <c r="V718" s="116"/>
      <c r="W718" s="116"/>
      <c r="X718" s="116"/>
      <c r="Y718" s="116"/>
      <c r="Z718" s="116"/>
      <c r="AA718" s="116"/>
    </row>
    <row r="719" hidden="1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116"/>
      <c r="S719" s="116"/>
      <c r="T719" s="116"/>
      <c r="U719" s="116"/>
      <c r="V719" s="116"/>
      <c r="W719" s="116"/>
      <c r="X719" s="116"/>
      <c r="Y719" s="116"/>
      <c r="Z719" s="116"/>
      <c r="AA719" s="116"/>
    </row>
    <row r="720" hidden="1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116"/>
      <c r="S720" s="116"/>
      <c r="T720" s="116"/>
      <c r="U720" s="116"/>
      <c r="V720" s="116"/>
      <c r="W720" s="116"/>
      <c r="X720" s="116"/>
      <c r="Y720" s="116"/>
      <c r="Z720" s="116"/>
      <c r="AA720" s="116"/>
    </row>
    <row r="721" hidden="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116"/>
      <c r="S721" s="116"/>
      <c r="T721" s="116"/>
      <c r="U721" s="116"/>
      <c r="V721" s="116"/>
      <c r="W721" s="116"/>
      <c r="X721" s="116"/>
      <c r="Y721" s="116"/>
      <c r="Z721" s="116"/>
      <c r="AA721" s="116"/>
    </row>
    <row r="722" hidden="1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116"/>
      <c r="S722" s="116"/>
      <c r="T722" s="116"/>
      <c r="U722" s="116"/>
      <c r="V722" s="116"/>
      <c r="W722" s="116"/>
      <c r="X722" s="116"/>
      <c r="Y722" s="116"/>
      <c r="Z722" s="116"/>
      <c r="AA722" s="116"/>
    </row>
    <row r="723" hidden="1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116"/>
      <c r="S723" s="116"/>
      <c r="T723" s="116"/>
      <c r="U723" s="116"/>
      <c r="V723" s="116"/>
      <c r="W723" s="116"/>
      <c r="X723" s="116"/>
      <c r="Y723" s="116"/>
      <c r="Z723" s="116"/>
      <c r="AA723" s="116"/>
    </row>
    <row r="724" hidden="1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116"/>
      <c r="S724" s="116"/>
      <c r="T724" s="116"/>
      <c r="U724" s="116"/>
      <c r="V724" s="116"/>
      <c r="W724" s="116"/>
      <c r="X724" s="116"/>
      <c r="Y724" s="116"/>
      <c r="Z724" s="116"/>
      <c r="AA724" s="116"/>
    </row>
    <row r="725" hidden="1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116"/>
      <c r="S725" s="116"/>
      <c r="T725" s="116"/>
      <c r="U725" s="116"/>
      <c r="V725" s="116"/>
      <c r="W725" s="116"/>
      <c r="X725" s="116"/>
      <c r="Y725" s="116"/>
      <c r="Z725" s="116"/>
      <c r="AA725" s="116"/>
    </row>
    <row r="726" hidden="1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116"/>
      <c r="S726" s="116"/>
      <c r="T726" s="116"/>
      <c r="U726" s="116"/>
      <c r="V726" s="116"/>
      <c r="W726" s="116"/>
      <c r="X726" s="116"/>
      <c r="Y726" s="116"/>
      <c r="Z726" s="116"/>
      <c r="AA726" s="116"/>
    </row>
    <row r="727" hidden="1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116"/>
      <c r="S727" s="116"/>
      <c r="T727" s="116"/>
      <c r="U727" s="116"/>
      <c r="V727" s="116"/>
      <c r="W727" s="116"/>
      <c r="X727" s="116"/>
      <c r="Y727" s="116"/>
      <c r="Z727" s="116"/>
      <c r="AA727" s="116"/>
    </row>
    <row r="728" hidden="1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116"/>
      <c r="S728" s="116"/>
      <c r="T728" s="116"/>
      <c r="U728" s="116"/>
      <c r="V728" s="116"/>
      <c r="W728" s="116"/>
      <c r="X728" s="116"/>
      <c r="Y728" s="116"/>
      <c r="Z728" s="116"/>
      <c r="AA728" s="116"/>
    </row>
    <row r="729" hidden="1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116"/>
      <c r="S729" s="116"/>
      <c r="T729" s="116"/>
      <c r="U729" s="116"/>
      <c r="V729" s="116"/>
      <c r="W729" s="116"/>
      <c r="X729" s="116"/>
      <c r="Y729" s="116"/>
      <c r="Z729" s="116"/>
      <c r="AA729" s="116"/>
    </row>
    <row r="730" hidden="1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116"/>
      <c r="S730" s="116"/>
      <c r="T730" s="116"/>
      <c r="U730" s="116"/>
      <c r="V730" s="116"/>
      <c r="W730" s="116"/>
      <c r="X730" s="116"/>
      <c r="Y730" s="116"/>
      <c r="Z730" s="116"/>
      <c r="AA730" s="116"/>
    </row>
    <row r="731" hidden="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116"/>
      <c r="S731" s="116"/>
      <c r="T731" s="116"/>
      <c r="U731" s="116"/>
      <c r="V731" s="116"/>
      <c r="W731" s="116"/>
      <c r="X731" s="116"/>
      <c r="Y731" s="116"/>
      <c r="Z731" s="116"/>
      <c r="AA731" s="116"/>
    </row>
    <row r="732" hidden="1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116"/>
      <c r="S732" s="116"/>
      <c r="T732" s="116"/>
      <c r="U732" s="116"/>
      <c r="V732" s="116"/>
      <c r="W732" s="116"/>
      <c r="X732" s="116"/>
      <c r="Y732" s="116"/>
      <c r="Z732" s="116"/>
      <c r="AA732" s="116"/>
    </row>
    <row r="733" hidden="1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116"/>
      <c r="S733" s="116"/>
      <c r="T733" s="116"/>
      <c r="U733" s="116"/>
      <c r="V733" s="116"/>
      <c r="W733" s="116"/>
      <c r="X733" s="116"/>
      <c r="Y733" s="116"/>
      <c r="Z733" s="116"/>
      <c r="AA733" s="116"/>
    </row>
    <row r="734" hidden="1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116"/>
      <c r="S734" s="116"/>
      <c r="T734" s="116"/>
      <c r="U734" s="116"/>
      <c r="V734" s="116"/>
      <c r="W734" s="116"/>
      <c r="X734" s="116"/>
      <c r="Y734" s="116"/>
      <c r="Z734" s="116"/>
      <c r="AA734" s="116"/>
    </row>
    <row r="735" hidden="1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116"/>
      <c r="S735" s="116"/>
      <c r="T735" s="116"/>
      <c r="U735" s="116"/>
      <c r="V735" s="116"/>
      <c r="W735" s="116"/>
      <c r="X735" s="116"/>
      <c r="Y735" s="116"/>
      <c r="Z735" s="116"/>
      <c r="AA735" s="116"/>
    </row>
    <row r="736" hidden="1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116"/>
      <c r="S736" s="116"/>
      <c r="T736" s="116"/>
      <c r="U736" s="116"/>
      <c r="V736" s="116"/>
      <c r="W736" s="116"/>
      <c r="X736" s="116"/>
      <c r="Y736" s="116"/>
      <c r="Z736" s="116"/>
      <c r="AA736" s="116"/>
    </row>
    <row r="737" hidden="1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116"/>
      <c r="S737" s="116"/>
      <c r="T737" s="116"/>
      <c r="U737" s="116"/>
      <c r="V737" s="116"/>
      <c r="W737" s="116"/>
      <c r="X737" s="116"/>
      <c r="Y737" s="116"/>
      <c r="Z737" s="116"/>
      <c r="AA737" s="116"/>
    </row>
    <row r="738" hidden="1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116"/>
      <c r="S738" s="116"/>
      <c r="T738" s="116"/>
      <c r="U738" s="116"/>
      <c r="V738" s="116"/>
      <c r="W738" s="116"/>
      <c r="X738" s="116"/>
      <c r="Y738" s="116"/>
      <c r="Z738" s="116"/>
      <c r="AA738" s="116"/>
    </row>
    <row r="739" hidden="1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116"/>
      <c r="S739" s="116"/>
      <c r="T739" s="116"/>
      <c r="U739" s="116"/>
      <c r="V739" s="116"/>
      <c r="W739" s="116"/>
      <c r="X739" s="116"/>
      <c r="Y739" s="116"/>
      <c r="Z739" s="116"/>
      <c r="AA739" s="116"/>
    </row>
    <row r="740" hidden="1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116"/>
      <c r="S740" s="116"/>
      <c r="T740" s="116"/>
      <c r="U740" s="116"/>
      <c r="V740" s="116"/>
      <c r="W740" s="116"/>
      <c r="X740" s="116"/>
      <c r="Y740" s="116"/>
      <c r="Z740" s="116"/>
      <c r="AA740" s="116"/>
    </row>
    <row r="741" hidden="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116"/>
      <c r="S741" s="116"/>
      <c r="T741" s="116"/>
      <c r="U741" s="116"/>
      <c r="V741" s="116"/>
      <c r="W741" s="116"/>
      <c r="X741" s="116"/>
      <c r="Y741" s="116"/>
      <c r="Z741" s="116"/>
      <c r="AA741" s="116"/>
    </row>
    <row r="742" hidden="1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116"/>
      <c r="S742" s="116"/>
      <c r="T742" s="116"/>
      <c r="U742" s="116"/>
      <c r="V742" s="116"/>
      <c r="W742" s="116"/>
      <c r="X742" s="116"/>
      <c r="Y742" s="116"/>
      <c r="Z742" s="116"/>
      <c r="AA742" s="116"/>
    </row>
    <row r="743" hidden="1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116"/>
      <c r="S743" s="116"/>
      <c r="T743" s="116"/>
      <c r="U743" s="116"/>
      <c r="V743" s="116"/>
      <c r="W743" s="116"/>
      <c r="X743" s="116"/>
      <c r="Y743" s="116"/>
      <c r="Z743" s="116"/>
      <c r="AA743" s="116"/>
    </row>
    <row r="744" hidden="1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116"/>
      <c r="S744" s="116"/>
      <c r="T744" s="116"/>
      <c r="U744" s="116"/>
      <c r="V744" s="116"/>
      <c r="W744" s="116"/>
      <c r="X744" s="116"/>
      <c r="Y744" s="116"/>
      <c r="Z744" s="116"/>
      <c r="AA744" s="116"/>
    </row>
    <row r="745" hidden="1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116"/>
      <c r="S745" s="116"/>
      <c r="T745" s="116"/>
      <c r="U745" s="116"/>
      <c r="V745" s="116"/>
      <c r="W745" s="116"/>
      <c r="X745" s="116"/>
      <c r="Y745" s="116"/>
      <c r="Z745" s="116"/>
      <c r="AA745" s="116"/>
    </row>
    <row r="746" hidden="1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116"/>
      <c r="S746" s="116"/>
      <c r="T746" s="116"/>
      <c r="U746" s="116"/>
      <c r="V746" s="116"/>
      <c r="W746" s="116"/>
      <c r="X746" s="116"/>
      <c r="Y746" s="116"/>
      <c r="Z746" s="116"/>
      <c r="AA746" s="116"/>
    </row>
    <row r="747" hidden="1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116"/>
      <c r="S747" s="116"/>
      <c r="T747" s="116"/>
      <c r="U747" s="116"/>
      <c r="V747" s="116"/>
      <c r="W747" s="116"/>
      <c r="X747" s="116"/>
      <c r="Y747" s="116"/>
      <c r="Z747" s="116"/>
      <c r="AA747" s="116"/>
    </row>
    <row r="748" hidden="1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116"/>
      <c r="S748" s="116"/>
      <c r="T748" s="116"/>
      <c r="U748" s="116"/>
      <c r="V748" s="116"/>
      <c r="W748" s="116"/>
      <c r="X748" s="116"/>
      <c r="Y748" s="116"/>
      <c r="Z748" s="116"/>
      <c r="AA748" s="116"/>
    </row>
    <row r="749" hidden="1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116"/>
      <c r="S749" s="116"/>
      <c r="T749" s="116"/>
      <c r="U749" s="116"/>
      <c r="V749" s="116"/>
      <c r="W749" s="116"/>
      <c r="X749" s="116"/>
      <c r="Y749" s="116"/>
      <c r="Z749" s="116"/>
      <c r="AA749" s="116"/>
    </row>
    <row r="750" hidden="1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116"/>
      <c r="S750" s="116"/>
      <c r="T750" s="116"/>
      <c r="U750" s="116"/>
      <c r="V750" s="116"/>
      <c r="W750" s="116"/>
      <c r="X750" s="116"/>
      <c r="Y750" s="116"/>
      <c r="Z750" s="116"/>
      <c r="AA750" s="116"/>
    </row>
    <row r="751" hidden="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116"/>
      <c r="S751" s="116"/>
      <c r="T751" s="116"/>
      <c r="U751" s="116"/>
      <c r="V751" s="116"/>
      <c r="W751" s="116"/>
      <c r="X751" s="116"/>
      <c r="Y751" s="116"/>
      <c r="Z751" s="116"/>
      <c r="AA751" s="116"/>
    </row>
    <row r="752" hidden="1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116"/>
      <c r="S752" s="116"/>
      <c r="T752" s="116"/>
      <c r="U752" s="116"/>
      <c r="V752" s="116"/>
      <c r="W752" s="116"/>
      <c r="X752" s="116"/>
      <c r="Y752" s="116"/>
      <c r="Z752" s="116"/>
      <c r="AA752" s="116"/>
    </row>
    <row r="753" hidden="1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116"/>
      <c r="S753" s="116"/>
      <c r="T753" s="116"/>
      <c r="U753" s="116"/>
      <c r="V753" s="116"/>
      <c r="W753" s="116"/>
      <c r="X753" s="116"/>
      <c r="Y753" s="116"/>
      <c r="Z753" s="116"/>
      <c r="AA753" s="116"/>
    </row>
    <row r="754" hidden="1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116"/>
      <c r="S754" s="116"/>
      <c r="T754" s="116"/>
      <c r="U754" s="116"/>
      <c r="V754" s="116"/>
      <c r="W754" s="116"/>
      <c r="X754" s="116"/>
      <c r="Y754" s="116"/>
      <c r="Z754" s="116"/>
      <c r="AA754" s="116"/>
    </row>
    <row r="755" hidden="1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116"/>
      <c r="S755" s="116"/>
      <c r="T755" s="116"/>
      <c r="U755" s="116"/>
      <c r="V755" s="116"/>
      <c r="W755" s="116"/>
      <c r="X755" s="116"/>
      <c r="Y755" s="116"/>
      <c r="Z755" s="116"/>
      <c r="AA755" s="116"/>
    </row>
    <row r="756" hidden="1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116"/>
      <c r="S756" s="116"/>
      <c r="T756" s="116"/>
      <c r="U756" s="116"/>
      <c r="V756" s="116"/>
      <c r="W756" s="116"/>
      <c r="X756" s="116"/>
      <c r="Y756" s="116"/>
      <c r="Z756" s="116"/>
      <c r="AA756" s="116"/>
    </row>
    <row r="757" hidden="1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116"/>
      <c r="S757" s="116"/>
      <c r="T757" s="116"/>
      <c r="U757" s="116"/>
      <c r="V757" s="116"/>
      <c r="W757" s="116"/>
      <c r="X757" s="116"/>
      <c r="Y757" s="116"/>
      <c r="Z757" s="116"/>
      <c r="AA757" s="116"/>
    </row>
    <row r="758" hidden="1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116"/>
      <c r="S758" s="116"/>
      <c r="T758" s="116"/>
      <c r="U758" s="116"/>
      <c r="V758" s="116"/>
      <c r="W758" s="116"/>
      <c r="X758" s="116"/>
      <c r="Y758" s="116"/>
      <c r="Z758" s="116"/>
      <c r="AA758" s="116"/>
    </row>
    <row r="759" hidden="1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116"/>
      <c r="S759" s="116"/>
      <c r="T759" s="116"/>
      <c r="U759" s="116"/>
      <c r="V759" s="116"/>
      <c r="W759" s="116"/>
      <c r="X759" s="116"/>
      <c r="Y759" s="116"/>
      <c r="Z759" s="116"/>
      <c r="AA759" s="116"/>
    </row>
    <row r="760" hidden="1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116"/>
      <c r="S760" s="116"/>
      <c r="T760" s="116"/>
      <c r="U760" s="116"/>
      <c r="V760" s="116"/>
      <c r="W760" s="116"/>
      <c r="X760" s="116"/>
      <c r="Y760" s="116"/>
      <c r="Z760" s="116"/>
      <c r="AA760" s="116"/>
    </row>
    <row r="761" hidden="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116"/>
      <c r="S761" s="116"/>
      <c r="T761" s="116"/>
      <c r="U761" s="116"/>
      <c r="V761" s="116"/>
      <c r="W761" s="116"/>
      <c r="X761" s="116"/>
      <c r="Y761" s="116"/>
      <c r="Z761" s="116"/>
      <c r="AA761" s="116"/>
    </row>
    <row r="762" hidden="1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116"/>
      <c r="S762" s="116"/>
      <c r="T762" s="116"/>
      <c r="U762" s="116"/>
      <c r="V762" s="116"/>
      <c r="W762" s="116"/>
      <c r="X762" s="116"/>
      <c r="Y762" s="116"/>
      <c r="Z762" s="116"/>
      <c r="AA762" s="116"/>
    </row>
    <row r="763" hidden="1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116"/>
      <c r="S763" s="116"/>
      <c r="T763" s="116"/>
      <c r="U763" s="116"/>
      <c r="V763" s="116"/>
      <c r="W763" s="116"/>
      <c r="X763" s="116"/>
      <c r="Y763" s="116"/>
      <c r="Z763" s="116"/>
      <c r="AA763" s="116"/>
    </row>
    <row r="764" hidden="1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116"/>
      <c r="S764" s="116"/>
      <c r="T764" s="116"/>
      <c r="U764" s="116"/>
      <c r="V764" s="116"/>
      <c r="W764" s="116"/>
      <c r="X764" s="116"/>
      <c r="Y764" s="116"/>
      <c r="Z764" s="116"/>
      <c r="AA764" s="116"/>
    </row>
    <row r="765" hidden="1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116"/>
      <c r="S765" s="116"/>
      <c r="T765" s="116"/>
      <c r="U765" s="116"/>
      <c r="V765" s="116"/>
      <c r="W765" s="116"/>
      <c r="X765" s="116"/>
      <c r="Y765" s="116"/>
      <c r="Z765" s="116"/>
      <c r="AA765" s="116"/>
    </row>
    <row r="766" hidden="1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116"/>
      <c r="S766" s="116"/>
      <c r="T766" s="116"/>
      <c r="U766" s="116"/>
      <c r="V766" s="116"/>
      <c r="W766" s="116"/>
      <c r="X766" s="116"/>
      <c r="Y766" s="116"/>
      <c r="Z766" s="116"/>
      <c r="AA766" s="116"/>
    </row>
    <row r="767" hidden="1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116"/>
      <c r="S767" s="116"/>
      <c r="T767" s="116"/>
      <c r="U767" s="116"/>
      <c r="V767" s="116"/>
      <c r="W767" s="116"/>
      <c r="X767" s="116"/>
      <c r="Y767" s="116"/>
      <c r="Z767" s="116"/>
      <c r="AA767" s="116"/>
    </row>
    <row r="768" hidden="1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116"/>
      <c r="S768" s="116"/>
      <c r="T768" s="116"/>
      <c r="U768" s="116"/>
      <c r="V768" s="116"/>
      <c r="W768" s="116"/>
      <c r="X768" s="116"/>
      <c r="Y768" s="116"/>
      <c r="Z768" s="116"/>
      <c r="AA768" s="116"/>
    </row>
    <row r="769" hidden="1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116"/>
      <c r="S769" s="116"/>
      <c r="T769" s="116"/>
      <c r="U769" s="116"/>
      <c r="V769" s="116"/>
      <c r="W769" s="116"/>
      <c r="X769" s="116"/>
      <c r="Y769" s="116"/>
      <c r="Z769" s="116"/>
      <c r="AA769" s="116"/>
    </row>
    <row r="770" hidden="1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116"/>
      <c r="S770" s="116"/>
      <c r="T770" s="116"/>
      <c r="U770" s="116"/>
      <c r="V770" s="116"/>
      <c r="W770" s="116"/>
      <c r="X770" s="116"/>
      <c r="Y770" s="116"/>
      <c r="Z770" s="116"/>
      <c r="AA770" s="116"/>
    </row>
    <row r="771" hidden="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116"/>
      <c r="S771" s="116"/>
      <c r="T771" s="116"/>
      <c r="U771" s="116"/>
      <c r="V771" s="116"/>
      <c r="W771" s="116"/>
      <c r="X771" s="116"/>
      <c r="Y771" s="116"/>
      <c r="Z771" s="116"/>
      <c r="AA771" s="116"/>
    </row>
    <row r="772" hidden="1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116"/>
      <c r="S772" s="116"/>
      <c r="T772" s="116"/>
      <c r="U772" s="116"/>
      <c r="V772" s="116"/>
      <c r="W772" s="116"/>
      <c r="X772" s="116"/>
      <c r="Y772" s="116"/>
      <c r="Z772" s="116"/>
      <c r="AA772" s="116"/>
    </row>
    <row r="773" hidden="1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116"/>
      <c r="S773" s="116"/>
      <c r="T773" s="116"/>
      <c r="U773" s="116"/>
      <c r="V773" s="116"/>
      <c r="W773" s="116"/>
      <c r="X773" s="116"/>
      <c r="Y773" s="116"/>
      <c r="Z773" s="116"/>
      <c r="AA773" s="116"/>
    </row>
    <row r="774" hidden="1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116"/>
      <c r="S774" s="116"/>
      <c r="T774" s="116"/>
      <c r="U774" s="116"/>
      <c r="V774" s="116"/>
      <c r="W774" s="116"/>
      <c r="X774" s="116"/>
      <c r="Y774" s="116"/>
      <c r="Z774" s="116"/>
      <c r="AA774" s="116"/>
    </row>
    <row r="775" hidden="1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116"/>
      <c r="S775" s="116"/>
      <c r="T775" s="116"/>
      <c r="U775" s="116"/>
      <c r="V775" s="116"/>
      <c r="W775" s="116"/>
      <c r="X775" s="116"/>
      <c r="Y775" s="116"/>
      <c r="Z775" s="116"/>
      <c r="AA775" s="116"/>
    </row>
    <row r="776" hidden="1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116"/>
      <c r="U776" s="116"/>
      <c r="V776" s="116"/>
      <c r="W776" s="116"/>
      <c r="X776" s="116"/>
      <c r="Y776" s="116"/>
      <c r="Z776" s="116"/>
      <c r="AA776" s="116"/>
    </row>
    <row r="777" hidden="1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116"/>
      <c r="S777" s="116"/>
      <c r="T777" s="116"/>
      <c r="U777" s="116"/>
      <c r="V777" s="116"/>
      <c r="W777" s="116"/>
      <c r="X777" s="116"/>
      <c r="Y777" s="116"/>
      <c r="Z777" s="116"/>
      <c r="AA777" s="116"/>
    </row>
    <row r="778" hidden="1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116"/>
      <c r="S778" s="116"/>
      <c r="T778" s="116"/>
      <c r="U778" s="116"/>
      <c r="V778" s="116"/>
      <c r="W778" s="116"/>
      <c r="X778" s="116"/>
      <c r="Y778" s="116"/>
      <c r="Z778" s="116"/>
      <c r="AA778" s="116"/>
    </row>
    <row r="779" hidden="1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116"/>
      <c r="S779" s="116"/>
      <c r="T779" s="116"/>
      <c r="U779" s="116"/>
      <c r="V779" s="116"/>
      <c r="W779" s="116"/>
      <c r="X779" s="116"/>
      <c r="Y779" s="116"/>
      <c r="Z779" s="116"/>
      <c r="AA779" s="116"/>
    </row>
    <row r="780" hidden="1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116"/>
      <c r="S780" s="116"/>
      <c r="T780" s="116"/>
      <c r="U780" s="116"/>
      <c r="V780" s="116"/>
      <c r="W780" s="116"/>
      <c r="X780" s="116"/>
      <c r="Y780" s="116"/>
      <c r="Z780" s="116"/>
      <c r="AA780" s="116"/>
    </row>
    <row r="781" hidden="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116"/>
      <c r="S781" s="116"/>
      <c r="T781" s="116"/>
      <c r="U781" s="116"/>
      <c r="V781" s="116"/>
      <c r="W781" s="116"/>
      <c r="X781" s="116"/>
      <c r="Y781" s="116"/>
      <c r="Z781" s="116"/>
      <c r="AA781" s="116"/>
    </row>
    <row r="782" hidden="1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116"/>
      <c r="S782" s="116"/>
      <c r="T782" s="116"/>
      <c r="U782" s="116"/>
      <c r="V782" s="116"/>
      <c r="W782" s="116"/>
      <c r="X782" s="116"/>
      <c r="Y782" s="116"/>
      <c r="Z782" s="116"/>
      <c r="AA782" s="116"/>
    </row>
    <row r="783" hidden="1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116"/>
      <c r="S783" s="116"/>
      <c r="T783" s="116"/>
      <c r="U783" s="116"/>
      <c r="V783" s="116"/>
      <c r="W783" s="116"/>
      <c r="X783" s="116"/>
      <c r="Y783" s="116"/>
      <c r="Z783" s="116"/>
      <c r="AA783" s="116"/>
    </row>
    <row r="784" hidden="1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116"/>
      <c r="S784" s="116"/>
      <c r="T784" s="116"/>
      <c r="U784" s="116"/>
      <c r="V784" s="116"/>
      <c r="W784" s="116"/>
      <c r="X784" s="116"/>
      <c r="Y784" s="116"/>
      <c r="Z784" s="116"/>
      <c r="AA784" s="116"/>
    </row>
    <row r="785" hidden="1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116"/>
      <c r="S785" s="116"/>
      <c r="T785" s="116"/>
      <c r="U785" s="116"/>
      <c r="V785" s="116"/>
      <c r="W785" s="116"/>
      <c r="X785" s="116"/>
      <c r="Y785" s="116"/>
      <c r="Z785" s="116"/>
      <c r="AA785" s="116"/>
    </row>
    <row r="786" hidden="1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116"/>
      <c r="S786" s="116"/>
      <c r="T786" s="116"/>
      <c r="U786" s="116"/>
      <c r="V786" s="116"/>
      <c r="W786" s="116"/>
      <c r="X786" s="116"/>
      <c r="Y786" s="116"/>
      <c r="Z786" s="116"/>
      <c r="AA786" s="116"/>
    </row>
    <row r="787" hidden="1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116"/>
      <c r="S787" s="116"/>
      <c r="T787" s="116"/>
      <c r="U787" s="116"/>
      <c r="V787" s="116"/>
      <c r="W787" s="116"/>
      <c r="X787" s="116"/>
      <c r="Y787" s="116"/>
      <c r="Z787" s="116"/>
      <c r="AA787" s="116"/>
    </row>
    <row r="788" hidden="1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116"/>
      <c r="S788" s="116"/>
      <c r="T788" s="116"/>
      <c r="U788" s="116"/>
      <c r="V788" s="116"/>
      <c r="W788" s="116"/>
      <c r="X788" s="116"/>
      <c r="Y788" s="116"/>
      <c r="Z788" s="116"/>
      <c r="AA788" s="116"/>
    </row>
    <row r="789" hidden="1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116"/>
      <c r="S789" s="116"/>
      <c r="T789" s="116"/>
      <c r="U789" s="116"/>
      <c r="V789" s="116"/>
      <c r="W789" s="116"/>
      <c r="X789" s="116"/>
      <c r="Y789" s="116"/>
      <c r="Z789" s="116"/>
      <c r="AA789" s="116"/>
    </row>
    <row r="790" hidden="1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116"/>
      <c r="S790" s="116"/>
      <c r="T790" s="116"/>
      <c r="U790" s="116"/>
      <c r="V790" s="116"/>
      <c r="W790" s="116"/>
      <c r="X790" s="116"/>
      <c r="Y790" s="116"/>
      <c r="Z790" s="116"/>
      <c r="AA790" s="116"/>
    </row>
    <row r="791" hidden="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116"/>
      <c r="S791" s="116"/>
      <c r="T791" s="116"/>
      <c r="U791" s="116"/>
      <c r="V791" s="116"/>
      <c r="W791" s="116"/>
      <c r="X791" s="116"/>
      <c r="Y791" s="116"/>
      <c r="Z791" s="116"/>
      <c r="AA791" s="116"/>
    </row>
    <row r="792" hidden="1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116"/>
      <c r="S792" s="116"/>
      <c r="T792" s="116"/>
      <c r="U792" s="116"/>
      <c r="V792" s="116"/>
      <c r="W792" s="116"/>
      <c r="X792" s="116"/>
      <c r="Y792" s="116"/>
      <c r="Z792" s="116"/>
      <c r="AA792" s="116"/>
    </row>
    <row r="793" hidden="1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116"/>
      <c r="S793" s="116"/>
      <c r="T793" s="116"/>
      <c r="U793" s="116"/>
      <c r="V793" s="116"/>
      <c r="W793" s="116"/>
      <c r="X793" s="116"/>
      <c r="Y793" s="116"/>
      <c r="Z793" s="116"/>
      <c r="AA793" s="116"/>
    </row>
    <row r="794" hidden="1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116"/>
      <c r="S794" s="116"/>
      <c r="T794" s="116"/>
      <c r="U794" s="116"/>
      <c r="V794" s="116"/>
      <c r="W794" s="116"/>
      <c r="X794" s="116"/>
      <c r="Y794" s="116"/>
      <c r="Z794" s="116"/>
      <c r="AA794" s="116"/>
    </row>
    <row r="795" hidden="1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116"/>
      <c r="S795" s="116"/>
      <c r="T795" s="116"/>
      <c r="U795" s="116"/>
      <c r="V795" s="116"/>
      <c r="W795" s="116"/>
      <c r="X795" s="116"/>
      <c r="Y795" s="116"/>
      <c r="Z795" s="116"/>
      <c r="AA795" s="116"/>
    </row>
    <row r="796" hidden="1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116"/>
      <c r="S796" s="116"/>
      <c r="T796" s="116"/>
      <c r="U796" s="116"/>
      <c r="V796" s="116"/>
      <c r="W796" s="116"/>
      <c r="X796" s="116"/>
      <c r="Y796" s="116"/>
      <c r="Z796" s="116"/>
      <c r="AA796" s="116"/>
    </row>
    <row r="797" hidden="1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116"/>
      <c r="S797" s="116"/>
      <c r="T797" s="116"/>
      <c r="U797" s="116"/>
      <c r="V797" s="116"/>
      <c r="W797" s="116"/>
      <c r="X797" s="116"/>
      <c r="Y797" s="116"/>
      <c r="Z797" s="116"/>
      <c r="AA797" s="116"/>
    </row>
    <row r="798" hidden="1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116"/>
      <c r="S798" s="116"/>
      <c r="T798" s="116"/>
      <c r="U798" s="116"/>
      <c r="V798" s="116"/>
      <c r="W798" s="116"/>
      <c r="X798" s="116"/>
      <c r="Y798" s="116"/>
      <c r="Z798" s="116"/>
      <c r="AA798" s="116"/>
    </row>
    <row r="799" hidden="1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116"/>
      <c r="S799" s="116"/>
      <c r="T799" s="116"/>
      <c r="U799" s="116"/>
      <c r="V799" s="116"/>
      <c r="W799" s="116"/>
      <c r="X799" s="116"/>
      <c r="Y799" s="116"/>
      <c r="Z799" s="116"/>
      <c r="AA799" s="116"/>
    </row>
    <row r="800" hidden="1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116"/>
      <c r="S800" s="116"/>
      <c r="T800" s="116"/>
      <c r="U800" s="116"/>
      <c r="V800" s="116"/>
      <c r="W800" s="116"/>
      <c r="X800" s="116"/>
      <c r="Y800" s="116"/>
      <c r="Z800" s="116"/>
      <c r="AA800" s="116"/>
    </row>
    <row r="801" hidden="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116"/>
      <c r="S801" s="116"/>
      <c r="T801" s="116"/>
      <c r="U801" s="116"/>
      <c r="V801" s="116"/>
      <c r="W801" s="116"/>
      <c r="X801" s="116"/>
      <c r="Y801" s="116"/>
      <c r="Z801" s="116"/>
      <c r="AA801" s="116"/>
    </row>
    <row r="802" hidden="1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116"/>
      <c r="S802" s="116"/>
      <c r="T802" s="116"/>
      <c r="U802" s="116"/>
      <c r="V802" s="116"/>
      <c r="W802" s="116"/>
      <c r="X802" s="116"/>
      <c r="Y802" s="116"/>
      <c r="Z802" s="116"/>
      <c r="AA802" s="116"/>
    </row>
    <row r="803" hidden="1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116"/>
      <c r="S803" s="116"/>
      <c r="T803" s="116"/>
      <c r="U803" s="116"/>
      <c r="V803" s="116"/>
      <c r="W803" s="116"/>
      <c r="X803" s="116"/>
      <c r="Y803" s="116"/>
      <c r="Z803" s="116"/>
      <c r="AA803" s="116"/>
    </row>
    <row r="804" hidden="1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116"/>
      <c r="S804" s="116"/>
      <c r="T804" s="116"/>
      <c r="U804" s="116"/>
      <c r="V804" s="116"/>
      <c r="W804" s="116"/>
      <c r="X804" s="116"/>
      <c r="Y804" s="116"/>
      <c r="Z804" s="116"/>
      <c r="AA804" s="116"/>
    </row>
    <row r="805" hidden="1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116"/>
      <c r="S805" s="116"/>
      <c r="T805" s="116"/>
      <c r="U805" s="116"/>
      <c r="V805" s="116"/>
      <c r="W805" s="116"/>
      <c r="X805" s="116"/>
      <c r="Y805" s="116"/>
      <c r="Z805" s="116"/>
      <c r="AA805" s="116"/>
    </row>
    <row r="806" hidden="1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116"/>
      <c r="S806" s="116"/>
      <c r="T806" s="116"/>
      <c r="U806" s="116"/>
      <c r="V806" s="116"/>
      <c r="W806" s="116"/>
      <c r="X806" s="116"/>
      <c r="Y806" s="116"/>
      <c r="Z806" s="116"/>
      <c r="AA806" s="116"/>
    </row>
    <row r="807" hidden="1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116"/>
      <c r="S807" s="116"/>
      <c r="T807" s="116"/>
      <c r="U807" s="116"/>
      <c r="V807" s="116"/>
      <c r="W807" s="116"/>
      <c r="X807" s="116"/>
      <c r="Y807" s="116"/>
      <c r="Z807" s="116"/>
      <c r="AA807" s="116"/>
    </row>
    <row r="808" hidden="1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116"/>
      <c r="S808" s="116"/>
      <c r="T808" s="116"/>
      <c r="U808" s="116"/>
      <c r="V808" s="116"/>
      <c r="W808" s="116"/>
      <c r="X808" s="116"/>
      <c r="Y808" s="116"/>
      <c r="Z808" s="116"/>
      <c r="AA808" s="116"/>
    </row>
    <row r="809" hidden="1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116"/>
      <c r="S809" s="116"/>
      <c r="T809" s="116"/>
      <c r="U809" s="116"/>
      <c r="V809" s="116"/>
      <c r="W809" s="116"/>
      <c r="X809" s="116"/>
      <c r="Y809" s="116"/>
      <c r="Z809" s="116"/>
      <c r="AA809" s="116"/>
    </row>
    <row r="810" hidden="1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116"/>
      <c r="S810" s="116"/>
      <c r="T810" s="116"/>
      <c r="U810" s="116"/>
      <c r="V810" s="116"/>
      <c r="W810" s="116"/>
      <c r="X810" s="116"/>
      <c r="Y810" s="116"/>
      <c r="Z810" s="116"/>
      <c r="AA810" s="116"/>
    </row>
    <row r="811" hidden="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116"/>
      <c r="S811" s="116"/>
      <c r="T811" s="116"/>
      <c r="U811" s="116"/>
      <c r="V811" s="116"/>
      <c r="W811" s="116"/>
      <c r="X811" s="116"/>
      <c r="Y811" s="116"/>
      <c r="Z811" s="116"/>
      <c r="AA811" s="116"/>
    </row>
    <row r="812" hidden="1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116"/>
      <c r="S812" s="116"/>
      <c r="T812" s="116"/>
      <c r="U812" s="116"/>
      <c r="V812" s="116"/>
      <c r="W812" s="116"/>
      <c r="X812" s="116"/>
      <c r="Y812" s="116"/>
      <c r="Z812" s="116"/>
      <c r="AA812" s="116"/>
    </row>
    <row r="813" hidden="1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116"/>
      <c r="S813" s="116"/>
      <c r="T813" s="116"/>
      <c r="U813" s="116"/>
      <c r="V813" s="116"/>
      <c r="W813" s="116"/>
      <c r="X813" s="116"/>
      <c r="Y813" s="116"/>
      <c r="Z813" s="116"/>
      <c r="AA813" s="116"/>
    </row>
    <row r="814" hidden="1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116"/>
      <c r="S814" s="116"/>
      <c r="T814" s="116"/>
      <c r="U814" s="116"/>
      <c r="V814" s="116"/>
      <c r="W814" s="116"/>
      <c r="X814" s="116"/>
      <c r="Y814" s="116"/>
      <c r="Z814" s="116"/>
      <c r="AA814" s="116"/>
    </row>
    <row r="815" hidden="1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116"/>
      <c r="S815" s="116"/>
      <c r="T815" s="116"/>
      <c r="U815" s="116"/>
      <c r="V815" s="116"/>
      <c r="W815" s="116"/>
      <c r="X815" s="116"/>
      <c r="Y815" s="116"/>
      <c r="Z815" s="116"/>
      <c r="AA815" s="116"/>
    </row>
    <row r="816" hidden="1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116"/>
      <c r="S816" s="116"/>
      <c r="T816" s="116"/>
      <c r="U816" s="116"/>
      <c r="V816" s="116"/>
      <c r="W816" s="116"/>
      <c r="X816" s="116"/>
      <c r="Y816" s="116"/>
      <c r="Z816" s="116"/>
      <c r="AA816" s="116"/>
    </row>
    <row r="817" hidden="1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116"/>
      <c r="S817" s="116"/>
      <c r="T817" s="116"/>
      <c r="U817" s="116"/>
      <c r="V817" s="116"/>
      <c r="W817" s="116"/>
      <c r="X817" s="116"/>
      <c r="Y817" s="116"/>
      <c r="Z817" s="116"/>
      <c r="AA817" s="116"/>
    </row>
    <row r="818" hidden="1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116"/>
      <c r="S818" s="116"/>
      <c r="T818" s="116"/>
      <c r="U818" s="116"/>
      <c r="V818" s="116"/>
      <c r="W818" s="116"/>
      <c r="X818" s="116"/>
      <c r="Y818" s="116"/>
      <c r="Z818" s="116"/>
      <c r="AA818" s="116"/>
    </row>
    <row r="819" hidden="1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116"/>
      <c r="S819" s="116"/>
      <c r="T819" s="116"/>
      <c r="U819" s="116"/>
      <c r="V819" s="116"/>
      <c r="W819" s="116"/>
      <c r="X819" s="116"/>
      <c r="Y819" s="116"/>
      <c r="Z819" s="116"/>
      <c r="AA819" s="116"/>
    </row>
    <row r="820" hidden="1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116"/>
      <c r="S820" s="116"/>
      <c r="T820" s="116"/>
      <c r="U820" s="116"/>
      <c r="V820" s="116"/>
      <c r="W820" s="116"/>
      <c r="X820" s="116"/>
      <c r="Y820" s="116"/>
      <c r="Z820" s="116"/>
      <c r="AA820" s="116"/>
    </row>
    <row r="821" hidden="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116"/>
      <c r="S821" s="116"/>
      <c r="T821" s="116"/>
      <c r="U821" s="116"/>
      <c r="V821" s="116"/>
      <c r="W821" s="116"/>
      <c r="X821" s="116"/>
      <c r="Y821" s="116"/>
      <c r="Z821" s="116"/>
      <c r="AA821" s="116"/>
    </row>
    <row r="822" hidden="1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116"/>
      <c r="S822" s="116"/>
      <c r="T822" s="116"/>
      <c r="U822" s="116"/>
      <c r="V822" s="116"/>
      <c r="W822" s="116"/>
      <c r="X822" s="116"/>
      <c r="Y822" s="116"/>
      <c r="Z822" s="116"/>
      <c r="AA822" s="116"/>
    </row>
    <row r="823" hidden="1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116"/>
      <c r="S823" s="116"/>
      <c r="T823" s="116"/>
      <c r="U823" s="116"/>
      <c r="V823" s="116"/>
      <c r="W823" s="116"/>
      <c r="X823" s="116"/>
      <c r="Y823" s="116"/>
      <c r="Z823" s="116"/>
      <c r="AA823" s="116"/>
    </row>
    <row r="824" hidden="1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116"/>
      <c r="S824" s="116"/>
      <c r="T824" s="116"/>
      <c r="U824" s="116"/>
      <c r="V824" s="116"/>
      <c r="W824" s="116"/>
      <c r="X824" s="116"/>
      <c r="Y824" s="116"/>
      <c r="Z824" s="116"/>
      <c r="AA824" s="116"/>
    </row>
    <row r="825" hidden="1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116"/>
      <c r="S825" s="116"/>
      <c r="T825" s="116"/>
      <c r="U825" s="116"/>
      <c r="V825" s="116"/>
      <c r="W825" s="116"/>
      <c r="X825" s="116"/>
      <c r="Y825" s="116"/>
      <c r="Z825" s="116"/>
      <c r="AA825" s="116"/>
    </row>
    <row r="826" hidden="1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116"/>
      <c r="S826" s="116"/>
      <c r="T826" s="116"/>
      <c r="U826" s="116"/>
      <c r="V826" s="116"/>
      <c r="W826" s="116"/>
      <c r="X826" s="116"/>
      <c r="Y826" s="116"/>
      <c r="Z826" s="116"/>
      <c r="AA826" s="116"/>
    </row>
    <row r="827" hidden="1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116"/>
      <c r="S827" s="116"/>
      <c r="T827" s="116"/>
      <c r="U827" s="116"/>
      <c r="V827" s="116"/>
      <c r="W827" s="116"/>
      <c r="X827" s="116"/>
      <c r="Y827" s="116"/>
      <c r="Z827" s="116"/>
      <c r="AA827" s="116"/>
    </row>
    <row r="828" hidden="1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116"/>
      <c r="S828" s="116"/>
      <c r="T828" s="116"/>
      <c r="U828" s="116"/>
      <c r="V828" s="116"/>
      <c r="W828" s="116"/>
      <c r="X828" s="116"/>
      <c r="Y828" s="116"/>
      <c r="Z828" s="116"/>
      <c r="AA828" s="116"/>
    </row>
    <row r="829" hidden="1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116"/>
      <c r="S829" s="116"/>
      <c r="T829" s="116"/>
      <c r="U829" s="116"/>
      <c r="V829" s="116"/>
      <c r="W829" s="116"/>
      <c r="X829" s="116"/>
      <c r="Y829" s="116"/>
      <c r="Z829" s="116"/>
      <c r="AA829" s="116"/>
    </row>
    <row r="830" hidden="1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116"/>
      <c r="S830" s="116"/>
      <c r="T830" s="116"/>
      <c r="U830" s="116"/>
      <c r="V830" s="116"/>
      <c r="W830" s="116"/>
      <c r="X830" s="116"/>
      <c r="Y830" s="116"/>
      <c r="Z830" s="116"/>
      <c r="AA830" s="116"/>
    </row>
    <row r="831" hidden="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116"/>
      <c r="S831" s="116"/>
      <c r="T831" s="116"/>
      <c r="U831" s="116"/>
      <c r="V831" s="116"/>
      <c r="W831" s="116"/>
      <c r="X831" s="116"/>
      <c r="Y831" s="116"/>
      <c r="Z831" s="116"/>
      <c r="AA831" s="116"/>
    </row>
    <row r="832" hidden="1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116"/>
      <c r="S832" s="116"/>
      <c r="T832" s="116"/>
      <c r="U832" s="116"/>
      <c r="V832" s="116"/>
      <c r="W832" s="116"/>
      <c r="X832" s="116"/>
      <c r="Y832" s="116"/>
      <c r="Z832" s="116"/>
      <c r="AA832" s="116"/>
    </row>
    <row r="833" hidden="1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116"/>
      <c r="S833" s="116"/>
      <c r="T833" s="116"/>
      <c r="U833" s="116"/>
      <c r="V833" s="116"/>
      <c r="W833" s="116"/>
      <c r="X833" s="116"/>
      <c r="Y833" s="116"/>
      <c r="Z833" s="116"/>
      <c r="AA833" s="116"/>
    </row>
    <row r="834" hidden="1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116"/>
      <c r="S834" s="116"/>
      <c r="T834" s="116"/>
      <c r="U834" s="116"/>
      <c r="V834" s="116"/>
      <c r="W834" s="116"/>
      <c r="X834" s="116"/>
      <c r="Y834" s="116"/>
      <c r="Z834" s="116"/>
      <c r="AA834" s="116"/>
    </row>
    <row r="835" hidden="1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116"/>
      <c r="S835" s="116"/>
      <c r="T835" s="116"/>
      <c r="U835" s="116"/>
      <c r="V835" s="116"/>
      <c r="W835" s="116"/>
      <c r="X835" s="116"/>
      <c r="Y835" s="116"/>
      <c r="Z835" s="116"/>
      <c r="AA835" s="116"/>
    </row>
    <row r="836" hidden="1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116"/>
      <c r="S836" s="116"/>
      <c r="T836" s="116"/>
      <c r="U836" s="116"/>
      <c r="V836" s="116"/>
      <c r="W836" s="116"/>
      <c r="X836" s="116"/>
      <c r="Y836" s="116"/>
      <c r="Z836" s="116"/>
      <c r="AA836" s="116"/>
    </row>
    <row r="837" hidden="1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116"/>
      <c r="S837" s="116"/>
      <c r="T837" s="116"/>
      <c r="U837" s="116"/>
      <c r="V837" s="116"/>
      <c r="W837" s="116"/>
      <c r="X837" s="116"/>
      <c r="Y837" s="116"/>
      <c r="Z837" s="116"/>
      <c r="AA837" s="116"/>
    </row>
    <row r="838" hidden="1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116"/>
      <c r="S838" s="116"/>
      <c r="T838" s="116"/>
      <c r="U838" s="116"/>
      <c r="V838" s="116"/>
      <c r="W838" s="116"/>
      <c r="X838" s="116"/>
      <c r="Y838" s="116"/>
      <c r="Z838" s="116"/>
      <c r="AA838" s="116"/>
    </row>
    <row r="839" hidden="1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116"/>
      <c r="S839" s="116"/>
      <c r="T839" s="116"/>
      <c r="U839" s="116"/>
      <c r="V839" s="116"/>
      <c r="W839" s="116"/>
      <c r="X839" s="116"/>
      <c r="Y839" s="116"/>
      <c r="Z839" s="116"/>
      <c r="AA839" s="116"/>
    </row>
    <row r="840" hidden="1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116"/>
      <c r="S840" s="116"/>
      <c r="T840" s="116"/>
      <c r="U840" s="116"/>
      <c r="V840" s="116"/>
      <c r="W840" s="116"/>
      <c r="X840" s="116"/>
      <c r="Y840" s="116"/>
      <c r="Z840" s="116"/>
      <c r="AA840" s="116"/>
    </row>
    <row r="841" hidden="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116"/>
      <c r="S841" s="116"/>
      <c r="T841" s="116"/>
      <c r="U841" s="116"/>
      <c r="V841" s="116"/>
      <c r="W841" s="116"/>
      <c r="X841" s="116"/>
      <c r="Y841" s="116"/>
      <c r="Z841" s="116"/>
      <c r="AA841" s="116"/>
    </row>
    <row r="842" hidden="1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116"/>
      <c r="S842" s="116"/>
      <c r="T842" s="116"/>
      <c r="U842" s="116"/>
      <c r="V842" s="116"/>
      <c r="W842" s="116"/>
      <c r="X842" s="116"/>
      <c r="Y842" s="116"/>
      <c r="Z842" s="116"/>
      <c r="AA842" s="116"/>
    </row>
    <row r="843" hidden="1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116"/>
      <c r="S843" s="116"/>
      <c r="T843" s="116"/>
      <c r="U843" s="116"/>
      <c r="V843" s="116"/>
      <c r="W843" s="116"/>
      <c r="X843" s="116"/>
      <c r="Y843" s="116"/>
      <c r="Z843" s="116"/>
      <c r="AA843" s="116"/>
    </row>
    <row r="844" hidden="1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116"/>
      <c r="S844" s="116"/>
      <c r="T844" s="116"/>
      <c r="U844" s="116"/>
      <c r="V844" s="116"/>
      <c r="W844" s="116"/>
      <c r="X844" s="116"/>
      <c r="Y844" s="116"/>
      <c r="Z844" s="116"/>
      <c r="AA844" s="116"/>
    </row>
    <row r="845" hidden="1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116"/>
      <c r="S845" s="116"/>
      <c r="T845" s="116"/>
      <c r="U845" s="116"/>
      <c r="V845" s="116"/>
      <c r="W845" s="116"/>
      <c r="X845" s="116"/>
      <c r="Y845" s="116"/>
      <c r="Z845" s="116"/>
      <c r="AA845" s="116"/>
    </row>
    <row r="846" hidden="1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116"/>
      <c r="S846" s="116"/>
      <c r="T846" s="116"/>
      <c r="U846" s="116"/>
      <c r="V846" s="116"/>
      <c r="W846" s="116"/>
      <c r="X846" s="116"/>
      <c r="Y846" s="116"/>
      <c r="Z846" s="116"/>
      <c r="AA846" s="116"/>
    </row>
    <row r="847" hidden="1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116"/>
      <c r="S847" s="116"/>
      <c r="T847" s="116"/>
      <c r="U847" s="116"/>
      <c r="V847" s="116"/>
      <c r="W847" s="116"/>
      <c r="X847" s="116"/>
      <c r="Y847" s="116"/>
      <c r="Z847" s="116"/>
      <c r="AA847" s="116"/>
    </row>
    <row r="848" hidden="1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116"/>
      <c r="S848" s="116"/>
      <c r="T848" s="116"/>
      <c r="U848" s="116"/>
      <c r="V848" s="116"/>
      <c r="W848" s="116"/>
      <c r="X848" s="116"/>
      <c r="Y848" s="116"/>
      <c r="Z848" s="116"/>
      <c r="AA848" s="116"/>
    </row>
    <row r="849" hidden="1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116"/>
      <c r="S849" s="116"/>
      <c r="T849" s="116"/>
      <c r="U849" s="116"/>
      <c r="V849" s="116"/>
      <c r="W849" s="116"/>
      <c r="X849" s="116"/>
      <c r="Y849" s="116"/>
      <c r="Z849" s="116"/>
      <c r="AA849" s="116"/>
    </row>
    <row r="850" hidden="1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116"/>
      <c r="S850" s="116"/>
      <c r="T850" s="116"/>
      <c r="U850" s="116"/>
      <c r="V850" s="116"/>
      <c r="W850" s="116"/>
      <c r="X850" s="116"/>
      <c r="Y850" s="116"/>
      <c r="Z850" s="116"/>
      <c r="AA850" s="116"/>
    </row>
    <row r="851" hidden="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116"/>
      <c r="S851" s="116"/>
      <c r="T851" s="116"/>
      <c r="U851" s="116"/>
      <c r="V851" s="116"/>
      <c r="W851" s="116"/>
      <c r="X851" s="116"/>
      <c r="Y851" s="116"/>
      <c r="Z851" s="116"/>
      <c r="AA851" s="116"/>
    </row>
    <row r="852" hidden="1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116"/>
      <c r="S852" s="116"/>
      <c r="T852" s="116"/>
      <c r="U852" s="116"/>
      <c r="V852" s="116"/>
      <c r="W852" s="116"/>
      <c r="X852" s="116"/>
      <c r="Y852" s="116"/>
      <c r="Z852" s="116"/>
      <c r="AA852" s="116"/>
    </row>
    <row r="853" hidden="1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116"/>
      <c r="S853" s="116"/>
      <c r="T853" s="116"/>
      <c r="U853" s="116"/>
      <c r="V853" s="116"/>
      <c r="W853" s="116"/>
      <c r="X853" s="116"/>
      <c r="Y853" s="116"/>
      <c r="Z853" s="116"/>
      <c r="AA853" s="116"/>
    </row>
    <row r="854" hidden="1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116"/>
      <c r="S854" s="116"/>
      <c r="T854" s="116"/>
      <c r="U854" s="116"/>
      <c r="V854" s="116"/>
      <c r="W854" s="116"/>
      <c r="X854" s="116"/>
      <c r="Y854" s="116"/>
      <c r="Z854" s="116"/>
      <c r="AA854" s="116"/>
    </row>
    <row r="855" hidden="1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116"/>
      <c r="S855" s="116"/>
      <c r="T855" s="116"/>
      <c r="U855" s="116"/>
      <c r="V855" s="116"/>
      <c r="W855" s="116"/>
      <c r="X855" s="116"/>
      <c r="Y855" s="116"/>
      <c r="Z855" s="116"/>
      <c r="AA855" s="116"/>
    </row>
    <row r="856" hidden="1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116"/>
      <c r="S856" s="116"/>
      <c r="T856" s="116"/>
      <c r="U856" s="116"/>
      <c r="V856" s="116"/>
      <c r="W856" s="116"/>
      <c r="X856" s="116"/>
      <c r="Y856" s="116"/>
      <c r="Z856" s="116"/>
      <c r="AA856" s="116"/>
    </row>
    <row r="857" hidden="1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116"/>
      <c r="S857" s="116"/>
      <c r="T857" s="116"/>
      <c r="U857" s="116"/>
      <c r="V857" s="116"/>
      <c r="W857" s="116"/>
      <c r="X857" s="116"/>
      <c r="Y857" s="116"/>
      <c r="Z857" s="116"/>
      <c r="AA857" s="116"/>
    </row>
    <row r="858" hidden="1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116"/>
      <c r="S858" s="116"/>
      <c r="T858" s="116"/>
      <c r="U858" s="116"/>
      <c r="V858" s="116"/>
      <c r="W858" s="116"/>
      <c r="X858" s="116"/>
      <c r="Y858" s="116"/>
      <c r="Z858" s="116"/>
      <c r="AA858" s="116"/>
    </row>
    <row r="859" hidden="1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116"/>
      <c r="S859" s="116"/>
      <c r="T859" s="116"/>
      <c r="U859" s="116"/>
      <c r="V859" s="116"/>
      <c r="W859" s="116"/>
      <c r="X859" s="116"/>
      <c r="Y859" s="116"/>
      <c r="Z859" s="116"/>
      <c r="AA859" s="116"/>
    </row>
    <row r="860" hidden="1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116"/>
      <c r="S860" s="116"/>
      <c r="T860" s="116"/>
      <c r="U860" s="116"/>
      <c r="V860" s="116"/>
      <c r="W860" s="116"/>
      <c r="X860" s="116"/>
      <c r="Y860" s="116"/>
      <c r="Z860" s="116"/>
      <c r="AA860" s="116"/>
    </row>
    <row r="861" hidden="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116"/>
      <c r="S861" s="116"/>
      <c r="T861" s="116"/>
      <c r="U861" s="116"/>
      <c r="V861" s="116"/>
      <c r="W861" s="116"/>
      <c r="X861" s="116"/>
      <c r="Y861" s="116"/>
      <c r="Z861" s="116"/>
      <c r="AA861" s="116"/>
    </row>
    <row r="862" hidden="1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116"/>
      <c r="S862" s="116"/>
      <c r="T862" s="116"/>
      <c r="U862" s="116"/>
      <c r="V862" s="116"/>
      <c r="W862" s="116"/>
      <c r="X862" s="116"/>
      <c r="Y862" s="116"/>
      <c r="Z862" s="116"/>
      <c r="AA862" s="116"/>
    </row>
    <row r="863" hidden="1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116"/>
      <c r="S863" s="116"/>
      <c r="T863" s="116"/>
      <c r="U863" s="116"/>
      <c r="V863" s="116"/>
      <c r="W863" s="116"/>
      <c r="X863" s="116"/>
      <c r="Y863" s="116"/>
      <c r="Z863" s="116"/>
      <c r="AA863" s="116"/>
    </row>
    <row r="864" hidden="1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116"/>
      <c r="S864" s="116"/>
      <c r="T864" s="116"/>
      <c r="U864" s="116"/>
      <c r="V864" s="116"/>
      <c r="W864" s="116"/>
      <c r="X864" s="116"/>
      <c r="Y864" s="116"/>
      <c r="Z864" s="116"/>
      <c r="AA864" s="116"/>
    </row>
    <row r="865" hidden="1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116"/>
      <c r="S865" s="116"/>
      <c r="T865" s="116"/>
      <c r="U865" s="116"/>
      <c r="V865" s="116"/>
      <c r="W865" s="116"/>
      <c r="X865" s="116"/>
      <c r="Y865" s="116"/>
      <c r="Z865" s="116"/>
      <c r="AA865" s="116"/>
    </row>
    <row r="866" hidden="1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116"/>
      <c r="S866" s="116"/>
      <c r="T866" s="116"/>
      <c r="U866" s="116"/>
      <c r="V866" s="116"/>
      <c r="W866" s="116"/>
      <c r="X866" s="116"/>
      <c r="Y866" s="116"/>
      <c r="Z866" s="116"/>
      <c r="AA866" s="116"/>
    </row>
    <row r="867" hidden="1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116"/>
      <c r="S867" s="116"/>
      <c r="T867" s="116"/>
      <c r="U867" s="116"/>
      <c r="V867" s="116"/>
      <c r="W867" s="116"/>
      <c r="X867" s="116"/>
      <c r="Y867" s="116"/>
      <c r="Z867" s="116"/>
      <c r="AA867" s="116"/>
    </row>
    <row r="868" hidden="1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116"/>
      <c r="S868" s="116"/>
      <c r="T868" s="116"/>
      <c r="U868" s="116"/>
      <c r="V868" s="116"/>
      <c r="W868" s="116"/>
      <c r="X868" s="116"/>
      <c r="Y868" s="116"/>
      <c r="Z868" s="116"/>
      <c r="AA868" s="116"/>
    </row>
    <row r="869" hidden="1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116"/>
      <c r="S869" s="116"/>
      <c r="T869" s="116"/>
      <c r="U869" s="116"/>
      <c r="V869" s="116"/>
      <c r="W869" s="116"/>
      <c r="X869" s="116"/>
      <c r="Y869" s="116"/>
      <c r="Z869" s="116"/>
      <c r="AA869" s="116"/>
    </row>
    <row r="870" hidden="1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116"/>
      <c r="S870" s="116"/>
      <c r="T870" s="116"/>
      <c r="U870" s="116"/>
      <c r="V870" s="116"/>
      <c r="W870" s="116"/>
      <c r="X870" s="116"/>
      <c r="Y870" s="116"/>
      <c r="Z870" s="116"/>
      <c r="AA870" s="116"/>
    </row>
    <row r="871" hidden="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116"/>
      <c r="S871" s="116"/>
      <c r="T871" s="116"/>
      <c r="U871" s="116"/>
      <c r="V871" s="116"/>
      <c r="W871" s="116"/>
      <c r="X871" s="116"/>
      <c r="Y871" s="116"/>
      <c r="Z871" s="116"/>
      <c r="AA871" s="116"/>
    </row>
    <row r="872" hidden="1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116"/>
      <c r="S872" s="116"/>
      <c r="T872" s="116"/>
      <c r="U872" s="116"/>
      <c r="V872" s="116"/>
      <c r="W872" s="116"/>
      <c r="X872" s="116"/>
      <c r="Y872" s="116"/>
      <c r="Z872" s="116"/>
      <c r="AA872" s="116"/>
    </row>
    <row r="873" hidden="1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116"/>
      <c r="S873" s="116"/>
      <c r="T873" s="116"/>
      <c r="U873" s="116"/>
      <c r="V873" s="116"/>
      <c r="W873" s="116"/>
      <c r="X873" s="116"/>
      <c r="Y873" s="116"/>
      <c r="Z873" s="116"/>
      <c r="AA873" s="116"/>
    </row>
    <row r="874" hidden="1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116"/>
      <c r="S874" s="116"/>
      <c r="T874" s="116"/>
      <c r="U874" s="116"/>
      <c r="V874" s="116"/>
      <c r="W874" s="116"/>
      <c r="X874" s="116"/>
      <c r="Y874" s="116"/>
      <c r="Z874" s="116"/>
      <c r="AA874" s="116"/>
    </row>
    <row r="875" hidden="1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116"/>
      <c r="S875" s="116"/>
      <c r="T875" s="116"/>
      <c r="U875" s="116"/>
      <c r="V875" s="116"/>
      <c r="W875" s="116"/>
      <c r="X875" s="116"/>
      <c r="Y875" s="116"/>
      <c r="Z875" s="116"/>
      <c r="AA875" s="116"/>
    </row>
    <row r="876" hidden="1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116"/>
      <c r="S876" s="116"/>
      <c r="T876" s="116"/>
      <c r="U876" s="116"/>
      <c r="V876" s="116"/>
      <c r="W876" s="116"/>
      <c r="X876" s="116"/>
      <c r="Y876" s="116"/>
      <c r="Z876" s="116"/>
      <c r="AA876" s="116"/>
    </row>
    <row r="877" hidden="1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116"/>
      <c r="S877" s="116"/>
      <c r="T877" s="116"/>
      <c r="U877" s="116"/>
      <c r="V877" s="116"/>
      <c r="W877" s="116"/>
      <c r="X877" s="116"/>
      <c r="Y877" s="116"/>
      <c r="Z877" s="116"/>
      <c r="AA877" s="116"/>
    </row>
    <row r="878" hidden="1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116"/>
      <c r="S878" s="116"/>
      <c r="T878" s="116"/>
      <c r="U878" s="116"/>
      <c r="V878" s="116"/>
      <c r="W878" s="116"/>
      <c r="X878" s="116"/>
      <c r="Y878" s="116"/>
      <c r="Z878" s="116"/>
      <c r="AA878" s="116"/>
    </row>
    <row r="879" hidden="1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116"/>
      <c r="S879" s="116"/>
      <c r="T879" s="116"/>
      <c r="U879" s="116"/>
      <c r="V879" s="116"/>
      <c r="W879" s="116"/>
      <c r="X879" s="116"/>
      <c r="Y879" s="116"/>
      <c r="Z879" s="116"/>
      <c r="AA879" s="116"/>
    </row>
    <row r="880" hidden="1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116"/>
      <c r="S880" s="116"/>
      <c r="T880" s="116"/>
      <c r="U880" s="116"/>
      <c r="V880" s="116"/>
      <c r="W880" s="116"/>
      <c r="X880" s="116"/>
      <c r="Y880" s="116"/>
      <c r="Z880" s="116"/>
      <c r="AA880" s="116"/>
    </row>
    <row r="881" hidden="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116"/>
      <c r="S881" s="116"/>
      <c r="T881" s="116"/>
      <c r="U881" s="116"/>
      <c r="V881" s="116"/>
      <c r="W881" s="116"/>
      <c r="X881" s="116"/>
      <c r="Y881" s="116"/>
      <c r="Z881" s="116"/>
      <c r="AA881" s="116"/>
    </row>
    <row r="882" hidden="1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116"/>
      <c r="S882" s="116"/>
      <c r="T882" s="116"/>
      <c r="U882" s="116"/>
      <c r="V882" s="116"/>
      <c r="W882" s="116"/>
      <c r="X882" s="116"/>
      <c r="Y882" s="116"/>
      <c r="Z882" s="116"/>
      <c r="AA882" s="116"/>
    </row>
    <row r="883" hidden="1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116"/>
      <c r="S883" s="116"/>
      <c r="T883" s="116"/>
      <c r="U883" s="116"/>
      <c r="V883" s="116"/>
      <c r="W883" s="116"/>
      <c r="X883" s="116"/>
      <c r="Y883" s="116"/>
      <c r="Z883" s="116"/>
      <c r="AA883" s="116"/>
    </row>
    <row r="884" hidden="1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116"/>
      <c r="S884" s="116"/>
      <c r="T884" s="116"/>
      <c r="U884" s="116"/>
      <c r="V884" s="116"/>
      <c r="W884" s="116"/>
      <c r="X884" s="116"/>
      <c r="Y884" s="116"/>
      <c r="Z884" s="116"/>
      <c r="AA884" s="116"/>
    </row>
    <row r="885" hidden="1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116"/>
      <c r="S885" s="116"/>
      <c r="T885" s="116"/>
      <c r="U885" s="116"/>
      <c r="V885" s="116"/>
      <c r="W885" s="116"/>
      <c r="X885" s="116"/>
      <c r="Y885" s="116"/>
      <c r="Z885" s="116"/>
      <c r="AA885" s="116"/>
    </row>
    <row r="886" hidden="1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116"/>
      <c r="S886" s="116"/>
      <c r="T886" s="116"/>
      <c r="U886" s="116"/>
      <c r="V886" s="116"/>
      <c r="W886" s="116"/>
      <c r="X886" s="116"/>
      <c r="Y886" s="116"/>
      <c r="Z886" s="116"/>
      <c r="AA886" s="116"/>
    </row>
    <row r="887" hidden="1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116"/>
      <c r="S887" s="116"/>
      <c r="T887" s="116"/>
      <c r="U887" s="116"/>
      <c r="V887" s="116"/>
      <c r="W887" s="116"/>
      <c r="X887" s="116"/>
      <c r="Y887" s="116"/>
      <c r="Z887" s="116"/>
      <c r="AA887" s="116"/>
    </row>
    <row r="888" hidden="1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116"/>
      <c r="S888" s="116"/>
      <c r="T888" s="116"/>
      <c r="U888" s="116"/>
      <c r="V888" s="116"/>
      <c r="W888" s="116"/>
      <c r="X888" s="116"/>
      <c r="Y888" s="116"/>
      <c r="Z888" s="116"/>
      <c r="AA888" s="116"/>
    </row>
    <row r="889" hidden="1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116"/>
      <c r="S889" s="116"/>
      <c r="T889" s="116"/>
      <c r="U889" s="116"/>
      <c r="V889" s="116"/>
      <c r="W889" s="116"/>
      <c r="X889" s="116"/>
      <c r="Y889" s="116"/>
      <c r="Z889" s="116"/>
      <c r="AA889" s="116"/>
    </row>
    <row r="890" hidden="1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116"/>
      <c r="S890" s="116"/>
      <c r="T890" s="116"/>
      <c r="U890" s="116"/>
      <c r="V890" s="116"/>
      <c r="W890" s="116"/>
      <c r="X890" s="116"/>
      <c r="Y890" s="116"/>
      <c r="Z890" s="116"/>
      <c r="AA890" s="116"/>
    </row>
    <row r="891" hidden="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116"/>
      <c r="S891" s="116"/>
      <c r="T891" s="116"/>
      <c r="U891" s="116"/>
      <c r="V891" s="116"/>
      <c r="W891" s="116"/>
      <c r="X891" s="116"/>
      <c r="Y891" s="116"/>
      <c r="Z891" s="116"/>
      <c r="AA891" s="116"/>
    </row>
    <row r="892" hidden="1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116"/>
      <c r="S892" s="116"/>
      <c r="T892" s="116"/>
      <c r="U892" s="116"/>
      <c r="V892" s="116"/>
      <c r="W892" s="116"/>
      <c r="X892" s="116"/>
      <c r="Y892" s="116"/>
      <c r="Z892" s="116"/>
      <c r="AA892" s="116"/>
    </row>
    <row r="893" hidden="1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116"/>
      <c r="S893" s="116"/>
      <c r="T893" s="116"/>
      <c r="U893" s="116"/>
      <c r="V893" s="116"/>
      <c r="W893" s="116"/>
      <c r="X893" s="116"/>
      <c r="Y893" s="116"/>
      <c r="Z893" s="116"/>
      <c r="AA893" s="116"/>
    </row>
    <row r="894" hidden="1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116"/>
      <c r="S894" s="116"/>
      <c r="T894" s="116"/>
      <c r="U894" s="116"/>
      <c r="V894" s="116"/>
      <c r="W894" s="116"/>
      <c r="X894" s="116"/>
      <c r="Y894" s="116"/>
      <c r="Z894" s="116"/>
      <c r="AA894" s="116"/>
    </row>
    <row r="895" hidden="1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116"/>
      <c r="S895" s="116"/>
      <c r="T895" s="116"/>
      <c r="U895" s="116"/>
      <c r="V895" s="116"/>
      <c r="W895" s="116"/>
      <c r="X895" s="116"/>
      <c r="Y895" s="116"/>
      <c r="Z895" s="116"/>
      <c r="AA895" s="116"/>
    </row>
    <row r="896" hidden="1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116"/>
      <c r="S896" s="116"/>
      <c r="T896" s="116"/>
      <c r="U896" s="116"/>
      <c r="V896" s="116"/>
      <c r="W896" s="116"/>
      <c r="X896" s="116"/>
      <c r="Y896" s="116"/>
      <c r="Z896" s="116"/>
      <c r="AA896" s="116"/>
    </row>
    <row r="897" hidden="1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116"/>
      <c r="S897" s="116"/>
      <c r="T897" s="116"/>
      <c r="U897" s="116"/>
      <c r="V897" s="116"/>
      <c r="W897" s="116"/>
      <c r="X897" s="116"/>
      <c r="Y897" s="116"/>
      <c r="Z897" s="116"/>
      <c r="AA897" s="116"/>
    </row>
    <row r="898" hidden="1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116"/>
      <c r="S898" s="116"/>
      <c r="T898" s="116"/>
      <c r="U898" s="116"/>
      <c r="V898" s="116"/>
      <c r="W898" s="116"/>
      <c r="X898" s="116"/>
      <c r="Y898" s="116"/>
      <c r="Z898" s="116"/>
      <c r="AA898" s="116"/>
    </row>
    <row r="899" hidden="1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116"/>
      <c r="S899" s="116"/>
      <c r="T899" s="116"/>
      <c r="U899" s="116"/>
      <c r="V899" s="116"/>
      <c r="W899" s="116"/>
      <c r="X899" s="116"/>
      <c r="Y899" s="116"/>
      <c r="Z899" s="116"/>
      <c r="AA899" s="116"/>
    </row>
    <row r="900" hidden="1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116"/>
      <c r="S900" s="116"/>
      <c r="T900" s="116"/>
      <c r="U900" s="116"/>
      <c r="V900" s="116"/>
      <c r="W900" s="116"/>
      <c r="X900" s="116"/>
      <c r="Y900" s="116"/>
      <c r="Z900" s="116"/>
      <c r="AA900" s="116"/>
    </row>
    <row r="901" hidden="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116"/>
      <c r="S901" s="116"/>
      <c r="T901" s="116"/>
      <c r="U901" s="116"/>
      <c r="V901" s="116"/>
      <c r="W901" s="116"/>
      <c r="X901" s="116"/>
      <c r="Y901" s="116"/>
      <c r="Z901" s="116"/>
      <c r="AA901" s="116"/>
    </row>
    <row r="902" hidden="1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116"/>
      <c r="S902" s="116"/>
      <c r="T902" s="116"/>
      <c r="U902" s="116"/>
      <c r="V902" s="116"/>
      <c r="W902" s="116"/>
      <c r="X902" s="116"/>
      <c r="Y902" s="116"/>
      <c r="Z902" s="116"/>
      <c r="AA902" s="116"/>
    </row>
    <row r="903" hidden="1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116"/>
      <c r="S903" s="116"/>
      <c r="T903" s="116"/>
      <c r="U903" s="116"/>
      <c r="V903" s="116"/>
      <c r="W903" s="116"/>
      <c r="X903" s="116"/>
      <c r="Y903" s="116"/>
      <c r="Z903" s="116"/>
      <c r="AA903" s="116"/>
    </row>
    <row r="904" hidden="1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116"/>
      <c r="S904" s="116"/>
      <c r="T904" s="116"/>
      <c r="U904" s="116"/>
      <c r="V904" s="116"/>
      <c r="W904" s="116"/>
      <c r="X904" s="116"/>
      <c r="Y904" s="116"/>
      <c r="Z904" s="116"/>
      <c r="AA904" s="116"/>
    </row>
    <row r="905" hidden="1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116"/>
      <c r="S905" s="116"/>
      <c r="T905" s="116"/>
      <c r="U905" s="116"/>
      <c r="V905" s="116"/>
      <c r="W905" s="116"/>
      <c r="X905" s="116"/>
      <c r="Y905" s="116"/>
      <c r="Z905" s="116"/>
      <c r="AA905" s="116"/>
    </row>
    <row r="906" hidden="1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116"/>
      <c r="S906" s="116"/>
      <c r="T906" s="116"/>
      <c r="U906" s="116"/>
      <c r="V906" s="116"/>
      <c r="W906" s="116"/>
      <c r="X906" s="116"/>
      <c r="Y906" s="116"/>
      <c r="Z906" s="116"/>
      <c r="AA906" s="116"/>
    </row>
    <row r="907" hidden="1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116"/>
      <c r="S907" s="116"/>
      <c r="T907" s="116"/>
      <c r="U907" s="116"/>
      <c r="V907" s="116"/>
      <c r="W907" s="116"/>
      <c r="X907" s="116"/>
      <c r="Y907" s="116"/>
      <c r="Z907" s="116"/>
      <c r="AA907" s="116"/>
    </row>
    <row r="908" hidden="1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116"/>
      <c r="S908" s="116"/>
      <c r="T908" s="116"/>
      <c r="U908" s="116"/>
      <c r="V908" s="116"/>
      <c r="W908" s="116"/>
      <c r="X908" s="116"/>
      <c r="Y908" s="116"/>
      <c r="Z908" s="116"/>
      <c r="AA908" s="116"/>
    </row>
    <row r="909" hidden="1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116"/>
      <c r="S909" s="116"/>
      <c r="T909" s="116"/>
      <c r="U909" s="116"/>
      <c r="V909" s="116"/>
      <c r="W909" s="116"/>
      <c r="X909" s="116"/>
      <c r="Y909" s="116"/>
      <c r="Z909" s="116"/>
      <c r="AA909" s="116"/>
    </row>
    <row r="910" hidden="1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116"/>
      <c r="S910" s="116"/>
      <c r="T910" s="116"/>
      <c r="U910" s="116"/>
      <c r="V910" s="116"/>
      <c r="W910" s="116"/>
      <c r="X910" s="116"/>
      <c r="Y910" s="116"/>
      <c r="Z910" s="116"/>
      <c r="AA910" s="116"/>
    </row>
    <row r="911" hidden="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116"/>
      <c r="S911" s="116"/>
      <c r="T911" s="116"/>
      <c r="U911" s="116"/>
      <c r="V911" s="116"/>
      <c r="W911" s="116"/>
      <c r="X911" s="116"/>
      <c r="Y911" s="116"/>
      <c r="Z911" s="116"/>
      <c r="AA911" s="116"/>
    </row>
    <row r="912" hidden="1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116"/>
      <c r="S912" s="116"/>
      <c r="T912" s="116"/>
      <c r="U912" s="116"/>
      <c r="V912" s="116"/>
      <c r="W912" s="116"/>
      <c r="X912" s="116"/>
      <c r="Y912" s="116"/>
      <c r="Z912" s="116"/>
      <c r="AA912" s="116"/>
    </row>
    <row r="913" hidden="1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116"/>
      <c r="S913" s="116"/>
      <c r="T913" s="116"/>
      <c r="U913" s="116"/>
      <c r="V913" s="116"/>
      <c r="W913" s="116"/>
      <c r="X913" s="116"/>
      <c r="Y913" s="116"/>
      <c r="Z913" s="116"/>
      <c r="AA913" s="116"/>
    </row>
    <row r="914" hidden="1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116"/>
      <c r="S914" s="116"/>
      <c r="T914" s="116"/>
      <c r="U914" s="116"/>
      <c r="V914" s="116"/>
      <c r="W914" s="116"/>
      <c r="X914" s="116"/>
      <c r="Y914" s="116"/>
      <c r="Z914" s="116"/>
      <c r="AA914" s="116"/>
    </row>
    <row r="915" hidden="1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116"/>
      <c r="S915" s="116"/>
      <c r="T915" s="116"/>
      <c r="U915" s="116"/>
      <c r="V915" s="116"/>
      <c r="W915" s="116"/>
      <c r="X915" s="116"/>
      <c r="Y915" s="116"/>
      <c r="Z915" s="116"/>
      <c r="AA915" s="116"/>
    </row>
    <row r="916" hidden="1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116"/>
      <c r="S916" s="116"/>
      <c r="T916" s="116"/>
      <c r="U916" s="116"/>
      <c r="V916" s="116"/>
      <c r="W916" s="116"/>
      <c r="X916" s="116"/>
      <c r="Y916" s="116"/>
      <c r="Z916" s="116"/>
      <c r="AA916" s="116"/>
    </row>
    <row r="917" hidden="1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116"/>
      <c r="S917" s="116"/>
      <c r="T917" s="116"/>
      <c r="U917" s="116"/>
      <c r="V917" s="116"/>
      <c r="W917" s="116"/>
      <c r="X917" s="116"/>
      <c r="Y917" s="116"/>
      <c r="Z917" s="116"/>
      <c r="AA917" s="116"/>
    </row>
    <row r="918" hidden="1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116"/>
      <c r="S918" s="116"/>
      <c r="T918" s="116"/>
      <c r="U918" s="116"/>
      <c r="V918" s="116"/>
      <c r="W918" s="116"/>
      <c r="X918" s="116"/>
      <c r="Y918" s="116"/>
      <c r="Z918" s="116"/>
      <c r="AA918" s="116"/>
    </row>
    <row r="919" hidden="1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116"/>
      <c r="S919" s="116"/>
      <c r="T919" s="116"/>
      <c r="U919" s="116"/>
      <c r="V919" s="116"/>
      <c r="W919" s="116"/>
      <c r="X919" s="116"/>
      <c r="Y919" s="116"/>
      <c r="Z919" s="116"/>
      <c r="AA919" s="116"/>
    </row>
    <row r="920" hidden="1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116"/>
      <c r="S920" s="116"/>
      <c r="T920" s="116"/>
      <c r="U920" s="116"/>
      <c r="V920" s="116"/>
      <c r="W920" s="116"/>
      <c r="X920" s="116"/>
      <c r="Y920" s="116"/>
      <c r="Z920" s="116"/>
      <c r="AA920" s="116"/>
    </row>
    <row r="921" hidden="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116"/>
      <c r="S921" s="116"/>
      <c r="T921" s="116"/>
      <c r="U921" s="116"/>
      <c r="V921" s="116"/>
      <c r="W921" s="116"/>
      <c r="X921" s="116"/>
      <c r="Y921" s="116"/>
      <c r="Z921" s="116"/>
      <c r="AA921" s="116"/>
    </row>
    <row r="922" hidden="1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116"/>
      <c r="S922" s="116"/>
      <c r="T922" s="116"/>
      <c r="U922" s="116"/>
      <c r="V922" s="116"/>
      <c r="W922" s="116"/>
      <c r="X922" s="116"/>
      <c r="Y922" s="116"/>
      <c r="Z922" s="116"/>
      <c r="AA922" s="116"/>
    </row>
    <row r="923" hidden="1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116"/>
      <c r="S923" s="116"/>
      <c r="T923" s="116"/>
      <c r="U923" s="116"/>
      <c r="V923" s="116"/>
      <c r="W923" s="116"/>
      <c r="X923" s="116"/>
      <c r="Y923" s="116"/>
      <c r="Z923" s="116"/>
      <c r="AA923" s="116"/>
    </row>
    <row r="924" hidden="1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116"/>
      <c r="S924" s="116"/>
      <c r="T924" s="116"/>
      <c r="U924" s="116"/>
      <c r="V924" s="116"/>
      <c r="W924" s="116"/>
      <c r="X924" s="116"/>
      <c r="Y924" s="116"/>
      <c r="Z924" s="116"/>
      <c r="AA924" s="116"/>
    </row>
    <row r="925" hidden="1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116"/>
      <c r="S925" s="116"/>
      <c r="T925" s="116"/>
      <c r="U925" s="116"/>
      <c r="V925" s="116"/>
      <c r="W925" s="116"/>
      <c r="X925" s="116"/>
      <c r="Y925" s="116"/>
      <c r="Z925" s="116"/>
      <c r="AA925" s="116"/>
    </row>
    <row r="926" hidden="1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116"/>
      <c r="S926" s="116"/>
      <c r="T926" s="116"/>
      <c r="U926" s="116"/>
      <c r="V926" s="116"/>
      <c r="W926" s="116"/>
      <c r="X926" s="116"/>
      <c r="Y926" s="116"/>
      <c r="Z926" s="116"/>
      <c r="AA926" s="116"/>
    </row>
    <row r="927" hidden="1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116"/>
      <c r="S927" s="116"/>
      <c r="T927" s="116"/>
      <c r="U927" s="116"/>
      <c r="V927" s="116"/>
      <c r="W927" s="116"/>
      <c r="X927" s="116"/>
      <c r="Y927" s="116"/>
      <c r="Z927" s="116"/>
      <c r="AA927" s="116"/>
    </row>
    <row r="928" hidden="1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116"/>
      <c r="S928" s="116"/>
      <c r="T928" s="116"/>
      <c r="U928" s="116"/>
      <c r="V928" s="116"/>
      <c r="W928" s="116"/>
      <c r="X928" s="116"/>
      <c r="Y928" s="116"/>
      <c r="Z928" s="116"/>
      <c r="AA928" s="116"/>
    </row>
    <row r="929" hidden="1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116"/>
      <c r="S929" s="116"/>
      <c r="T929" s="116"/>
      <c r="U929" s="116"/>
      <c r="V929" s="116"/>
      <c r="W929" s="116"/>
      <c r="X929" s="116"/>
      <c r="Y929" s="116"/>
      <c r="Z929" s="116"/>
      <c r="AA929" s="116"/>
    </row>
    <row r="930" hidden="1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116"/>
      <c r="S930" s="116"/>
      <c r="T930" s="116"/>
      <c r="U930" s="116"/>
      <c r="V930" s="116"/>
      <c r="W930" s="116"/>
      <c r="X930" s="116"/>
      <c r="Y930" s="116"/>
      <c r="Z930" s="116"/>
      <c r="AA930" s="116"/>
    </row>
    <row r="931" hidden="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116"/>
      <c r="S931" s="116"/>
      <c r="T931" s="116"/>
      <c r="U931" s="116"/>
      <c r="V931" s="116"/>
      <c r="W931" s="116"/>
      <c r="X931" s="116"/>
      <c r="Y931" s="116"/>
      <c r="Z931" s="116"/>
      <c r="AA931" s="116"/>
    </row>
    <row r="932" hidden="1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116"/>
      <c r="S932" s="116"/>
      <c r="T932" s="116"/>
      <c r="U932" s="116"/>
      <c r="V932" s="116"/>
      <c r="W932" s="116"/>
      <c r="X932" s="116"/>
      <c r="Y932" s="116"/>
      <c r="Z932" s="116"/>
      <c r="AA932" s="116"/>
    </row>
    <row r="933" hidden="1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116"/>
      <c r="S933" s="116"/>
      <c r="T933" s="116"/>
      <c r="U933" s="116"/>
      <c r="V933" s="116"/>
      <c r="W933" s="116"/>
      <c r="X933" s="116"/>
      <c r="Y933" s="116"/>
      <c r="Z933" s="116"/>
      <c r="AA933" s="116"/>
    </row>
    <row r="934" hidden="1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116"/>
      <c r="S934" s="116"/>
      <c r="T934" s="116"/>
      <c r="U934" s="116"/>
      <c r="V934" s="116"/>
      <c r="W934" s="116"/>
      <c r="X934" s="116"/>
      <c r="Y934" s="116"/>
      <c r="Z934" s="116"/>
      <c r="AA934" s="116"/>
    </row>
    <row r="935" hidden="1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116"/>
      <c r="S935" s="116"/>
      <c r="T935" s="116"/>
      <c r="U935" s="116"/>
      <c r="V935" s="116"/>
      <c r="W935" s="116"/>
      <c r="X935" s="116"/>
      <c r="Y935" s="116"/>
      <c r="Z935" s="116"/>
      <c r="AA935" s="116"/>
    </row>
    <row r="936" hidden="1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116"/>
      <c r="S936" s="116"/>
      <c r="T936" s="116"/>
      <c r="U936" s="116"/>
      <c r="V936" s="116"/>
      <c r="W936" s="116"/>
      <c r="X936" s="116"/>
      <c r="Y936" s="116"/>
      <c r="Z936" s="116"/>
      <c r="AA936" s="116"/>
    </row>
    <row r="937" hidden="1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116"/>
      <c r="S937" s="116"/>
      <c r="T937" s="116"/>
      <c r="U937" s="116"/>
      <c r="V937" s="116"/>
      <c r="W937" s="116"/>
      <c r="X937" s="116"/>
      <c r="Y937" s="116"/>
      <c r="Z937" s="116"/>
      <c r="AA937" s="116"/>
    </row>
    <row r="938" hidden="1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116"/>
      <c r="S938" s="116"/>
      <c r="T938" s="116"/>
      <c r="U938" s="116"/>
      <c r="V938" s="116"/>
      <c r="W938" s="116"/>
      <c r="X938" s="116"/>
      <c r="Y938" s="116"/>
      <c r="Z938" s="116"/>
      <c r="AA938" s="116"/>
    </row>
    <row r="939" hidden="1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116"/>
      <c r="S939" s="116"/>
      <c r="T939" s="116"/>
      <c r="U939" s="116"/>
      <c r="V939" s="116"/>
      <c r="W939" s="116"/>
      <c r="X939" s="116"/>
      <c r="Y939" s="116"/>
      <c r="Z939" s="116"/>
      <c r="AA939" s="116"/>
    </row>
    <row r="940" hidden="1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116"/>
      <c r="S940" s="116"/>
      <c r="T940" s="116"/>
      <c r="U940" s="116"/>
      <c r="V940" s="116"/>
      <c r="W940" s="116"/>
      <c r="X940" s="116"/>
      <c r="Y940" s="116"/>
      <c r="Z940" s="116"/>
      <c r="AA940" s="116"/>
    </row>
    <row r="941" hidden="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116"/>
      <c r="S941" s="116"/>
      <c r="T941" s="116"/>
      <c r="U941" s="116"/>
      <c r="V941" s="116"/>
      <c r="W941" s="116"/>
      <c r="X941" s="116"/>
      <c r="Y941" s="116"/>
      <c r="Z941" s="116"/>
      <c r="AA941" s="116"/>
    </row>
    <row r="942" hidden="1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116"/>
      <c r="S942" s="116"/>
      <c r="T942" s="116"/>
      <c r="U942" s="116"/>
      <c r="V942" s="116"/>
      <c r="W942" s="116"/>
      <c r="X942" s="116"/>
      <c r="Y942" s="116"/>
      <c r="Z942" s="116"/>
      <c r="AA942" s="116"/>
    </row>
    <row r="943" hidden="1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116"/>
      <c r="S943" s="116"/>
      <c r="T943" s="116"/>
      <c r="U943" s="116"/>
      <c r="V943" s="116"/>
      <c r="W943" s="116"/>
      <c r="X943" s="116"/>
      <c r="Y943" s="116"/>
      <c r="Z943" s="116"/>
      <c r="AA943" s="116"/>
    </row>
    <row r="944" hidden="1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116"/>
      <c r="S944" s="116"/>
      <c r="T944" s="116"/>
      <c r="U944" s="116"/>
      <c r="V944" s="116"/>
      <c r="W944" s="116"/>
      <c r="X944" s="116"/>
      <c r="Y944" s="116"/>
      <c r="Z944" s="116"/>
      <c r="AA944" s="116"/>
    </row>
    <row r="945" hidden="1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116"/>
      <c r="S945" s="116"/>
      <c r="T945" s="116"/>
      <c r="U945" s="116"/>
      <c r="V945" s="116"/>
      <c r="W945" s="116"/>
      <c r="X945" s="116"/>
      <c r="Y945" s="116"/>
      <c r="Z945" s="116"/>
      <c r="AA945" s="116"/>
    </row>
    <row r="946" hidden="1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116"/>
      <c r="S946" s="116"/>
      <c r="T946" s="116"/>
      <c r="U946" s="116"/>
      <c r="V946" s="116"/>
      <c r="W946" s="116"/>
      <c r="X946" s="116"/>
      <c r="Y946" s="116"/>
      <c r="Z946" s="116"/>
      <c r="AA946" s="116"/>
    </row>
    <row r="947" hidden="1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116"/>
      <c r="S947" s="116"/>
      <c r="T947" s="116"/>
      <c r="U947" s="116"/>
      <c r="V947" s="116"/>
      <c r="W947" s="116"/>
      <c r="X947" s="116"/>
      <c r="Y947" s="116"/>
      <c r="Z947" s="116"/>
      <c r="AA947" s="116"/>
    </row>
    <row r="948" hidden="1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116"/>
      <c r="S948" s="116"/>
      <c r="T948" s="116"/>
      <c r="U948" s="116"/>
      <c r="V948" s="116"/>
      <c r="W948" s="116"/>
      <c r="X948" s="116"/>
      <c r="Y948" s="116"/>
      <c r="Z948" s="116"/>
      <c r="AA948" s="116"/>
    </row>
    <row r="949" hidden="1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116"/>
      <c r="S949" s="116"/>
      <c r="T949" s="116"/>
      <c r="U949" s="116"/>
      <c r="V949" s="116"/>
      <c r="W949" s="116"/>
      <c r="X949" s="116"/>
      <c r="Y949" s="116"/>
      <c r="Z949" s="116"/>
      <c r="AA949" s="116"/>
    </row>
    <row r="950" hidden="1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116"/>
      <c r="S950" s="116"/>
      <c r="T950" s="116"/>
      <c r="U950" s="116"/>
      <c r="V950" s="116"/>
      <c r="W950" s="116"/>
      <c r="X950" s="116"/>
      <c r="Y950" s="116"/>
      <c r="Z950" s="116"/>
      <c r="AA950" s="116"/>
    </row>
    <row r="951" hidden="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116"/>
      <c r="S951" s="116"/>
      <c r="T951" s="116"/>
      <c r="U951" s="116"/>
      <c r="V951" s="116"/>
      <c r="W951" s="116"/>
      <c r="X951" s="116"/>
      <c r="Y951" s="116"/>
      <c r="Z951" s="116"/>
      <c r="AA951" s="116"/>
    </row>
    <row r="952" hidden="1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116"/>
      <c r="S952" s="116"/>
      <c r="T952" s="116"/>
      <c r="U952" s="116"/>
      <c r="V952" s="116"/>
      <c r="W952" s="116"/>
      <c r="X952" s="116"/>
      <c r="Y952" s="116"/>
      <c r="Z952" s="116"/>
      <c r="AA952" s="116"/>
    </row>
    <row r="953" hidden="1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116"/>
      <c r="S953" s="116"/>
      <c r="T953" s="116"/>
      <c r="U953" s="116"/>
      <c r="V953" s="116"/>
      <c r="W953" s="116"/>
      <c r="X953" s="116"/>
      <c r="Y953" s="116"/>
      <c r="Z953" s="116"/>
      <c r="AA953" s="116"/>
    </row>
    <row r="954" hidden="1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116"/>
      <c r="S954" s="116"/>
      <c r="T954" s="116"/>
      <c r="U954" s="116"/>
      <c r="V954" s="116"/>
      <c r="W954" s="116"/>
      <c r="X954" s="116"/>
      <c r="Y954" s="116"/>
      <c r="Z954" s="116"/>
      <c r="AA954" s="116"/>
    </row>
    <row r="955" hidden="1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116"/>
      <c r="S955" s="116"/>
      <c r="T955" s="116"/>
      <c r="U955" s="116"/>
      <c r="V955" s="116"/>
      <c r="W955" s="116"/>
      <c r="X955" s="116"/>
      <c r="Y955" s="116"/>
      <c r="Z955" s="116"/>
      <c r="AA955" s="116"/>
    </row>
    <row r="956" hidden="1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116"/>
      <c r="S956" s="116"/>
      <c r="T956" s="116"/>
      <c r="U956" s="116"/>
      <c r="V956" s="116"/>
      <c r="W956" s="116"/>
      <c r="X956" s="116"/>
      <c r="Y956" s="116"/>
      <c r="Z956" s="116"/>
      <c r="AA956" s="116"/>
    </row>
    <row r="957" hidden="1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116"/>
      <c r="S957" s="116"/>
      <c r="T957" s="116"/>
      <c r="U957" s="116"/>
      <c r="V957" s="116"/>
      <c r="W957" s="116"/>
      <c r="X957" s="116"/>
      <c r="Y957" s="116"/>
      <c r="Z957" s="116"/>
      <c r="AA957" s="116"/>
    </row>
    <row r="958" hidden="1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116"/>
      <c r="S958" s="116"/>
      <c r="T958" s="116"/>
      <c r="U958" s="116"/>
      <c r="V958" s="116"/>
      <c r="W958" s="116"/>
      <c r="X958" s="116"/>
      <c r="Y958" s="116"/>
      <c r="Z958" s="116"/>
      <c r="AA958" s="116"/>
    </row>
    <row r="959" hidden="1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116"/>
      <c r="S959" s="116"/>
      <c r="T959" s="116"/>
      <c r="U959" s="116"/>
      <c r="V959" s="116"/>
      <c r="W959" s="116"/>
      <c r="X959" s="116"/>
      <c r="Y959" s="116"/>
      <c r="Z959" s="116"/>
      <c r="AA959" s="116"/>
    </row>
    <row r="960" hidden="1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116"/>
      <c r="S960" s="116"/>
      <c r="T960" s="116"/>
      <c r="U960" s="116"/>
      <c r="V960" s="116"/>
      <c r="W960" s="116"/>
      <c r="X960" s="116"/>
      <c r="Y960" s="116"/>
      <c r="Z960" s="116"/>
      <c r="AA960" s="116"/>
    </row>
    <row r="961" hidden="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116"/>
      <c r="S961" s="116"/>
      <c r="T961" s="116"/>
      <c r="U961" s="116"/>
      <c r="V961" s="116"/>
      <c r="W961" s="116"/>
      <c r="X961" s="116"/>
      <c r="Y961" s="116"/>
      <c r="Z961" s="116"/>
      <c r="AA961" s="116"/>
    </row>
    <row r="962" hidden="1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116"/>
      <c r="S962" s="116"/>
      <c r="T962" s="116"/>
      <c r="U962" s="116"/>
      <c r="V962" s="116"/>
      <c r="W962" s="116"/>
      <c r="X962" s="116"/>
      <c r="Y962" s="116"/>
      <c r="Z962" s="116"/>
      <c r="AA962" s="116"/>
    </row>
    <row r="963" hidden="1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116"/>
      <c r="S963" s="116"/>
      <c r="T963" s="116"/>
      <c r="U963" s="116"/>
      <c r="V963" s="116"/>
      <c r="W963" s="116"/>
      <c r="X963" s="116"/>
      <c r="Y963" s="116"/>
      <c r="Z963" s="116"/>
      <c r="AA963" s="116"/>
    </row>
    <row r="964" hidden="1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116"/>
      <c r="S964" s="116"/>
      <c r="T964" s="116"/>
      <c r="U964" s="116"/>
      <c r="V964" s="116"/>
      <c r="W964" s="116"/>
      <c r="X964" s="116"/>
      <c r="Y964" s="116"/>
      <c r="Z964" s="116"/>
      <c r="AA964" s="116"/>
    </row>
    <row r="965" hidden="1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116"/>
      <c r="S965" s="116"/>
      <c r="T965" s="116"/>
      <c r="U965" s="116"/>
      <c r="V965" s="116"/>
      <c r="W965" s="116"/>
      <c r="X965" s="116"/>
      <c r="Y965" s="116"/>
      <c r="Z965" s="116"/>
      <c r="AA965" s="116"/>
    </row>
    <row r="966" hidden="1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116"/>
      <c r="S966" s="116"/>
      <c r="T966" s="116"/>
      <c r="U966" s="116"/>
      <c r="V966" s="116"/>
      <c r="W966" s="116"/>
      <c r="X966" s="116"/>
      <c r="Y966" s="116"/>
      <c r="Z966" s="116"/>
      <c r="AA966" s="116"/>
    </row>
    <row r="967" hidden="1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116"/>
      <c r="S967" s="116"/>
      <c r="T967" s="116"/>
      <c r="U967" s="116"/>
      <c r="V967" s="116"/>
      <c r="W967" s="116"/>
      <c r="X967" s="116"/>
      <c r="Y967" s="116"/>
      <c r="Z967" s="116"/>
      <c r="AA967" s="116"/>
    </row>
    <row r="968" hidden="1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116"/>
      <c r="S968" s="116"/>
      <c r="T968" s="116"/>
      <c r="U968" s="116"/>
      <c r="V968" s="116"/>
      <c r="W968" s="116"/>
      <c r="X968" s="116"/>
      <c r="Y968" s="116"/>
      <c r="Z968" s="116"/>
      <c r="AA968" s="116"/>
    </row>
    <row r="969" hidden="1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116"/>
      <c r="S969" s="116"/>
      <c r="T969" s="116"/>
      <c r="U969" s="116"/>
      <c r="V969" s="116"/>
      <c r="W969" s="116"/>
      <c r="X969" s="116"/>
      <c r="Y969" s="116"/>
      <c r="Z969" s="116"/>
      <c r="AA969" s="116"/>
    </row>
    <row r="970" hidden="1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116"/>
      <c r="S970" s="116"/>
      <c r="T970" s="116"/>
      <c r="U970" s="116"/>
      <c r="V970" s="116"/>
      <c r="W970" s="116"/>
      <c r="X970" s="116"/>
      <c r="Y970" s="116"/>
      <c r="Z970" s="116"/>
      <c r="AA970" s="116"/>
    </row>
    <row r="971" hidden="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116"/>
      <c r="S971" s="116"/>
      <c r="T971" s="116"/>
      <c r="U971" s="116"/>
      <c r="V971" s="116"/>
      <c r="W971" s="116"/>
      <c r="X971" s="116"/>
      <c r="Y971" s="116"/>
      <c r="Z971" s="116"/>
      <c r="AA971" s="116"/>
    </row>
    <row r="972" hidden="1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116"/>
      <c r="S972" s="116"/>
      <c r="T972" s="116"/>
      <c r="U972" s="116"/>
      <c r="V972" s="116"/>
      <c r="W972" s="116"/>
      <c r="X972" s="116"/>
      <c r="Y972" s="116"/>
      <c r="Z972" s="116"/>
      <c r="AA972" s="116"/>
    </row>
    <row r="973" hidden="1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116"/>
      <c r="S973" s="116"/>
      <c r="T973" s="116"/>
      <c r="U973" s="116"/>
      <c r="V973" s="116"/>
      <c r="W973" s="116"/>
      <c r="X973" s="116"/>
      <c r="Y973" s="116"/>
      <c r="Z973" s="116"/>
      <c r="AA973" s="116"/>
    </row>
    <row r="974" hidden="1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116"/>
      <c r="S974" s="116"/>
      <c r="T974" s="116"/>
      <c r="U974" s="116"/>
      <c r="V974" s="116"/>
      <c r="W974" s="116"/>
      <c r="X974" s="116"/>
      <c r="Y974" s="116"/>
      <c r="Z974" s="116"/>
      <c r="AA974" s="116"/>
    </row>
    <row r="975" hidden="1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116"/>
      <c r="S975" s="116"/>
      <c r="T975" s="116"/>
      <c r="U975" s="116"/>
      <c r="V975" s="116"/>
      <c r="W975" s="116"/>
      <c r="X975" s="116"/>
      <c r="Y975" s="116"/>
      <c r="Z975" s="116"/>
      <c r="AA975" s="116"/>
    </row>
    <row r="976" hidden="1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116"/>
      <c r="S976" s="116"/>
      <c r="T976" s="116"/>
      <c r="U976" s="116"/>
      <c r="V976" s="116"/>
      <c r="W976" s="116"/>
      <c r="X976" s="116"/>
      <c r="Y976" s="116"/>
      <c r="Z976" s="116"/>
      <c r="AA976" s="116"/>
    </row>
    <row r="977" hidden="1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116"/>
      <c r="S977" s="116"/>
      <c r="T977" s="116"/>
      <c r="U977" s="116"/>
      <c r="V977" s="116"/>
      <c r="W977" s="116"/>
      <c r="X977" s="116"/>
      <c r="Y977" s="116"/>
      <c r="Z977" s="116"/>
      <c r="AA977" s="116"/>
    </row>
    <row r="978" hidden="1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116"/>
      <c r="S978" s="116"/>
      <c r="T978" s="116"/>
      <c r="U978" s="116"/>
      <c r="V978" s="116"/>
      <c r="W978" s="116"/>
      <c r="X978" s="116"/>
      <c r="Y978" s="116"/>
      <c r="Z978" s="116"/>
      <c r="AA978" s="116"/>
    </row>
    <row r="979" hidden="1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116"/>
      <c r="S979" s="116"/>
      <c r="T979" s="116"/>
      <c r="U979" s="116"/>
      <c r="V979" s="116"/>
      <c r="W979" s="116"/>
      <c r="X979" s="116"/>
      <c r="Y979" s="116"/>
      <c r="Z979" s="116"/>
      <c r="AA979" s="116"/>
    </row>
    <row r="980" hidden="1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116"/>
      <c r="S980" s="116"/>
      <c r="T980" s="116"/>
      <c r="U980" s="116"/>
      <c r="V980" s="116"/>
      <c r="W980" s="116"/>
      <c r="X980" s="116"/>
      <c r="Y980" s="116"/>
      <c r="Z980" s="116"/>
      <c r="AA980" s="116"/>
    </row>
    <row r="981" hidden="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116"/>
      <c r="S981" s="116"/>
      <c r="T981" s="116"/>
      <c r="U981" s="116"/>
      <c r="V981" s="116"/>
      <c r="W981" s="116"/>
      <c r="X981" s="116"/>
      <c r="Y981" s="116"/>
      <c r="Z981" s="116"/>
      <c r="AA981" s="116"/>
    </row>
    <row r="982" hidden="1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116"/>
      <c r="S982" s="116"/>
      <c r="T982" s="116"/>
      <c r="U982" s="116"/>
      <c r="V982" s="116"/>
      <c r="W982" s="116"/>
      <c r="X982" s="116"/>
      <c r="Y982" s="116"/>
      <c r="Z982" s="116"/>
      <c r="AA982" s="116"/>
    </row>
    <row r="983" hidden="1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116"/>
      <c r="S983" s="116"/>
      <c r="T983" s="116"/>
      <c r="U983" s="116"/>
      <c r="V983" s="116"/>
      <c r="W983" s="116"/>
      <c r="X983" s="116"/>
      <c r="Y983" s="116"/>
      <c r="Z983" s="116"/>
      <c r="AA983" s="116"/>
    </row>
    <row r="984" hidden="1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116"/>
      <c r="S984" s="116"/>
      <c r="T984" s="116"/>
      <c r="U984" s="116"/>
      <c r="V984" s="116"/>
      <c r="W984" s="116"/>
      <c r="X984" s="116"/>
      <c r="Y984" s="116"/>
      <c r="Z984" s="116"/>
      <c r="AA984" s="116"/>
    </row>
    <row r="985" hidden="1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116"/>
      <c r="S985" s="116"/>
      <c r="T985" s="116"/>
      <c r="U985" s="116"/>
      <c r="V985" s="116"/>
      <c r="W985" s="116"/>
      <c r="X985" s="116"/>
      <c r="Y985" s="116"/>
      <c r="Z985" s="116"/>
      <c r="AA985" s="116"/>
    </row>
    <row r="986" hidden="1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116"/>
      <c r="S986" s="116"/>
      <c r="T986" s="116"/>
      <c r="U986" s="116"/>
      <c r="V986" s="116"/>
      <c r="W986" s="116"/>
      <c r="X986" s="116"/>
      <c r="Y986" s="116"/>
      <c r="Z986" s="116"/>
      <c r="AA986" s="116"/>
    </row>
    <row r="987" hidden="1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116"/>
      <c r="S987" s="116"/>
      <c r="T987" s="116"/>
      <c r="U987" s="116"/>
      <c r="V987" s="116"/>
      <c r="W987" s="116"/>
      <c r="X987" s="116"/>
      <c r="Y987" s="116"/>
      <c r="Z987" s="116"/>
      <c r="AA987" s="116"/>
    </row>
    <row r="988" hidden="1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116"/>
      <c r="S988" s="116"/>
      <c r="T988" s="116"/>
      <c r="U988" s="116"/>
      <c r="V988" s="116"/>
      <c r="W988" s="116"/>
      <c r="X988" s="116"/>
      <c r="Y988" s="116"/>
      <c r="Z988" s="116"/>
      <c r="AA988" s="116"/>
    </row>
    <row r="989" hidden="1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116"/>
      <c r="S989" s="116"/>
      <c r="T989" s="116"/>
      <c r="U989" s="116"/>
      <c r="V989" s="116"/>
      <c r="W989" s="116"/>
      <c r="X989" s="116"/>
      <c r="Y989" s="116"/>
      <c r="Z989" s="116"/>
      <c r="AA989" s="116"/>
    </row>
    <row r="990" hidden="1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116"/>
      <c r="S990" s="116"/>
      <c r="T990" s="116"/>
      <c r="U990" s="116"/>
      <c r="V990" s="116"/>
      <c r="W990" s="116"/>
      <c r="X990" s="116"/>
      <c r="Y990" s="116"/>
      <c r="Z990" s="116"/>
      <c r="AA990" s="116"/>
    </row>
    <row r="991" hidden="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116"/>
      <c r="S991" s="116"/>
      <c r="T991" s="116"/>
      <c r="U991" s="116"/>
      <c r="V991" s="116"/>
      <c r="W991" s="116"/>
      <c r="X991" s="116"/>
      <c r="Y991" s="116"/>
      <c r="Z991" s="116"/>
      <c r="AA991" s="116"/>
    </row>
    <row r="992" hidden="1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116"/>
      <c r="S992" s="116"/>
      <c r="T992" s="116"/>
      <c r="U992" s="116"/>
      <c r="V992" s="116"/>
      <c r="W992" s="116"/>
      <c r="X992" s="116"/>
      <c r="Y992" s="116"/>
      <c r="Z992" s="116"/>
      <c r="AA992" s="116"/>
    </row>
    <row r="993" hidden="1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116"/>
      <c r="S993" s="116"/>
      <c r="T993" s="116"/>
      <c r="U993" s="116"/>
      <c r="V993" s="116"/>
      <c r="W993" s="116"/>
      <c r="X993" s="116"/>
      <c r="Y993" s="116"/>
      <c r="Z993" s="116"/>
      <c r="AA993" s="116"/>
    </row>
    <row r="994" hidden="1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116"/>
      <c r="S994" s="116"/>
      <c r="T994" s="116"/>
      <c r="U994" s="116"/>
      <c r="V994" s="116"/>
      <c r="W994" s="116"/>
      <c r="X994" s="116"/>
      <c r="Y994" s="116"/>
      <c r="Z994" s="116"/>
      <c r="AA994" s="116"/>
    </row>
    <row r="995" hidden="1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116"/>
      <c r="S995" s="116"/>
      <c r="T995" s="116"/>
      <c r="U995" s="116"/>
      <c r="V995" s="116"/>
      <c r="W995" s="116"/>
      <c r="X995" s="116"/>
      <c r="Y995" s="116"/>
      <c r="Z995" s="116"/>
      <c r="AA995" s="116"/>
    </row>
    <row r="996" hidden="1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116"/>
      <c r="S996" s="116"/>
      <c r="T996" s="116"/>
      <c r="U996" s="116"/>
      <c r="V996" s="116"/>
      <c r="W996" s="116"/>
      <c r="X996" s="116"/>
      <c r="Y996" s="116"/>
      <c r="Z996" s="116"/>
      <c r="AA996" s="116"/>
    </row>
    <row r="997" hidden="1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116"/>
      <c r="S997" s="116"/>
      <c r="T997" s="116"/>
      <c r="U997" s="116"/>
      <c r="V997" s="116"/>
      <c r="W997" s="116"/>
      <c r="X997" s="116"/>
      <c r="Y997" s="116"/>
      <c r="Z997" s="116"/>
      <c r="AA997" s="116"/>
    </row>
    <row r="998" hidden="1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116"/>
      <c r="S998" s="116"/>
      <c r="T998" s="116"/>
      <c r="U998" s="116"/>
      <c r="V998" s="116"/>
      <c r="W998" s="116"/>
      <c r="X998" s="116"/>
      <c r="Y998" s="116"/>
      <c r="Z998" s="116"/>
      <c r="AA998" s="116"/>
    </row>
    <row r="999" hidden="1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116"/>
      <c r="S999" s="116"/>
      <c r="T999" s="116"/>
      <c r="U999" s="116"/>
      <c r="V999" s="116"/>
      <c r="W999" s="116"/>
      <c r="X999" s="116"/>
      <c r="Y999" s="116"/>
      <c r="Z999" s="116"/>
      <c r="AA999" s="116"/>
    </row>
    <row r="1000" hidden="1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116"/>
      <c r="S1000" s="116"/>
      <c r="T1000" s="116"/>
      <c r="U1000" s="116"/>
      <c r="V1000" s="116"/>
      <c r="W1000" s="116"/>
      <c r="X1000" s="116"/>
      <c r="Y1000" s="116"/>
      <c r="Z1000" s="116"/>
      <c r="AA1000" s="116"/>
    </row>
  </sheetData>
  <autoFilter ref="$A$1:$AA$1000">
    <filterColumn colId="1">
      <filters>
        <filter val="Done"/>
        <filter val="09-03-2026"/>
        <filter val="06-03-2026"/>
        <filter val="Suspend"/>
        <filter val="27-02-2026"/>
        <filter val="30-01-2026"/>
      </filters>
    </filterColumn>
  </autoFil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3" width="24.5"/>
    <col customWidth="1" min="4" max="4" width="16.5"/>
    <col customWidth="1" min="5" max="5" width="7.63"/>
    <col customWidth="1" min="6" max="6" width="7.0"/>
  </cols>
  <sheetData>
    <row r="1">
      <c r="A1" s="61" t="s">
        <v>7765</v>
      </c>
      <c r="B1" s="61"/>
      <c r="C1" s="61" t="s">
        <v>7767</v>
      </c>
      <c r="D1" s="61" t="s">
        <v>7768</v>
      </c>
      <c r="E1" s="61" t="s">
        <v>7769</v>
      </c>
      <c r="F1" s="61" t="s">
        <v>7770</v>
      </c>
    </row>
    <row r="2">
      <c r="A2" s="61" t="s">
        <v>1022</v>
      </c>
      <c r="B2" s="412" t="str">
        <f t="array" ref="B2">XLOOKUP(C2,'Off-Boarding'!B:B,'Off-Boarding'!E:E)</f>
        <v>Suspend</v>
      </c>
      <c r="C2" s="61" t="s">
        <v>1023</v>
      </c>
      <c r="D2" s="406">
        <v>45910.37045574655</v>
      </c>
      <c r="E2" s="61" t="s">
        <v>7771</v>
      </c>
      <c r="F2" s="61" t="s">
        <v>5632</v>
      </c>
    </row>
    <row r="3">
      <c r="A3" s="61" t="s">
        <v>1034</v>
      </c>
      <c r="B3" s="412" t="str">
        <f t="array" ref="B3">XLOOKUP(C3,'Off-Boarding'!B:B,'Off-Boarding'!E:E)</f>
        <v>Suspend</v>
      </c>
      <c r="C3" s="61" t="s">
        <v>1054</v>
      </c>
      <c r="D3" s="406">
        <v>45899.521609362186</v>
      </c>
      <c r="E3" s="61" t="s">
        <v>7771</v>
      </c>
      <c r="F3" s="61" t="s">
        <v>5632</v>
      </c>
    </row>
    <row r="4">
      <c r="A4" s="61" t="s">
        <v>7776</v>
      </c>
      <c r="B4" s="61" t="s">
        <v>7772</v>
      </c>
      <c r="C4" s="61" t="s">
        <v>3109</v>
      </c>
      <c r="D4" s="406">
        <v>45903.310675519766</v>
      </c>
      <c r="E4" s="61" t="s">
        <v>7771</v>
      </c>
      <c r="F4" s="61" t="s">
        <v>5632</v>
      </c>
    </row>
    <row r="5">
      <c r="A5" s="61" t="s">
        <v>2629</v>
      </c>
      <c r="B5" s="412" t="str">
        <f t="array" ref="B5">XLOOKUP(C5,'Off-Boarding'!B:B,'Off-Boarding'!E:E)</f>
        <v>Suspend</v>
      </c>
      <c r="C5" s="61" t="s">
        <v>2630</v>
      </c>
      <c r="D5" s="406">
        <v>45915.57141570155</v>
      </c>
      <c r="E5" s="61" t="s">
        <v>7771</v>
      </c>
      <c r="F5" s="61" t="s">
        <v>5632</v>
      </c>
    </row>
    <row r="6">
      <c r="A6" s="61" t="s">
        <v>3036</v>
      </c>
      <c r="B6" s="61" t="str">
        <f t="array" ref="B6">XLOOKUP(C6,'Off-Boarding'!B:B,'Off-Boarding'!E:E)</f>
        <v>Suspend</v>
      </c>
      <c r="C6" s="61" t="s">
        <v>3037</v>
      </c>
      <c r="D6" s="406">
        <v>45916.24061469922</v>
      </c>
      <c r="E6" s="61" t="s">
        <v>7771</v>
      </c>
      <c r="F6" s="61" t="s">
        <v>5632</v>
      </c>
    </row>
    <row r="7">
      <c r="A7" s="61" t="s">
        <v>1882</v>
      </c>
      <c r="B7" s="61" t="str">
        <f t="array" ref="B7">XLOOKUP(C7,'Off-Boarding'!B:B,'Off-Boarding'!E:E)</f>
        <v>#N/A</v>
      </c>
      <c r="C7" s="61" t="s">
        <v>1883</v>
      </c>
      <c r="D7" s="406">
        <v>45916.1794532169</v>
      </c>
      <c r="E7" s="61" t="s">
        <v>7771</v>
      </c>
      <c r="F7" s="61" t="s">
        <v>5632</v>
      </c>
    </row>
    <row r="8">
      <c r="A8" s="61" t="s">
        <v>3072</v>
      </c>
      <c r="B8" s="61" t="s">
        <v>7772</v>
      </c>
      <c r="C8" s="61" t="s">
        <v>3073</v>
      </c>
      <c r="D8" s="406">
        <v>45904.348773917845</v>
      </c>
      <c r="E8" s="61" t="s">
        <v>7771</v>
      </c>
      <c r="F8" s="61" t="s">
        <v>5632</v>
      </c>
    </row>
    <row r="9">
      <c r="A9" s="61" t="s">
        <v>4089</v>
      </c>
      <c r="B9" s="61" t="str">
        <f t="array" ref="B9">XLOOKUP(C9,'Off-Boarding'!B:B,'Off-Boarding'!E:E)</f>
        <v>#N/A</v>
      </c>
      <c r="C9" s="61" t="s">
        <v>2278</v>
      </c>
      <c r="D9" s="406">
        <v>45915.847247487996</v>
      </c>
      <c r="E9" s="61" t="s">
        <v>7771</v>
      </c>
      <c r="F9" s="61" t="s">
        <v>5632</v>
      </c>
    </row>
    <row r="10">
      <c r="A10" s="61" t="s">
        <v>1268</v>
      </c>
      <c r="B10" s="412" t="str">
        <f t="array" ref="B10">XLOOKUP(C10,'Off-Boarding'!B:B,'Off-Boarding'!E:E)</f>
        <v>Suspend</v>
      </c>
      <c r="C10" s="61" t="s">
        <v>1269</v>
      </c>
      <c r="D10" s="406">
        <v>45915.2752119684</v>
      </c>
      <c r="E10" s="61" t="s">
        <v>7771</v>
      </c>
      <c r="F10" s="61" t="s">
        <v>5632</v>
      </c>
    </row>
    <row r="11">
      <c r="A11" s="61" t="s">
        <v>1291</v>
      </c>
      <c r="B11" s="412" t="str">
        <f t="array" ref="B11">XLOOKUP(C11,'Off-Boarding'!B:B,'Off-Boarding'!E:E)</f>
        <v>Suspend</v>
      </c>
      <c r="C11" s="61" t="s">
        <v>1292</v>
      </c>
      <c r="D11" s="406">
        <v>45915.57605578522</v>
      </c>
      <c r="E11" s="61" t="s">
        <v>7771</v>
      </c>
      <c r="F11" s="61" t="s">
        <v>5632</v>
      </c>
    </row>
    <row r="12">
      <c r="A12" s="61" t="s">
        <v>7789</v>
      </c>
      <c r="B12" s="61" t="str">
        <f t="array" ref="B12">XLOOKUP(C12,'Off-Boarding'!B:B,'Off-Boarding'!E:E)</f>
        <v>#N/A</v>
      </c>
      <c r="C12" s="61" t="s">
        <v>7790</v>
      </c>
      <c r="D12" s="406">
        <v>45901.5005529245</v>
      </c>
      <c r="E12" s="61" t="s">
        <v>7771</v>
      </c>
      <c r="F12" s="61" t="s">
        <v>5632</v>
      </c>
    </row>
    <row r="13">
      <c r="A13" s="61" t="s">
        <v>3127</v>
      </c>
      <c r="B13" s="412" t="str">
        <f t="array" ref="B13">XLOOKUP(C13,'Off-Boarding'!B:B,'Off-Boarding'!E:E)</f>
        <v>Suspend</v>
      </c>
      <c r="C13" s="61" t="s">
        <v>3128</v>
      </c>
      <c r="D13" s="406">
        <v>45916.230366100186</v>
      </c>
      <c r="E13" s="61" t="s">
        <v>7771</v>
      </c>
      <c r="F13" s="61" t="s">
        <v>5632</v>
      </c>
    </row>
    <row r="14">
      <c r="A14" s="61" t="s">
        <v>4907</v>
      </c>
      <c r="B14" s="412" t="str">
        <f t="array" ref="B14">XLOOKUP(C14,'Off-Boarding'!B:B,'Off-Boarding'!E:E)</f>
        <v>Suspend</v>
      </c>
      <c r="C14" s="61" t="s">
        <v>2201</v>
      </c>
      <c r="D14" s="406">
        <v>45916.32264269666</v>
      </c>
      <c r="E14" s="61" t="s">
        <v>7771</v>
      </c>
      <c r="F14" s="61" t="s">
        <v>5632</v>
      </c>
    </row>
    <row r="15">
      <c r="A15" s="61" t="s">
        <v>1461</v>
      </c>
      <c r="B15" s="412" t="str">
        <f t="array" ref="B15">XLOOKUP(C15,'Off-Boarding'!B:B,'Off-Boarding'!E:E)</f>
        <v>Suspend</v>
      </c>
      <c r="C15" s="61" t="s">
        <v>1462</v>
      </c>
      <c r="D15" s="406">
        <v>45915.563207230625</v>
      </c>
      <c r="E15" s="61" t="s">
        <v>7771</v>
      </c>
      <c r="F15" s="61" t="s">
        <v>5632</v>
      </c>
    </row>
    <row r="16">
      <c r="A16" s="61" t="s">
        <v>1958</v>
      </c>
      <c r="B16" s="61" t="str">
        <f t="array" ref="B16">XLOOKUP(C16,'Off-Boarding'!B:B,'Off-Boarding'!E:E)</f>
        <v>#N/A</v>
      </c>
      <c r="C16" s="61" t="s">
        <v>1959</v>
      </c>
      <c r="D16" s="406">
        <v>45915.28842663984</v>
      </c>
      <c r="E16" s="61" t="s">
        <v>7771</v>
      </c>
      <c r="F16" s="61" t="s">
        <v>5632</v>
      </c>
    </row>
    <row r="17">
      <c r="A17" s="61" t="s">
        <v>2104</v>
      </c>
      <c r="B17" s="61" t="str">
        <f t="array" ref="B17">XLOOKUP(C17,'Off-Boarding'!B:B,'Off-Boarding'!E:E)</f>
        <v>#N/A</v>
      </c>
      <c r="C17" s="61" t="s">
        <v>2105</v>
      </c>
      <c r="D17" s="406">
        <v>45916.27298797043</v>
      </c>
      <c r="E17" s="61" t="s">
        <v>7771</v>
      </c>
      <c r="F17" s="61" t="s">
        <v>5632</v>
      </c>
    </row>
    <row r="18">
      <c r="A18" s="61" t="s">
        <v>2950</v>
      </c>
      <c r="B18" s="412" t="str">
        <f t="array" ref="B18">XLOOKUP(C18,'Off-Boarding'!B:B,'Off-Boarding'!E:E)</f>
        <v>Suspend</v>
      </c>
      <c r="C18" s="61" t="s">
        <v>2951</v>
      </c>
      <c r="D18" s="406">
        <v>45916.22960485431</v>
      </c>
      <c r="E18" s="61" t="s">
        <v>7771</v>
      </c>
      <c r="F18" s="61" t="s">
        <v>5632</v>
      </c>
    </row>
    <row r="19">
      <c r="A19" s="61" t="s">
        <v>1558</v>
      </c>
      <c r="B19" s="412" t="str">
        <f t="array" ref="B19">XLOOKUP(C19,'Off-Boarding'!B:B,'Off-Boarding'!E:E)</f>
        <v>Suspend</v>
      </c>
      <c r="C19" s="61" t="s">
        <v>1559</v>
      </c>
      <c r="D19" s="406">
        <v>45915.97115798214</v>
      </c>
      <c r="E19" s="61" t="s">
        <v>7771</v>
      </c>
      <c r="F19" s="61" t="s">
        <v>5632</v>
      </c>
    </row>
    <row r="20">
      <c r="A20" s="61" t="s">
        <v>7795</v>
      </c>
      <c r="B20" s="412" t="str">
        <f t="array" ref="B20">XLOOKUP(C20,'Off-Boarding'!B:B,'Off-Boarding'!E:E)</f>
        <v>Suspend</v>
      </c>
      <c r="C20" s="61" t="s">
        <v>1582</v>
      </c>
      <c r="D20" s="406">
        <v>45916.28120519832</v>
      </c>
      <c r="E20" s="61" t="s">
        <v>7771</v>
      </c>
      <c r="F20" s="61" t="s">
        <v>5632</v>
      </c>
    </row>
    <row r="21">
      <c r="A21" s="61" t="s">
        <v>7824</v>
      </c>
      <c r="B21" s="61" t="s">
        <v>7772</v>
      </c>
      <c r="C21" s="61" t="s">
        <v>2935</v>
      </c>
      <c r="D21" s="406">
        <v>45910.51941152966</v>
      </c>
      <c r="E21" s="61" t="s">
        <v>7771</v>
      </c>
      <c r="F21" s="61" t="s">
        <v>5632</v>
      </c>
    </row>
    <row r="22">
      <c r="A22" s="61" t="s">
        <v>1903</v>
      </c>
      <c r="B22" s="61" t="str">
        <f t="array" ref="B22">XLOOKUP(C22,'Off-Boarding'!B:B,'Off-Boarding'!E:E)</f>
        <v>#N/A</v>
      </c>
      <c r="C22" s="61" t="s">
        <v>1885</v>
      </c>
      <c r="D22" s="406">
        <v>45915.59305399208</v>
      </c>
      <c r="E22" s="61" t="s">
        <v>7771</v>
      </c>
      <c r="F22" s="61" t="s">
        <v>5632</v>
      </c>
    </row>
    <row r="23">
      <c r="A23" s="61" t="s">
        <v>2763</v>
      </c>
      <c r="B23" s="412" t="str">
        <f t="array" ref="B23">XLOOKUP(C23,'Off-Boarding'!B:B,'Off-Boarding'!E:E)</f>
        <v>Suspend</v>
      </c>
      <c r="C23" s="61" t="s">
        <v>2764</v>
      </c>
      <c r="D23" s="406">
        <v>45915.235488485116</v>
      </c>
      <c r="E23" s="61" t="s">
        <v>7771</v>
      </c>
      <c r="F23" s="61" t="s">
        <v>5632</v>
      </c>
    </row>
    <row r="24">
      <c r="A24" s="61" t="s">
        <v>2294</v>
      </c>
      <c r="B24" s="412" t="str">
        <f t="array" ref="B24">XLOOKUP(C24,'Off-Boarding'!B:B,'Off-Boarding'!E:E)</f>
        <v>Suspend</v>
      </c>
      <c r="C24" s="61" t="s">
        <v>2295</v>
      </c>
      <c r="D24" s="406">
        <v>45915.50241164419</v>
      </c>
      <c r="E24" s="61" t="s">
        <v>7771</v>
      </c>
      <c r="F24" s="61" t="s">
        <v>5632</v>
      </c>
    </row>
    <row r="25">
      <c r="A25" s="61" t="s">
        <v>3067</v>
      </c>
      <c r="B25" s="412" t="str">
        <f t="array" ref="B25">XLOOKUP(C25,'Off-Boarding'!B:B,'Off-Boarding'!E:E)</f>
        <v>Suspend</v>
      </c>
      <c r="C25" s="61" t="s">
        <v>3068</v>
      </c>
      <c r="D25" s="406">
        <v>45912.32004433067</v>
      </c>
      <c r="E25" s="61" t="s">
        <v>7771</v>
      </c>
      <c r="F25" s="61" t="s">
        <v>5632</v>
      </c>
    </row>
    <row r="26">
      <c r="A26" s="61" t="s">
        <v>2077</v>
      </c>
      <c r="B26" s="61" t="str">
        <f t="array" ref="B26">XLOOKUP(C26,'Off-Boarding'!B:B,'Off-Boarding'!E:E)</f>
        <v>#N/A</v>
      </c>
      <c r="C26" s="61" t="s">
        <v>1026</v>
      </c>
      <c r="D26" s="406">
        <v>45911.32921415505</v>
      </c>
      <c r="E26" s="61" t="s">
        <v>7771</v>
      </c>
      <c r="F26" s="61" t="s">
        <v>5632</v>
      </c>
    </row>
    <row r="27">
      <c r="A27" s="61" t="s">
        <v>2982</v>
      </c>
      <c r="B27" s="61" t="s">
        <v>7772</v>
      </c>
      <c r="C27" s="61" t="s">
        <v>2983</v>
      </c>
      <c r="D27" s="406">
        <v>45908.30934498443</v>
      </c>
      <c r="E27" s="61" t="s">
        <v>7771</v>
      </c>
      <c r="F27" s="61" t="s">
        <v>5632</v>
      </c>
    </row>
    <row r="28">
      <c r="A28" s="61" t="s">
        <v>2140</v>
      </c>
      <c r="B28" s="413">
        <f t="array" ref="B28">XLOOKUP(C28,'Off-Boarding'!B:B,'Off-Boarding'!E:E)</f>
        <v>46268</v>
      </c>
      <c r="C28" s="61" t="s">
        <v>2141</v>
      </c>
      <c r="D28" s="406">
        <v>45910.39367195993</v>
      </c>
      <c r="E28" s="61" t="s">
        <v>7771</v>
      </c>
      <c r="F28" s="61" t="s">
        <v>5632</v>
      </c>
    </row>
    <row r="29">
      <c r="A29" s="61" t="s">
        <v>7808</v>
      </c>
      <c r="B29" s="61" t="str">
        <f t="array" ref="B29">XLOOKUP(C29,'Off-Boarding'!B:B,'Off-Boarding'!E:E)</f>
        <v>#N/A</v>
      </c>
      <c r="C29" s="61" t="s">
        <v>2226</v>
      </c>
      <c r="D29" s="406">
        <v>45916.25727417972</v>
      </c>
      <c r="E29" s="61" t="s">
        <v>7771</v>
      </c>
      <c r="F29" s="61" t="s">
        <v>5632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1" t="s">
        <v>7765</v>
      </c>
      <c r="B1" s="61"/>
      <c r="C1" s="61" t="s">
        <v>7767</v>
      </c>
      <c r="D1" s="61" t="s">
        <v>7768</v>
      </c>
      <c r="E1" s="61" t="s">
        <v>7769</v>
      </c>
      <c r="F1" s="61" t="s">
        <v>7770</v>
      </c>
    </row>
    <row r="2" hidden="1">
      <c r="A2" s="61" t="s">
        <v>2974</v>
      </c>
      <c r="B2" s="61" t="str">
        <f t="array" ref="B2">XLOOKUP(C2,'Off-Boarding'!B:B,'Off-Boarding'!E:E)</f>
        <v/>
      </c>
      <c r="C2" s="61" t="s">
        <v>2975</v>
      </c>
      <c r="D2" s="406">
        <v>45863.3366656928</v>
      </c>
      <c r="E2" s="61" t="s">
        <v>7771</v>
      </c>
      <c r="F2" s="61" t="s">
        <v>5632</v>
      </c>
    </row>
    <row r="3" hidden="1">
      <c r="A3" s="61" t="s">
        <v>4792</v>
      </c>
      <c r="B3" s="61" t="str">
        <f t="array" ref="B3">XLOOKUP(C3,'Off-Boarding'!B:B,'Off-Boarding'!E:E)</f>
        <v>Suspend</v>
      </c>
      <c r="C3" s="61" t="s">
        <v>2554</v>
      </c>
      <c r="D3" s="406">
        <v>45915.42471737092</v>
      </c>
      <c r="E3" s="61" t="s">
        <v>7771</v>
      </c>
      <c r="F3" s="61" t="s">
        <v>5632</v>
      </c>
    </row>
    <row r="4" hidden="1">
      <c r="A4" s="61" t="s">
        <v>2933</v>
      </c>
      <c r="B4" s="61" t="str">
        <f t="array" ref="B4">XLOOKUP(C4,'Off-Boarding'!B:B,'Off-Boarding'!E:E)</f>
        <v>Suspend</v>
      </c>
      <c r="C4" s="61" t="s">
        <v>2934</v>
      </c>
      <c r="D4" s="406">
        <v>45855.54165984611</v>
      </c>
      <c r="E4" s="61" t="s">
        <v>7771</v>
      </c>
      <c r="F4" s="61" t="s">
        <v>5632</v>
      </c>
    </row>
    <row r="5">
      <c r="A5" s="61" t="s">
        <v>1045</v>
      </c>
      <c r="B5" s="61" t="s">
        <v>7772</v>
      </c>
      <c r="C5" s="61" t="s">
        <v>1046</v>
      </c>
      <c r="D5" s="406">
        <v>45839.28216676821</v>
      </c>
      <c r="E5" s="61" t="s">
        <v>7771</v>
      </c>
      <c r="F5" s="61" t="s">
        <v>5632</v>
      </c>
    </row>
    <row r="6" hidden="1">
      <c r="A6" s="61" t="s">
        <v>5428</v>
      </c>
      <c r="B6" s="61" t="str">
        <f t="array" ref="B6">XLOOKUP(C6,'Off-Boarding'!B:B,'Off-Boarding'!E:E)</f>
        <v>#N/A</v>
      </c>
      <c r="C6" s="61" t="s">
        <v>2666</v>
      </c>
      <c r="D6" s="406">
        <v>45916.23135379889</v>
      </c>
      <c r="E6" s="61" t="s">
        <v>7771</v>
      </c>
      <c r="F6" s="61" t="s">
        <v>5632</v>
      </c>
    </row>
    <row r="7" hidden="1">
      <c r="A7" s="61" t="s">
        <v>1034</v>
      </c>
      <c r="B7" s="412" t="str">
        <f t="array" ref="B7">XLOOKUP(C7,'Off-Boarding'!B:B,'Off-Boarding'!E:E)</f>
        <v>Suspend</v>
      </c>
      <c r="C7" s="61" t="s">
        <v>1054</v>
      </c>
      <c r="D7" s="406">
        <v>45899.521609362186</v>
      </c>
      <c r="E7" s="61" t="s">
        <v>7771</v>
      </c>
      <c r="F7" s="61" t="s">
        <v>5632</v>
      </c>
    </row>
    <row r="8">
      <c r="A8" s="61" t="s">
        <v>111</v>
      </c>
      <c r="B8" s="61" t="s">
        <v>7772</v>
      </c>
      <c r="C8" s="61" t="s">
        <v>112</v>
      </c>
      <c r="D8" s="406">
        <v>45799.48581527828</v>
      </c>
      <c r="E8" s="61" t="s">
        <v>7771</v>
      </c>
      <c r="F8" s="61" t="s">
        <v>5632</v>
      </c>
    </row>
    <row r="9" hidden="1">
      <c r="A9" s="61" t="s">
        <v>3070</v>
      </c>
      <c r="B9" s="61" t="str">
        <f t="array" ref="B9">XLOOKUP(C9,'Off-Boarding'!B:B,'Off-Boarding'!E:E)</f>
        <v>#N/A</v>
      </c>
      <c r="C9" s="61" t="s">
        <v>3071</v>
      </c>
      <c r="D9" s="406">
        <v>45916.31767222128</v>
      </c>
      <c r="E9" s="61" t="s">
        <v>7771</v>
      </c>
      <c r="F9" s="61" t="s">
        <v>5632</v>
      </c>
    </row>
    <row r="10" hidden="1">
      <c r="A10" s="61" t="s">
        <v>3079</v>
      </c>
      <c r="B10" s="61" t="str">
        <f t="array" ref="B10">XLOOKUP(C10,'Off-Boarding'!B:B,'Off-Boarding'!E:E)</f>
        <v>Suspend</v>
      </c>
      <c r="C10" s="61" t="s">
        <v>3080</v>
      </c>
      <c r="D10" s="406">
        <v>45916.28945088659</v>
      </c>
      <c r="E10" s="61" t="s">
        <v>7771</v>
      </c>
      <c r="F10" s="61" t="s">
        <v>5632</v>
      </c>
    </row>
    <row r="11">
      <c r="A11" s="61" t="s">
        <v>5341</v>
      </c>
      <c r="B11" s="61" t="s">
        <v>7772</v>
      </c>
      <c r="C11" s="61" t="s">
        <v>1084</v>
      </c>
      <c r="D11" s="406">
        <v>45897.33130240847</v>
      </c>
      <c r="E11" s="61" t="s">
        <v>7771</v>
      </c>
      <c r="F11" s="61" t="s">
        <v>5632</v>
      </c>
    </row>
    <row r="12" hidden="1">
      <c r="A12" s="61" t="s">
        <v>2005</v>
      </c>
      <c r="B12" s="413">
        <f t="array" ref="B12">XLOOKUP(C12,'Off-Boarding'!B:B,'Off-Boarding'!E:E)</f>
        <v>46268</v>
      </c>
      <c r="C12" s="61" t="s">
        <v>1116</v>
      </c>
      <c r="D12" s="406">
        <v>45911.58827506604</v>
      </c>
      <c r="E12" s="61" t="s">
        <v>7771</v>
      </c>
      <c r="F12" s="61" t="s">
        <v>5632</v>
      </c>
    </row>
    <row r="13" hidden="1">
      <c r="A13" s="61" t="s">
        <v>1946</v>
      </c>
      <c r="B13" s="61" t="str">
        <f t="array" ref="B13">XLOOKUP(C13,'Off-Boarding'!B:B,'Off-Boarding'!E:E)</f>
        <v>#N/A</v>
      </c>
      <c r="C13" s="61" t="s">
        <v>1085</v>
      </c>
      <c r="D13" s="406">
        <v>45911.208076551666</v>
      </c>
      <c r="E13" s="61" t="s">
        <v>7771</v>
      </c>
      <c r="F13" s="61" t="s">
        <v>5632</v>
      </c>
    </row>
    <row r="14" hidden="1">
      <c r="A14" s="61" t="s">
        <v>7778</v>
      </c>
      <c r="B14" s="61" t="str">
        <f t="array" ref="B14">XLOOKUP(C14,'Off-Boarding'!B:B,'Off-Boarding'!E:E)</f>
        <v>Suspend</v>
      </c>
      <c r="C14" s="61" t="s">
        <v>1021</v>
      </c>
      <c r="D14" s="406">
        <v>45915.389277708484</v>
      </c>
      <c r="E14" s="61" t="s">
        <v>7771</v>
      </c>
      <c r="F14" s="61" t="s">
        <v>5632</v>
      </c>
    </row>
    <row r="15" hidden="1">
      <c r="A15" s="61" t="s">
        <v>2203</v>
      </c>
      <c r="B15" s="412" t="str">
        <f t="array" ref="B15">XLOOKUP(C15,'Off-Boarding'!B:B,'Off-Boarding'!E:E)</f>
        <v>Suspend</v>
      </c>
      <c r="C15" s="61" t="s">
        <v>2204</v>
      </c>
      <c r="D15" s="406">
        <v>45916.24417107397</v>
      </c>
      <c r="E15" s="61" t="s">
        <v>7771</v>
      </c>
      <c r="F15" s="61" t="s">
        <v>5632</v>
      </c>
    </row>
    <row r="16" hidden="1">
      <c r="A16" s="61" t="s">
        <v>2931</v>
      </c>
      <c r="B16" s="61" t="str">
        <f t="array" ref="B16">XLOOKUP(C16,'Off-Boarding'!B:B,'Off-Boarding'!E:E)</f>
        <v>Suspend</v>
      </c>
      <c r="C16" s="61" t="s">
        <v>2932</v>
      </c>
      <c r="D16" s="406">
        <v>45911.29630376728</v>
      </c>
      <c r="E16" s="61" t="s">
        <v>7771</v>
      </c>
      <c r="F16" s="61" t="s">
        <v>5632</v>
      </c>
    </row>
    <row r="17" hidden="1">
      <c r="A17" s="61" t="s">
        <v>1952</v>
      </c>
      <c r="B17" s="61" t="str">
        <f t="array" ref="B17">XLOOKUP(C17,'Off-Boarding'!B:B,'Off-Boarding'!E:E)</f>
        <v>Suspend</v>
      </c>
      <c r="C17" s="61" t="s">
        <v>1953</v>
      </c>
      <c r="D17" s="406">
        <v>45916.40531870481</v>
      </c>
      <c r="E17" s="61" t="s">
        <v>7771</v>
      </c>
      <c r="F17" s="61" t="s">
        <v>5632</v>
      </c>
    </row>
    <row r="18" hidden="1">
      <c r="A18" s="61" t="s">
        <v>2306</v>
      </c>
      <c r="B18" s="61" t="str">
        <f t="array" ref="B18">XLOOKUP(C18,'Off-Boarding'!B:B,'Off-Boarding'!E:E)</f>
        <v>Suspend</v>
      </c>
      <c r="C18" s="61" t="s">
        <v>2307</v>
      </c>
      <c r="D18" s="406">
        <v>45905.426754780594</v>
      </c>
      <c r="E18" s="61" t="s">
        <v>7771</v>
      </c>
      <c r="F18" s="61" t="s">
        <v>5632</v>
      </c>
    </row>
    <row r="19">
      <c r="A19" s="61" t="s">
        <v>1117</v>
      </c>
      <c r="B19" s="61" t="s">
        <v>7772</v>
      </c>
      <c r="C19" s="61" t="s">
        <v>1118</v>
      </c>
      <c r="D19" s="406">
        <v>45862.523755593764</v>
      </c>
      <c r="E19" s="61" t="s">
        <v>7771</v>
      </c>
      <c r="F19" s="61" t="s">
        <v>5632</v>
      </c>
    </row>
    <row r="20" hidden="1">
      <c r="A20" s="61" t="s">
        <v>2155</v>
      </c>
      <c r="B20" s="61" t="str">
        <f t="array" ref="B20">XLOOKUP(C20,'Off-Boarding'!B:B,'Off-Boarding'!E:E)</f>
        <v>Suspend</v>
      </c>
      <c r="C20" s="61" t="s">
        <v>2156</v>
      </c>
      <c r="D20" s="406">
        <v>45890.67668917483</v>
      </c>
      <c r="E20" s="61" t="s">
        <v>7771</v>
      </c>
      <c r="F20" s="61" t="s">
        <v>5632</v>
      </c>
    </row>
    <row r="21" hidden="1">
      <c r="A21" s="61" t="s">
        <v>3150</v>
      </c>
      <c r="B21" s="61" t="str">
        <f t="array" ref="B21">XLOOKUP(C21,'Off-Boarding'!B:B,'Off-Boarding'!E:E)</f>
        <v>Suspend</v>
      </c>
      <c r="C21" s="61" t="s">
        <v>3151</v>
      </c>
      <c r="D21" s="406">
        <v>45916.34908724123</v>
      </c>
      <c r="E21" s="61" t="s">
        <v>7771</v>
      </c>
      <c r="F21" s="61" t="s">
        <v>5632</v>
      </c>
    </row>
    <row r="22" hidden="1">
      <c r="A22" s="61" t="s">
        <v>2629</v>
      </c>
      <c r="B22" s="412" t="str">
        <f t="array" ref="B22">XLOOKUP(C22,'Off-Boarding'!B:B,'Off-Boarding'!E:E)</f>
        <v>Suspend</v>
      </c>
      <c r="C22" s="61" t="s">
        <v>2630</v>
      </c>
      <c r="D22" s="406">
        <v>45915.57141570155</v>
      </c>
      <c r="E22" s="61" t="s">
        <v>7771</v>
      </c>
      <c r="F22" s="61" t="s">
        <v>5632</v>
      </c>
    </row>
    <row r="23">
      <c r="A23" s="61" t="s">
        <v>1136</v>
      </c>
      <c r="B23" s="61" t="s">
        <v>7772</v>
      </c>
      <c r="C23" s="61" t="s">
        <v>1137</v>
      </c>
      <c r="D23" s="406">
        <v>45889.56521784764</v>
      </c>
      <c r="E23" s="61" t="s">
        <v>7771</v>
      </c>
      <c r="F23" s="61" t="s">
        <v>5632</v>
      </c>
    </row>
    <row r="24" hidden="1">
      <c r="A24" s="61" t="s">
        <v>2183</v>
      </c>
      <c r="B24" s="61" t="str">
        <f t="array" ref="B24">XLOOKUP(C24,'Off-Boarding'!B:B,'Off-Boarding'!E:E)</f>
        <v>Suspend</v>
      </c>
      <c r="C24" s="61" t="s">
        <v>1206</v>
      </c>
      <c r="D24" s="406">
        <v>45916.368119609884</v>
      </c>
      <c r="E24" s="61" t="s">
        <v>7771</v>
      </c>
      <c r="F24" s="61" t="s">
        <v>5632</v>
      </c>
    </row>
    <row r="25">
      <c r="A25" s="61" t="s">
        <v>2958</v>
      </c>
      <c r="B25" s="61" t="s">
        <v>7772</v>
      </c>
      <c r="C25" s="61" t="s">
        <v>2959</v>
      </c>
      <c r="D25" s="406">
        <v>45856.452383817144</v>
      </c>
      <c r="E25" s="61" t="s">
        <v>7771</v>
      </c>
      <c r="F25" s="61" t="s">
        <v>5632</v>
      </c>
    </row>
    <row r="26">
      <c r="A26" s="61" t="s">
        <v>1157</v>
      </c>
      <c r="B26" s="61" t="s">
        <v>7772</v>
      </c>
      <c r="C26" s="61" t="s">
        <v>1158</v>
      </c>
      <c r="D26" s="406">
        <v>45835.56601120959</v>
      </c>
      <c r="E26" s="61" t="s">
        <v>5632</v>
      </c>
      <c r="F26" s="61" t="s">
        <v>5632</v>
      </c>
    </row>
    <row r="27" hidden="1">
      <c r="A27" s="61" t="s">
        <v>4944</v>
      </c>
      <c r="B27" s="61" t="str">
        <f t="array" ref="B27">XLOOKUP(C27,'Off-Boarding'!B:B,'Off-Boarding'!E:E)</f>
        <v>Suspend</v>
      </c>
      <c r="C27" s="61" t="s">
        <v>2134</v>
      </c>
      <c r="D27" s="406">
        <v>45877.26063568931</v>
      </c>
      <c r="E27" s="61" t="s">
        <v>7771</v>
      </c>
      <c r="F27" s="61" t="s">
        <v>5632</v>
      </c>
    </row>
    <row r="28" hidden="1">
      <c r="A28" s="61" t="s">
        <v>4218</v>
      </c>
      <c r="B28" s="61" t="str">
        <f t="array" ref="B28">XLOOKUP(C28,'Off-Boarding'!B:B,'Off-Boarding'!E:E)</f>
        <v>#N/A</v>
      </c>
      <c r="C28" s="61" t="s">
        <v>2586</v>
      </c>
      <c r="D28" s="406">
        <v>45882.64792912216</v>
      </c>
      <c r="E28" s="61" t="s">
        <v>7771</v>
      </c>
      <c r="F28" s="61" t="s">
        <v>5632</v>
      </c>
    </row>
    <row r="29" hidden="1">
      <c r="A29" s="61" t="s">
        <v>1882</v>
      </c>
      <c r="B29" s="61" t="str">
        <f t="array" ref="B29">XLOOKUP(C29,'Off-Boarding'!B:B,'Off-Boarding'!E:E)</f>
        <v>#N/A</v>
      </c>
      <c r="C29" s="61" t="s">
        <v>1883</v>
      </c>
      <c r="D29" s="406">
        <v>45916.1794532169</v>
      </c>
      <c r="E29" s="61" t="s">
        <v>7771</v>
      </c>
      <c r="F29" s="61" t="s">
        <v>5632</v>
      </c>
    </row>
    <row r="30">
      <c r="A30" s="61" t="s">
        <v>7825</v>
      </c>
      <c r="B30" s="61" t="s">
        <v>7772</v>
      </c>
      <c r="C30" s="61" t="s">
        <v>226</v>
      </c>
      <c r="D30" s="406">
        <v>45713.364047839204</v>
      </c>
      <c r="E30" s="61" t="s">
        <v>7771</v>
      </c>
      <c r="F30" s="61" t="s">
        <v>5632</v>
      </c>
    </row>
    <row r="31">
      <c r="A31" s="61" t="s">
        <v>235</v>
      </c>
      <c r="B31" s="61" t="s">
        <v>7772</v>
      </c>
      <c r="C31" s="61" t="s">
        <v>236</v>
      </c>
      <c r="D31" s="406">
        <v>45643.28004423952</v>
      </c>
      <c r="E31" s="61" t="s">
        <v>7771</v>
      </c>
      <c r="F31" s="61" t="s">
        <v>5632</v>
      </c>
    </row>
    <row r="32" hidden="1">
      <c r="A32" s="61" t="s">
        <v>7781</v>
      </c>
      <c r="B32" s="61" t="str">
        <f t="array" ref="B32">XLOOKUP(C32,'Off-Boarding'!B:B,'Off-Boarding'!E:E)</f>
        <v>#N/A</v>
      </c>
      <c r="C32" s="61" t="s">
        <v>2692</v>
      </c>
      <c r="D32" s="406">
        <v>45916.342030827465</v>
      </c>
      <c r="E32" s="61" t="s">
        <v>7771</v>
      </c>
      <c r="F32" s="61" t="s">
        <v>5632</v>
      </c>
    </row>
    <row r="33" hidden="1">
      <c r="A33" s="61" t="s">
        <v>7826</v>
      </c>
      <c r="B33" s="61" t="str">
        <f t="array" ref="B33">XLOOKUP(C33,'Off-Boarding'!B:B,'Off-Boarding'!E:E)</f>
        <v>Suspend</v>
      </c>
      <c r="C33" s="61" t="s">
        <v>3186</v>
      </c>
      <c r="D33" s="406">
        <v>45889.46758920001</v>
      </c>
      <c r="E33" s="61" t="s">
        <v>7771</v>
      </c>
      <c r="F33" s="61" t="s">
        <v>5632</v>
      </c>
    </row>
    <row r="34">
      <c r="A34" s="61" t="s">
        <v>261</v>
      </c>
      <c r="B34" s="61" t="s">
        <v>7772</v>
      </c>
      <c r="C34" s="61" t="s">
        <v>262</v>
      </c>
      <c r="D34" s="406">
        <v>45805.63725211468</v>
      </c>
      <c r="E34" s="61" t="s">
        <v>7771</v>
      </c>
      <c r="F34" s="61" t="s">
        <v>5632</v>
      </c>
    </row>
    <row r="35">
      <c r="A35" s="61" t="s">
        <v>4262</v>
      </c>
      <c r="B35" s="61" t="s">
        <v>7772</v>
      </c>
      <c r="C35" s="61" t="s">
        <v>1224</v>
      </c>
      <c r="D35" s="406">
        <v>45826.53039160706</v>
      </c>
      <c r="E35" s="61" t="s">
        <v>7771</v>
      </c>
      <c r="F35" s="61" t="s">
        <v>5632</v>
      </c>
    </row>
    <row r="36">
      <c r="A36" s="61" t="s">
        <v>1232</v>
      </c>
      <c r="B36" s="61" t="s">
        <v>7772</v>
      </c>
      <c r="C36" s="61" t="s">
        <v>1233</v>
      </c>
      <c r="D36" s="406">
        <v>45798.25017595184</v>
      </c>
      <c r="E36" s="61" t="s">
        <v>7771</v>
      </c>
      <c r="F36" s="61" t="s">
        <v>5632</v>
      </c>
    </row>
    <row r="37">
      <c r="A37" s="61" t="s">
        <v>297</v>
      </c>
      <c r="B37" s="61" t="s">
        <v>7772</v>
      </c>
      <c r="C37" s="61" t="s">
        <v>298</v>
      </c>
      <c r="D37" s="406">
        <v>45559.31297238931</v>
      </c>
      <c r="E37" s="61" t="s">
        <v>7771</v>
      </c>
      <c r="F37" s="61" t="s">
        <v>5632</v>
      </c>
    </row>
    <row r="38">
      <c r="A38" s="61" t="s">
        <v>3074</v>
      </c>
      <c r="B38" s="61" t="s">
        <v>7772</v>
      </c>
      <c r="C38" s="61" t="s">
        <v>3075</v>
      </c>
      <c r="D38" s="406">
        <v>45876.43160552981</v>
      </c>
      <c r="E38" s="61" t="s">
        <v>7771</v>
      </c>
      <c r="F38" s="61" t="s">
        <v>5632</v>
      </c>
    </row>
    <row r="39" hidden="1">
      <c r="A39" s="61" t="s">
        <v>1239</v>
      </c>
      <c r="B39" s="412" t="str">
        <f t="array" ref="B39">XLOOKUP(C39,'Off-Boarding'!B:B,'Off-Boarding'!E:E)</f>
        <v>Suspend</v>
      </c>
      <c r="C39" s="61" t="s">
        <v>1240</v>
      </c>
      <c r="D39" s="406">
        <v>45915.29412034763</v>
      </c>
      <c r="E39" s="61" t="s">
        <v>7771</v>
      </c>
      <c r="F39" s="61" t="s">
        <v>5632</v>
      </c>
    </row>
    <row r="40">
      <c r="A40" s="61" t="s">
        <v>3072</v>
      </c>
      <c r="B40" s="61" t="s">
        <v>7772</v>
      </c>
      <c r="C40" s="61" t="s">
        <v>3073</v>
      </c>
      <c r="D40" s="406">
        <v>45904.348773917845</v>
      </c>
      <c r="E40" s="61" t="s">
        <v>7771</v>
      </c>
      <c r="F40" s="61" t="s">
        <v>5632</v>
      </c>
    </row>
    <row r="41" hidden="1">
      <c r="A41" s="61" t="s">
        <v>4089</v>
      </c>
      <c r="B41" s="61" t="str">
        <f t="array" ref="B41">XLOOKUP(C41,'Off-Boarding'!B:B,'Off-Boarding'!E:E)</f>
        <v>#N/A</v>
      </c>
      <c r="C41" s="61" t="s">
        <v>2278</v>
      </c>
      <c r="D41" s="406">
        <v>45915.847247487996</v>
      </c>
      <c r="E41" s="61" t="s">
        <v>7771</v>
      </c>
      <c r="F41" s="61" t="s">
        <v>5632</v>
      </c>
    </row>
    <row r="42" hidden="1">
      <c r="A42" s="61" t="s">
        <v>7827</v>
      </c>
      <c r="B42" s="61" t="str">
        <f t="array" ref="B42">XLOOKUP(C42,'Off-Boarding'!B:B,'Off-Boarding'!E:E)</f>
        <v>#N/A</v>
      </c>
      <c r="C42" s="61" t="s">
        <v>326</v>
      </c>
      <c r="D42" s="406">
        <v>45244.58138830141</v>
      </c>
      <c r="E42" s="61" t="s">
        <v>7771</v>
      </c>
      <c r="F42" s="61" t="s">
        <v>5632</v>
      </c>
    </row>
    <row r="43" hidden="1">
      <c r="A43" s="61" t="s">
        <v>2624</v>
      </c>
      <c r="B43" s="61" t="str">
        <f t="array" ref="B43">XLOOKUP(C43,'Off-Boarding'!B:B,'Off-Boarding'!E:E)</f>
        <v>#N/A</v>
      </c>
      <c r="C43" s="61" t="s">
        <v>2625</v>
      </c>
      <c r="D43" s="406">
        <v>45915.51817967227</v>
      </c>
      <c r="E43" s="61" t="s">
        <v>7771</v>
      </c>
      <c r="F43" s="61" t="s">
        <v>5632</v>
      </c>
    </row>
    <row r="44" hidden="1">
      <c r="A44" s="61" t="s">
        <v>5408</v>
      </c>
      <c r="B44" s="61" t="str">
        <f t="array" ref="B44">XLOOKUP(C44,'Off-Boarding'!B:B,'Off-Boarding'!E:E)</f>
        <v>Suspend</v>
      </c>
      <c r="C44" s="61" t="s">
        <v>2770</v>
      </c>
      <c r="D44" s="406">
        <v>45853.46866674581</v>
      </c>
      <c r="E44" s="61" t="s">
        <v>7771</v>
      </c>
      <c r="F44" s="61" t="s">
        <v>5632</v>
      </c>
    </row>
    <row r="45" hidden="1">
      <c r="A45" s="61" t="s">
        <v>1268</v>
      </c>
      <c r="B45" s="412" t="str">
        <f t="array" ref="B45">XLOOKUP(C45,'Off-Boarding'!B:B,'Off-Boarding'!E:E)</f>
        <v>Suspend</v>
      </c>
      <c r="C45" s="61" t="s">
        <v>1269</v>
      </c>
      <c r="D45" s="406">
        <v>45915.2752119684</v>
      </c>
      <c r="E45" s="61" t="s">
        <v>7771</v>
      </c>
      <c r="F45" s="61" t="s">
        <v>5632</v>
      </c>
    </row>
    <row r="46">
      <c r="A46" s="61" t="s">
        <v>1275</v>
      </c>
      <c r="B46" s="61" t="s">
        <v>7772</v>
      </c>
      <c r="C46" s="61" t="s">
        <v>1276</v>
      </c>
      <c r="D46" s="406">
        <v>45828.421065360206</v>
      </c>
      <c r="E46" s="61" t="s">
        <v>7771</v>
      </c>
      <c r="F46" s="61" t="s">
        <v>5632</v>
      </c>
    </row>
    <row r="47" hidden="1">
      <c r="A47" s="61" t="s">
        <v>359</v>
      </c>
      <c r="B47" s="61" t="str">
        <f t="array" ref="B47">XLOOKUP(C47,'Off-Boarding'!B:B,'Off-Boarding'!E:E)</f>
        <v>#N/A</v>
      </c>
      <c r="C47" s="61" t="s">
        <v>360</v>
      </c>
      <c r="D47" s="406">
        <v>45517.46932606393</v>
      </c>
      <c r="E47" s="61" t="s">
        <v>7771</v>
      </c>
      <c r="F47" s="61" t="s">
        <v>5632</v>
      </c>
    </row>
    <row r="48" hidden="1">
      <c r="A48" s="61" t="s">
        <v>2328</v>
      </c>
      <c r="B48" s="61" t="str">
        <f t="array" ref="B48">XLOOKUP(C48,'Off-Boarding'!B:B,'Off-Boarding'!E:E)</f>
        <v>Suspend</v>
      </c>
      <c r="C48" s="61" t="s">
        <v>2329</v>
      </c>
      <c r="D48" s="406">
        <v>45916.457148458205</v>
      </c>
      <c r="E48" s="61" t="s">
        <v>7771</v>
      </c>
      <c r="F48" s="61" t="s">
        <v>5632</v>
      </c>
    </row>
    <row r="49">
      <c r="A49" s="61" t="s">
        <v>1288</v>
      </c>
      <c r="B49" s="61" t="s">
        <v>7772</v>
      </c>
      <c r="C49" s="61" t="s">
        <v>1289</v>
      </c>
      <c r="D49" s="406">
        <v>45912.117206264455</v>
      </c>
      <c r="E49" s="61" t="s">
        <v>7771</v>
      </c>
      <c r="F49" s="61" t="s">
        <v>5632</v>
      </c>
    </row>
    <row r="50">
      <c r="A50" s="61" t="s">
        <v>377</v>
      </c>
      <c r="B50" s="61" t="s">
        <v>7772</v>
      </c>
      <c r="C50" s="61" t="s">
        <v>378</v>
      </c>
      <c r="D50" s="406">
        <v>45771.3830763896</v>
      </c>
      <c r="E50" s="61" t="s">
        <v>7771</v>
      </c>
      <c r="F50" s="61" t="s">
        <v>5632</v>
      </c>
    </row>
    <row r="51" hidden="1">
      <c r="A51" s="61" t="s">
        <v>7828</v>
      </c>
      <c r="B51" s="412" t="str">
        <f t="array" ref="B51">XLOOKUP(C51,'Off-Boarding'!B:B,'Off-Boarding'!E:E)</f>
        <v>Suspend</v>
      </c>
      <c r="C51" s="61" t="s">
        <v>3066</v>
      </c>
      <c r="D51" s="406">
        <v>45904.54790832552</v>
      </c>
      <c r="E51" s="61" t="s">
        <v>7771</v>
      </c>
      <c r="F51" s="61" t="s">
        <v>5632</v>
      </c>
    </row>
    <row r="52" hidden="1">
      <c r="A52" s="61" t="s">
        <v>1291</v>
      </c>
      <c r="B52" s="412" t="str">
        <f t="array" ref="B52">XLOOKUP(C52,'Off-Boarding'!B:B,'Off-Boarding'!E:E)</f>
        <v>Suspend</v>
      </c>
      <c r="C52" s="61" t="s">
        <v>1292</v>
      </c>
      <c r="D52" s="406">
        <v>45915.57605578522</v>
      </c>
      <c r="E52" s="61" t="s">
        <v>7771</v>
      </c>
      <c r="F52" s="61" t="s">
        <v>5632</v>
      </c>
    </row>
    <row r="53">
      <c r="A53" s="61" t="s">
        <v>1298</v>
      </c>
      <c r="B53" s="61" t="s">
        <v>7772</v>
      </c>
      <c r="C53" s="61" t="s">
        <v>1299</v>
      </c>
      <c r="D53" s="406">
        <v>45895.432633334654</v>
      </c>
      <c r="E53" s="61" t="s">
        <v>7771</v>
      </c>
      <c r="F53" s="61" t="s">
        <v>5632</v>
      </c>
    </row>
    <row r="54" hidden="1">
      <c r="A54" s="61" t="s">
        <v>3081</v>
      </c>
      <c r="B54" s="61" t="str">
        <f t="array" ref="B54">XLOOKUP(C54,'Off-Boarding'!B:B,'Off-Boarding'!E:E)</f>
        <v>Suspend</v>
      </c>
      <c r="C54" s="61" t="s">
        <v>3082</v>
      </c>
      <c r="D54" s="406">
        <v>45916.28947381935</v>
      </c>
      <c r="E54" s="61" t="s">
        <v>7771</v>
      </c>
      <c r="F54" s="61" t="s">
        <v>5632</v>
      </c>
    </row>
    <row r="55" hidden="1">
      <c r="A55" s="61" t="s">
        <v>7785</v>
      </c>
      <c r="B55" s="61" t="str">
        <f t="array" ref="B55">XLOOKUP(C55,'Off-Boarding'!B:B,'Off-Boarding'!E:E)</f>
        <v>Suspend</v>
      </c>
      <c r="C55" s="61" t="s">
        <v>2808</v>
      </c>
      <c r="D55" s="406">
        <v>45880.31594642047</v>
      </c>
      <c r="E55" s="61" t="s">
        <v>7771</v>
      </c>
      <c r="F55" s="61" t="s">
        <v>5632</v>
      </c>
    </row>
    <row r="56" hidden="1">
      <c r="A56" s="61" t="s">
        <v>1294</v>
      </c>
      <c r="B56" s="412" t="str">
        <f t="array" ref="B56">XLOOKUP(C56,'Off-Boarding'!B:B,'Off-Boarding'!E:E)</f>
        <v>Suspend</v>
      </c>
      <c r="C56" s="61" t="s">
        <v>1295</v>
      </c>
      <c r="D56" s="406">
        <v>45916.30520270547</v>
      </c>
      <c r="E56" s="61" t="s">
        <v>7771</v>
      </c>
      <c r="F56" s="61" t="s">
        <v>5632</v>
      </c>
    </row>
    <row r="57">
      <c r="A57" s="61" t="s">
        <v>389</v>
      </c>
      <c r="B57" s="61" t="s">
        <v>7772</v>
      </c>
      <c r="C57" s="61" t="s">
        <v>390</v>
      </c>
      <c r="D57" s="406">
        <v>45726.35493515944</v>
      </c>
      <c r="E57" s="61" t="s">
        <v>7771</v>
      </c>
      <c r="F57" s="61" t="s">
        <v>5632</v>
      </c>
    </row>
    <row r="58" hidden="1">
      <c r="A58" s="61" t="s">
        <v>2805</v>
      </c>
      <c r="B58" s="61" t="str">
        <f t="array" ref="B58">XLOOKUP(C58,'Off-Boarding'!B:B,'Off-Boarding'!E:E)</f>
        <v>Suspend</v>
      </c>
      <c r="C58" s="61" t="s">
        <v>2806</v>
      </c>
      <c r="D58" s="406">
        <v>45887.40090687477</v>
      </c>
      <c r="E58" s="61" t="s">
        <v>7771</v>
      </c>
      <c r="F58" s="61" t="s">
        <v>5632</v>
      </c>
    </row>
    <row r="59">
      <c r="A59" s="61" t="s">
        <v>7786</v>
      </c>
      <c r="B59" s="61" t="s">
        <v>7772</v>
      </c>
      <c r="C59" s="61" t="s">
        <v>1333</v>
      </c>
      <c r="D59" s="406">
        <v>45798.406017042325</v>
      </c>
      <c r="E59" s="61" t="s">
        <v>7771</v>
      </c>
      <c r="F59" s="61" t="s">
        <v>5632</v>
      </c>
    </row>
    <row r="60">
      <c r="A60" s="61" t="s">
        <v>407</v>
      </c>
      <c r="B60" s="61" t="s">
        <v>7772</v>
      </c>
      <c r="C60" s="61" t="s">
        <v>408</v>
      </c>
      <c r="D60" s="406">
        <v>45715.38904876465</v>
      </c>
      <c r="E60" s="61" t="s">
        <v>7771</v>
      </c>
      <c r="F60" s="61" t="s">
        <v>5632</v>
      </c>
    </row>
    <row r="61" hidden="1">
      <c r="A61" s="61" t="s">
        <v>5006</v>
      </c>
      <c r="B61" s="61" t="str">
        <f t="array" ref="B61">XLOOKUP(C61,'Off-Boarding'!B:B,'Off-Boarding'!E:E)</f>
        <v>Suspend</v>
      </c>
      <c r="C61" s="61" t="s">
        <v>1984</v>
      </c>
      <c r="D61" s="406">
        <v>45915.67691361442</v>
      </c>
      <c r="E61" s="61" t="s">
        <v>7771</v>
      </c>
      <c r="F61" s="61" t="s">
        <v>5632</v>
      </c>
    </row>
    <row r="62" hidden="1">
      <c r="A62" s="61" t="s">
        <v>2279</v>
      </c>
      <c r="B62" s="61" t="str">
        <f t="array" ref="B62">XLOOKUP(C62,'Off-Boarding'!B:B,'Off-Boarding'!E:E)</f>
        <v>Suspend</v>
      </c>
      <c r="C62" s="61" t="s">
        <v>1108</v>
      </c>
      <c r="D62" s="406">
        <v>45915.29497172708</v>
      </c>
      <c r="E62" s="61" t="s">
        <v>7771</v>
      </c>
      <c r="F62" s="61" t="s">
        <v>5632</v>
      </c>
    </row>
    <row r="63" hidden="1">
      <c r="A63" s="61" t="s">
        <v>7829</v>
      </c>
      <c r="B63" s="61" t="str">
        <f t="array" ref="B63">XLOOKUP(C63,'Off-Boarding'!B:B,'Off-Boarding'!E:E)</f>
        <v>#N/A</v>
      </c>
      <c r="C63" s="61" t="s">
        <v>436</v>
      </c>
      <c r="D63" s="406">
        <v>45296.43053079621</v>
      </c>
      <c r="E63" s="61" t="s">
        <v>7771</v>
      </c>
      <c r="F63" s="61" t="s">
        <v>5632</v>
      </c>
    </row>
    <row r="64">
      <c r="A64" s="61" t="s">
        <v>7830</v>
      </c>
      <c r="B64" s="61" t="s">
        <v>7772</v>
      </c>
      <c r="C64" s="61" t="s">
        <v>444</v>
      </c>
      <c r="D64" s="406">
        <v>45584.53675146004</v>
      </c>
      <c r="E64" s="61" t="s">
        <v>7771</v>
      </c>
      <c r="F64" s="61" t="s">
        <v>5632</v>
      </c>
    </row>
    <row r="65">
      <c r="A65" s="61" t="s">
        <v>5482</v>
      </c>
      <c r="B65" s="61" t="s">
        <v>7772</v>
      </c>
      <c r="C65" s="61" t="s">
        <v>1375</v>
      </c>
      <c r="D65" s="406">
        <v>45880.49552307106</v>
      </c>
      <c r="E65" s="61" t="s">
        <v>7771</v>
      </c>
      <c r="F65" s="61" t="s">
        <v>5632</v>
      </c>
    </row>
    <row r="66" hidden="1">
      <c r="A66" s="61" t="s">
        <v>2795</v>
      </c>
      <c r="B66" s="61" t="str">
        <f t="array" ref="B66">XLOOKUP(C66,'Off-Boarding'!B:B,'Off-Boarding'!E:E)</f>
        <v>#N/A</v>
      </c>
      <c r="C66" s="61" t="s">
        <v>2796</v>
      </c>
      <c r="D66" s="406">
        <v>45916.26938503494</v>
      </c>
      <c r="E66" s="61" t="s">
        <v>7771</v>
      </c>
      <c r="F66" s="61" t="s">
        <v>5632</v>
      </c>
    </row>
    <row r="67">
      <c r="A67" s="61" t="s">
        <v>3121</v>
      </c>
      <c r="B67" s="61" t="s">
        <v>7772</v>
      </c>
      <c r="C67" s="61" t="s">
        <v>3122</v>
      </c>
      <c r="D67" s="406">
        <v>45883.50834950749</v>
      </c>
      <c r="E67" s="61" t="s">
        <v>7771</v>
      </c>
      <c r="F67" s="61" t="s">
        <v>5632</v>
      </c>
    </row>
    <row r="68">
      <c r="A68" s="61" t="s">
        <v>4888</v>
      </c>
      <c r="B68" s="61" t="s">
        <v>7772</v>
      </c>
      <c r="C68" s="61" t="s">
        <v>1402</v>
      </c>
      <c r="D68" s="406">
        <v>45908.699938942074</v>
      </c>
      <c r="E68" s="61" t="s">
        <v>7771</v>
      </c>
      <c r="F68" s="61" t="s">
        <v>5632</v>
      </c>
    </row>
    <row r="69" hidden="1">
      <c r="A69" s="61" t="s">
        <v>7789</v>
      </c>
      <c r="B69" s="61" t="str">
        <f t="array" ref="B69">XLOOKUP(C69,'Off-Boarding'!B:B,'Off-Boarding'!E:E)</f>
        <v>#N/A</v>
      </c>
      <c r="C69" s="61" t="s">
        <v>7790</v>
      </c>
      <c r="D69" s="406">
        <v>45901.5005529245</v>
      </c>
      <c r="E69" s="61" t="s">
        <v>7771</v>
      </c>
      <c r="F69" s="61" t="s">
        <v>5632</v>
      </c>
    </row>
    <row r="70" hidden="1">
      <c r="A70" s="61" t="s">
        <v>479</v>
      </c>
      <c r="B70" s="61" t="str">
        <f t="array" ref="B70">XLOOKUP(C70,'Off-Boarding'!B:B,'Off-Boarding'!E:E)</f>
        <v>#N/A</v>
      </c>
      <c r="C70" s="61" t="s">
        <v>480</v>
      </c>
      <c r="D70" s="406">
        <v>45218.595508000726</v>
      </c>
      <c r="E70" s="61" t="s">
        <v>7771</v>
      </c>
      <c r="F70" s="61" t="s">
        <v>5632</v>
      </c>
    </row>
    <row r="71">
      <c r="A71" s="61" t="s">
        <v>1419</v>
      </c>
      <c r="B71" s="61" t="s">
        <v>7772</v>
      </c>
      <c r="C71" s="61" t="s">
        <v>1420</v>
      </c>
      <c r="D71" s="406">
        <v>45841.36279119362</v>
      </c>
      <c r="E71" s="61" t="s">
        <v>7771</v>
      </c>
      <c r="F71" s="61" t="s">
        <v>5632</v>
      </c>
    </row>
    <row r="72">
      <c r="A72" s="61" t="s">
        <v>1422</v>
      </c>
      <c r="B72" s="61" t="s">
        <v>7772</v>
      </c>
      <c r="C72" s="61" t="s">
        <v>1423</v>
      </c>
      <c r="D72" s="406">
        <v>45908.93680366441</v>
      </c>
      <c r="E72" s="61" t="s">
        <v>7771</v>
      </c>
      <c r="F72" s="61" t="s">
        <v>5632</v>
      </c>
    </row>
    <row r="73">
      <c r="A73" s="61" t="s">
        <v>1442</v>
      </c>
      <c r="B73" s="61" t="s">
        <v>7772</v>
      </c>
      <c r="C73" s="61" t="s">
        <v>1443</v>
      </c>
      <c r="D73" s="406">
        <v>45909.575414721876</v>
      </c>
      <c r="E73" s="61" t="s">
        <v>7771</v>
      </c>
      <c r="F73" s="61" t="s">
        <v>5632</v>
      </c>
    </row>
    <row r="74">
      <c r="A74" s="61" t="s">
        <v>1453</v>
      </c>
      <c r="B74" s="61" t="s">
        <v>7772</v>
      </c>
      <c r="C74" s="61" t="s">
        <v>1454</v>
      </c>
      <c r="D74" s="406">
        <v>45903.37442117007</v>
      </c>
      <c r="E74" s="61" t="s">
        <v>7771</v>
      </c>
      <c r="F74" s="61" t="s">
        <v>5632</v>
      </c>
    </row>
    <row r="75" hidden="1">
      <c r="A75" s="61" t="s">
        <v>4907</v>
      </c>
      <c r="B75" s="412" t="str">
        <f t="array" ref="B75">XLOOKUP(C75,'Off-Boarding'!B:B,'Off-Boarding'!E:E)</f>
        <v>Suspend</v>
      </c>
      <c r="C75" s="61" t="s">
        <v>2201</v>
      </c>
      <c r="D75" s="406">
        <v>45916.32264269666</v>
      </c>
      <c r="E75" s="61" t="s">
        <v>7771</v>
      </c>
      <c r="F75" s="61" t="s">
        <v>5632</v>
      </c>
    </row>
    <row r="76" hidden="1">
      <c r="A76" s="61" t="s">
        <v>1461</v>
      </c>
      <c r="B76" s="412" t="str">
        <f t="array" ref="B76">XLOOKUP(C76,'Off-Boarding'!B:B,'Off-Boarding'!E:E)</f>
        <v>Suspend</v>
      </c>
      <c r="C76" s="61" t="s">
        <v>1462</v>
      </c>
      <c r="D76" s="406">
        <v>45915.563207230625</v>
      </c>
      <c r="E76" s="61" t="s">
        <v>7771</v>
      </c>
      <c r="F76" s="61" t="s">
        <v>5632</v>
      </c>
    </row>
    <row r="77" hidden="1">
      <c r="A77" s="61" t="s">
        <v>4779</v>
      </c>
      <c r="B77" s="61" t="str">
        <f t="array" ref="B77">XLOOKUP(C77,'Off-Boarding'!B:B,'Off-Boarding'!E:E)</f>
        <v>#N/A</v>
      </c>
      <c r="C77" s="61" t="s">
        <v>2181</v>
      </c>
      <c r="D77" s="406">
        <v>45915.3737528382</v>
      </c>
      <c r="E77" s="61" t="s">
        <v>7771</v>
      </c>
      <c r="F77" s="61" t="s">
        <v>5632</v>
      </c>
    </row>
    <row r="78">
      <c r="A78" s="61" t="s">
        <v>7818</v>
      </c>
      <c r="B78" s="61" t="s">
        <v>7772</v>
      </c>
      <c r="C78" s="61" t="s">
        <v>1488</v>
      </c>
      <c r="D78" s="406">
        <v>45498.228393783866</v>
      </c>
      <c r="E78" s="61" t="s">
        <v>7771</v>
      </c>
      <c r="F78" s="61" t="s">
        <v>5632</v>
      </c>
    </row>
    <row r="79">
      <c r="A79" s="61" t="s">
        <v>1480</v>
      </c>
      <c r="B79" s="61" t="s">
        <v>7772</v>
      </c>
      <c r="C79" s="61" t="s">
        <v>1481</v>
      </c>
      <c r="D79" s="406">
        <v>45875.50128362413</v>
      </c>
      <c r="E79" s="61" t="s">
        <v>7771</v>
      </c>
      <c r="F79" s="61" t="s">
        <v>5632</v>
      </c>
    </row>
    <row r="80" hidden="1">
      <c r="A80" s="61" t="s">
        <v>1958</v>
      </c>
      <c r="B80" s="61" t="str">
        <f t="array" ref="B80">XLOOKUP(C80,'Off-Boarding'!B:B,'Off-Boarding'!E:E)</f>
        <v>#N/A</v>
      </c>
      <c r="C80" s="61" t="s">
        <v>1959</v>
      </c>
      <c r="D80" s="406">
        <v>45915.28842663984</v>
      </c>
      <c r="E80" s="61" t="s">
        <v>7771</v>
      </c>
      <c r="F80" s="61" t="s">
        <v>5632</v>
      </c>
    </row>
    <row r="81">
      <c r="A81" s="61" t="s">
        <v>5575</v>
      </c>
      <c r="B81" s="61" t="s">
        <v>7772</v>
      </c>
      <c r="C81" s="61" t="s">
        <v>2883</v>
      </c>
      <c r="D81" s="406">
        <v>45869.35601166397</v>
      </c>
      <c r="E81" s="61" t="s">
        <v>7771</v>
      </c>
      <c r="F81" s="61" t="s">
        <v>5632</v>
      </c>
    </row>
    <row r="82" hidden="1">
      <c r="A82" s="61" t="s">
        <v>2345</v>
      </c>
      <c r="B82" s="412" t="str">
        <f t="array" ref="B82">XLOOKUP(C82,'Off-Boarding'!B:B,'Off-Boarding'!E:E)</f>
        <v>Suspend</v>
      </c>
      <c r="C82" s="61" t="s">
        <v>2346</v>
      </c>
      <c r="D82" s="406">
        <v>45883.365299065066</v>
      </c>
      <c r="E82" s="61" t="s">
        <v>7771</v>
      </c>
      <c r="F82" s="61" t="s">
        <v>5632</v>
      </c>
    </row>
    <row r="83">
      <c r="A83" s="61" t="s">
        <v>546</v>
      </c>
      <c r="B83" s="61" t="s">
        <v>7772</v>
      </c>
      <c r="C83" s="61" t="s">
        <v>550</v>
      </c>
      <c r="D83" s="406">
        <v>45707.3339157283</v>
      </c>
      <c r="E83" s="61" t="s">
        <v>7771</v>
      </c>
      <c r="F83" s="61" t="s">
        <v>5632</v>
      </c>
    </row>
    <row r="84" hidden="1">
      <c r="A84" s="61" t="s">
        <v>2104</v>
      </c>
      <c r="B84" s="61" t="str">
        <f t="array" ref="B84">XLOOKUP(C84,'Off-Boarding'!B:B,'Off-Boarding'!E:E)</f>
        <v>#N/A</v>
      </c>
      <c r="C84" s="61" t="s">
        <v>2105</v>
      </c>
      <c r="D84" s="406">
        <v>45916.27298797043</v>
      </c>
      <c r="E84" s="61" t="s">
        <v>7771</v>
      </c>
      <c r="F84" s="61" t="s">
        <v>5632</v>
      </c>
    </row>
    <row r="85" hidden="1">
      <c r="A85" s="61" t="s">
        <v>2190</v>
      </c>
      <c r="B85" s="61" t="str">
        <f t="array" ref="B85">XLOOKUP(C85,'Off-Boarding'!B:B,'Off-Boarding'!E:E)</f>
        <v>Suspend</v>
      </c>
      <c r="C85" s="61" t="s">
        <v>2191</v>
      </c>
      <c r="D85" s="406">
        <v>45912.18939453499</v>
      </c>
      <c r="E85" s="61" t="s">
        <v>7771</v>
      </c>
      <c r="F85" s="61" t="s">
        <v>5632</v>
      </c>
    </row>
    <row r="86">
      <c r="A86" s="61" t="s">
        <v>1498</v>
      </c>
      <c r="B86" s="61" t="s">
        <v>7772</v>
      </c>
      <c r="C86" s="61" t="s">
        <v>1499</v>
      </c>
      <c r="D86" s="406">
        <v>45875.22411691493</v>
      </c>
      <c r="E86" s="61" t="s">
        <v>7771</v>
      </c>
      <c r="F86" s="61" t="s">
        <v>5632</v>
      </c>
    </row>
    <row r="87" hidden="1">
      <c r="A87" s="61" t="s">
        <v>2798</v>
      </c>
      <c r="B87" s="61" t="str">
        <f t="array" ref="B87">XLOOKUP(C87,'Off-Boarding'!B:B,'Off-Boarding'!E:E)</f>
        <v>Suspend</v>
      </c>
      <c r="C87" s="61" t="s">
        <v>2799</v>
      </c>
      <c r="D87" s="406">
        <v>45895.330204840175</v>
      </c>
      <c r="E87" s="61" t="s">
        <v>7771</v>
      </c>
      <c r="F87" s="61" t="s">
        <v>5632</v>
      </c>
    </row>
    <row r="88" hidden="1">
      <c r="A88" s="61" t="s">
        <v>2112</v>
      </c>
      <c r="B88" s="61" t="str">
        <f t="array" ref="B88">XLOOKUP(C88,'Off-Boarding'!B:B,'Off-Boarding'!E:E)</f>
        <v>#N/A</v>
      </c>
      <c r="C88" s="61" t="s">
        <v>1763</v>
      </c>
      <c r="D88" s="406">
        <v>45912.822444274294</v>
      </c>
      <c r="E88" s="61" t="s">
        <v>7771</v>
      </c>
      <c r="F88" s="61" t="s">
        <v>5632</v>
      </c>
    </row>
    <row r="89">
      <c r="A89" s="61" t="s">
        <v>5555</v>
      </c>
      <c r="B89" s="61" t="s">
        <v>7772</v>
      </c>
      <c r="C89" s="61" t="s">
        <v>1512</v>
      </c>
      <c r="D89" s="406">
        <v>45910.51990575752</v>
      </c>
      <c r="E89" s="61" t="s">
        <v>7771</v>
      </c>
      <c r="F89" s="61" t="s">
        <v>5632</v>
      </c>
    </row>
    <row r="90">
      <c r="A90" s="61" t="s">
        <v>1517</v>
      </c>
      <c r="B90" s="61" t="s">
        <v>7772</v>
      </c>
      <c r="C90" s="61" t="s">
        <v>1518</v>
      </c>
      <c r="D90" s="406">
        <v>45888.68376641935</v>
      </c>
      <c r="E90" s="61" t="s">
        <v>7771</v>
      </c>
      <c r="F90" s="61" t="s">
        <v>5632</v>
      </c>
    </row>
    <row r="91" hidden="1">
      <c r="A91" s="61" t="s">
        <v>2591</v>
      </c>
      <c r="B91" s="61" t="str">
        <f t="array" ref="B91">XLOOKUP(C91,'Off-Boarding'!B:B,'Off-Boarding'!E:E)</f>
        <v>#N/A</v>
      </c>
      <c r="C91" s="61" t="s">
        <v>1121</v>
      </c>
      <c r="D91" s="406">
        <v>45841.440007688194</v>
      </c>
      <c r="E91" s="61" t="s">
        <v>7771</v>
      </c>
      <c r="F91" s="61" t="s">
        <v>5632</v>
      </c>
    </row>
    <row r="92" hidden="1">
      <c r="A92" s="61" t="s">
        <v>2325</v>
      </c>
      <c r="B92" s="412" t="str">
        <f t="array" ref="B92">XLOOKUP(C92,'Off-Boarding'!B:B,'Off-Boarding'!E:E)</f>
        <v>Suspend</v>
      </c>
      <c r="C92" s="61" t="s">
        <v>2326</v>
      </c>
      <c r="D92" s="406">
        <v>45916.286394562594</v>
      </c>
      <c r="E92" s="61" t="s">
        <v>7771</v>
      </c>
      <c r="F92" s="61" t="s">
        <v>5632</v>
      </c>
    </row>
    <row r="93" hidden="1">
      <c r="A93" s="61" t="s">
        <v>2950</v>
      </c>
      <c r="B93" s="412" t="str">
        <f t="array" ref="B93">XLOOKUP(C93,'Off-Boarding'!B:B,'Off-Boarding'!E:E)</f>
        <v>Suspend</v>
      </c>
      <c r="C93" s="61" t="s">
        <v>2951</v>
      </c>
      <c r="D93" s="406">
        <v>45916.22960485431</v>
      </c>
      <c r="E93" s="61" t="s">
        <v>7771</v>
      </c>
      <c r="F93" s="61" t="s">
        <v>5632</v>
      </c>
    </row>
    <row r="94" hidden="1">
      <c r="A94" s="61" t="s">
        <v>4743</v>
      </c>
      <c r="B94" s="412" t="str">
        <f t="array" ref="B94">XLOOKUP(C94,'Off-Boarding'!B:B,'Off-Boarding'!E:E)</f>
        <v>Suspend</v>
      </c>
      <c r="C94" s="61" t="s">
        <v>2253</v>
      </c>
      <c r="D94" s="406">
        <v>45915.78584308339</v>
      </c>
      <c r="E94" s="61" t="s">
        <v>7771</v>
      </c>
      <c r="F94" s="61" t="s">
        <v>5632</v>
      </c>
    </row>
    <row r="95" hidden="1">
      <c r="A95" s="61" t="s">
        <v>2555</v>
      </c>
      <c r="B95" s="61" t="str">
        <f t="array" ref="B95">XLOOKUP(C95,'Off-Boarding'!B:B,'Off-Boarding'!E:E)</f>
        <v>Suspend</v>
      </c>
      <c r="C95" s="61" t="s">
        <v>2556</v>
      </c>
      <c r="D95" s="406">
        <v>45915.347064317255</v>
      </c>
      <c r="E95" s="61" t="s">
        <v>7771</v>
      </c>
      <c r="F95" s="61" t="s">
        <v>5632</v>
      </c>
    </row>
    <row r="96" hidden="1">
      <c r="A96" s="61" t="s">
        <v>2547</v>
      </c>
      <c r="B96" s="61" t="str">
        <f t="array" ref="B96">XLOOKUP(C96,'Off-Boarding'!B:B,'Off-Boarding'!E:E)</f>
        <v>Suspend</v>
      </c>
      <c r="C96" s="61" t="s">
        <v>2548</v>
      </c>
      <c r="D96" s="406">
        <v>45886.65381189856</v>
      </c>
      <c r="E96" s="61" t="s">
        <v>7771</v>
      </c>
      <c r="F96" s="61" t="s">
        <v>5632</v>
      </c>
    </row>
    <row r="97">
      <c r="A97" s="61" t="s">
        <v>1538</v>
      </c>
      <c r="B97" s="61" t="s">
        <v>7772</v>
      </c>
      <c r="C97" s="61" t="s">
        <v>1539</v>
      </c>
      <c r="D97" s="406">
        <v>45911.401716495726</v>
      </c>
      <c r="E97" s="61" t="s">
        <v>7771</v>
      </c>
      <c r="F97" s="61" t="s">
        <v>5632</v>
      </c>
    </row>
    <row r="98" hidden="1">
      <c r="A98" s="61" t="s">
        <v>5550</v>
      </c>
      <c r="B98" s="412" t="str">
        <f t="array" ref="B98">XLOOKUP(C98,'Off-Boarding'!B:B,'Off-Boarding'!E:E)</f>
        <v>Suspend</v>
      </c>
      <c r="C98" s="61" t="s">
        <v>1542</v>
      </c>
      <c r="D98" s="406">
        <v>45887.287814455696</v>
      </c>
      <c r="E98" s="61" t="s">
        <v>7771</v>
      </c>
      <c r="F98" s="61" t="s">
        <v>5632</v>
      </c>
    </row>
    <row r="99" hidden="1">
      <c r="A99" s="61" t="s">
        <v>613</v>
      </c>
      <c r="B99" s="61" t="str">
        <f t="array" ref="B99">XLOOKUP(C99,'Off-Boarding'!B:B,'Off-Boarding'!E:E)</f>
        <v>#N/A</v>
      </c>
      <c r="C99" s="61" t="s">
        <v>614</v>
      </c>
      <c r="D99" s="406">
        <v>45512.26613896567</v>
      </c>
      <c r="E99" s="61" t="s">
        <v>7771</v>
      </c>
      <c r="F99" s="61" t="s">
        <v>5632</v>
      </c>
    </row>
    <row r="100" hidden="1">
      <c r="A100" s="61" t="s">
        <v>2107</v>
      </c>
      <c r="B100" s="61" t="str">
        <f t="array" ref="B100">XLOOKUP(C100,'Off-Boarding'!B:B,'Off-Boarding'!E:E)</f>
        <v>Suspend</v>
      </c>
      <c r="C100" s="61" t="s">
        <v>2108</v>
      </c>
      <c r="D100" s="406">
        <v>45911.457944490714</v>
      </c>
      <c r="E100" s="61" t="s">
        <v>7771</v>
      </c>
      <c r="F100" s="61" t="s">
        <v>5632</v>
      </c>
    </row>
    <row r="101" hidden="1">
      <c r="A101" s="61" t="s">
        <v>2165</v>
      </c>
      <c r="B101" s="61" t="str">
        <f t="array" ref="B101">XLOOKUP(C101,'Off-Boarding'!B:B,'Off-Boarding'!E:E)</f>
        <v>Suspend</v>
      </c>
      <c r="C101" s="61" t="s">
        <v>2166</v>
      </c>
      <c r="D101" s="406">
        <v>45915.54051164794</v>
      </c>
      <c r="E101" s="61" t="s">
        <v>7771</v>
      </c>
      <c r="F101" s="61" t="s">
        <v>5632</v>
      </c>
    </row>
    <row r="102" hidden="1">
      <c r="A102" s="61" t="s">
        <v>631</v>
      </c>
      <c r="B102" s="61" t="str">
        <f t="array" ref="B102">XLOOKUP(C102,'Off-Boarding'!B:B,'Off-Boarding'!E:E)</f>
        <v>Suspend</v>
      </c>
      <c r="C102" s="61" t="s">
        <v>2369</v>
      </c>
      <c r="D102" s="406">
        <v>45905.71345778829</v>
      </c>
      <c r="E102" s="61" t="s">
        <v>7771</v>
      </c>
      <c r="F102" s="61" t="s">
        <v>5632</v>
      </c>
    </row>
    <row r="103" hidden="1">
      <c r="A103" s="61" t="s">
        <v>2587</v>
      </c>
      <c r="B103" s="61" t="str">
        <f t="array" ref="B103">XLOOKUP(C103,'Off-Boarding'!B:B,'Off-Boarding'!E:E)</f>
        <v>Suspend</v>
      </c>
      <c r="C103" s="61" t="s">
        <v>2588</v>
      </c>
      <c r="D103" s="406">
        <v>45896.418772494515</v>
      </c>
      <c r="E103" s="61" t="s">
        <v>7771</v>
      </c>
      <c r="F103" s="61" t="s">
        <v>5632</v>
      </c>
    </row>
    <row r="104" hidden="1">
      <c r="A104" s="61" t="s">
        <v>3076</v>
      </c>
      <c r="B104" s="61" t="str">
        <f t="array" ref="B104">XLOOKUP(C104,'Off-Boarding'!B:B,'Off-Boarding'!E:E)</f>
        <v>Suspend</v>
      </c>
      <c r="C104" s="61" t="s">
        <v>3077</v>
      </c>
      <c r="D104" s="406">
        <v>45873.49695286268</v>
      </c>
      <c r="E104" s="61" t="s">
        <v>7771</v>
      </c>
      <c r="F104" s="61" t="s">
        <v>5632</v>
      </c>
    </row>
    <row r="105">
      <c r="A105" s="61" t="s">
        <v>659</v>
      </c>
      <c r="B105" s="61" t="s">
        <v>7772</v>
      </c>
      <c r="C105" s="61" t="s">
        <v>660</v>
      </c>
      <c r="D105" s="406">
        <v>45820.60779002671</v>
      </c>
      <c r="E105" s="61" t="s">
        <v>7771</v>
      </c>
      <c r="F105" s="61" t="s">
        <v>5632</v>
      </c>
    </row>
    <row r="106" hidden="1">
      <c r="A106" s="61" t="s">
        <v>1584</v>
      </c>
      <c r="B106" s="61" t="str">
        <f t="array" ref="B106">XLOOKUP(C106,'Off-Boarding'!B:B,'Off-Boarding'!E:E)</f>
        <v>#N/A</v>
      </c>
      <c r="C106" s="61" t="s">
        <v>2826</v>
      </c>
      <c r="D106" s="406">
        <v>45915.284518369444</v>
      </c>
      <c r="E106" s="61" t="s">
        <v>7771</v>
      </c>
      <c r="F106" s="61" t="s">
        <v>5632</v>
      </c>
    </row>
    <row r="107" hidden="1">
      <c r="A107" s="61" t="s">
        <v>2578</v>
      </c>
      <c r="B107" s="61" t="str">
        <f t="array" ref="B107">XLOOKUP(C107,'Off-Boarding'!B:B,'Off-Boarding'!E:E)</f>
        <v>#N/A</v>
      </c>
      <c r="C107" s="61" t="s">
        <v>2579</v>
      </c>
      <c r="D107" s="406">
        <v>45916.381327752</v>
      </c>
      <c r="E107" s="61" t="s">
        <v>7771</v>
      </c>
      <c r="F107" s="61" t="s">
        <v>5632</v>
      </c>
    </row>
    <row r="108" hidden="1">
      <c r="A108" s="61" t="s">
        <v>7795</v>
      </c>
      <c r="B108" s="412" t="str">
        <f t="array" ref="B108">XLOOKUP(C108,'Off-Boarding'!B:B,'Off-Boarding'!E:E)</f>
        <v>Suspend</v>
      </c>
      <c r="C108" s="61" t="s">
        <v>1582</v>
      </c>
      <c r="D108" s="406">
        <v>45916.28120519832</v>
      </c>
      <c r="E108" s="61" t="s">
        <v>7771</v>
      </c>
      <c r="F108" s="61" t="s">
        <v>5632</v>
      </c>
    </row>
    <row r="109">
      <c r="A109" s="61" t="s">
        <v>667</v>
      </c>
      <c r="B109" s="61" t="s">
        <v>7772</v>
      </c>
      <c r="C109" s="61" t="s">
        <v>668</v>
      </c>
      <c r="D109" s="406">
        <v>45468.19748834516</v>
      </c>
      <c r="E109" s="61" t="s">
        <v>7771</v>
      </c>
      <c r="F109" s="61" t="s">
        <v>5632</v>
      </c>
    </row>
    <row r="110" hidden="1">
      <c r="A110" s="61" t="s">
        <v>2308</v>
      </c>
      <c r="B110" s="61" t="str">
        <f t="array" ref="B110">XLOOKUP(C110,'Off-Boarding'!B:B,'Off-Boarding'!E:E)</f>
        <v>#N/A</v>
      </c>
      <c r="C110" s="61" t="s">
        <v>2309</v>
      </c>
      <c r="D110" s="406">
        <v>45916.22107636074</v>
      </c>
      <c r="E110" s="61" t="s">
        <v>7771</v>
      </c>
      <c r="F110" s="61" t="s">
        <v>5632</v>
      </c>
    </row>
    <row r="111" hidden="1">
      <c r="A111" s="61" t="s">
        <v>4247</v>
      </c>
      <c r="B111" s="61" t="str">
        <f t="array" ref="B111">XLOOKUP(C111,'Off-Boarding'!B:B,'Off-Boarding'!E:E)</f>
        <v>Suspend</v>
      </c>
      <c r="C111" s="61" t="s">
        <v>2570</v>
      </c>
      <c r="D111" s="406">
        <v>45882.53528901277</v>
      </c>
      <c r="E111" s="61" t="s">
        <v>7771</v>
      </c>
      <c r="F111" s="61" t="s">
        <v>5632</v>
      </c>
    </row>
    <row r="112" hidden="1">
      <c r="A112" s="61" t="s">
        <v>2059</v>
      </c>
      <c r="B112" s="61" t="str">
        <f t="array" ref="B112">XLOOKUP(C112,'Off-Boarding'!B:B,'Off-Boarding'!E:E)</f>
        <v>#N/A</v>
      </c>
      <c r="C112" s="61" t="s">
        <v>1226</v>
      </c>
      <c r="D112" s="406">
        <v>45887.4747798794</v>
      </c>
      <c r="E112" s="61" t="s">
        <v>7771</v>
      </c>
      <c r="F112" s="61" t="s">
        <v>5632</v>
      </c>
    </row>
    <row r="113" hidden="1">
      <c r="A113" s="61" t="s">
        <v>1903</v>
      </c>
      <c r="B113" s="61" t="str">
        <f t="array" ref="B113">XLOOKUP(C113,'Off-Boarding'!B:B,'Off-Boarding'!E:E)</f>
        <v>#N/A</v>
      </c>
      <c r="C113" s="61" t="s">
        <v>1885</v>
      </c>
      <c r="D113" s="406">
        <v>45915.59305399208</v>
      </c>
      <c r="E113" s="61" t="s">
        <v>7771</v>
      </c>
      <c r="F113" s="61" t="s">
        <v>5632</v>
      </c>
    </row>
    <row r="114" hidden="1">
      <c r="A114" s="61" t="s">
        <v>2763</v>
      </c>
      <c r="B114" s="412" t="str">
        <f t="array" ref="B114">XLOOKUP(C114,'Off-Boarding'!B:B,'Off-Boarding'!E:E)</f>
        <v>Suspend</v>
      </c>
      <c r="C114" s="61" t="s">
        <v>2764</v>
      </c>
      <c r="D114" s="406">
        <v>45915.235488485116</v>
      </c>
      <c r="E114" s="61" t="s">
        <v>7771</v>
      </c>
      <c r="F114" s="61" t="s">
        <v>5632</v>
      </c>
    </row>
    <row r="115" hidden="1">
      <c r="A115" s="61" t="s">
        <v>2811</v>
      </c>
      <c r="B115" s="61" t="str">
        <f t="array" ref="B115">XLOOKUP(C115,'Off-Boarding'!B:B,'Off-Boarding'!E:E)</f>
        <v>#N/A</v>
      </c>
      <c r="C115" s="61" t="s">
        <v>2812</v>
      </c>
      <c r="D115" s="406">
        <v>45911.29322441504</v>
      </c>
      <c r="E115" s="61" t="s">
        <v>7771</v>
      </c>
      <c r="F115" s="61" t="s">
        <v>5632</v>
      </c>
    </row>
    <row r="116" hidden="1">
      <c r="A116" s="61" t="s">
        <v>2294</v>
      </c>
      <c r="B116" s="412" t="str">
        <f t="array" ref="B116">XLOOKUP(C116,'Off-Boarding'!B:B,'Off-Boarding'!E:E)</f>
        <v>Suspend</v>
      </c>
      <c r="C116" s="61" t="s">
        <v>2295</v>
      </c>
      <c r="D116" s="406">
        <v>45915.50241164419</v>
      </c>
      <c r="E116" s="61" t="s">
        <v>7771</v>
      </c>
      <c r="F116" s="61" t="s">
        <v>5632</v>
      </c>
    </row>
    <row r="117" hidden="1">
      <c r="A117" s="61" t="s">
        <v>2430</v>
      </c>
      <c r="B117" s="61" t="str">
        <f t="array" ref="B117">XLOOKUP(C117,'Off-Boarding'!B:B,'Off-Boarding'!E:E)</f>
        <v>Suspend</v>
      </c>
      <c r="C117" s="61" t="s">
        <v>2431</v>
      </c>
      <c r="D117" s="406">
        <v>45916.31485671059</v>
      </c>
      <c r="E117" s="61" t="s">
        <v>7771</v>
      </c>
      <c r="F117" s="61" t="s">
        <v>5632</v>
      </c>
    </row>
    <row r="118" hidden="1">
      <c r="A118" s="61" t="s">
        <v>7831</v>
      </c>
      <c r="B118" s="61" t="str">
        <f t="array" ref="B118">XLOOKUP(C118,'Off-Boarding'!B:B,'Off-Boarding'!E:E)</f>
        <v>#N/A</v>
      </c>
      <c r="C118" s="61" t="s">
        <v>692</v>
      </c>
      <c r="D118" s="406">
        <v>45504.48061150283</v>
      </c>
      <c r="E118" s="61" t="s">
        <v>7771</v>
      </c>
      <c r="F118" s="61" t="s">
        <v>5632</v>
      </c>
    </row>
    <row r="119" hidden="1">
      <c r="A119" s="61" t="s">
        <v>2946</v>
      </c>
      <c r="B119" s="61" t="str">
        <f t="array" ref="B119">XLOOKUP(C119,'Off-Boarding'!B:B,'Off-Boarding'!E:E)</f>
        <v>Suspend</v>
      </c>
      <c r="C119" s="61" t="s">
        <v>2947</v>
      </c>
      <c r="D119" s="406">
        <v>45867.64032694831</v>
      </c>
      <c r="E119" s="61" t="s">
        <v>7771</v>
      </c>
      <c r="F119" s="61" t="s">
        <v>5632</v>
      </c>
    </row>
    <row r="120">
      <c r="A120" s="61" t="s">
        <v>1628</v>
      </c>
      <c r="B120" s="61" t="s">
        <v>7772</v>
      </c>
      <c r="C120" s="61" t="s">
        <v>1629</v>
      </c>
      <c r="D120" s="406">
        <v>45911.320945066225</v>
      </c>
      <c r="E120" s="61" t="s">
        <v>7771</v>
      </c>
      <c r="F120" s="61" t="s">
        <v>5632</v>
      </c>
    </row>
    <row r="121" hidden="1">
      <c r="A121" s="61" t="s">
        <v>2331</v>
      </c>
      <c r="B121" s="61" t="str">
        <f t="array" ref="B121">XLOOKUP(C121,'Off-Boarding'!B:B,'Off-Boarding'!E:E)</f>
        <v>#N/A</v>
      </c>
      <c r="C121" s="61" t="s">
        <v>2332</v>
      </c>
      <c r="D121" s="406">
        <v>45908.35935303519</v>
      </c>
      <c r="E121" s="61" t="s">
        <v>7771</v>
      </c>
      <c r="F121" s="61" t="s">
        <v>5632</v>
      </c>
    </row>
    <row r="122" hidden="1">
      <c r="A122" s="61" t="s">
        <v>7796</v>
      </c>
      <c r="B122" s="61" t="str">
        <f t="array" ref="B122">XLOOKUP(C122,'Off-Boarding'!B:B,'Off-Boarding'!E:E)</f>
        <v>Suspend</v>
      </c>
      <c r="C122" s="61" t="s">
        <v>2070</v>
      </c>
      <c r="D122" s="406">
        <v>45915.492933913105</v>
      </c>
      <c r="E122" s="61" t="s">
        <v>7771</v>
      </c>
      <c r="F122" s="61" t="s">
        <v>5632</v>
      </c>
    </row>
    <row r="123" hidden="1">
      <c r="A123" s="61" t="s">
        <v>2829</v>
      </c>
      <c r="B123" s="61" t="str">
        <f t="array" ref="B123">XLOOKUP(C123,'Off-Boarding'!B:B,'Off-Boarding'!E:E)</f>
        <v>Suspend</v>
      </c>
      <c r="C123" s="61" t="s">
        <v>2830</v>
      </c>
      <c r="D123" s="406">
        <v>45903.20686435778</v>
      </c>
      <c r="E123" s="61" t="s">
        <v>7771</v>
      </c>
      <c r="F123" s="61" t="s">
        <v>5632</v>
      </c>
    </row>
    <row r="124" hidden="1">
      <c r="A124" s="61" t="s">
        <v>7662</v>
      </c>
      <c r="B124" s="61" t="str">
        <f t="array" ref="B124">XLOOKUP(C124,'Off-Boarding'!B:B,'Off-Boarding'!E:E)</f>
        <v>#N/A</v>
      </c>
      <c r="C124" s="61" t="s">
        <v>2035</v>
      </c>
      <c r="D124" s="406">
        <v>45915.6681501199</v>
      </c>
      <c r="E124" s="61" t="s">
        <v>7771</v>
      </c>
      <c r="F124" s="61" t="s">
        <v>5632</v>
      </c>
    </row>
    <row r="125" hidden="1">
      <c r="A125" s="61" t="s">
        <v>5479</v>
      </c>
      <c r="B125" s="61" t="str">
        <f t="array" ref="B125">XLOOKUP(C125,'Off-Boarding'!B:B,'Off-Boarding'!E:E)</f>
        <v>#N/A</v>
      </c>
      <c r="C125" s="61" t="s">
        <v>2790</v>
      </c>
      <c r="D125" s="406">
        <v>45876.25702493438</v>
      </c>
      <c r="E125" s="61" t="s">
        <v>7771</v>
      </c>
      <c r="F125" s="61" t="s">
        <v>5632</v>
      </c>
    </row>
    <row r="126" hidden="1">
      <c r="A126" s="61" t="s">
        <v>2079</v>
      </c>
      <c r="B126" s="412" t="str">
        <f t="array" ref="B126">XLOOKUP(C126,'Off-Boarding'!B:B,'Off-Boarding'!E:E)</f>
        <v>Suspend</v>
      </c>
      <c r="C126" s="61" t="s">
        <v>1048</v>
      </c>
      <c r="D126" s="406">
        <v>45916.06669220535</v>
      </c>
      <c r="E126" s="61" t="s">
        <v>7771</v>
      </c>
      <c r="F126" s="61" t="s">
        <v>5632</v>
      </c>
    </row>
    <row r="127" hidden="1">
      <c r="A127" s="61" t="s">
        <v>4774</v>
      </c>
      <c r="B127" s="412" t="str">
        <f t="array" ref="B127">XLOOKUP(C127,'Off-Boarding'!B:B,'Off-Boarding'!E:E)</f>
        <v>Suspend</v>
      </c>
      <c r="C127" s="61" t="s">
        <v>2228</v>
      </c>
      <c r="D127" s="406">
        <v>45907.88291212865</v>
      </c>
      <c r="E127" s="61" t="s">
        <v>7771</v>
      </c>
      <c r="F127" s="61" t="s">
        <v>5632</v>
      </c>
    </row>
    <row r="128" hidden="1">
      <c r="A128" s="61" t="s">
        <v>2469</v>
      </c>
      <c r="B128" s="61" t="str">
        <f t="array" ref="B128">XLOOKUP(C128,'Off-Boarding'!B:B,'Off-Boarding'!E:E)</f>
        <v>#N/A</v>
      </c>
      <c r="C128" s="61" t="s">
        <v>2470</v>
      </c>
      <c r="D128" s="406">
        <v>45915.78602383552</v>
      </c>
      <c r="E128" s="61" t="s">
        <v>7771</v>
      </c>
      <c r="F128" s="61" t="s">
        <v>5632</v>
      </c>
    </row>
    <row r="129" hidden="1">
      <c r="A129" s="61" t="s">
        <v>2535</v>
      </c>
      <c r="B129" s="412" t="str">
        <f t="array" ref="B129">XLOOKUP(C129,'Off-Boarding'!B:B,'Off-Boarding'!E:E)</f>
        <v>Suspend</v>
      </c>
      <c r="C129" s="61" t="s">
        <v>2536</v>
      </c>
      <c r="D129" s="406">
        <v>45915.24461962125</v>
      </c>
      <c r="E129" s="61" t="s">
        <v>7771</v>
      </c>
      <c r="F129" s="61" t="s">
        <v>5632</v>
      </c>
    </row>
    <row r="130" hidden="1">
      <c r="A130" s="61" t="s">
        <v>3067</v>
      </c>
      <c r="B130" s="412" t="str">
        <f t="array" ref="B130">XLOOKUP(C130,'Off-Boarding'!B:B,'Off-Boarding'!E:E)</f>
        <v>Suspend</v>
      </c>
      <c r="C130" s="61" t="s">
        <v>3068</v>
      </c>
      <c r="D130" s="406">
        <v>45916.43048095557</v>
      </c>
      <c r="E130" s="61" t="s">
        <v>7771</v>
      </c>
      <c r="F130" s="61" t="s">
        <v>5632</v>
      </c>
    </row>
    <row r="131" hidden="1">
      <c r="A131" s="61" t="s">
        <v>2972</v>
      </c>
      <c r="B131" s="61" t="str">
        <f t="array" ref="B131">XLOOKUP(C131,'Off-Boarding'!B:B,'Off-Boarding'!E:E)</f>
        <v>Suspend</v>
      </c>
      <c r="C131" s="61" t="s">
        <v>2973</v>
      </c>
      <c r="D131" s="406">
        <v>45915.19532147851</v>
      </c>
      <c r="E131" s="61" t="s">
        <v>7771</v>
      </c>
      <c r="F131" s="61" t="s">
        <v>5632</v>
      </c>
    </row>
    <row r="132" hidden="1">
      <c r="A132" s="61" t="s">
        <v>3178</v>
      </c>
      <c r="B132" s="412" t="str">
        <f t="array" ref="B132">XLOOKUP(C132,'Off-Boarding'!B:B,'Off-Boarding'!E:E)</f>
        <v>Suspend</v>
      </c>
      <c r="C132" s="61" t="s">
        <v>3179</v>
      </c>
      <c r="D132" s="406">
        <v>45889.35712491133</v>
      </c>
      <c r="E132" s="61" t="s">
        <v>7771</v>
      </c>
      <c r="F132" s="61" t="s">
        <v>5632</v>
      </c>
    </row>
    <row r="133" hidden="1">
      <c r="A133" s="61" t="s">
        <v>763</v>
      </c>
      <c r="B133" s="61" t="str">
        <f t="array" ref="B133">XLOOKUP(C133,'Off-Boarding'!B:B,'Off-Boarding'!E:E)</f>
        <v>#N/A</v>
      </c>
      <c r="C133" s="61" t="s">
        <v>764</v>
      </c>
      <c r="D133" s="406">
        <v>45379.25690523496</v>
      </c>
      <c r="E133" s="61" t="s">
        <v>7771</v>
      </c>
      <c r="F133" s="61" t="s">
        <v>5632</v>
      </c>
    </row>
    <row r="134" hidden="1">
      <c r="A134" s="61" t="s">
        <v>2169</v>
      </c>
      <c r="B134" s="61" t="str">
        <f t="array" ref="B134">XLOOKUP(C134,'Off-Boarding'!B:B,'Off-Boarding'!E:E)</f>
        <v>#N/A</v>
      </c>
      <c r="C134" s="61" t="s">
        <v>2170</v>
      </c>
      <c r="D134" s="406">
        <v>45916.350090828644</v>
      </c>
      <c r="E134" s="61" t="s">
        <v>7771</v>
      </c>
      <c r="F134" s="61" t="s">
        <v>5632</v>
      </c>
    </row>
    <row r="135" hidden="1">
      <c r="A135" s="61" t="s">
        <v>7797</v>
      </c>
      <c r="B135" s="412" t="str">
        <f t="array" ref="B135">XLOOKUP(C135,'Off-Boarding'!B:B,'Off-Boarding'!E:E)</f>
        <v>Suspend</v>
      </c>
      <c r="C135" s="61" t="s">
        <v>1297</v>
      </c>
      <c r="D135" s="406">
        <v>45915.49609214593</v>
      </c>
      <c r="E135" s="61" t="s">
        <v>7771</v>
      </c>
      <c r="F135" s="61" t="s">
        <v>5632</v>
      </c>
    </row>
    <row r="136" hidden="1">
      <c r="A136" s="61" t="s">
        <v>1961</v>
      </c>
      <c r="B136" s="61" t="str">
        <f t="array" ref="B136">XLOOKUP(C136,'Off-Boarding'!B:B,'Off-Boarding'!E:E)</f>
        <v>#N/A</v>
      </c>
      <c r="C136" s="61" t="s">
        <v>1445</v>
      </c>
      <c r="D136" s="406">
        <v>45910.39833334416</v>
      </c>
      <c r="E136" s="61" t="s">
        <v>7771</v>
      </c>
      <c r="F136" s="61" t="s">
        <v>5632</v>
      </c>
    </row>
    <row r="137" hidden="1">
      <c r="A137" s="61" t="s">
        <v>1874</v>
      </c>
      <c r="B137" s="413">
        <f t="array" ref="B137">XLOOKUP(C137,'Off-Boarding'!B:B,'Off-Boarding'!E:E)</f>
        <v>46176</v>
      </c>
      <c r="C137" s="61" t="s">
        <v>1875</v>
      </c>
      <c r="D137" s="406">
        <v>45915.907224177165</v>
      </c>
      <c r="E137" s="61" t="s">
        <v>7771</v>
      </c>
      <c r="F137" s="61" t="s">
        <v>5632</v>
      </c>
    </row>
    <row r="138" hidden="1">
      <c r="A138" s="61" t="s">
        <v>807</v>
      </c>
      <c r="B138" s="61" t="str">
        <f t="array" ref="B138">XLOOKUP(C138,'Off-Boarding'!B:B,'Off-Boarding'!E:E)</f>
        <v>#N/A</v>
      </c>
      <c r="C138" s="61" t="s">
        <v>808</v>
      </c>
      <c r="D138" s="406">
        <v>45503.534346218614</v>
      </c>
      <c r="E138" s="61" t="s">
        <v>7771</v>
      </c>
      <c r="F138" s="61" t="s">
        <v>5632</v>
      </c>
    </row>
    <row r="139" hidden="1">
      <c r="A139" s="61" t="s">
        <v>2777</v>
      </c>
      <c r="B139" s="61" t="str">
        <f t="array" ref="B139">XLOOKUP(C139,'Off-Boarding'!B:B,'Off-Boarding'!E:E)</f>
        <v>Suspend</v>
      </c>
      <c r="C139" s="61" t="s">
        <v>2778</v>
      </c>
      <c r="D139" s="406">
        <v>45915.112884354436</v>
      </c>
      <c r="E139" s="61" t="s">
        <v>7771</v>
      </c>
      <c r="F139" s="61" t="s">
        <v>5632</v>
      </c>
    </row>
    <row r="140" hidden="1">
      <c r="A140" s="61" t="s">
        <v>2045</v>
      </c>
      <c r="B140" s="412" t="str">
        <f t="array" ref="B140">XLOOKUP(C140,'Off-Boarding'!B:B,'Off-Boarding'!E:E)</f>
        <v>Suspend</v>
      </c>
      <c r="C140" s="61" t="s">
        <v>1200</v>
      </c>
      <c r="D140" s="406">
        <v>45915.740924818354</v>
      </c>
      <c r="E140" s="61" t="s">
        <v>7771</v>
      </c>
      <c r="F140" s="61" t="s">
        <v>5632</v>
      </c>
    </row>
    <row r="141" hidden="1">
      <c r="A141" s="61" t="s">
        <v>2254</v>
      </c>
      <c r="B141" s="61" t="str">
        <f t="array" ref="B141">XLOOKUP(C141,'Off-Boarding'!B:B,'Off-Boarding'!E:E)</f>
        <v>Suspend</v>
      </c>
      <c r="C141" s="61" t="s">
        <v>2255</v>
      </c>
      <c r="D141" s="406">
        <v>45915.798001131356</v>
      </c>
      <c r="E141" s="61" t="s">
        <v>7771</v>
      </c>
      <c r="F141" s="61" t="s">
        <v>5632</v>
      </c>
    </row>
    <row r="142" hidden="1">
      <c r="A142" s="61" t="s">
        <v>2498</v>
      </c>
      <c r="B142" s="61" t="str">
        <f t="array" ref="B142">XLOOKUP(C142,'Off-Boarding'!B:B,'Off-Boarding'!E:E)</f>
        <v>#N/A</v>
      </c>
      <c r="C142" s="61" t="s">
        <v>2499</v>
      </c>
      <c r="D142" s="406">
        <v>45911.29638492006</v>
      </c>
      <c r="E142" s="61" t="s">
        <v>7771</v>
      </c>
      <c r="F142" s="61" t="s">
        <v>5632</v>
      </c>
    </row>
    <row r="143">
      <c r="A143" s="61" t="s">
        <v>835</v>
      </c>
      <c r="B143" s="61" t="s">
        <v>7772</v>
      </c>
      <c r="C143" s="61" t="s">
        <v>836</v>
      </c>
      <c r="D143" s="406">
        <v>45775.526156742475</v>
      </c>
      <c r="E143" s="61" t="s">
        <v>7771</v>
      </c>
      <c r="F143" s="61" t="s">
        <v>5632</v>
      </c>
    </row>
    <row r="144" hidden="1">
      <c r="A144" s="61" t="s">
        <v>1731</v>
      </c>
      <c r="B144" s="61" t="str">
        <f t="array" ref="B144">XLOOKUP(C144,'Off-Boarding'!B:B,'Off-Boarding'!E:E)</f>
        <v>Suspend</v>
      </c>
      <c r="C144" s="61" t="s">
        <v>2046</v>
      </c>
      <c r="D144" s="406">
        <v>45916.18842972653</v>
      </c>
      <c r="E144" s="61" t="s">
        <v>7771</v>
      </c>
      <c r="F144" s="61" t="s">
        <v>5632</v>
      </c>
    </row>
    <row r="145">
      <c r="A145" s="61" t="s">
        <v>7832</v>
      </c>
      <c r="B145" s="61" t="s">
        <v>7772</v>
      </c>
      <c r="C145" s="61" t="s">
        <v>838</v>
      </c>
      <c r="D145" s="406">
        <v>45589.588087788296</v>
      </c>
      <c r="E145" s="61" t="s">
        <v>7771</v>
      </c>
      <c r="F145" s="61" t="s">
        <v>5632</v>
      </c>
    </row>
    <row r="146" hidden="1">
      <c r="A146" s="61" t="s">
        <v>859</v>
      </c>
      <c r="B146" s="61" t="str">
        <f t="array" ref="B146">XLOOKUP(C146,'Off-Boarding'!B:B,'Off-Boarding'!E:E)</f>
        <v>#N/A</v>
      </c>
      <c r="C146" s="61" t="s">
        <v>860</v>
      </c>
      <c r="D146" s="406">
        <v>45272.4770271</v>
      </c>
      <c r="E146" s="61" t="s">
        <v>7771</v>
      </c>
      <c r="F146" s="61" t="s">
        <v>5632</v>
      </c>
    </row>
    <row r="147" hidden="1">
      <c r="A147" s="61" t="s">
        <v>2481</v>
      </c>
      <c r="B147" s="61" t="str">
        <f t="array" ref="B147">XLOOKUP(C147,'Off-Boarding'!B:B,'Off-Boarding'!E:E)</f>
        <v>Suspend</v>
      </c>
      <c r="C147" s="61" t="s">
        <v>2482</v>
      </c>
      <c r="D147" s="406">
        <v>45916.252070214985</v>
      </c>
      <c r="E147" s="61" t="s">
        <v>7771</v>
      </c>
      <c r="F147" s="61" t="s">
        <v>5632</v>
      </c>
    </row>
    <row r="148" hidden="1">
      <c r="A148" s="61" t="s">
        <v>2550</v>
      </c>
      <c r="B148" s="412" t="str">
        <f t="array" ref="B148">XLOOKUP(C148,'Off-Boarding'!B:B,'Off-Boarding'!E:E)</f>
        <v>Suspend</v>
      </c>
      <c r="C148" s="61" t="s">
        <v>2551</v>
      </c>
      <c r="D148" s="406">
        <v>45915.889626914155</v>
      </c>
      <c r="E148" s="61" t="s">
        <v>7771</v>
      </c>
      <c r="F148" s="61" t="s">
        <v>5632</v>
      </c>
    </row>
    <row r="149" hidden="1">
      <c r="A149" s="61" t="s">
        <v>1898</v>
      </c>
      <c r="B149" s="61" t="str">
        <f t="array" ref="B149">XLOOKUP(C149,'Off-Boarding'!B:B,'Off-Boarding'!E:E)</f>
        <v>#N/A</v>
      </c>
      <c r="C149" s="61" t="s">
        <v>1695</v>
      </c>
      <c r="D149" s="406">
        <v>45916.27860563258</v>
      </c>
      <c r="E149" s="61" t="s">
        <v>7771</v>
      </c>
      <c r="F149" s="61" t="s">
        <v>5632</v>
      </c>
    </row>
    <row r="150" hidden="1">
      <c r="A150" s="61" t="s">
        <v>2443</v>
      </c>
      <c r="B150" s="61" t="str">
        <f t="array" ref="B150">XLOOKUP(C150,'Off-Boarding'!B:B,'Off-Boarding'!E:E)</f>
        <v>Suspend</v>
      </c>
      <c r="C150" s="61" t="s">
        <v>1138</v>
      </c>
      <c r="D150" s="406">
        <v>45916.42492369609</v>
      </c>
      <c r="E150" s="61" t="s">
        <v>7771</v>
      </c>
      <c r="F150" s="61" t="s">
        <v>5632</v>
      </c>
    </row>
    <row r="151">
      <c r="A151" s="61" t="s">
        <v>5541</v>
      </c>
      <c r="B151" s="61" t="s">
        <v>7772</v>
      </c>
      <c r="C151" s="61" t="s">
        <v>1761</v>
      </c>
      <c r="D151" s="406">
        <v>45911.31128890882</v>
      </c>
      <c r="E151" s="61" t="s">
        <v>7771</v>
      </c>
      <c r="F151" s="61" t="s">
        <v>5632</v>
      </c>
    </row>
    <row r="152">
      <c r="A152" s="61" t="s">
        <v>2942</v>
      </c>
      <c r="B152" s="61" t="s">
        <v>7772</v>
      </c>
      <c r="C152" s="61" t="s">
        <v>2943</v>
      </c>
      <c r="D152" s="406">
        <v>45901.537021827826</v>
      </c>
      <c r="E152" s="61" t="s">
        <v>7771</v>
      </c>
      <c r="F152" s="61" t="s">
        <v>5632</v>
      </c>
    </row>
    <row r="153">
      <c r="A153" s="61" t="s">
        <v>916</v>
      </c>
      <c r="B153" s="61" t="s">
        <v>7772</v>
      </c>
      <c r="C153" s="61" t="s">
        <v>917</v>
      </c>
      <c r="D153" s="406">
        <v>45811.53463065766</v>
      </c>
      <c r="E153" s="61" t="s">
        <v>7771</v>
      </c>
      <c r="F153" s="61" t="s">
        <v>5632</v>
      </c>
    </row>
    <row r="154">
      <c r="A154" s="61" t="s">
        <v>2963</v>
      </c>
      <c r="B154" s="61" t="s">
        <v>7772</v>
      </c>
      <c r="C154" s="61" t="s">
        <v>2964</v>
      </c>
      <c r="D154" s="406">
        <v>45855.325439141874</v>
      </c>
      <c r="E154" s="61" t="s">
        <v>7771</v>
      </c>
      <c r="F154" s="61" t="s">
        <v>5632</v>
      </c>
    </row>
    <row r="155" hidden="1">
      <c r="A155" s="61" t="s">
        <v>7800</v>
      </c>
      <c r="B155" s="61" t="str">
        <f t="array" ref="B155">XLOOKUP(C155,'Off-Boarding'!B:B,'Off-Boarding'!E:E)</f>
        <v>#N/A</v>
      </c>
      <c r="C155" s="61" t="s">
        <v>2262</v>
      </c>
      <c r="D155" s="406">
        <v>45892.50374292247</v>
      </c>
      <c r="E155" s="61" t="s">
        <v>7771</v>
      </c>
      <c r="F155" s="61" t="s">
        <v>5632</v>
      </c>
    </row>
    <row r="156" hidden="1">
      <c r="A156" s="61" t="s">
        <v>2821</v>
      </c>
      <c r="B156" s="61" t="str">
        <f t="array" ref="B156">XLOOKUP(C156,'Off-Boarding'!B:B,'Off-Boarding'!E:E)</f>
        <v>Suspend</v>
      </c>
      <c r="C156" s="61" t="s">
        <v>2822</v>
      </c>
      <c r="D156" s="406">
        <v>45914.799584626344</v>
      </c>
      <c r="E156" s="61" t="s">
        <v>7771</v>
      </c>
      <c r="F156" s="61" t="s">
        <v>5632</v>
      </c>
    </row>
    <row r="157" hidden="1">
      <c r="A157" s="61" t="s">
        <v>5368</v>
      </c>
      <c r="B157" s="61" t="str">
        <f t="array" ref="B157">XLOOKUP(C157,'Off-Boarding'!B:B,'Off-Boarding'!E:E)</f>
        <v>Suspend</v>
      </c>
      <c r="C157" s="61" t="s">
        <v>2759</v>
      </c>
      <c r="D157" s="406">
        <v>45916.31108184361</v>
      </c>
      <c r="E157" s="61" t="s">
        <v>7771</v>
      </c>
      <c r="F157" s="61" t="s">
        <v>5632</v>
      </c>
    </row>
    <row r="158">
      <c r="A158" s="61" t="s">
        <v>1795</v>
      </c>
      <c r="B158" s="61" t="s">
        <v>7772</v>
      </c>
      <c r="C158" s="61" t="s">
        <v>1796</v>
      </c>
      <c r="D158" s="406">
        <v>45656.44501863071</v>
      </c>
      <c r="E158" s="61" t="s">
        <v>7771</v>
      </c>
      <c r="F158" s="61" t="s">
        <v>5632</v>
      </c>
    </row>
    <row r="159" hidden="1">
      <c r="A159" s="61" t="s">
        <v>2140</v>
      </c>
      <c r="B159" s="413">
        <f t="array" ref="B159">XLOOKUP(C159,'Off-Boarding'!B:B,'Off-Boarding'!E:E)</f>
        <v>46268</v>
      </c>
      <c r="C159" s="61" t="s">
        <v>2141</v>
      </c>
      <c r="D159" s="406">
        <v>45910.39367195993</v>
      </c>
      <c r="E159" s="61" t="s">
        <v>7771</v>
      </c>
      <c r="F159" s="61" t="s">
        <v>5632</v>
      </c>
    </row>
    <row r="160">
      <c r="A160" s="61" t="s">
        <v>3006</v>
      </c>
      <c r="B160" s="61" t="s">
        <v>7772</v>
      </c>
      <c r="C160" s="61" t="s">
        <v>3007</v>
      </c>
      <c r="D160" s="406">
        <v>45859.293131289305</v>
      </c>
      <c r="E160" s="61" t="s">
        <v>7771</v>
      </c>
      <c r="F160" s="61" t="s">
        <v>5632</v>
      </c>
    </row>
    <row r="161" hidden="1">
      <c r="A161" s="61" t="s">
        <v>2048</v>
      </c>
      <c r="B161" s="412" t="str">
        <f t="array" ref="B161">XLOOKUP(C161,'Off-Boarding'!B:B,'Off-Boarding'!E:E)</f>
        <v>Suspend</v>
      </c>
      <c r="C161" s="61" t="s">
        <v>2049</v>
      </c>
      <c r="D161" s="406">
        <v>45916.379800520175</v>
      </c>
      <c r="E161" s="61" t="s">
        <v>7771</v>
      </c>
      <c r="F161" s="61" t="s">
        <v>5632</v>
      </c>
    </row>
    <row r="162">
      <c r="A162" s="61" t="s">
        <v>1821</v>
      </c>
      <c r="B162" s="61" t="s">
        <v>7772</v>
      </c>
      <c r="C162" s="61" t="s">
        <v>1822</v>
      </c>
      <c r="D162" s="406">
        <v>45859.489509894745</v>
      </c>
      <c r="E162" s="61" t="s">
        <v>7771</v>
      </c>
      <c r="F162" s="61" t="s">
        <v>5632</v>
      </c>
    </row>
    <row r="163">
      <c r="A163" s="61" t="s">
        <v>3083</v>
      </c>
      <c r="B163" s="61" t="s">
        <v>7772</v>
      </c>
      <c r="C163" s="61" t="s">
        <v>3084</v>
      </c>
      <c r="D163" s="406">
        <v>45876.29532485009</v>
      </c>
      <c r="E163" s="61" t="s">
        <v>7771</v>
      </c>
      <c r="F163" s="61" t="s">
        <v>5632</v>
      </c>
    </row>
    <row r="164">
      <c r="A164" s="61" t="s">
        <v>5486</v>
      </c>
      <c r="B164" s="61" t="s">
        <v>7772</v>
      </c>
      <c r="C164" s="61" t="s">
        <v>1829</v>
      </c>
      <c r="D164" s="406">
        <v>45840.3517375935</v>
      </c>
      <c r="E164" s="61" t="s">
        <v>7771</v>
      </c>
      <c r="F164" s="61" t="s">
        <v>5632</v>
      </c>
    </row>
    <row r="165" hidden="1">
      <c r="A165" s="61" t="s">
        <v>3105</v>
      </c>
      <c r="B165" s="412" t="str">
        <f t="array" ref="B165">XLOOKUP(C165,'Off-Boarding'!B:B,'Off-Boarding'!E:E)</f>
        <v>Suspend</v>
      </c>
      <c r="C165" s="61" t="s">
        <v>3106</v>
      </c>
      <c r="D165" s="406">
        <v>45883.364812388936</v>
      </c>
      <c r="E165" s="61" t="s">
        <v>7771</v>
      </c>
      <c r="F165" s="61" t="s">
        <v>5632</v>
      </c>
    </row>
    <row r="166" hidden="1">
      <c r="A166" s="61" t="s">
        <v>1839</v>
      </c>
      <c r="B166" s="412" t="str">
        <f t="array" ref="B166">XLOOKUP(C166,'Off-Boarding'!B:B,'Off-Boarding'!E:E)</f>
        <v>Suspend</v>
      </c>
      <c r="C166" s="61" t="s">
        <v>1840</v>
      </c>
      <c r="D166" s="406">
        <v>45877.194175037585</v>
      </c>
      <c r="E166" s="61" t="s">
        <v>7771</v>
      </c>
      <c r="F166" s="61" t="s">
        <v>5632</v>
      </c>
    </row>
    <row r="167">
      <c r="A167" s="61" t="s">
        <v>1000</v>
      </c>
      <c r="B167" s="61" t="s">
        <v>7772</v>
      </c>
      <c r="C167" s="61" t="s">
        <v>1001</v>
      </c>
      <c r="D167" s="406">
        <v>45653.67531829148</v>
      </c>
      <c r="E167" s="61" t="s">
        <v>7771</v>
      </c>
      <c r="F167" s="61" t="s">
        <v>5632</v>
      </c>
    </row>
    <row r="168" hidden="1">
      <c r="A168" s="61" t="s">
        <v>5231</v>
      </c>
      <c r="B168" s="61" t="str">
        <f t="array" ref="B168">XLOOKUP(C168,'Off-Boarding'!B:B,'Off-Boarding'!E:E)</f>
        <v>Suspend</v>
      </c>
      <c r="C168" s="61" t="s">
        <v>2727</v>
      </c>
      <c r="D168" s="406">
        <v>45862.34064526291</v>
      </c>
      <c r="E168" s="61" t="s">
        <v>7771</v>
      </c>
      <c r="F168" s="61" t="s">
        <v>5632</v>
      </c>
    </row>
    <row r="169" hidden="1">
      <c r="A169" s="61" t="s">
        <v>2210</v>
      </c>
      <c r="B169" s="61" t="str">
        <f t="array" ref="B169">XLOOKUP(C169,'Off-Boarding'!B:B,'Off-Boarding'!E:E)</f>
        <v>Suspend</v>
      </c>
      <c r="C169" s="61" t="s">
        <v>1033</v>
      </c>
      <c r="D169" s="406">
        <v>45916.3597030747</v>
      </c>
      <c r="E169" s="61" t="s">
        <v>7771</v>
      </c>
      <c r="F169" s="61" t="s">
        <v>5632</v>
      </c>
    </row>
    <row r="170" hidden="1">
      <c r="A170" s="61" t="s">
        <v>7807</v>
      </c>
      <c r="B170" s="61" t="str">
        <f t="array" ref="B170">XLOOKUP(C170,'Off-Boarding'!B:B,'Off-Boarding'!E:E)</f>
        <v>#N/A</v>
      </c>
      <c r="C170" s="61" t="s">
        <v>2287</v>
      </c>
      <c r="D170" s="406">
        <v>45916.41471119763</v>
      </c>
      <c r="E170" s="61" t="s">
        <v>7771</v>
      </c>
      <c r="F170" s="61" t="s">
        <v>5632</v>
      </c>
    </row>
    <row r="171" hidden="1">
      <c r="A171" s="61" t="s">
        <v>7808</v>
      </c>
      <c r="B171" s="61" t="str">
        <f t="array" ref="B171">XLOOKUP(C171,'Off-Boarding'!B:B,'Off-Boarding'!E:E)</f>
        <v>#N/A</v>
      </c>
      <c r="C171" s="61" t="s">
        <v>2226</v>
      </c>
      <c r="D171" s="406">
        <v>45916.25727417972</v>
      </c>
      <c r="E171" s="61" t="s">
        <v>7771</v>
      </c>
      <c r="F171" s="61" t="s">
        <v>5632</v>
      </c>
    </row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AA$1000">
    <filterColumn colId="1">
      <filters>
        <filter val="Done"/>
        <filter val="09-03-2026"/>
        <filter val="06-03-2026"/>
        <filter val="Suspend"/>
      </filters>
    </filterColumn>
  </autoFilter>
  <drawing r:id="rId1"/>
</worksheet>
</file>